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charts/chart11.xml" ContentType="application/vnd.openxmlformats-officedocument.drawingml.chart+xml"/>
  <Override PartName="/xl/charts/style8.xml" ContentType="application/vnd.ms-office.chartstyle+xml"/>
  <Override PartName="/xl/charts/colors8.xml" ContentType="application/vnd.ms-office.chartcolorstyle+xml"/>
  <Override PartName="/xl/charts/chart12.xml" ContentType="application/vnd.openxmlformats-officedocument.drawingml.chart+xml"/>
  <Override PartName="/xl/charts/style9.xml" ContentType="application/vnd.ms-office.chartstyle+xml"/>
  <Override PartName="/xl/charts/colors9.xml" ContentType="application/vnd.ms-office.chartcolorstyle+xml"/>
  <Override PartName="/xl/charts/chart13.xml" ContentType="application/vnd.openxmlformats-officedocument.drawingml.chart+xml"/>
  <Override PartName="/xl/charts/style10.xml" ContentType="application/vnd.ms-office.chartstyle+xml"/>
  <Override PartName="/xl/charts/colors10.xml" ContentType="application/vnd.ms-office.chartcolorstyle+xml"/>
  <Override PartName="/xl/charts/chart14.xml" ContentType="application/vnd.openxmlformats-officedocument.drawingml.chart+xml"/>
  <Override PartName="/xl/charts/style11.xml" ContentType="application/vnd.ms-office.chartstyle+xml"/>
  <Override PartName="/xl/charts/colors11.xml" ContentType="application/vnd.ms-office.chartcolorstyle+xml"/>
  <Override PartName="/xl/charts/chart15.xml" ContentType="application/vnd.openxmlformats-officedocument.drawingml.chart+xml"/>
  <Override PartName="/xl/charts/style12.xml" ContentType="application/vnd.ms-office.chartstyle+xml"/>
  <Override PartName="/xl/charts/colors12.xml" ContentType="application/vnd.ms-office.chartcolorstyle+xml"/>
  <Override PartName="/xl/charts/chart16.xml" ContentType="application/vnd.openxmlformats-officedocument.drawingml.chart+xml"/>
  <Override PartName="/xl/charts/style13.xml" ContentType="application/vnd.ms-office.chartstyle+xml"/>
  <Override PartName="/xl/charts/colors13.xml" ContentType="application/vnd.ms-office.chartcolorstyle+xml"/>
  <Override PartName="/xl/charts/chart17.xml" ContentType="application/vnd.openxmlformats-officedocument.drawingml.chart+xml"/>
  <Override PartName="/xl/charts/style14.xml" ContentType="application/vnd.ms-office.chartstyle+xml"/>
  <Override PartName="/xl/charts/colors14.xml" ContentType="application/vnd.ms-office.chartcolorstyle+xml"/>
  <Override PartName="/xl/charts/chart18.xml" ContentType="application/vnd.openxmlformats-officedocument.drawingml.chart+xml"/>
  <Override PartName="/xl/charts/style15.xml" ContentType="application/vnd.ms-office.chartstyle+xml"/>
  <Override PartName="/xl/charts/colors15.xml" ContentType="application/vnd.ms-office.chartcolorstyle+xml"/>
  <Override PartName="/xl/charts/chart19.xml" ContentType="application/vnd.openxmlformats-officedocument.drawingml.chart+xml"/>
  <Override PartName="/xl/charts/style16.xml" ContentType="application/vnd.ms-office.chartstyle+xml"/>
  <Override PartName="/xl/charts/colors16.xml" ContentType="application/vnd.ms-office.chartcolorstyle+xml"/>
  <Override PartName="/xl/charts/chart20.xml" ContentType="application/vnd.openxmlformats-officedocument.drawingml.chart+xml"/>
  <Override PartName="/xl/charts/style17.xml" ContentType="application/vnd.ms-office.chartstyle+xml"/>
  <Override PartName="/xl/charts/colors17.xml" ContentType="application/vnd.ms-office.chartcolorstyle+xml"/>
  <Override PartName="/xl/charts/chart21.xml" ContentType="application/vnd.openxmlformats-officedocument.drawingml.chart+xml"/>
  <Override PartName="/xl/charts/style18.xml" ContentType="application/vnd.ms-office.chartstyle+xml"/>
  <Override PartName="/xl/charts/colors18.xml" ContentType="application/vnd.ms-office.chartcolorstyle+xml"/>
  <Override PartName="/xl/charts/chart22.xml" ContentType="application/vnd.openxmlformats-officedocument.drawingml.chart+xml"/>
  <Override PartName="/xl/charts/style19.xml" ContentType="application/vnd.ms-office.chartstyle+xml"/>
  <Override PartName="/xl/charts/colors19.xml" ContentType="application/vnd.ms-office.chartcolorstyle+xml"/>
  <Override PartName="/xl/charts/chart23.xml" ContentType="application/vnd.openxmlformats-officedocument.drawingml.chart+xml"/>
  <Override PartName="/xl/charts/style20.xml" ContentType="application/vnd.ms-office.chartstyle+xml"/>
  <Override PartName="/xl/charts/colors20.xml" ContentType="application/vnd.ms-office.chartcolorstyle+xml"/>
  <Override PartName="/xl/charts/chart24.xml" ContentType="application/vnd.openxmlformats-officedocument.drawingml.chart+xml"/>
  <Override PartName="/xl/charts/style21.xml" ContentType="application/vnd.ms-office.chartstyle+xml"/>
  <Override PartName="/xl/charts/colors21.xml" ContentType="application/vnd.ms-office.chartcolorstyle+xml"/>
  <Override PartName="/xl/charts/chart25.xml" ContentType="application/vnd.openxmlformats-officedocument.drawingml.chart+xml"/>
  <Override PartName="/xl/charts/style22.xml" ContentType="application/vnd.ms-office.chartstyle+xml"/>
  <Override PartName="/xl/charts/colors22.xml" ContentType="application/vnd.ms-office.chartcolorstyle+xml"/>
  <Override PartName="/xl/charts/chart26.xml" ContentType="application/vnd.openxmlformats-officedocument.drawingml.chart+xml"/>
  <Override PartName="/xl/charts/style23.xml" ContentType="application/vnd.ms-office.chartstyle+xml"/>
  <Override PartName="/xl/charts/colors23.xml" ContentType="application/vnd.ms-office.chartcolorstyle+xml"/>
  <Override PartName="/xl/charts/chart27.xml" ContentType="application/vnd.openxmlformats-officedocument.drawingml.chart+xml"/>
  <Override PartName="/xl/charts/style24.xml" ContentType="application/vnd.ms-office.chartstyle+xml"/>
  <Override PartName="/xl/charts/colors24.xml" ContentType="application/vnd.ms-office.chartcolorstyle+xml"/>
  <Override PartName="/xl/charts/chart28.xml" ContentType="application/vnd.openxmlformats-officedocument.drawingml.chart+xml"/>
  <Override PartName="/xl/charts/style25.xml" ContentType="application/vnd.ms-office.chartstyle+xml"/>
  <Override PartName="/xl/charts/colors25.xml" ContentType="application/vnd.ms-office.chartcolorstyle+xml"/>
  <Override PartName="/xl/charts/chart29.xml" ContentType="application/vnd.openxmlformats-officedocument.drawingml.chart+xml"/>
  <Override PartName="/xl/charts/style26.xml" ContentType="application/vnd.ms-office.chartstyle+xml"/>
  <Override PartName="/xl/charts/colors26.xml" ContentType="application/vnd.ms-office.chartcolorstyle+xml"/>
  <Override PartName="/xl/charts/chart30.xml" ContentType="application/vnd.openxmlformats-officedocument.drawingml.chart+xml"/>
  <Override PartName="/xl/charts/style27.xml" ContentType="application/vnd.ms-office.chartstyle+xml"/>
  <Override PartName="/xl/charts/colors27.xml" ContentType="application/vnd.ms-office.chartcolorstyle+xml"/>
  <Override PartName="/xl/charts/chart31.xml" ContentType="application/vnd.openxmlformats-officedocument.drawingml.chart+xml"/>
  <Override PartName="/xl/charts/style28.xml" ContentType="application/vnd.ms-office.chartstyle+xml"/>
  <Override PartName="/xl/charts/colors28.xml" ContentType="application/vnd.ms-office.chartcolorstyle+xml"/>
  <Override PartName="/xl/charts/chart32.xml" ContentType="application/vnd.openxmlformats-officedocument.drawingml.chart+xml"/>
  <Override PartName="/xl/charts/style29.xml" ContentType="application/vnd.ms-office.chartstyle+xml"/>
  <Override PartName="/xl/charts/colors29.xml" ContentType="application/vnd.ms-office.chartcolorstyle+xml"/>
  <Override PartName="/xl/charts/chart33.xml" ContentType="application/vnd.openxmlformats-officedocument.drawingml.chart+xml"/>
  <Override PartName="/xl/charts/style30.xml" ContentType="application/vnd.ms-office.chartstyle+xml"/>
  <Override PartName="/xl/charts/colors30.xml" ContentType="application/vnd.ms-office.chartcolorstyle+xml"/>
  <Override PartName="/xl/charts/chart34.xml" ContentType="application/vnd.openxmlformats-officedocument.drawingml.chart+xml"/>
  <Override PartName="/xl/charts/style31.xml" ContentType="application/vnd.ms-office.chartstyle+xml"/>
  <Override PartName="/xl/charts/colors31.xml" ContentType="application/vnd.ms-office.chartcolorstyle+xml"/>
  <Override PartName="/xl/charts/chart35.xml" ContentType="application/vnd.openxmlformats-officedocument.drawingml.chart+xml"/>
  <Override PartName="/xl/charts/style32.xml" ContentType="application/vnd.ms-office.chartstyle+xml"/>
  <Override PartName="/xl/charts/colors32.xml" ContentType="application/vnd.ms-office.chartcolorstyle+xml"/>
  <Override PartName="/xl/charts/chart36.xml" ContentType="application/vnd.openxmlformats-officedocument.drawingml.chart+xml"/>
  <Override PartName="/xl/charts/style33.xml" ContentType="application/vnd.ms-office.chartstyle+xml"/>
  <Override PartName="/xl/charts/colors33.xml" ContentType="application/vnd.ms-office.chartcolorstyle+xml"/>
  <Override PartName="/xl/charts/chart37.xml" ContentType="application/vnd.openxmlformats-officedocument.drawingml.chart+xml"/>
  <Override PartName="/xl/charts/style34.xml" ContentType="application/vnd.ms-office.chartstyle+xml"/>
  <Override PartName="/xl/charts/colors34.xml" ContentType="application/vnd.ms-office.chartcolorstyle+xml"/>
  <Override PartName="/xl/charts/chart38.xml" ContentType="application/vnd.openxmlformats-officedocument.drawingml.chart+xml"/>
  <Override PartName="/xl/charts/style35.xml" ContentType="application/vnd.ms-office.chartstyle+xml"/>
  <Override PartName="/xl/charts/colors35.xml" ContentType="application/vnd.ms-office.chartcolorstyle+xml"/>
  <Override PartName="/xl/charts/chart39.xml" ContentType="application/vnd.openxmlformats-officedocument.drawingml.chart+xml"/>
  <Override PartName="/xl/charts/style36.xml" ContentType="application/vnd.ms-office.chartstyle+xml"/>
  <Override PartName="/xl/charts/colors36.xml" ContentType="application/vnd.ms-office.chartcolorstyle+xml"/>
  <Override PartName="/xl/charts/chart40.xml" ContentType="application/vnd.openxmlformats-officedocument.drawingml.chart+xml"/>
  <Override PartName="/xl/charts/style37.xml" ContentType="application/vnd.ms-office.chartstyle+xml"/>
  <Override PartName="/xl/charts/colors37.xml" ContentType="application/vnd.ms-office.chartcolorstyle+xml"/>
  <Override PartName="/xl/charts/chart41.xml" ContentType="application/vnd.openxmlformats-officedocument.drawingml.chart+xml"/>
  <Override PartName="/xl/charts/style38.xml" ContentType="application/vnd.ms-office.chartstyle+xml"/>
  <Override PartName="/xl/charts/colors38.xml" ContentType="application/vnd.ms-office.chartcolorstyle+xml"/>
  <Override PartName="/xl/charts/chart42.xml" ContentType="application/vnd.openxmlformats-officedocument.drawingml.chart+xml"/>
  <Override PartName="/xl/charts/style39.xml" ContentType="application/vnd.ms-office.chartstyle+xml"/>
  <Override PartName="/xl/charts/colors39.xml" ContentType="application/vnd.ms-office.chartcolorstyle+xml"/>
  <Override PartName="/xl/charts/chart43.xml" ContentType="application/vnd.openxmlformats-officedocument.drawingml.chart+xml"/>
  <Override PartName="/xl/charts/style40.xml" ContentType="application/vnd.ms-office.chartstyle+xml"/>
  <Override PartName="/xl/charts/colors40.xml" ContentType="application/vnd.ms-office.chartcolorstyle+xml"/>
  <Override PartName="/xl/charts/chart44.xml" ContentType="application/vnd.openxmlformats-officedocument.drawingml.chart+xml"/>
  <Override PartName="/xl/charts/style41.xml" ContentType="application/vnd.ms-office.chartstyle+xml"/>
  <Override PartName="/xl/charts/colors41.xml" ContentType="application/vnd.ms-office.chartcolorstyle+xml"/>
  <Override PartName="/xl/charts/chart45.xml" ContentType="application/vnd.openxmlformats-officedocument.drawingml.chart+xml"/>
  <Override PartName="/xl/charts/style42.xml" ContentType="application/vnd.ms-office.chartstyle+xml"/>
  <Override PartName="/xl/charts/colors42.xml" ContentType="application/vnd.ms-office.chartcolorstyle+xml"/>
  <Override PartName="/xl/charts/chart46.xml" ContentType="application/vnd.openxmlformats-officedocument.drawingml.chart+xml"/>
  <Override PartName="/xl/charts/style43.xml" ContentType="application/vnd.ms-office.chartstyle+xml"/>
  <Override PartName="/xl/charts/colors43.xml" ContentType="application/vnd.ms-office.chartcolorstyle+xml"/>
  <Override PartName="/xl/charts/chart47.xml" ContentType="application/vnd.openxmlformats-officedocument.drawingml.chart+xml"/>
  <Override PartName="/xl/charts/style44.xml" ContentType="application/vnd.ms-office.chartstyle+xml"/>
  <Override PartName="/xl/charts/colors44.xml" ContentType="application/vnd.ms-office.chartcolorstyle+xml"/>
  <Override PartName="/xl/charts/chart48.xml" ContentType="application/vnd.openxmlformats-officedocument.drawingml.chart+xml"/>
  <Override PartName="/xl/charts/style45.xml" ContentType="application/vnd.ms-office.chartstyle+xml"/>
  <Override PartName="/xl/charts/colors45.xml" ContentType="application/vnd.ms-office.chartcolorstyle+xml"/>
  <Override PartName="/xl/charts/chart49.xml" ContentType="application/vnd.openxmlformats-officedocument.drawingml.chart+xml"/>
  <Override PartName="/xl/charts/style46.xml" ContentType="application/vnd.ms-office.chartstyle+xml"/>
  <Override PartName="/xl/charts/colors46.xml" ContentType="application/vnd.ms-office.chartcolorstyle+xml"/>
  <Override PartName="/xl/charts/chart50.xml" ContentType="application/vnd.openxmlformats-officedocument.drawingml.chart+xml"/>
  <Override PartName="/xl/charts/style47.xml" ContentType="application/vnd.ms-office.chartstyle+xml"/>
  <Override PartName="/xl/charts/colors47.xml" ContentType="application/vnd.ms-office.chartcolorstyle+xml"/>
  <Override PartName="/xl/charts/chart51.xml" ContentType="application/vnd.openxmlformats-officedocument.drawingml.chart+xml"/>
  <Override PartName="/xl/charts/style48.xml" ContentType="application/vnd.ms-office.chartstyle+xml"/>
  <Override PartName="/xl/charts/colors48.xml" ContentType="application/vnd.ms-office.chartcolorstyle+xml"/>
  <Override PartName="/xl/charts/chart52.xml" ContentType="application/vnd.openxmlformats-officedocument.drawingml.chart+xml"/>
  <Override PartName="/xl/charts/style49.xml" ContentType="application/vnd.ms-office.chartstyle+xml"/>
  <Override PartName="/xl/charts/colors49.xml" ContentType="application/vnd.ms-office.chartcolorstyle+xml"/>
  <Override PartName="/xl/charts/chart53.xml" ContentType="application/vnd.openxmlformats-officedocument.drawingml.chart+xml"/>
  <Override PartName="/xl/charts/style50.xml" ContentType="application/vnd.ms-office.chartstyle+xml"/>
  <Override PartName="/xl/charts/colors50.xml" ContentType="application/vnd.ms-office.chartcolorstyle+xml"/>
  <Override PartName="/xl/charts/chart54.xml" ContentType="application/vnd.openxmlformats-officedocument.drawingml.chart+xml"/>
  <Override PartName="/xl/charts/style51.xml" ContentType="application/vnd.ms-office.chartstyle+xml"/>
  <Override PartName="/xl/charts/colors51.xml" ContentType="application/vnd.ms-office.chartcolorstyle+xml"/>
  <Override PartName="/xl/charts/chart55.xml" ContentType="application/vnd.openxmlformats-officedocument.drawingml.chart+xml"/>
  <Override PartName="/xl/charts/style52.xml" ContentType="application/vnd.ms-office.chartstyle+xml"/>
  <Override PartName="/xl/charts/colors52.xml" ContentType="application/vnd.ms-office.chartcolorstyle+xml"/>
  <Override PartName="/xl/charts/chart56.xml" ContentType="application/vnd.openxmlformats-officedocument.drawingml.chart+xml"/>
  <Override PartName="/xl/charts/style53.xml" ContentType="application/vnd.ms-office.chartstyle+xml"/>
  <Override PartName="/xl/charts/colors53.xml" ContentType="application/vnd.ms-office.chartcolorstyle+xml"/>
  <Override PartName="/xl/charts/chart57.xml" ContentType="application/vnd.openxmlformats-officedocument.drawingml.chart+xml"/>
  <Override PartName="/xl/charts/style54.xml" ContentType="application/vnd.ms-office.chartstyle+xml"/>
  <Override PartName="/xl/charts/colors54.xml" ContentType="application/vnd.ms-office.chartcolorstyle+xml"/>
  <Override PartName="/xl/charts/chart58.xml" ContentType="application/vnd.openxmlformats-officedocument.drawingml.chart+xml"/>
  <Override PartName="/xl/charts/style55.xml" ContentType="application/vnd.ms-office.chartstyle+xml"/>
  <Override PartName="/xl/charts/colors55.xml" ContentType="application/vnd.ms-office.chartcolorstyle+xml"/>
  <Override PartName="/xl/drawings/drawing3.xml" ContentType="application/vnd.openxmlformats-officedocument.drawing+xml"/>
  <Override PartName="/xl/charts/chart59.xml" ContentType="application/vnd.openxmlformats-officedocument.drawingml.chart+xml"/>
  <Override PartName="/xl/drawings/drawing4.xml" ContentType="application/vnd.openxmlformats-officedocument.drawingml.chartshapes+xml"/>
  <Override PartName="/xl/charts/chart60.xml" ContentType="application/vnd.openxmlformats-officedocument.drawingml.chart+xml"/>
  <Override PartName="/xl/charts/chart61.xml" ContentType="application/vnd.openxmlformats-officedocument.drawingml.chart+xml"/>
  <Override PartName="/xl/charts/style56.xml" ContentType="application/vnd.ms-office.chartstyle+xml"/>
  <Override PartName="/xl/charts/colors56.xml" ContentType="application/vnd.ms-office.chartcolorstyle+xml"/>
  <Override PartName="/xl/charts/chart62.xml" ContentType="application/vnd.openxmlformats-officedocument.drawingml.chart+xml"/>
  <Override PartName="/xl/charts/chart63.xml" ContentType="application/vnd.openxmlformats-officedocument.drawingml.chart+xml"/>
  <Override PartName="/xl/charts/style57.xml" ContentType="application/vnd.ms-office.chartstyle+xml"/>
  <Override PartName="/xl/charts/colors57.xml" ContentType="application/vnd.ms-office.chartcolorstyle+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style58.xml" ContentType="application/vnd.ms-office.chartstyle+xml"/>
  <Override PartName="/xl/charts/colors58.xml" ContentType="application/vnd.ms-office.chartcolorstyle+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style59.xml" ContentType="application/vnd.ms-office.chartstyle+xml"/>
  <Override PartName="/xl/charts/colors59.xml" ContentType="application/vnd.ms-office.chartcolorstyle+xml"/>
  <Override PartName="/xl/charts/chart70.xml" ContentType="application/vnd.openxmlformats-officedocument.drawingml.chart+xml"/>
  <Override PartName="/xl/charts/style60.xml" ContentType="application/vnd.ms-office.chartstyle+xml"/>
  <Override PartName="/xl/charts/colors60.xml" ContentType="application/vnd.ms-office.chartcolorstyle+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style61.xml" ContentType="application/vnd.ms-office.chartstyle+xml"/>
  <Override PartName="/xl/charts/colors61.xml" ContentType="application/vnd.ms-office.chartcolorstyle+xml"/>
  <Override PartName="/xl/charts/chart74.xml" ContentType="application/vnd.openxmlformats-officedocument.drawingml.chart+xml"/>
  <Override PartName="/xl/charts/style62.xml" ContentType="application/vnd.ms-office.chartstyle+xml"/>
  <Override PartName="/xl/charts/colors62.xml" ContentType="application/vnd.ms-office.chartcolorstyle+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style63.xml" ContentType="application/vnd.ms-office.chartstyle+xml"/>
  <Override PartName="/xl/charts/colors63.xml" ContentType="application/vnd.ms-office.chartcolorstyle+xml"/>
  <Override PartName="/xl/charts/chart78.xml" ContentType="application/vnd.openxmlformats-officedocument.drawingml.chart+xml"/>
  <Override PartName="/xl/charts/chart79.xml" ContentType="application/vnd.openxmlformats-officedocument.drawingml.chart+xml"/>
  <Override PartName="/xl/charts/chart80.xml" ContentType="application/vnd.openxmlformats-officedocument.drawingml.chart+xml"/>
  <Override PartName="/xl/charts/chart81.xml" ContentType="application/vnd.openxmlformats-officedocument.drawingml.chart+xml"/>
  <Override PartName="/xl/charts/style64.xml" ContentType="application/vnd.ms-office.chartstyle+xml"/>
  <Override PartName="/xl/charts/colors64.xml" ContentType="application/vnd.ms-office.chartcolorstyle+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charts/chart88.xml" ContentType="application/vnd.openxmlformats-officedocument.drawingml.chart+xml"/>
  <Override PartName="/xl/charts/chart89.xml" ContentType="application/vnd.openxmlformats-officedocument.drawingml.chart+xml"/>
  <Override PartName="/xl/charts/chart90.xml" ContentType="application/vnd.openxmlformats-officedocument.drawingml.chart+xml"/>
  <Override PartName="/xl/charts/chart91.xml" ContentType="application/vnd.openxmlformats-officedocument.drawingml.chart+xml"/>
  <Override PartName="/xl/charts/chart92.xml" ContentType="application/vnd.openxmlformats-officedocument.drawingml.chart+xml"/>
  <Override PartName="/xl/charts/style65.xml" ContentType="application/vnd.ms-office.chartstyle+xml"/>
  <Override PartName="/xl/charts/colors65.xml" ContentType="application/vnd.ms-office.chartcolorstyle+xml"/>
  <Override PartName="/xl/charts/chart93.xml" ContentType="application/vnd.openxmlformats-officedocument.drawingml.chart+xml"/>
  <Override PartName="/xl/charts/chart94.xml" ContentType="application/vnd.openxmlformats-officedocument.drawingml.chart+xml"/>
  <Override PartName="/xl/charts/chart95.xml" ContentType="application/vnd.openxmlformats-officedocument.drawingml.chart+xml"/>
  <Override PartName="/xl/charts/chart96.xml" ContentType="application/vnd.openxmlformats-officedocument.drawingml.chart+xml"/>
  <Override PartName="/xl/charts/chart97.xml" ContentType="application/vnd.openxmlformats-officedocument.drawingml.chart+xml"/>
  <Override PartName="/xl/charts/chart98.xml" ContentType="application/vnd.openxmlformats-officedocument.drawingml.chart+xml"/>
  <Override PartName="/xl/charts/chart99.xml" ContentType="application/vnd.openxmlformats-officedocument.drawingml.chart+xml"/>
  <Override PartName="/xl/charts/chart100.xml" ContentType="application/vnd.openxmlformats-officedocument.drawingml.chart+xml"/>
  <Override PartName="/xl/charts/chart101.xml" ContentType="application/vnd.openxmlformats-officedocument.drawingml.chart+xml"/>
  <Override PartName="/xl/charts/chart102.xml" ContentType="application/vnd.openxmlformats-officedocument.drawingml.chart+xml"/>
  <Override PartName="/xl/charts/chart103.xml" ContentType="application/vnd.openxmlformats-officedocument.drawingml.chart+xml"/>
  <Override PartName="/xl/charts/chart104.xml" ContentType="application/vnd.openxmlformats-officedocument.drawingml.chart+xml"/>
  <Override PartName="/xl/charts/chart105.xml" ContentType="application/vnd.openxmlformats-officedocument.drawingml.chart+xml"/>
  <Override PartName="/xl/charts/chart106.xml" ContentType="application/vnd.openxmlformats-officedocument.drawingml.chart+xml"/>
  <Override PartName="/xl/charts/chart107.xml" ContentType="application/vnd.openxmlformats-officedocument.drawingml.chart+xml"/>
  <Override PartName="/xl/charts/chart108.xml" ContentType="application/vnd.openxmlformats-officedocument.drawingml.chart+xml"/>
  <Override PartName="/xl/charts/chart109.xml" ContentType="application/vnd.openxmlformats-officedocument.drawingml.chart+xml"/>
  <Override PartName="/xl/charts/chart110.xml" ContentType="application/vnd.openxmlformats-officedocument.drawingml.chart+xml"/>
  <Override PartName="/xl/drawings/drawing5.xml" ContentType="application/vnd.openxmlformats-officedocument.drawing+xml"/>
  <Override PartName="/xl/comments1.xml" ContentType="application/vnd.openxmlformats-officedocument.spreadsheetml.comments+xml"/>
  <Override PartName="/xl/charts/chart111.xml" ContentType="application/vnd.openxmlformats-officedocument.drawingml.chart+xml"/>
  <Override PartName="/xl/drawings/drawing6.xml" ContentType="application/vnd.openxmlformats-officedocument.drawingml.chartshapes+xml"/>
  <Override PartName="/xl/charts/chart112.xml" ContentType="application/vnd.openxmlformats-officedocument.drawingml.chart+xml"/>
  <Override PartName="/xl/charts/chart113.xml" ContentType="application/vnd.openxmlformats-officedocument.drawingml.chart+xml"/>
  <Override PartName="/xl/charts/style66.xml" ContentType="application/vnd.ms-office.chartstyle+xml"/>
  <Override PartName="/xl/charts/colors66.xml" ContentType="application/vnd.ms-office.chartcolorstyle+xml"/>
  <Override PartName="/xl/charts/chart114.xml" ContentType="application/vnd.openxmlformats-officedocument.drawingml.chart+xml"/>
  <Override PartName="/xl/charts/chart115.xml" ContentType="application/vnd.openxmlformats-officedocument.drawingml.chart+xml"/>
  <Override PartName="/xl/charts/chart116.xml" ContentType="application/vnd.openxmlformats-officedocument.drawingml.chart+xml"/>
  <Override PartName="/xl/charts/chart117.xml" ContentType="application/vnd.openxmlformats-officedocument.drawingml.chart+xml"/>
  <Override PartName="/xl/charts/style67.xml" ContentType="application/vnd.ms-office.chartstyle+xml"/>
  <Override PartName="/xl/charts/colors67.xml" ContentType="application/vnd.ms-office.chartcolorstyle+xml"/>
  <Override PartName="/xl/charts/chart118.xml" ContentType="application/vnd.openxmlformats-officedocument.drawingml.chart+xml"/>
  <Override PartName="/xl/charts/chart119.xml" ContentType="application/vnd.openxmlformats-officedocument.drawingml.chart+xml"/>
  <Override PartName="/xl/charts/chart120.xml" ContentType="application/vnd.openxmlformats-officedocument.drawingml.chart+xml"/>
  <Override PartName="/xl/charts/style68.xml" ContentType="application/vnd.ms-office.chartstyle+xml"/>
  <Override PartName="/xl/charts/colors68.xml" ContentType="application/vnd.ms-office.chartcolorstyle+xml"/>
  <Override PartName="/xl/charts/chart121.xml" ContentType="application/vnd.openxmlformats-officedocument.drawingml.chart+xml"/>
  <Override PartName="/xl/charts/chart122.xml" ContentType="application/vnd.openxmlformats-officedocument.drawingml.chart+xml"/>
  <Override PartName="/xl/charts/chart123.xml" ContentType="application/vnd.openxmlformats-officedocument.drawingml.chart+xml"/>
  <Override PartName="/xl/charts/style69.xml" ContentType="application/vnd.ms-office.chartstyle+xml"/>
  <Override PartName="/xl/charts/colors69.xml" ContentType="application/vnd.ms-office.chartcolorstyle+xml"/>
  <Override PartName="/xl/charts/chart124.xml" ContentType="application/vnd.openxmlformats-officedocument.drawingml.chart+xml"/>
  <Override PartName="/xl/charts/style70.xml" ContentType="application/vnd.ms-office.chartstyle+xml"/>
  <Override PartName="/xl/charts/colors70.xml" ContentType="application/vnd.ms-office.chartcolorstyle+xml"/>
  <Override PartName="/xl/charts/chart125.xml" ContentType="application/vnd.openxmlformats-officedocument.drawingml.chart+xml"/>
  <Override PartName="/xl/charts/chart126.xml" ContentType="application/vnd.openxmlformats-officedocument.drawingml.chart+xml"/>
  <Override PartName="/xl/charts/chart127.xml" ContentType="application/vnd.openxmlformats-officedocument.drawingml.chart+xml"/>
  <Override PartName="/xl/charts/style71.xml" ContentType="application/vnd.ms-office.chartstyle+xml"/>
  <Override PartName="/xl/charts/colors71.xml" ContentType="application/vnd.ms-office.chartcolorstyle+xml"/>
  <Override PartName="/xl/charts/chart128.xml" ContentType="application/vnd.openxmlformats-officedocument.drawingml.chart+xml"/>
  <Override PartName="/xl/charts/style72.xml" ContentType="application/vnd.ms-office.chartstyle+xml"/>
  <Override PartName="/xl/charts/colors72.xml" ContentType="application/vnd.ms-office.chartcolorstyle+xml"/>
  <Override PartName="/xl/charts/chart129.xml" ContentType="application/vnd.openxmlformats-officedocument.drawingml.chart+xml"/>
  <Override PartName="/xl/charts/chart130.xml" ContentType="application/vnd.openxmlformats-officedocument.drawingml.chart+xml"/>
  <Override PartName="/xl/charts/chart131.xml" ContentType="application/vnd.openxmlformats-officedocument.drawingml.chart+xml"/>
  <Override PartName="/xl/charts/chart132.xml" ContentType="application/vnd.openxmlformats-officedocument.drawingml.chart+xml"/>
  <Override PartName="/xl/charts/chart133.xml" ContentType="application/vnd.openxmlformats-officedocument.drawingml.chart+xml"/>
  <Override PartName="/xl/charts/chart134.xml" ContentType="application/vnd.openxmlformats-officedocument.drawingml.chart+xml"/>
  <Override PartName="/xl/charts/chart135.xml" ContentType="application/vnd.openxmlformats-officedocument.drawingml.chart+xml"/>
  <Override PartName="/xl/charts/chart136.xml" ContentType="application/vnd.openxmlformats-officedocument.drawingml.chart+xml"/>
  <Override PartName="/xl/charts/chart137.xml" ContentType="application/vnd.openxmlformats-officedocument.drawingml.chart+xml"/>
  <Override PartName="/xl/charts/chart138.xml" ContentType="application/vnd.openxmlformats-officedocument.drawingml.chart+xml"/>
  <Override PartName="/xl/charts/chart139.xml" ContentType="application/vnd.openxmlformats-officedocument.drawingml.chart+xml"/>
  <Override PartName="/xl/charts/chart140.xml" ContentType="application/vnd.openxmlformats-officedocument.drawingml.chart+xml"/>
  <Override PartName="/xl/charts/chart141.xml" ContentType="application/vnd.openxmlformats-officedocument.drawingml.chart+xml"/>
  <Override PartName="/xl/charts/chart142.xml" ContentType="application/vnd.openxmlformats-officedocument.drawingml.chart+xml"/>
  <Override PartName="/xl/charts/chart143.xml" ContentType="application/vnd.openxmlformats-officedocument.drawingml.chart+xml"/>
  <Override PartName="/xl/charts/chart144.xml" ContentType="application/vnd.openxmlformats-officedocument.drawingml.chart+xml"/>
  <Override PartName="/xl/charts/chart145.xml" ContentType="application/vnd.openxmlformats-officedocument.drawingml.chart+xml"/>
  <Override PartName="/xl/charts/chart146.xml" ContentType="application/vnd.openxmlformats-officedocument.drawingml.chart+xml"/>
  <Override PartName="/xl/charts/chart147.xml" ContentType="application/vnd.openxmlformats-officedocument.drawingml.chart+xml"/>
  <Override PartName="/xl/charts/chart148.xml" ContentType="application/vnd.openxmlformats-officedocument.drawingml.chart+xml"/>
  <Override PartName="/xl/charts/chart149.xml" ContentType="application/vnd.openxmlformats-officedocument.drawingml.chart+xml"/>
  <Override PartName="/xl/charts/chart150.xml" ContentType="application/vnd.openxmlformats-officedocument.drawingml.chart+xml"/>
  <Override PartName="/xl/charts/chart151.xml" ContentType="application/vnd.openxmlformats-officedocument.drawingml.chart+xml"/>
  <Override PartName="/xl/charts/chart152.xml" ContentType="application/vnd.openxmlformats-officedocument.drawingml.chart+xml"/>
  <Override PartName="/xl/charts/chart153.xml" ContentType="application/vnd.openxmlformats-officedocument.drawingml.chart+xml"/>
  <Override PartName="/xl/charts/chart154.xml" ContentType="application/vnd.openxmlformats-officedocument.drawingml.chart+xml"/>
  <Override PartName="/xl/charts/chart155.xml" ContentType="application/vnd.openxmlformats-officedocument.drawingml.chart+xml"/>
  <Override PartName="/xl/drawings/drawing7.xml" ContentType="application/vnd.openxmlformats-officedocument.drawing+xml"/>
  <Override PartName="/xl/charts/chart156.xml" ContentType="application/vnd.openxmlformats-officedocument.drawingml.chart+xml"/>
  <Override PartName="/xl/charts/style73.xml" ContentType="application/vnd.ms-office.chartstyle+xml"/>
  <Override PartName="/xl/charts/colors73.xml" ContentType="application/vnd.ms-office.chartcolorstyle+xml"/>
  <Override PartName="/xl/charts/chart157.xml" ContentType="application/vnd.openxmlformats-officedocument.drawingml.chart+xml"/>
  <Override PartName="/xl/charts/style74.xml" ContentType="application/vnd.ms-office.chartstyle+xml"/>
  <Override PartName="/xl/charts/colors74.xml" ContentType="application/vnd.ms-office.chartcolorstyle+xml"/>
  <Override PartName="/xl/charts/chart158.xml" ContentType="application/vnd.openxmlformats-officedocument.drawingml.chart+xml"/>
  <Override PartName="/xl/charts/style75.xml" ContentType="application/vnd.ms-office.chartstyle+xml"/>
  <Override PartName="/xl/charts/colors75.xml" ContentType="application/vnd.ms-office.chartcolorstyle+xml"/>
  <Override PartName="/xl/charts/chart159.xml" ContentType="application/vnd.openxmlformats-officedocument.drawingml.chart+xml"/>
  <Override PartName="/xl/charts/style76.xml" ContentType="application/vnd.ms-office.chartstyle+xml"/>
  <Override PartName="/xl/charts/colors76.xml" ContentType="application/vnd.ms-office.chartcolorstyle+xml"/>
  <Override PartName="/xl/charts/chart160.xml" ContentType="application/vnd.openxmlformats-officedocument.drawingml.chart+xml"/>
  <Override PartName="/xl/charts/style77.xml" ContentType="application/vnd.ms-office.chartstyle+xml"/>
  <Override PartName="/xl/charts/colors77.xml" ContentType="application/vnd.ms-office.chartcolorstyle+xml"/>
  <Override PartName="/xl/charts/chart161.xml" ContentType="application/vnd.openxmlformats-officedocument.drawingml.chart+xml"/>
  <Override PartName="/xl/charts/style78.xml" ContentType="application/vnd.ms-office.chartstyle+xml"/>
  <Override PartName="/xl/charts/colors78.xml" ContentType="application/vnd.ms-office.chartcolorstyle+xml"/>
  <Override PartName="/xl/charts/chart162.xml" ContentType="application/vnd.openxmlformats-officedocument.drawingml.chart+xml"/>
  <Override PartName="/xl/charts/style79.xml" ContentType="application/vnd.ms-office.chartstyle+xml"/>
  <Override PartName="/xl/charts/colors79.xml" ContentType="application/vnd.ms-office.chartcolorstyle+xml"/>
  <Override PartName="/xl/charts/chart163.xml" ContentType="application/vnd.openxmlformats-officedocument.drawingml.chart+xml"/>
  <Override PartName="/xl/charts/style80.xml" ContentType="application/vnd.ms-office.chartstyle+xml"/>
  <Override PartName="/xl/charts/colors80.xml" ContentType="application/vnd.ms-office.chartcolorstyle+xml"/>
  <Override PartName="/xl/charts/chart164.xml" ContentType="application/vnd.openxmlformats-officedocument.drawingml.chart+xml"/>
  <Override PartName="/xl/charts/style81.xml" ContentType="application/vnd.ms-office.chartstyle+xml"/>
  <Override PartName="/xl/charts/colors81.xml" ContentType="application/vnd.ms-office.chartcolorstyle+xml"/>
  <Override PartName="/xl/charts/chart165.xml" ContentType="application/vnd.openxmlformats-officedocument.drawingml.chart+xml"/>
  <Override PartName="/xl/charts/style82.xml" ContentType="application/vnd.ms-office.chartstyle+xml"/>
  <Override PartName="/xl/charts/colors82.xml" ContentType="application/vnd.ms-office.chartcolorstyle+xml"/>
  <Override PartName="/xl/charts/chart166.xml" ContentType="application/vnd.openxmlformats-officedocument.drawingml.chart+xml"/>
  <Override PartName="/xl/charts/style83.xml" ContentType="application/vnd.ms-office.chartstyle+xml"/>
  <Override PartName="/xl/charts/colors83.xml" ContentType="application/vnd.ms-office.chartcolorstyle+xml"/>
  <Override PartName="/xl/charts/chart167.xml" ContentType="application/vnd.openxmlformats-officedocument.drawingml.chart+xml"/>
  <Override PartName="/xl/charts/style84.xml" ContentType="application/vnd.ms-office.chartstyle+xml"/>
  <Override PartName="/xl/charts/colors84.xml" ContentType="application/vnd.ms-office.chartcolorstyle+xml"/>
  <Override PartName="/xl/charts/chart168.xml" ContentType="application/vnd.openxmlformats-officedocument.drawingml.chart+xml"/>
  <Override PartName="/xl/charts/style85.xml" ContentType="application/vnd.ms-office.chartstyle+xml"/>
  <Override PartName="/xl/charts/colors85.xml" ContentType="application/vnd.ms-office.chartcolorstyle+xml"/>
  <Override PartName="/xl/charts/chart169.xml" ContentType="application/vnd.openxmlformats-officedocument.drawingml.chart+xml"/>
  <Override PartName="/xl/charts/style86.xml" ContentType="application/vnd.ms-office.chartstyle+xml"/>
  <Override PartName="/xl/charts/colors86.xml" ContentType="application/vnd.ms-office.chartcolorstyle+xml"/>
  <Override PartName="/xl/charts/chart170.xml" ContentType="application/vnd.openxmlformats-officedocument.drawingml.chart+xml"/>
  <Override PartName="/xl/charts/style87.xml" ContentType="application/vnd.ms-office.chartstyle+xml"/>
  <Override PartName="/xl/charts/colors87.xml" ContentType="application/vnd.ms-office.chartcolorstyle+xml"/>
  <Override PartName="/xl/charts/chart171.xml" ContentType="application/vnd.openxmlformats-officedocument.drawingml.chart+xml"/>
  <Override PartName="/xl/charts/style88.xml" ContentType="application/vnd.ms-office.chartstyle+xml"/>
  <Override PartName="/xl/charts/colors88.xml" ContentType="application/vnd.ms-office.chartcolorstyle+xml"/>
  <Override PartName="/xl/charts/chart172.xml" ContentType="application/vnd.openxmlformats-officedocument.drawingml.chart+xml"/>
  <Override PartName="/xl/charts/style89.xml" ContentType="application/vnd.ms-office.chartstyle+xml"/>
  <Override PartName="/xl/charts/colors89.xml" ContentType="application/vnd.ms-office.chartcolorstyle+xml"/>
  <Override PartName="/xl/charts/chart173.xml" ContentType="application/vnd.openxmlformats-officedocument.drawingml.chart+xml"/>
  <Override PartName="/xl/charts/style90.xml" ContentType="application/vnd.ms-office.chartstyle+xml"/>
  <Override PartName="/xl/charts/colors90.xml" ContentType="application/vnd.ms-office.chartcolorstyle+xml"/>
  <Override PartName="/xl/charts/chart174.xml" ContentType="application/vnd.openxmlformats-officedocument.drawingml.chart+xml"/>
  <Override PartName="/xl/charts/style91.xml" ContentType="application/vnd.ms-office.chartstyle+xml"/>
  <Override PartName="/xl/charts/colors91.xml" ContentType="application/vnd.ms-office.chartcolorstyle+xml"/>
  <Override PartName="/xl/charts/chart175.xml" ContentType="application/vnd.openxmlformats-officedocument.drawingml.chart+xml"/>
  <Override PartName="/xl/charts/style92.xml" ContentType="application/vnd.ms-office.chartstyle+xml"/>
  <Override PartName="/xl/charts/colors92.xml" ContentType="application/vnd.ms-office.chartcolorstyle+xml"/>
  <Override PartName="/xl/charts/chart176.xml" ContentType="application/vnd.openxmlformats-officedocument.drawingml.chart+xml"/>
  <Override PartName="/xl/charts/style93.xml" ContentType="application/vnd.ms-office.chartstyle+xml"/>
  <Override PartName="/xl/charts/colors93.xml" ContentType="application/vnd.ms-office.chartcolorstyle+xml"/>
  <Override PartName="/xl/charts/chart177.xml" ContentType="application/vnd.openxmlformats-officedocument.drawingml.chart+xml"/>
  <Override PartName="/xl/charts/style94.xml" ContentType="application/vnd.ms-office.chartstyle+xml"/>
  <Override PartName="/xl/charts/colors94.xml" ContentType="application/vnd.ms-office.chartcolorstyle+xml"/>
  <Override PartName="/xl/charts/chart178.xml" ContentType="application/vnd.openxmlformats-officedocument.drawingml.chart+xml"/>
  <Override PartName="/xl/charts/style95.xml" ContentType="application/vnd.ms-office.chartstyle+xml"/>
  <Override PartName="/xl/charts/colors95.xml" ContentType="application/vnd.ms-office.chartcolorstyle+xml"/>
  <Override PartName="/xl/charts/chart179.xml" ContentType="application/vnd.openxmlformats-officedocument.drawingml.chart+xml"/>
  <Override PartName="/xl/charts/style96.xml" ContentType="application/vnd.ms-office.chartstyle+xml"/>
  <Override PartName="/xl/charts/colors96.xml" ContentType="application/vnd.ms-office.chartcolorstyle+xml"/>
  <Override PartName="/xl/charts/chart180.xml" ContentType="application/vnd.openxmlformats-officedocument.drawingml.chart+xml"/>
  <Override PartName="/xl/charts/style97.xml" ContentType="application/vnd.ms-office.chartstyle+xml"/>
  <Override PartName="/xl/charts/colors97.xml" ContentType="application/vnd.ms-office.chartcolorstyle+xml"/>
  <Override PartName="/xl/charts/chart181.xml" ContentType="application/vnd.openxmlformats-officedocument.drawingml.chart+xml"/>
  <Override PartName="/xl/charts/style98.xml" ContentType="application/vnd.ms-office.chartstyle+xml"/>
  <Override PartName="/xl/charts/colors98.xml" ContentType="application/vnd.ms-office.chartcolorstyle+xml"/>
  <Override PartName="/xl/charts/chart182.xml" ContentType="application/vnd.openxmlformats-officedocument.drawingml.chart+xml"/>
  <Override PartName="/xl/charts/style99.xml" ContentType="application/vnd.ms-office.chartstyle+xml"/>
  <Override PartName="/xl/charts/colors99.xml" ContentType="application/vnd.ms-office.chartcolorstyle+xml"/>
  <Override PartName="/xl/charts/chart183.xml" ContentType="application/vnd.openxmlformats-officedocument.drawingml.chart+xml"/>
  <Override PartName="/xl/charts/style100.xml" ContentType="application/vnd.ms-office.chartstyle+xml"/>
  <Override PartName="/xl/charts/colors100.xml" ContentType="application/vnd.ms-office.chartcolorstyle+xml"/>
  <Override PartName="/xl/charts/chart184.xml" ContentType="application/vnd.openxmlformats-officedocument.drawingml.chart+xml"/>
  <Override PartName="/xl/charts/style101.xml" ContentType="application/vnd.ms-office.chartstyle+xml"/>
  <Override PartName="/xl/charts/colors101.xml" ContentType="application/vnd.ms-office.chartcolorstyle+xml"/>
  <Override PartName="/xl/charts/chart185.xml" ContentType="application/vnd.openxmlformats-officedocument.drawingml.chart+xml"/>
  <Override PartName="/xl/charts/style102.xml" ContentType="application/vnd.ms-office.chartstyle+xml"/>
  <Override PartName="/xl/charts/colors102.xml" ContentType="application/vnd.ms-office.chartcolorstyle+xml"/>
  <Override PartName="/xl/charts/chart186.xml" ContentType="application/vnd.openxmlformats-officedocument.drawingml.chart+xml"/>
  <Override PartName="/xl/charts/style103.xml" ContentType="application/vnd.ms-office.chartstyle+xml"/>
  <Override PartName="/xl/charts/colors103.xml" ContentType="application/vnd.ms-office.chartcolorstyle+xml"/>
  <Override PartName="/xl/charts/chart187.xml" ContentType="application/vnd.openxmlformats-officedocument.drawingml.chart+xml"/>
  <Override PartName="/xl/charts/style104.xml" ContentType="application/vnd.ms-office.chartstyle+xml"/>
  <Override PartName="/xl/charts/colors104.xml" ContentType="application/vnd.ms-office.chartcolorstyle+xml"/>
  <Override PartName="/xl/charts/chart188.xml" ContentType="application/vnd.openxmlformats-officedocument.drawingml.chart+xml"/>
  <Override PartName="/xl/charts/style105.xml" ContentType="application/vnd.ms-office.chartstyle+xml"/>
  <Override PartName="/xl/charts/colors105.xml" ContentType="application/vnd.ms-office.chartcolorstyle+xml"/>
  <Override PartName="/xl/charts/chart189.xml" ContentType="application/vnd.openxmlformats-officedocument.drawingml.chart+xml"/>
  <Override PartName="/xl/charts/style106.xml" ContentType="application/vnd.ms-office.chartstyle+xml"/>
  <Override PartName="/xl/charts/colors106.xml" ContentType="application/vnd.ms-office.chartcolorstyle+xml"/>
  <Override PartName="/xl/charts/chart190.xml" ContentType="application/vnd.openxmlformats-officedocument.drawingml.chart+xml"/>
  <Override PartName="/xl/charts/style107.xml" ContentType="application/vnd.ms-office.chartstyle+xml"/>
  <Override PartName="/xl/charts/colors107.xml" ContentType="application/vnd.ms-office.chartcolorstyle+xml"/>
  <Override PartName="/xl/charts/chart191.xml" ContentType="application/vnd.openxmlformats-officedocument.drawingml.chart+xml"/>
  <Override PartName="/xl/charts/style108.xml" ContentType="application/vnd.ms-office.chartstyle+xml"/>
  <Override PartName="/xl/charts/colors108.xml" ContentType="application/vnd.ms-office.chartcolorstyle+xml"/>
  <Override PartName="/xl/charts/chart192.xml" ContentType="application/vnd.openxmlformats-officedocument.drawingml.chart+xml"/>
  <Override PartName="/xl/charts/style109.xml" ContentType="application/vnd.ms-office.chartstyle+xml"/>
  <Override PartName="/xl/charts/colors109.xml" ContentType="application/vnd.ms-office.chartcolorstyle+xml"/>
  <Override PartName="/xl/charts/chart193.xml" ContentType="application/vnd.openxmlformats-officedocument.drawingml.chart+xml"/>
  <Override PartName="/xl/charts/style110.xml" ContentType="application/vnd.ms-office.chartstyle+xml"/>
  <Override PartName="/xl/charts/colors110.xml" ContentType="application/vnd.ms-office.chartcolorstyle+xml"/>
  <Override PartName="/xl/charts/chart194.xml" ContentType="application/vnd.openxmlformats-officedocument.drawingml.chart+xml"/>
  <Override PartName="/xl/charts/style111.xml" ContentType="application/vnd.ms-office.chartstyle+xml"/>
  <Override PartName="/xl/charts/colors111.xml" ContentType="application/vnd.ms-office.chartcolorstyle+xml"/>
  <Override PartName="/xl/charts/chart195.xml" ContentType="application/vnd.openxmlformats-officedocument.drawingml.chart+xml"/>
  <Override PartName="/xl/charts/style112.xml" ContentType="application/vnd.ms-office.chartstyle+xml"/>
  <Override PartName="/xl/charts/colors112.xml" ContentType="application/vnd.ms-office.chartcolorstyle+xml"/>
  <Override PartName="/xl/charts/chart196.xml" ContentType="application/vnd.openxmlformats-officedocument.drawingml.chart+xml"/>
  <Override PartName="/xl/charts/style113.xml" ContentType="application/vnd.ms-office.chartstyle+xml"/>
  <Override PartName="/xl/charts/colors113.xml" ContentType="application/vnd.ms-office.chartcolorstyle+xml"/>
  <Override PartName="/xl/charts/chart197.xml" ContentType="application/vnd.openxmlformats-officedocument.drawingml.chart+xml"/>
  <Override PartName="/xl/charts/style114.xml" ContentType="application/vnd.ms-office.chartstyle+xml"/>
  <Override PartName="/xl/charts/colors114.xml" ContentType="application/vnd.ms-office.chartcolorstyle+xml"/>
  <Override PartName="/xl/charts/chart198.xml" ContentType="application/vnd.openxmlformats-officedocument.drawingml.chart+xml"/>
  <Override PartName="/xl/charts/style115.xml" ContentType="application/vnd.ms-office.chartstyle+xml"/>
  <Override PartName="/xl/charts/colors115.xml" ContentType="application/vnd.ms-office.chartcolorstyle+xml"/>
  <Override PartName="/xl/charts/chart199.xml" ContentType="application/vnd.openxmlformats-officedocument.drawingml.chart+xml"/>
  <Override PartName="/xl/charts/style116.xml" ContentType="application/vnd.ms-office.chartstyle+xml"/>
  <Override PartName="/xl/charts/colors116.xml" ContentType="application/vnd.ms-office.chartcolorstyle+xml"/>
  <Override PartName="/xl/charts/chart200.xml" ContentType="application/vnd.openxmlformats-officedocument.drawingml.chart+xml"/>
  <Override PartName="/xl/charts/style117.xml" ContentType="application/vnd.ms-office.chartstyle+xml"/>
  <Override PartName="/xl/charts/colors117.xml" ContentType="application/vnd.ms-office.chartcolorstyle+xml"/>
  <Override PartName="/xl/charts/chart201.xml" ContentType="application/vnd.openxmlformats-officedocument.drawingml.chart+xml"/>
  <Override PartName="/xl/charts/style118.xml" ContentType="application/vnd.ms-office.chartstyle+xml"/>
  <Override PartName="/xl/charts/colors118.xml" ContentType="application/vnd.ms-office.chartcolorstyle+xml"/>
  <Override PartName="/xl/charts/chart202.xml" ContentType="application/vnd.openxmlformats-officedocument.drawingml.chart+xml"/>
  <Override PartName="/xl/charts/style119.xml" ContentType="application/vnd.ms-office.chartstyle+xml"/>
  <Override PartName="/xl/charts/colors119.xml" ContentType="application/vnd.ms-office.chartcolorstyle+xml"/>
  <Override PartName="/xl/charts/chart203.xml" ContentType="application/vnd.openxmlformats-officedocument.drawingml.chart+xml"/>
  <Override PartName="/xl/charts/style120.xml" ContentType="application/vnd.ms-office.chartstyle+xml"/>
  <Override PartName="/xl/charts/colors120.xml" ContentType="application/vnd.ms-office.chartcolorstyle+xml"/>
  <Override PartName="/xl/charts/chart204.xml" ContentType="application/vnd.openxmlformats-officedocument.drawingml.chart+xml"/>
  <Override PartName="/xl/charts/style121.xml" ContentType="application/vnd.ms-office.chartstyle+xml"/>
  <Override PartName="/xl/charts/colors121.xml" ContentType="application/vnd.ms-office.chartcolorstyle+xml"/>
  <Override PartName="/xl/charts/chart205.xml" ContentType="application/vnd.openxmlformats-officedocument.drawingml.chart+xml"/>
  <Override PartName="/xl/charts/style122.xml" ContentType="application/vnd.ms-office.chartstyle+xml"/>
  <Override PartName="/xl/charts/colors122.xml" ContentType="application/vnd.ms-office.chartcolorstyle+xml"/>
  <Override PartName="/xl/charts/chart206.xml" ContentType="application/vnd.openxmlformats-officedocument.drawingml.chart+xml"/>
  <Override PartName="/xl/charts/style123.xml" ContentType="application/vnd.ms-office.chartstyle+xml"/>
  <Override PartName="/xl/charts/colors123.xml" ContentType="application/vnd.ms-office.chartcolorstyle+xml"/>
  <Override PartName="/xl/charts/chart207.xml" ContentType="application/vnd.openxmlformats-officedocument.drawingml.chart+xml"/>
  <Override PartName="/xl/charts/style124.xml" ContentType="application/vnd.ms-office.chartstyle+xml"/>
  <Override PartName="/xl/charts/colors124.xml" ContentType="application/vnd.ms-office.chartcolorstyle+xml"/>
  <Override PartName="/xl/charts/chart208.xml" ContentType="application/vnd.openxmlformats-officedocument.drawingml.chart+xml"/>
  <Override PartName="/xl/charts/style125.xml" ContentType="application/vnd.ms-office.chartstyle+xml"/>
  <Override PartName="/xl/charts/colors125.xml" ContentType="application/vnd.ms-office.chartcolorstyle+xml"/>
  <Override PartName="/xl/charts/chart209.xml" ContentType="application/vnd.openxmlformats-officedocument.drawingml.chart+xml"/>
  <Override PartName="/xl/charts/style126.xml" ContentType="application/vnd.ms-office.chartstyle+xml"/>
  <Override PartName="/xl/charts/colors12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updateLinks="never" codeName="ThisWorkbook"/>
  <mc:AlternateContent xmlns:mc="http://schemas.openxmlformats.org/markup-compatibility/2006">
    <mc:Choice Requires="x15">
      <x15ac:absPath xmlns:x15ac="http://schemas.microsoft.com/office/spreadsheetml/2010/11/ac" url="P:\Research\SB - Research\4. Lotteries\3. Market Data\1. Monte Carlo Simulation\"/>
    </mc:Choice>
  </mc:AlternateContent>
  <xr:revisionPtr revIDLastSave="0" documentId="13_ncr:1_{80EBBDC8-00F6-4F3B-9F71-0BAD3F7FA444}" xr6:coauthVersionLast="47" xr6:coauthVersionMax="47" xr10:uidLastSave="{00000000-0000-0000-0000-000000000000}"/>
  <bookViews>
    <workbookView xWindow="28680" yWindow="-120" windowWidth="29040" windowHeight="15720" activeTab="5" xr2:uid="{DC8E5C6F-1451-4D78-86CD-B5791058A219}"/>
  </bookViews>
  <sheets>
    <sheet name="PBL" sheetId="3" r:id="rId1"/>
    <sheet name="PBL Summary" sheetId="1" r:id="rId2"/>
    <sheet name="PBL Tables" sheetId="2" r:id="rId3"/>
    <sheet name="PBL OLD" sheetId="8" r:id="rId4"/>
    <sheet name="OZL" sheetId="6" r:id="rId5"/>
    <sheet name="OZL Summary" sheetId="4" r:id="rId6"/>
    <sheet name="OZL Tables" sheetId="7" r:id="rId7"/>
  </sheets>
  <externalReferences>
    <externalReference r:id="rId8"/>
    <externalReference r:id="rId9"/>
    <externalReference r:id="rId10"/>
    <externalReference r:id="rId11"/>
  </externalReferences>
  <definedNames>
    <definedName name="_AMO_UniqueIdentifier" hidden="1">"'2995e12c-7f92-4103-a2d1-a1d598d57c6f'"</definedName>
    <definedName name="_xlnm._FilterDatabase" localSheetId="5" hidden="1">'OZL Summary'!#REF!</definedName>
    <definedName name="_xlnm._FilterDatabase" localSheetId="6" hidden="1">'OZL Tables'!#REF!</definedName>
    <definedName name="_xlnm._FilterDatabase" localSheetId="3" hidden="1">'PBL OLD'!#REF!</definedName>
    <definedName name="_xlnm._FilterDatabase" localSheetId="1" hidden="1">'PBL Summary'!#REF!</definedName>
    <definedName name="_xlnm._FilterDatabase" localSheetId="2" hidden="1">'PBL Tables'!#REF!</definedName>
    <definedName name="BLPH100" hidden="1">[1]inflation!$F$7</definedName>
    <definedName name="BLPH101" hidden="1">[1]inflation!#REF!</definedName>
    <definedName name="BLPH102" hidden="1">[1]inflation!#REF!</definedName>
    <definedName name="BLPH103" hidden="1">[1]inflation!#REF!</definedName>
    <definedName name="BLPH104" hidden="1">[1]consumption!#REF!</definedName>
    <definedName name="BLPH105" hidden="1">[1]consumption!#REF!</definedName>
    <definedName name="BLPH106" hidden="1">[1]surveys!$L$7</definedName>
    <definedName name="BLPH107" hidden="1">[1]exports!$C$7</definedName>
    <definedName name="BLPH108" hidden="1">[1]surveys!#REF!</definedName>
    <definedName name="BLPH109" hidden="1">[1]surveys!$AJ$7</definedName>
    <definedName name="BLPH110" hidden="1">[2]Production!#REF!</definedName>
    <definedName name="BLPH111" hidden="1">[1]surveys!$DW$7</definedName>
    <definedName name="BLPH112" hidden="1">[1]exports!$J$7</definedName>
    <definedName name="BLPH113" hidden="1">[1]exports!$S$7</definedName>
    <definedName name="BLPH114" hidden="1">#REF!</definedName>
    <definedName name="BLPH115" hidden="1">#REF!</definedName>
    <definedName name="BLPH116" hidden="1">#REF!</definedName>
    <definedName name="BLPH117" hidden="1">#REF!</definedName>
    <definedName name="BLPH118" hidden="1">#REF!</definedName>
    <definedName name="BLPH119" hidden="1">#REF!</definedName>
    <definedName name="BLPH120" hidden="1">#REF!</definedName>
    <definedName name="BLPH121" hidden="1">#REF!</definedName>
    <definedName name="BLPH122" hidden="1">#REF!</definedName>
    <definedName name="BLPH154" hidden="1">[1]labour!$AS$9</definedName>
    <definedName name="BLPH155" hidden="1">#REF!</definedName>
    <definedName name="BLPH156" hidden="1">[1]consumption!#REF!</definedName>
    <definedName name="BLPH157" hidden="1">[2]Production!#REF!</definedName>
    <definedName name="BLPH158" hidden="1">[1]weekly!$K$6</definedName>
    <definedName name="BLPH159" hidden="1">[1]inflation!#REF!</definedName>
    <definedName name="BLPH171" hidden="1">[1]weekly!$N$95</definedName>
    <definedName name="BLPH172" hidden="1">[1]weekly!$U$95</definedName>
    <definedName name="BLPH173" hidden="1">[1]weekly!$E$6</definedName>
    <definedName name="BLPH174" hidden="1">[1]weekly!$H$6</definedName>
    <definedName name="BLPH175" hidden="1">[1]consumption!#REF!</definedName>
    <definedName name="BLPH176" hidden="1">[2]Production!#REF!</definedName>
    <definedName name="BLPH177" hidden="1">[2]Production!#REF!</definedName>
    <definedName name="BLPH178" hidden="1">[2]Production!#REF!</definedName>
    <definedName name="BLPH179" hidden="1">[2]Production!$AM$8</definedName>
    <definedName name="BLPH180" hidden="1">[2]Production!$AI$8</definedName>
    <definedName name="BLPH181" hidden="1">#REF!</definedName>
    <definedName name="BLPH182" hidden="1">#REF!</definedName>
    <definedName name="BLPH183" hidden="1">#REF!</definedName>
    <definedName name="BLPH184" hidden="1">#REF!</definedName>
    <definedName name="BLPH185" hidden="1">[1]exports!$G$7</definedName>
    <definedName name="BLPH186" hidden="1">[1]exports!$P$7</definedName>
    <definedName name="BLPH187" hidden="1">[2]Production!$DF$8</definedName>
    <definedName name="BLPH188" hidden="1">[2]Production!#REF!</definedName>
    <definedName name="BLPH189" hidden="1">[2]Production!#REF!</definedName>
    <definedName name="BLPH190" hidden="1">#REF!</definedName>
    <definedName name="BLPH191" hidden="1">#REF!</definedName>
    <definedName name="BLPH192" hidden="1">[2]Production!$DI$8</definedName>
    <definedName name="BLPH193" hidden="1">[2]Production!$BX$8</definedName>
    <definedName name="BLPH194" hidden="1">[2]Production!#REF!</definedName>
    <definedName name="BLPH195" hidden="1">[2]Production!$CF$8</definedName>
    <definedName name="BLPH196" hidden="1">[2]Production!$CN$8</definedName>
    <definedName name="BLPH197" hidden="1">[1]consumption!#REF!</definedName>
    <definedName name="BLPH198" hidden="1">#REF!</definedName>
    <definedName name="BLPH199" hidden="1">[2]Production!$B$8</definedName>
    <definedName name="BLPH200" hidden="1">#REF!</definedName>
    <definedName name="BLPH201" hidden="1">[1]consumption!$Z$7</definedName>
    <definedName name="BLPH202" hidden="1">[1]exports!$AC$7</definedName>
    <definedName name="BLPH203" hidden="1">[1]exports!$AM$7</definedName>
    <definedName name="BLPH204" hidden="1">[1]exports!$AQ$7</definedName>
    <definedName name="BLPH205" hidden="1">[1]exports!$Y$7</definedName>
    <definedName name="BLPH206" hidden="1">[1]exports!$BE$7</definedName>
    <definedName name="BLPH207" hidden="1">[1]exports!$BJ$7</definedName>
    <definedName name="BLPH208" hidden="1">[1]exports!$BT$7</definedName>
    <definedName name="BLPH209" hidden="1">[1]exports!$BX$7</definedName>
    <definedName name="BLPH210" hidden="1">[1]exports!$AG$7</definedName>
    <definedName name="BLPH211" hidden="1">[1]exports!$BN$7</definedName>
    <definedName name="BLPH212" hidden="1">#REF!</definedName>
    <definedName name="BLPH213" hidden="1">#REF!</definedName>
    <definedName name="BLPH214" hidden="1">#REF!</definedName>
    <definedName name="BLPH215" hidden="1">#REF!</definedName>
    <definedName name="BLPH216" hidden="1">[2]Production!$AQ$8</definedName>
    <definedName name="BLPH217" hidden="1">[2]Production!$AY$8</definedName>
    <definedName name="BLPH218" hidden="1">[2]Production!$BB$8</definedName>
    <definedName name="BLPH219" hidden="1">[2]Production!$CU$8</definedName>
    <definedName name="BLPH220" hidden="1">[1]consumption!$B$7</definedName>
    <definedName name="BLPH221" hidden="1">[1]consumption!$J$7</definedName>
    <definedName name="BLPH222" hidden="1">[1]consumption!#REF!</definedName>
    <definedName name="BLPH223" hidden="1">[1]consumption!$AM$7</definedName>
    <definedName name="BLPH224" hidden="1">[1]consumption!#REF!</definedName>
    <definedName name="BLPH225" hidden="1">[1]consumption!$AP$7</definedName>
    <definedName name="BLPH226" hidden="1">[1]inflation!$R$7</definedName>
    <definedName name="BLPH227" hidden="1">[1]inflation!$X$7</definedName>
    <definedName name="BLPH228" hidden="1">[1]inflation!$B$7</definedName>
    <definedName name="BLPH229" hidden="1">[1]inflation!$H$7</definedName>
    <definedName name="BLPH230" hidden="1">[2]Production!$DC$8</definedName>
    <definedName name="BLPH231" hidden="1">[2]Production!$BH$8</definedName>
    <definedName name="BLPH232" hidden="1">[1]consumption!$BG$7</definedName>
    <definedName name="BLPH233" hidden="1">[1]inflation!$AP$7</definedName>
    <definedName name="BLPH234" hidden="1">[1]inflation!$AV$7</definedName>
    <definedName name="BLPH235" hidden="1">#REF!</definedName>
    <definedName name="BLPH236" hidden="1">#REF!</definedName>
    <definedName name="BLPH237" hidden="1">#REF!</definedName>
    <definedName name="BLPH238" hidden="1">#REF!</definedName>
    <definedName name="BLPH239" hidden="1">#REF!</definedName>
    <definedName name="BLPH240" hidden="1">#REF!</definedName>
    <definedName name="BLPH241" hidden="1">[1]labour!$T$9</definedName>
    <definedName name="BLPH242" hidden="1">[1]labour!$M$9</definedName>
    <definedName name="BLPH243" hidden="1">#REF!</definedName>
    <definedName name="BLPH244" hidden="1">[1]inflation!$AJ$7</definedName>
    <definedName name="BLPH253" hidden="1">[1]inflation!$BB$7</definedName>
    <definedName name="BLPH254" hidden="1">[1]inflation!$BH$7</definedName>
    <definedName name="BLPH255" hidden="1">[2]Production!$BP$8</definedName>
    <definedName name="BLPH256" hidden="1">[1]surveys!$X$7</definedName>
    <definedName name="BLPH257" hidden="1">[1]inflation!$BN$7</definedName>
    <definedName name="BLPH258" hidden="1">#REF!</definedName>
    <definedName name="BLPH259" hidden="1">[1]consumption!#REF!</definedName>
    <definedName name="BLPH260" hidden="1">[1]consumption!#REF!</definedName>
    <definedName name="BLPH261" hidden="1">[1]weekly!$Q$95</definedName>
    <definedName name="BLPH262" hidden="1">'[1]Housing &amp; Construction'!$C$7</definedName>
    <definedName name="BLPH263" hidden="1">'[1]Housing &amp; Construction'!$N$7</definedName>
    <definedName name="BLPH264" hidden="1">'[1]Housing &amp; Construction'!#REF!</definedName>
    <definedName name="BLPH265" hidden="1">'[1]Housing &amp; Construction'!$AB$7</definedName>
    <definedName name="BLPH266" hidden="1">'[1]Housing &amp; Construction'!$X$7</definedName>
    <definedName name="BLPH267" hidden="1">'[1]Housing &amp; Construction'!$AM$7</definedName>
    <definedName name="BLPH268" hidden="1">'[1]Housing &amp; Construction'!$AP$7</definedName>
    <definedName name="BLPH269" hidden="1">'[1]Housing &amp; Construction'!#REF!</definedName>
    <definedName name="BLPH294" hidden="1">'[3]Data by Country'!$BO$29</definedName>
    <definedName name="BLPH60" hidden="1">[1]consumption!#REF!</definedName>
    <definedName name="BLPH61" hidden="1">[1]consumption!#REF!</definedName>
    <definedName name="BLPH67" hidden="1">[1]surveys!$H$7</definedName>
    <definedName name="BLPH68" hidden="1">[1]consumption!#REF!</definedName>
    <definedName name="BLPH69" hidden="1">[1]consumption!$AF$7</definedName>
    <definedName name="BLPH70" hidden="1">[1]consumption!$T$7</definedName>
    <definedName name="BLPH71" hidden="1">[1]surveys!#REF!</definedName>
    <definedName name="BLPH72" hidden="1">[1]surveys!$C$7</definedName>
    <definedName name="BLPH73" hidden="1">[1]surveys!$P$7</definedName>
    <definedName name="BLPH74" hidden="1">[2]Production!#REF!</definedName>
    <definedName name="BLPH75" hidden="1">[1]surveys!$T$7</definedName>
    <definedName name="BLPH76" hidden="1">[1]surveys!$AB$7</definedName>
    <definedName name="BLPH77" hidden="1">#REF!</definedName>
    <definedName name="BLPH78" hidden="1">#REF!</definedName>
    <definedName name="BLPH79" hidden="1">[1]weekly!$A$6</definedName>
    <definedName name="BLPH80" hidden="1">[1]labour!$B$9</definedName>
    <definedName name="BLPH81" hidden="1">[1]consumption!$BA$7</definedName>
    <definedName name="BLPH82" hidden="1">[2]Production!#REF!</definedName>
    <definedName name="BLPH83" hidden="1">[1]labour!$AG$10</definedName>
    <definedName name="BLPH84" hidden="1">[1]labour!$AK$9</definedName>
    <definedName name="BLPH85" hidden="1">[1]labour!$AO$9</definedName>
    <definedName name="BLPH86" hidden="1">[1]surveys!$AF$37</definedName>
    <definedName name="BLPH87" hidden="1">[1]consumption!$AS$7</definedName>
    <definedName name="BLPH88" hidden="1">[1]inflation!$AD$7</definedName>
    <definedName name="BLPH89" hidden="1">[2]Production!$P$56</definedName>
    <definedName name="BLPH90" hidden="1">#REF!</definedName>
    <definedName name="BLPH91" hidden="1">[2]Production!$V$8</definedName>
    <definedName name="BLPH92" hidden="1">[2]Production!$M$12</definedName>
    <definedName name="BLPH93" hidden="1">[1]inflation!#REF!</definedName>
    <definedName name="BLPH94" hidden="1">[1]inflation!#REF!</definedName>
    <definedName name="BLPH95" hidden="1">[1]inflation!#REF!</definedName>
    <definedName name="BLPH96" hidden="1">[2]Production!$M$8</definedName>
    <definedName name="BLPH97" hidden="1">[1]inflation!#REF!</definedName>
    <definedName name="BLPH98" hidden="1">[1]inflation!#REF!</definedName>
    <definedName name="BLPH99" hidden="1">[1]inflation!#REF!</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K60" i="4" l="1"/>
  <c r="FL60" i="4"/>
  <c r="FM60" i="4"/>
  <c r="FN60" i="4"/>
  <c r="FO60" i="4"/>
  <c r="FP60" i="4"/>
  <c r="FQ60" i="4"/>
  <c r="FR60" i="4"/>
  <c r="FS60" i="4"/>
  <c r="FT60" i="4"/>
  <c r="FU60" i="4"/>
  <c r="FK59" i="4"/>
  <c r="FL59" i="4"/>
  <c r="FM59" i="4"/>
  <c r="FN59" i="4"/>
  <c r="FO59" i="4"/>
  <c r="FP59" i="4"/>
  <c r="FQ59" i="4"/>
  <c r="FR59" i="4"/>
  <c r="FS59" i="4"/>
  <c r="FT59" i="4"/>
  <c r="FU59" i="4"/>
  <c r="FX59" i="4"/>
  <c r="FL74" i="4"/>
  <c r="FL73" i="4"/>
  <c r="FL72" i="4"/>
  <c r="FL71" i="4"/>
  <c r="FL70" i="4"/>
  <c r="FL69" i="4"/>
  <c r="FL68" i="4"/>
  <c r="FL67" i="4"/>
  <c r="FL66" i="4"/>
  <c r="FL65" i="4"/>
  <c r="FL64" i="4"/>
  <c r="FX60" i="4"/>
  <c r="FX58" i="4"/>
  <c r="FX57" i="4"/>
  <c r="FX56" i="4"/>
  <c r="FX55" i="4"/>
  <c r="FX54" i="4"/>
  <c r="FX53" i="4"/>
  <c r="FX52" i="4"/>
  <c r="FX51" i="4"/>
  <c r="FX50" i="4"/>
  <c r="FX49" i="4"/>
  <c r="FX48" i="4"/>
  <c r="FX47" i="4"/>
  <c r="FX46" i="4"/>
  <c r="FX45" i="4"/>
  <c r="FX44" i="4"/>
  <c r="FX43" i="4"/>
  <c r="FX42" i="4"/>
  <c r="FX41" i="4"/>
  <c r="FX40" i="4"/>
  <c r="FX39" i="4"/>
  <c r="FX38" i="4"/>
  <c r="FX37" i="4"/>
  <c r="FX36" i="4"/>
  <c r="FX35" i="4"/>
  <c r="FX34" i="4"/>
  <c r="FX33" i="4"/>
  <c r="FX32" i="4"/>
  <c r="FX31" i="4"/>
  <c r="FX30" i="4"/>
  <c r="FX29" i="4"/>
  <c r="FX28" i="4"/>
  <c r="FX27" i="4"/>
  <c r="FX26" i="4"/>
  <c r="FX25" i="4"/>
  <c r="FX24" i="4"/>
  <c r="FX23" i="4"/>
  <c r="FX22" i="4"/>
  <c r="FX21" i="4"/>
  <c r="FX20" i="4"/>
  <c r="FX19" i="4"/>
  <c r="FX18" i="4"/>
  <c r="FX17" i="4"/>
  <c r="FX16" i="4"/>
  <c r="FX15" i="4"/>
  <c r="FX14" i="4"/>
  <c r="FX13" i="4"/>
  <c r="FR13" i="4"/>
  <c r="FR14" i="4" s="1"/>
  <c r="FR15" i="4" s="1"/>
  <c r="FR16" i="4" s="1"/>
  <c r="FR17" i="4" s="1"/>
  <c r="FR18" i="4" s="1"/>
  <c r="FR19" i="4" s="1"/>
  <c r="FR20" i="4" s="1"/>
  <c r="FR21" i="4" s="1"/>
  <c r="FR22" i="4" s="1"/>
  <c r="FR23" i="4" s="1"/>
  <c r="FR24" i="4" s="1"/>
  <c r="FR25" i="4" s="1"/>
  <c r="FR26" i="4" s="1"/>
  <c r="FR27" i="4" s="1"/>
  <c r="FR28" i="4" s="1"/>
  <c r="FR29" i="4" s="1"/>
  <c r="FR30" i="4" s="1"/>
  <c r="FR31" i="4" s="1"/>
  <c r="FR32" i="4" s="1"/>
  <c r="FR33" i="4" s="1"/>
  <c r="FR34" i="4" s="1"/>
  <c r="FR35" i="4" s="1"/>
  <c r="FR36" i="4" s="1"/>
  <c r="FR37" i="4" s="1"/>
  <c r="FR38" i="4" s="1"/>
  <c r="FR39" i="4" s="1"/>
  <c r="FR40" i="4" s="1"/>
  <c r="FR41" i="4" s="1"/>
  <c r="FR42" i="4" s="1"/>
  <c r="FR43" i="4" s="1"/>
  <c r="FR44" i="4" s="1"/>
  <c r="FR45" i="4" s="1"/>
  <c r="FR46" i="4" s="1"/>
  <c r="FR47" i="4" s="1"/>
  <c r="FR48" i="4" s="1"/>
  <c r="FR49" i="4" s="1"/>
  <c r="FR50" i="4" s="1"/>
  <c r="FR51" i="4" s="1"/>
  <c r="FR52" i="4" s="1"/>
  <c r="FR53" i="4" s="1"/>
  <c r="FR54" i="4" s="1"/>
  <c r="FR55" i="4" s="1"/>
  <c r="FR56" i="4" s="1"/>
  <c r="FR57" i="4" s="1"/>
  <c r="FR58" i="4" s="1"/>
  <c r="FX12" i="4"/>
  <c r="FX11" i="4"/>
  <c r="FK11" i="4"/>
  <c r="FK12" i="4" s="1"/>
  <c r="FK13" i="4" s="1"/>
  <c r="FK14" i="4" s="1"/>
  <c r="FK15" i="4" s="1"/>
  <c r="FK16" i="4" s="1"/>
  <c r="FK17" i="4" s="1"/>
  <c r="FK18" i="4" s="1"/>
  <c r="FK19" i="4" s="1"/>
  <c r="FK20" i="4" s="1"/>
  <c r="FK21" i="4" s="1"/>
  <c r="FK22" i="4" s="1"/>
  <c r="FK23" i="4" s="1"/>
  <c r="FK24" i="4" s="1"/>
  <c r="FK25" i="4" s="1"/>
  <c r="FK26" i="4" s="1"/>
  <c r="FK27" i="4" s="1"/>
  <c r="FK28" i="4" s="1"/>
  <c r="FK29" i="4" s="1"/>
  <c r="FK30" i="4" s="1"/>
  <c r="FK31" i="4" s="1"/>
  <c r="FK32" i="4" s="1"/>
  <c r="FK33" i="4" s="1"/>
  <c r="FK34" i="4" s="1"/>
  <c r="FK35" i="4" s="1"/>
  <c r="FK36" i="4" s="1"/>
  <c r="FK37" i="4" s="1"/>
  <c r="FK38" i="4" s="1"/>
  <c r="FK39" i="4" s="1"/>
  <c r="FK40" i="4" s="1"/>
  <c r="FK41" i="4" s="1"/>
  <c r="FK42" i="4" s="1"/>
  <c r="FK43" i="4" s="1"/>
  <c r="FK44" i="4" s="1"/>
  <c r="FK45" i="4" s="1"/>
  <c r="FK46" i="4" s="1"/>
  <c r="FK47" i="4" s="1"/>
  <c r="FK48" i="4" s="1"/>
  <c r="FK49" i="4" s="1"/>
  <c r="FK50" i="4" s="1"/>
  <c r="FK51" i="4" s="1"/>
  <c r="FK52" i="4" s="1"/>
  <c r="FK53" i="4" s="1"/>
  <c r="FK54" i="4" s="1"/>
  <c r="FK55" i="4" s="1"/>
  <c r="FK56" i="4" s="1"/>
  <c r="FK57" i="4" s="1"/>
  <c r="FK58" i="4" s="1"/>
  <c r="FX10" i="4"/>
  <c r="FR10" i="4"/>
  <c r="FR11" i="4" s="1"/>
  <c r="FR12" i="4" s="1"/>
  <c r="FM10" i="4"/>
  <c r="FM11" i="4" s="1"/>
  <c r="FM12" i="4" s="1"/>
  <c r="FM13" i="4" s="1"/>
  <c r="FM14" i="4" s="1"/>
  <c r="FM15" i="4" s="1"/>
  <c r="FM16" i="4" s="1"/>
  <c r="FM17" i="4" s="1"/>
  <c r="FM18" i="4" s="1"/>
  <c r="FM19" i="4" s="1"/>
  <c r="FM20" i="4" s="1"/>
  <c r="FM21" i="4" s="1"/>
  <c r="FM22" i="4" s="1"/>
  <c r="FM23" i="4" s="1"/>
  <c r="FM24" i="4" s="1"/>
  <c r="FM25" i="4" s="1"/>
  <c r="FM26" i="4" s="1"/>
  <c r="FM27" i="4" s="1"/>
  <c r="FM28" i="4" s="1"/>
  <c r="FM29" i="4" s="1"/>
  <c r="FM30" i="4" s="1"/>
  <c r="FM31" i="4" s="1"/>
  <c r="FM32" i="4" s="1"/>
  <c r="FM33" i="4" s="1"/>
  <c r="FM34" i="4" s="1"/>
  <c r="FM35" i="4" s="1"/>
  <c r="FM36" i="4" s="1"/>
  <c r="FM37" i="4" s="1"/>
  <c r="FM38" i="4" s="1"/>
  <c r="FM39" i="4" s="1"/>
  <c r="FM40" i="4" s="1"/>
  <c r="FM41" i="4" s="1"/>
  <c r="FM42" i="4" s="1"/>
  <c r="FM43" i="4" s="1"/>
  <c r="FM44" i="4" s="1"/>
  <c r="FM45" i="4" s="1"/>
  <c r="FM46" i="4" s="1"/>
  <c r="FM47" i="4" s="1"/>
  <c r="FM48" i="4" s="1"/>
  <c r="FM49" i="4" s="1"/>
  <c r="FM50" i="4" s="1"/>
  <c r="FM51" i="4" s="1"/>
  <c r="FM52" i="4" s="1"/>
  <c r="FM53" i="4" s="1"/>
  <c r="FM54" i="4" s="1"/>
  <c r="FM55" i="4" s="1"/>
  <c r="FM56" i="4" s="1"/>
  <c r="FM57" i="4" s="1"/>
  <c r="FM58" i="4" s="1"/>
  <c r="FL10" i="4"/>
  <c r="FL11" i="4" s="1"/>
  <c r="FL12" i="4" s="1"/>
  <c r="FL13" i="4" s="1"/>
  <c r="FL14" i="4" s="1"/>
  <c r="FL15" i="4" s="1"/>
  <c r="FL16" i="4" s="1"/>
  <c r="FL17" i="4" s="1"/>
  <c r="FL18" i="4" s="1"/>
  <c r="FL19" i="4" s="1"/>
  <c r="FL20" i="4" s="1"/>
  <c r="FL21" i="4" s="1"/>
  <c r="FL22" i="4" s="1"/>
  <c r="FL23" i="4" s="1"/>
  <c r="FL24" i="4" s="1"/>
  <c r="FL25" i="4" s="1"/>
  <c r="FL26" i="4" s="1"/>
  <c r="FL27" i="4" s="1"/>
  <c r="FL28" i="4" s="1"/>
  <c r="FL29" i="4" s="1"/>
  <c r="FL30" i="4" s="1"/>
  <c r="FL31" i="4" s="1"/>
  <c r="FL32" i="4" s="1"/>
  <c r="FL33" i="4" s="1"/>
  <c r="FL34" i="4" s="1"/>
  <c r="FL35" i="4" s="1"/>
  <c r="FL36" i="4" s="1"/>
  <c r="FL37" i="4" s="1"/>
  <c r="FL38" i="4" s="1"/>
  <c r="FL39" i="4" s="1"/>
  <c r="FL40" i="4" s="1"/>
  <c r="FL41" i="4" s="1"/>
  <c r="FL42" i="4" s="1"/>
  <c r="FL43" i="4" s="1"/>
  <c r="FL44" i="4" s="1"/>
  <c r="FL45" i="4" s="1"/>
  <c r="FL46" i="4" s="1"/>
  <c r="FL47" i="4" s="1"/>
  <c r="FL48" i="4" s="1"/>
  <c r="FL49" i="4" s="1"/>
  <c r="FL50" i="4" s="1"/>
  <c r="FL51" i="4" s="1"/>
  <c r="FL52" i="4" s="1"/>
  <c r="FL53" i="4" s="1"/>
  <c r="FL54" i="4" s="1"/>
  <c r="FL55" i="4" s="1"/>
  <c r="FL56" i="4" s="1"/>
  <c r="FL57" i="4" s="1"/>
  <c r="FL58" i="4" s="1"/>
  <c r="FX9" i="4"/>
  <c r="FU9" i="4"/>
  <c r="FU10" i="4" s="1"/>
  <c r="FU11" i="4" s="1"/>
  <c r="FU12" i="4" s="1"/>
  <c r="FU13" i="4" s="1"/>
  <c r="FU14" i="4" s="1"/>
  <c r="FU15" i="4" s="1"/>
  <c r="FU16" i="4" s="1"/>
  <c r="FU17" i="4" s="1"/>
  <c r="FU18" i="4" s="1"/>
  <c r="FU19" i="4" s="1"/>
  <c r="FU20" i="4" s="1"/>
  <c r="FU21" i="4" s="1"/>
  <c r="FU22" i="4" s="1"/>
  <c r="FU23" i="4" s="1"/>
  <c r="FU24" i="4" s="1"/>
  <c r="FU25" i="4" s="1"/>
  <c r="FU26" i="4" s="1"/>
  <c r="FU27" i="4" s="1"/>
  <c r="FU28" i="4" s="1"/>
  <c r="FU29" i="4" s="1"/>
  <c r="FU30" i="4" s="1"/>
  <c r="FU31" i="4" s="1"/>
  <c r="FU32" i="4" s="1"/>
  <c r="FU33" i="4" s="1"/>
  <c r="FU34" i="4" s="1"/>
  <c r="FU35" i="4" s="1"/>
  <c r="FU36" i="4" s="1"/>
  <c r="FU37" i="4" s="1"/>
  <c r="FU38" i="4" s="1"/>
  <c r="FU39" i="4" s="1"/>
  <c r="FU40" i="4" s="1"/>
  <c r="FU41" i="4" s="1"/>
  <c r="FU42" i="4" s="1"/>
  <c r="FU43" i="4" s="1"/>
  <c r="FU44" i="4" s="1"/>
  <c r="FU45" i="4" s="1"/>
  <c r="FU46" i="4" s="1"/>
  <c r="FU47" i="4" s="1"/>
  <c r="FU48" i="4" s="1"/>
  <c r="FU49" i="4" s="1"/>
  <c r="FU50" i="4" s="1"/>
  <c r="FU51" i="4" s="1"/>
  <c r="FU52" i="4" s="1"/>
  <c r="FU53" i="4" s="1"/>
  <c r="FU54" i="4" s="1"/>
  <c r="FU55" i="4" s="1"/>
  <c r="FU56" i="4" s="1"/>
  <c r="FU57" i="4" s="1"/>
  <c r="FU58" i="4" s="1"/>
  <c r="FS9" i="4"/>
  <c r="FS10" i="4" s="1"/>
  <c r="FS11" i="4" s="1"/>
  <c r="FS12" i="4" s="1"/>
  <c r="FS13" i="4" s="1"/>
  <c r="FS14" i="4" s="1"/>
  <c r="FS15" i="4" s="1"/>
  <c r="FS16" i="4" s="1"/>
  <c r="FS17" i="4" s="1"/>
  <c r="FS18" i="4" s="1"/>
  <c r="FS19" i="4" s="1"/>
  <c r="FS20" i="4" s="1"/>
  <c r="FS21" i="4" s="1"/>
  <c r="FS22" i="4" s="1"/>
  <c r="FS23" i="4" s="1"/>
  <c r="FS24" i="4" s="1"/>
  <c r="FS25" i="4" s="1"/>
  <c r="FS26" i="4" s="1"/>
  <c r="FS27" i="4" s="1"/>
  <c r="FS28" i="4" s="1"/>
  <c r="FS29" i="4" s="1"/>
  <c r="FS30" i="4" s="1"/>
  <c r="FS31" i="4" s="1"/>
  <c r="FS32" i="4" s="1"/>
  <c r="FS33" i="4" s="1"/>
  <c r="FS34" i="4" s="1"/>
  <c r="FS35" i="4" s="1"/>
  <c r="FS36" i="4" s="1"/>
  <c r="FS37" i="4" s="1"/>
  <c r="FS38" i="4" s="1"/>
  <c r="FS39" i="4" s="1"/>
  <c r="FS40" i="4" s="1"/>
  <c r="FS41" i="4" s="1"/>
  <c r="FS42" i="4" s="1"/>
  <c r="FS43" i="4" s="1"/>
  <c r="FS44" i="4" s="1"/>
  <c r="FS45" i="4" s="1"/>
  <c r="FS46" i="4" s="1"/>
  <c r="FS47" i="4" s="1"/>
  <c r="FS48" i="4" s="1"/>
  <c r="FS49" i="4" s="1"/>
  <c r="FS50" i="4" s="1"/>
  <c r="FS51" i="4" s="1"/>
  <c r="FS52" i="4" s="1"/>
  <c r="FS53" i="4" s="1"/>
  <c r="FS54" i="4" s="1"/>
  <c r="FS55" i="4" s="1"/>
  <c r="FS56" i="4" s="1"/>
  <c r="FS57" i="4" s="1"/>
  <c r="FS58" i="4" s="1"/>
  <c r="FR9" i="4"/>
  <c r="FN9" i="4"/>
  <c r="FN10" i="4" s="1"/>
  <c r="FN11" i="4" s="1"/>
  <c r="FN12" i="4" s="1"/>
  <c r="FN13" i="4" s="1"/>
  <c r="FN14" i="4" s="1"/>
  <c r="FN15" i="4" s="1"/>
  <c r="FN16" i="4" s="1"/>
  <c r="FN17" i="4" s="1"/>
  <c r="FN18" i="4" s="1"/>
  <c r="FN19" i="4" s="1"/>
  <c r="FN20" i="4" s="1"/>
  <c r="FN21" i="4" s="1"/>
  <c r="FN22" i="4" s="1"/>
  <c r="FN23" i="4" s="1"/>
  <c r="FN24" i="4" s="1"/>
  <c r="FN25" i="4" s="1"/>
  <c r="FN26" i="4" s="1"/>
  <c r="FN27" i="4" s="1"/>
  <c r="FN28" i="4" s="1"/>
  <c r="FN29" i="4" s="1"/>
  <c r="FN30" i="4" s="1"/>
  <c r="FN31" i="4" s="1"/>
  <c r="FN32" i="4" s="1"/>
  <c r="FN33" i="4" s="1"/>
  <c r="FN34" i="4" s="1"/>
  <c r="FN35" i="4" s="1"/>
  <c r="FN36" i="4" s="1"/>
  <c r="FN37" i="4" s="1"/>
  <c r="FN38" i="4" s="1"/>
  <c r="FN39" i="4" s="1"/>
  <c r="FN40" i="4" s="1"/>
  <c r="FN41" i="4" s="1"/>
  <c r="FN42" i="4" s="1"/>
  <c r="FN43" i="4" s="1"/>
  <c r="FN44" i="4" s="1"/>
  <c r="FN45" i="4" s="1"/>
  <c r="FN46" i="4" s="1"/>
  <c r="FN47" i="4" s="1"/>
  <c r="FN48" i="4" s="1"/>
  <c r="FN49" i="4" s="1"/>
  <c r="FN50" i="4" s="1"/>
  <c r="FN51" i="4" s="1"/>
  <c r="FN52" i="4" s="1"/>
  <c r="FN53" i="4" s="1"/>
  <c r="FN54" i="4" s="1"/>
  <c r="FN55" i="4" s="1"/>
  <c r="FN56" i="4" s="1"/>
  <c r="FN57" i="4" s="1"/>
  <c r="FN58" i="4" s="1"/>
  <c r="FL9" i="4"/>
  <c r="FX8" i="4"/>
  <c r="FU8" i="4"/>
  <c r="FT8" i="4"/>
  <c r="FT9" i="4" s="1"/>
  <c r="FT10" i="4" s="1"/>
  <c r="FT11" i="4" s="1"/>
  <c r="FT12" i="4" s="1"/>
  <c r="FT13" i="4" s="1"/>
  <c r="FT14" i="4" s="1"/>
  <c r="FT15" i="4" s="1"/>
  <c r="FT16" i="4" s="1"/>
  <c r="FT17" i="4" s="1"/>
  <c r="FT18" i="4" s="1"/>
  <c r="FT19" i="4" s="1"/>
  <c r="FT20" i="4" s="1"/>
  <c r="FT21" i="4" s="1"/>
  <c r="FT22" i="4" s="1"/>
  <c r="FT23" i="4" s="1"/>
  <c r="FT24" i="4" s="1"/>
  <c r="FT25" i="4" s="1"/>
  <c r="FT26" i="4" s="1"/>
  <c r="FT27" i="4" s="1"/>
  <c r="FT28" i="4" s="1"/>
  <c r="FT29" i="4" s="1"/>
  <c r="FT30" i="4" s="1"/>
  <c r="FT31" i="4" s="1"/>
  <c r="FT32" i="4" s="1"/>
  <c r="FT33" i="4" s="1"/>
  <c r="FT34" i="4" s="1"/>
  <c r="FT35" i="4" s="1"/>
  <c r="FT36" i="4" s="1"/>
  <c r="FT37" i="4" s="1"/>
  <c r="FT38" i="4" s="1"/>
  <c r="FT39" i="4" s="1"/>
  <c r="FT40" i="4" s="1"/>
  <c r="FT41" i="4" s="1"/>
  <c r="FT42" i="4" s="1"/>
  <c r="FT43" i="4" s="1"/>
  <c r="FT44" i="4" s="1"/>
  <c r="FT45" i="4" s="1"/>
  <c r="FT46" i="4" s="1"/>
  <c r="FT47" i="4" s="1"/>
  <c r="FT48" i="4" s="1"/>
  <c r="FT49" i="4" s="1"/>
  <c r="FT50" i="4" s="1"/>
  <c r="FT51" i="4" s="1"/>
  <c r="FT52" i="4" s="1"/>
  <c r="FT53" i="4" s="1"/>
  <c r="FT54" i="4" s="1"/>
  <c r="FT55" i="4" s="1"/>
  <c r="FT56" i="4" s="1"/>
  <c r="FT57" i="4" s="1"/>
  <c r="FT58" i="4" s="1"/>
  <c r="FS8" i="4"/>
  <c r="FR8" i="4"/>
  <c r="FQ8" i="4"/>
  <c r="FQ9" i="4" s="1"/>
  <c r="FQ10" i="4" s="1"/>
  <c r="FQ11" i="4" s="1"/>
  <c r="FQ12" i="4" s="1"/>
  <c r="FQ13" i="4" s="1"/>
  <c r="FQ14" i="4" s="1"/>
  <c r="FQ15" i="4" s="1"/>
  <c r="FQ16" i="4" s="1"/>
  <c r="FQ17" i="4" s="1"/>
  <c r="FQ18" i="4" s="1"/>
  <c r="FQ19" i="4" s="1"/>
  <c r="FQ20" i="4" s="1"/>
  <c r="FQ21" i="4" s="1"/>
  <c r="FQ22" i="4" s="1"/>
  <c r="FQ23" i="4" s="1"/>
  <c r="FQ24" i="4" s="1"/>
  <c r="FQ25" i="4" s="1"/>
  <c r="FQ26" i="4" s="1"/>
  <c r="FQ27" i="4" s="1"/>
  <c r="FQ28" i="4" s="1"/>
  <c r="FQ29" i="4" s="1"/>
  <c r="FQ30" i="4" s="1"/>
  <c r="FQ31" i="4" s="1"/>
  <c r="FQ32" i="4" s="1"/>
  <c r="FQ33" i="4" s="1"/>
  <c r="FQ34" i="4" s="1"/>
  <c r="FQ35" i="4" s="1"/>
  <c r="FQ36" i="4" s="1"/>
  <c r="FQ37" i="4" s="1"/>
  <c r="FQ38" i="4" s="1"/>
  <c r="FQ39" i="4" s="1"/>
  <c r="FQ40" i="4" s="1"/>
  <c r="FQ41" i="4" s="1"/>
  <c r="FQ42" i="4" s="1"/>
  <c r="FQ43" i="4" s="1"/>
  <c r="FQ44" i="4" s="1"/>
  <c r="FQ45" i="4" s="1"/>
  <c r="FQ46" i="4" s="1"/>
  <c r="FQ47" i="4" s="1"/>
  <c r="FQ48" i="4" s="1"/>
  <c r="FQ49" i="4" s="1"/>
  <c r="FQ50" i="4" s="1"/>
  <c r="FQ51" i="4" s="1"/>
  <c r="FQ52" i="4" s="1"/>
  <c r="FQ53" i="4" s="1"/>
  <c r="FQ54" i="4" s="1"/>
  <c r="FQ55" i="4" s="1"/>
  <c r="FQ56" i="4" s="1"/>
  <c r="FQ57" i="4" s="1"/>
  <c r="FQ58" i="4" s="1"/>
  <c r="FP8" i="4"/>
  <c r="FP9" i="4" s="1"/>
  <c r="FP10" i="4" s="1"/>
  <c r="FP11" i="4" s="1"/>
  <c r="FP12" i="4" s="1"/>
  <c r="FP13" i="4" s="1"/>
  <c r="FP14" i="4" s="1"/>
  <c r="FP15" i="4" s="1"/>
  <c r="FP16" i="4" s="1"/>
  <c r="FP17" i="4" s="1"/>
  <c r="FP18" i="4" s="1"/>
  <c r="FP19" i="4" s="1"/>
  <c r="FP20" i="4" s="1"/>
  <c r="FP21" i="4" s="1"/>
  <c r="FP22" i="4" s="1"/>
  <c r="FP23" i="4" s="1"/>
  <c r="FP24" i="4" s="1"/>
  <c r="FP25" i="4" s="1"/>
  <c r="FP26" i="4" s="1"/>
  <c r="FP27" i="4" s="1"/>
  <c r="FP28" i="4" s="1"/>
  <c r="FP29" i="4" s="1"/>
  <c r="FP30" i="4" s="1"/>
  <c r="FP31" i="4" s="1"/>
  <c r="FP32" i="4" s="1"/>
  <c r="FP33" i="4" s="1"/>
  <c r="FP34" i="4" s="1"/>
  <c r="FP35" i="4" s="1"/>
  <c r="FP36" i="4" s="1"/>
  <c r="FP37" i="4" s="1"/>
  <c r="FP38" i="4" s="1"/>
  <c r="FP39" i="4" s="1"/>
  <c r="FP40" i="4" s="1"/>
  <c r="FP41" i="4" s="1"/>
  <c r="FP42" i="4" s="1"/>
  <c r="FP43" i="4" s="1"/>
  <c r="FP44" i="4" s="1"/>
  <c r="FP45" i="4" s="1"/>
  <c r="FP46" i="4" s="1"/>
  <c r="FP47" i="4" s="1"/>
  <c r="FP48" i="4" s="1"/>
  <c r="FP49" i="4" s="1"/>
  <c r="FP50" i="4" s="1"/>
  <c r="FP51" i="4" s="1"/>
  <c r="FP52" i="4" s="1"/>
  <c r="FP53" i="4" s="1"/>
  <c r="FP54" i="4" s="1"/>
  <c r="FP55" i="4" s="1"/>
  <c r="FP56" i="4" s="1"/>
  <c r="FP57" i="4" s="1"/>
  <c r="FP58" i="4" s="1"/>
  <c r="FO8" i="4"/>
  <c r="FO9" i="4" s="1"/>
  <c r="FO10" i="4" s="1"/>
  <c r="FO11" i="4" s="1"/>
  <c r="FO12" i="4" s="1"/>
  <c r="FO13" i="4" s="1"/>
  <c r="FO14" i="4" s="1"/>
  <c r="FO15" i="4" s="1"/>
  <c r="FO16" i="4" s="1"/>
  <c r="FO17" i="4" s="1"/>
  <c r="FO18" i="4" s="1"/>
  <c r="FO19" i="4" s="1"/>
  <c r="FO20" i="4" s="1"/>
  <c r="FO21" i="4" s="1"/>
  <c r="FO22" i="4" s="1"/>
  <c r="FO23" i="4" s="1"/>
  <c r="FO24" i="4" s="1"/>
  <c r="FO25" i="4" s="1"/>
  <c r="FO26" i="4" s="1"/>
  <c r="FO27" i="4" s="1"/>
  <c r="FO28" i="4" s="1"/>
  <c r="FO29" i="4" s="1"/>
  <c r="FO30" i="4" s="1"/>
  <c r="FO31" i="4" s="1"/>
  <c r="FO32" i="4" s="1"/>
  <c r="FO33" i="4" s="1"/>
  <c r="FO34" i="4" s="1"/>
  <c r="FO35" i="4" s="1"/>
  <c r="FO36" i="4" s="1"/>
  <c r="FO37" i="4" s="1"/>
  <c r="FO38" i="4" s="1"/>
  <c r="FO39" i="4" s="1"/>
  <c r="FO40" i="4" s="1"/>
  <c r="FO41" i="4" s="1"/>
  <c r="FO42" i="4" s="1"/>
  <c r="FO43" i="4" s="1"/>
  <c r="FO44" i="4" s="1"/>
  <c r="FO45" i="4" s="1"/>
  <c r="FO46" i="4" s="1"/>
  <c r="FO47" i="4" s="1"/>
  <c r="FO48" i="4" s="1"/>
  <c r="FO49" i="4" s="1"/>
  <c r="FO50" i="4" s="1"/>
  <c r="FO51" i="4" s="1"/>
  <c r="FO52" i="4" s="1"/>
  <c r="FO53" i="4" s="1"/>
  <c r="FO54" i="4" s="1"/>
  <c r="FO55" i="4" s="1"/>
  <c r="FO56" i="4" s="1"/>
  <c r="FO57" i="4" s="1"/>
  <c r="FO58" i="4" s="1"/>
  <c r="FN8" i="4"/>
  <c r="FM8" i="4"/>
  <c r="FM9" i="4" s="1"/>
  <c r="FL8" i="4"/>
  <c r="FK8" i="4"/>
  <c r="FK9" i="4" s="1"/>
  <c r="FK10" i="4" s="1"/>
  <c r="FV2" i="4"/>
  <c r="AX5" i="1"/>
  <c r="CC96" i="8"/>
  <c r="CB96" i="8"/>
  <c r="CI93" i="8"/>
  <c r="CH93" i="8"/>
  <c r="CG93" i="8"/>
  <c r="CF93" i="8"/>
  <c r="CE93" i="8"/>
  <c r="CI92" i="8"/>
  <c r="CH92" i="8"/>
  <c r="CG92" i="8"/>
  <c r="CF92" i="8"/>
  <c r="CE92" i="8"/>
  <c r="CC92" i="8"/>
  <c r="CB92" i="8"/>
  <c r="CI91" i="8"/>
  <c r="CH91" i="8"/>
  <c r="CG91" i="8"/>
  <c r="CF91" i="8"/>
  <c r="CE91" i="8"/>
  <c r="CI90" i="8"/>
  <c r="CH90" i="8"/>
  <c r="CG90" i="8"/>
  <c r="CF90" i="8"/>
  <c r="CE90" i="8"/>
  <c r="CC90" i="8"/>
  <c r="CB90" i="8"/>
  <c r="CI89" i="8"/>
  <c r="CH89" i="8"/>
  <c r="CG89" i="8"/>
  <c r="CF89" i="8"/>
  <c r="CE89" i="8"/>
  <c r="CI87" i="8"/>
  <c r="CH87" i="8"/>
  <c r="CG87" i="8"/>
  <c r="CF87" i="8"/>
  <c r="CE87" i="8"/>
  <c r="CC87" i="8"/>
  <c r="CB87" i="8"/>
  <c r="BJ87" i="8"/>
  <c r="MZ86" i="8"/>
  <c r="CI86" i="8"/>
  <c r="CH86" i="8"/>
  <c r="CG86" i="8"/>
  <c r="CF86" i="8"/>
  <c r="CE86" i="8"/>
  <c r="CI85" i="8"/>
  <c r="CH85" i="8"/>
  <c r="CG85" i="8"/>
  <c r="CF85" i="8"/>
  <c r="CE85" i="8"/>
  <c r="CC85" i="8"/>
  <c r="CI84" i="8"/>
  <c r="CH84" i="8"/>
  <c r="CG84" i="8"/>
  <c r="CF84" i="8"/>
  <c r="CE84" i="8"/>
  <c r="BJ84" i="8"/>
  <c r="MZ83" i="8"/>
  <c r="CI83" i="8"/>
  <c r="CH83" i="8"/>
  <c r="CG83" i="8"/>
  <c r="CF83" i="8"/>
  <c r="CE83" i="8"/>
  <c r="CI82" i="8"/>
  <c r="CH82" i="8"/>
  <c r="CG82" i="8"/>
  <c r="CF82" i="8"/>
  <c r="CE82" i="8"/>
  <c r="CC82" i="8"/>
  <c r="CB82" i="8"/>
  <c r="BJ82" i="8"/>
  <c r="JY79" i="8"/>
  <c r="CC79" i="8"/>
  <c r="CC93" i="8" s="1"/>
  <c r="CB79" i="8"/>
  <c r="CB93" i="8" s="1"/>
  <c r="MZ78" i="8"/>
  <c r="CC78" i="8"/>
  <c r="CB78" i="8"/>
  <c r="BJ78" i="8"/>
  <c r="MZ77" i="8"/>
  <c r="KG77" i="8"/>
  <c r="KB77" i="8"/>
  <c r="FN77" i="8"/>
  <c r="CC77" i="8"/>
  <c r="CB77" i="8"/>
  <c r="KF76" i="8"/>
  <c r="KE76" i="8"/>
  <c r="JZ76" i="8"/>
  <c r="KA76" i="8" s="1"/>
  <c r="CC76" i="8"/>
  <c r="CB76" i="8"/>
  <c r="BJ76" i="8"/>
  <c r="KE75" i="8"/>
  <c r="KF75" i="8" s="1"/>
  <c r="JZ75" i="8"/>
  <c r="KA75" i="8" s="1"/>
  <c r="CC75" i="8"/>
  <c r="CC86" i="8" s="1"/>
  <c r="CB75" i="8"/>
  <c r="CB85" i="8" s="1"/>
  <c r="BJ75" i="8"/>
  <c r="MZ74" i="8"/>
  <c r="KE74" i="8"/>
  <c r="KF74" i="8" s="1"/>
  <c r="JZ74" i="8"/>
  <c r="KA74" i="8" s="1"/>
  <c r="GF74" i="8"/>
  <c r="FO74" i="8"/>
  <c r="ET74" i="8"/>
  <c r="DU74" i="8"/>
  <c r="CW74" i="8"/>
  <c r="CC74" i="8"/>
  <c r="CC91" i="8" s="1"/>
  <c r="CB74" i="8"/>
  <c r="CB91" i="8" s="1"/>
  <c r="BJ74" i="8"/>
  <c r="MZ73" i="8"/>
  <c r="KE73" i="8"/>
  <c r="KF73" i="8" s="1"/>
  <c r="JZ73" i="8"/>
  <c r="KA73" i="8" s="1"/>
  <c r="GF73" i="8"/>
  <c r="FO73" i="8"/>
  <c r="ET73" i="8"/>
  <c r="DU73" i="8"/>
  <c r="CW73" i="8"/>
  <c r="CC73" i="8"/>
  <c r="CB73" i="8"/>
  <c r="BJ73" i="8"/>
  <c r="MZ72" i="8"/>
  <c r="KE72" i="8"/>
  <c r="KF72" i="8" s="1"/>
  <c r="JZ72" i="8"/>
  <c r="KA72" i="8" s="1"/>
  <c r="GF72" i="8"/>
  <c r="FO72" i="8"/>
  <c r="ET72" i="8"/>
  <c r="DU72" i="8"/>
  <c r="CW72" i="8"/>
  <c r="CC72" i="8"/>
  <c r="CB72" i="8"/>
  <c r="BJ72" i="8"/>
  <c r="MZ71" i="8"/>
  <c r="KE71" i="8"/>
  <c r="KF71" i="8" s="1"/>
  <c r="JZ71" i="8"/>
  <c r="KA71" i="8" s="1"/>
  <c r="JW71" i="8"/>
  <c r="GF71" i="8"/>
  <c r="FO71" i="8"/>
  <c r="ET71" i="8"/>
  <c r="DU71" i="8"/>
  <c r="CW71" i="8"/>
  <c r="CC71" i="8"/>
  <c r="CC83" i="8" s="1"/>
  <c r="CB71" i="8"/>
  <c r="CB83" i="8" s="1"/>
  <c r="BJ71" i="8"/>
  <c r="MZ70" i="8"/>
  <c r="KF70" i="8"/>
  <c r="KE70" i="8"/>
  <c r="KA70" i="8"/>
  <c r="JZ70" i="8"/>
  <c r="GF70" i="8"/>
  <c r="FO70" i="8"/>
  <c r="ET70" i="8"/>
  <c r="DU70" i="8"/>
  <c r="CW70" i="8"/>
  <c r="CC70" i="8"/>
  <c r="CB70" i="8"/>
  <c r="BJ70" i="8"/>
  <c r="MZ69" i="8"/>
  <c r="KF69" i="8"/>
  <c r="KE69" i="8"/>
  <c r="KA69" i="8"/>
  <c r="JZ69" i="8"/>
  <c r="GF69" i="8"/>
  <c r="FO69" i="8"/>
  <c r="ET69" i="8"/>
  <c r="DU69" i="8"/>
  <c r="CW69" i="8"/>
  <c r="CC69" i="8"/>
  <c r="CC89" i="8" s="1"/>
  <c r="CB69" i="8"/>
  <c r="CB89" i="8" s="1"/>
  <c r="BJ69" i="8"/>
  <c r="MZ68" i="8"/>
  <c r="KF68" i="8"/>
  <c r="KE68" i="8"/>
  <c r="KA68" i="8"/>
  <c r="JZ68" i="8"/>
  <c r="GF68" i="8"/>
  <c r="FO68" i="8"/>
  <c r="ET68" i="8"/>
  <c r="DU68" i="8"/>
  <c r="CW68" i="8"/>
  <c r="KE67" i="8"/>
  <c r="KF67" i="8" s="1"/>
  <c r="JZ67" i="8"/>
  <c r="KA67" i="8" s="1"/>
  <c r="GF67" i="8"/>
  <c r="FO67" i="8"/>
  <c r="ET67" i="8"/>
  <c r="DU67" i="8"/>
  <c r="CW67" i="8"/>
  <c r="BI67" i="8"/>
  <c r="BH67" i="8"/>
  <c r="BJ85" i="8" s="1"/>
  <c r="BH53" i="8" s="1"/>
  <c r="MY66" i="8"/>
  <c r="MX66" i="8"/>
  <c r="MZ81" i="8" s="1"/>
  <c r="MY49" i="8" s="1"/>
  <c r="KE66" i="8"/>
  <c r="KF66" i="8" s="1"/>
  <c r="JZ66" i="8"/>
  <c r="KA66" i="8" s="1"/>
  <c r="GF66" i="8"/>
  <c r="FO66" i="8"/>
  <c r="ET66" i="8"/>
  <c r="DU66" i="8"/>
  <c r="CW66" i="8"/>
  <c r="GF65" i="8"/>
  <c r="FO65" i="8"/>
  <c r="ET65" i="8"/>
  <c r="DU65" i="8"/>
  <c r="CW65" i="8"/>
  <c r="GF64" i="8"/>
  <c r="FO64" i="8"/>
  <c r="ET64" i="8"/>
  <c r="DU64" i="8"/>
  <c r="CW64" i="8"/>
  <c r="BN64" i="8"/>
  <c r="BM64" i="8"/>
  <c r="BL64" i="8"/>
  <c r="BK64" i="8"/>
  <c r="BJ64" i="8"/>
  <c r="BI64" i="8"/>
  <c r="NH63" i="8"/>
  <c r="NG63" i="8"/>
  <c r="NF63" i="8"/>
  <c r="NE63" i="8"/>
  <c r="ND63" i="8"/>
  <c r="NC63" i="8"/>
  <c r="NB63" i="8"/>
  <c r="NA63" i="8"/>
  <c r="MZ63" i="8"/>
  <c r="MX63" i="8"/>
  <c r="BN63" i="8"/>
  <c r="BM63" i="8"/>
  <c r="BL63" i="8"/>
  <c r="BK63" i="8"/>
  <c r="BJ63" i="8"/>
  <c r="BI63" i="8"/>
  <c r="AU63" i="8"/>
  <c r="NH62" i="8"/>
  <c r="NG62" i="8"/>
  <c r="NF62" i="8"/>
  <c r="NE62" i="8"/>
  <c r="ND62" i="8"/>
  <c r="NC62" i="8"/>
  <c r="NB62" i="8"/>
  <c r="NA62" i="8"/>
  <c r="MZ62" i="8"/>
  <c r="MX62" i="8"/>
  <c r="BN62" i="8"/>
  <c r="BM62" i="8"/>
  <c r="BL62" i="8"/>
  <c r="BK62" i="8"/>
  <c r="BJ62" i="8"/>
  <c r="BI62" i="8"/>
  <c r="NH61" i="8"/>
  <c r="NG61" i="8"/>
  <c r="NF61" i="8"/>
  <c r="NE61" i="8"/>
  <c r="ND61" i="8"/>
  <c r="NC61" i="8"/>
  <c r="NB61" i="8"/>
  <c r="NA61" i="8"/>
  <c r="MZ61" i="8"/>
  <c r="MX61" i="8"/>
  <c r="BN61" i="8"/>
  <c r="BM61" i="8"/>
  <c r="BL61" i="8"/>
  <c r="BK61" i="8"/>
  <c r="BJ61" i="8"/>
  <c r="BI61" i="8"/>
  <c r="NH60" i="8"/>
  <c r="NG60" i="8"/>
  <c r="NF60" i="8"/>
  <c r="NE60" i="8"/>
  <c r="ND60" i="8"/>
  <c r="NC60" i="8"/>
  <c r="NB60" i="8"/>
  <c r="NA60" i="8"/>
  <c r="MZ60" i="8"/>
  <c r="MX60" i="8"/>
  <c r="KA60" i="8"/>
  <c r="IZ60" i="8"/>
  <c r="BN60" i="8"/>
  <c r="BM60" i="8"/>
  <c r="BL60" i="8"/>
  <c r="BK60" i="8"/>
  <c r="BJ60" i="8"/>
  <c r="BI60" i="8"/>
  <c r="NH59" i="8"/>
  <c r="NG59" i="8"/>
  <c r="NF59" i="8"/>
  <c r="NE59" i="8"/>
  <c r="ND59" i="8"/>
  <c r="NC59" i="8"/>
  <c r="NB59" i="8"/>
  <c r="NA59" i="8"/>
  <c r="MZ59" i="8"/>
  <c r="MX59" i="8"/>
  <c r="IK59" i="8"/>
  <c r="IJ59" i="8"/>
  <c r="IB59" i="8"/>
  <c r="ID59" i="8" s="1"/>
  <c r="IH59" i="8" s="1"/>
  <c r="HQ59" i="8"/>
  <c r="HP59" i="8"/>
  <c r="HN59" i="8"/>
  <c r="HH59" i="8"/>
  <c r="HJ59" i="8" s="1"/>
  <c r="CT59" i="8"/>
  <c r="IZ59" i="8" s="1"/>
  <c r="BN59" i="8"/>
  <c r="BM59" i="8"/>
  <c r="BL59" i="8"/>
  <c r="BK59" i="8"/>
  <c r="BJ59" i="8"/>
  <c r="BI59" i="8"/>
  <c r="NH58" i="8"/>
  <c r="NG58" i="8"/>
  <c r="NF58" i="8"/>
  <c r="NE58" i="8"/>
  <c r="ND58" i="8"/>
  <c r="NC58" i="8"/>
  <c r="NB58" i="8"/>
  <c r="NA58" i="8"/>
  <c r="MZ58" i="8"/>
  <c r="MX58" i="8"/>
  <c r="IZ58" i="8"/>
  <c r="IK58" i="8"/>
  <c r="IJ58" i="8"/>
  <c r="IE58" i="8"/>
  <c r="ID58" i="8"/>
  <c r="IH58" i="8" s="1"/>
  <c r="IB58" i="8"/>
  <c r="IC58" i="8" s="1"/>
  <c r="IG58" i="8" s="1"/>
  <c r="HQ58" i="8"/>
  <c r="HP58" i="8"/>
  <c r="HH58" i="8"/>
  <c r="CT58" i="8"/>
  <c r="BN58" i="8"/>
  <c r="BM58" i="8"/>
  <c r="BL58" i="8"/>
  <c r="BK58" i="8"/>
  <c r="BJ58" i="8"/>
  <c r="BI58" i="8"/>
  <c r="NH57" i="8"/>
  <c r="NG57" i="8"/>
  <c r="NF57" i="8"/>
  <c r="NE57" i="8"/>
  <c r="ND57" i="8"/>
  <c r="NC57" i="8"/>
  <c r="NB57" i="8"/>
  <c r="NA57" i="8"/>
  <c r="MZ57" i="8"/>
  <c r="MX57" i="8"/>
  <c r="IZ57" i="8"/>
  <c r="IK57" i="8"/>
  <c r="IJ57" i="8"/>
  <c r="IC57" i="8"/>
  <c r="IB57" i="8"/>
  <c r="ID57" i="8" s="1"/>
  <c r="IH57" i="8" s="1"/>
  <c r="HQ57" i="8"/>
  <c r="HP57" i="8"/>
  <c r="HH57" i="8"/>
  <c r="HJ57" i="8" s="1"/>
  <c r="HN57" i="8" s="1"/>
  <c r="CT57" i="8"/>
  <c r="IZ56" i="8"/>
  <c r="IK56" i="8"/>
  <c r="IJ56" i="8"/>
  <c r="IC56" i="8"/>
  <c r="IB56" i="8"/>
  <c r="ID56" i="8" s="1"/>
  <c r="IH56" i="8" s="1"/>
  <c r="HQ56" i="8"/>
  <c r="HP56" i="8"/>
  <c r="HN56" i="8"/>
  <c r="HM56" i="8"/>
  <c r="HK56" i="8"/>
  <c r="HJ56" i="8"/>
  <c r="HI56" i="8"/>
  <c r="HH56" i="8"/>
  <c r="CT56" i="8"/>
  <c r="CD56" i="8"/>
  <c r="IK55" i="8"/>
  <c r="IJ55" i="8"/>
  <c r="IB55" i="8"/>
  <c r="ID55" i="8" s="1"/>
  <c r="IH55" i="8" s="1"/>
  <c r="HQ55" i="8"/>
  <c r="HP55" i="8"/>
  <c r="HN55" i="8"/>
  <c r="HJ55" i="8"/>
  <c r="HI55" i="8"/>
  <c r="HK55" i="8" s="1"/>
  <c r="HH55" i="8"/>
  <c r="CT55" i="8"/>
  <c r="IZ55" i="8" s="1"/>
  <c r="CC55" i="8"/>
  <c r="CB55" i="8"/>
  <c r="BH55" i="8"/>
  <c r="MY54" i="8"/>
  <c r="IK54" i="8"/>
  <c r="IJ54" i="8"/>
  <c r="IH54" i="8"/>
  <c r="IE54" i="8"/>
  <c r="ID54" i="8"/>
  <c r="IC54" i="8"/>
  <c r="IG54" i="8" s="1"/>
  <c r="IB54" i="8"/>
  <c r="HQ54" i="8"/>
  <c r="HP54" i="8"/>
  <c r="HN54" i="8"/>
  <c r="HM54" i="8"/>
  <c r="HJ54" i="8"/>
  <c r="HI54" i="8"/>
  <c r="HH54" i="8"/>
  <c r="CT54" i="8"/>
  <c r="IZ54" i="8" s="1"/>
  <c r="IK53" i="8"/>
  <c r="IJ53" i="8"/>
  <c r="IB53" i="8"/>
  <c r="ID53" i="8" s="1"/>
  <c r="IH53" i="8" s="1"/>
  <c r="HQ53" i="8"/>
  <c r="HP53" i="8"/>
  <c r="HI53" i="8"/>
  <c r="HM53" i="8" s="1"/>
  <c r="HH53" i="8"/>
  <c r="HJ53" i="8" s="1"/>
  <c r="HN53" i="8" s="1"/>
  <c r="GE53" i="8"/>
  <c r="GE54" i="8" s="1"/>
  <c r="GE55" i="8" s="1"/>
  <c r="GE56" i="8" s="1"/>
  <c r="GE57" i="8" s="1"/>
  <c r="GE58" i="8" s="1"/>
  <c r="GE59" i="8" s="1"/>
  <c r="CT53" i="8"/>
  <c r="IZ53" i="8" s="1"/>
  <c r="IK52" i="8"/>
  <c r="IJ52" i="8"/>
  <c r="IG52" i="8"/>
  <c r="IE52" i="8"/>
  <c r="ID52" i="8"/>
  <c r="IH52" i="8" s="1"/>
  <c r="IC52" i="8"/>
  <c r="IB52" i="8"/>
  <c r="HQ52" i="8"/>
  <c r="HP52" i="8"/>
  <c r="HK52" i="8"/>
  <c r="HJ52" i="8"/>
  <c r="HN52" i="8" s="1"/>
  <c r="HI52" i="8"/>
  <c r="HM52" i="8" s="1"/>
  <c r="HH52" i="8"/>
  <c r="CT52" i="8"/>
  <c r="IZ52" i="8" s="1"/>
  <c r="CI52" i="8"/>
  <c r="CH52" i="8"/>
  <c r="CG52" i="8"/>
  <c r="CF52" i="8"/>
  <c r="CE52" i="8"/>
  <c r="BH52" i="8"/>
  <c r="MY51" i="8"/>
  <c r="IZ51" i="8"/>
  <c r="IK51" i="8"/>
  <c r="IJ51" i="8"/>
  <c r="IB51" i="8"/>
  <c r="HQ51" i="8"/>
  <c r="HP51" i="8"/>
  <c r="HH51" i="8"/>
  <c r="HJ51" i="8" s="1"/>
  <c r="HN51" i="8" s="1"/>
  <c r="CT51" i="8"/>
  <c r="CI51" i="8"/>
  <c r="CH51" i="8"/>
  <c r="CG51" i="8"/>
  <c r="CF51" i="8"/>
  <c r="CE51" i="8"/>
  <c r="IK50" i="8"/>
  <c r="IJ50" i="8"/>
  <c r="ID50" i="8"/>
  <c r="IH50" i="8" s="1"/>
  <c r="IB50" i="8"/>
  <c r="IC50" i="8" s="1"/>
  <c r="HQ50" i="8"/>
  <c r="HP50" i="8"/>
  <c r="HJ50" i="8"/>
  <c r="HN50" i="8" s="1"/>
  <c r="HI50" i="8"/>
  <c r="HH50" i="8"/>
  <c r="CT50" i="8"/>
  <c r="IZ50" i="8" s="1"/>
  <c r="CI50" i="8"/>
  <c r="CH50" i="8"/>
  <c r="CG50" i="8"/>
  <c r="CF50" i="8"/>
  <c r="CE50" i="8"/>
  <c r="BH50" i="8"/>
  <c r="IK49" i="8"/>
  <c r="IJ49" i="8"/>
  <c r="IB49" i="8"/>
  <c r="HQ49" i="8"/>
  <c r="HP49" i="8"/>
  <c r="HH49" i="8"/>
  <c r="CT49" i="8"/>
  <c r="IZ49" i="8" s="1"/>
  <c r="CI49" i="8"/>
  <c r="CH49" i="8"/>
  <c r="CG49" i="8"/>
  <c r="CF49" i="8"/>
  <c r="CE49" i="8"/>
  <c r="NV48" i="8"/>
  <c r="IZ48" i="8"/>
  <c r="CT48" i="8"/>
  <c r="CI48" i="8"/>
  <c r="CH48" i="8"/>
  <c r="CG48" i="8"/>
  <c r="CF48" i="8"/>
  <c r="CE48" i="8"/>
  <c r="NV47" i="8"/>
  <c r="ID47" i="8"/>
  <c r="HJ47" i="8"/>
  <c r="CT47" i="8"/>
  <c r="IZ47" i="8" s="1"/>
  <c r="NV46" i="8"/>
  <c r="HY46" i="8"/>
  <c r="HE46" i="8"/>
  <c r="CT46" i="8"/>
  <c r="IZ46" i="8" s="1"/>
  <c r="CI46" i="8"/>
  <c r="CH46" i="8"/>
  <c r="CG46" i="8"/>
  <c r="CF46" i="8"/>
  <c r="CE46" i="8"/>
  <c r="CC46" i="8"/>
  <c r="CB46" i="8"/>
  <c r="BN46" i="8"/>
  <c r="BM46" i="8"/>
  <c r="BL46" i="8"/>
  <c r="BK46" i="8"/>
  <c r="BJ46" i="8"/>
  <c r="BI46" i="8"/>
  <c r="NV45" i="8"/>
  <c r="NH45" i="8"/>
  <c r="NG45" i="8"/>
  <c r="NF45" i="8"/>
  <c r="NE45" i="8"/>
  <c r="ND45" i="8"/>
  <c r="NC45" i="8"/>
  <c r="NB45" i="8"/>
  <c r="NA45" i="8"/>
  <c r="MZ45" i="8"/>
  <c r="MX45" i="8"/>
  <c r="HY45" i="8"/>
  <c r="HE45" i="8"/>
  <c r="CT45" i="8"/>
  <c r="IZ45" i="8" s="1"/>
  <c r="CI45" i="8"/>
  <c r="CH45" i="8"/>
  <c r="CG45" i="8"/>
  <c r="CF45" i="8"/>
  <c r="CE45" i="8"/>
  <c r="BN45" i="8"/>
  <c r="BM45" i="8"/>
  <c r="BL45" i="8"/>
  <c r="BK45" i="8"/>
  <c r="BJ45" i="8"/>
  <c r="BI45" i="8"/>
  <c r="NV44" i="8"/>
  <c r="NH44" i="8"/>
  <c r="NG44" i="8"/>
  <c r="NF44" i="8"/>
  <c r="NE44" i="8"/>
  <c r="ND44" i="8"/>
  <c r="NC44" i="8"/>
  <c r="NB44" i="8"/>
  <c r="NA44" i="8"/>
  <c r="MZ44" i="8"/>
  <c r="MX44" i="8"/>
  <c r="IZ44" i="8"/>
  <c r="HY44" i="8"/>
  <c r="HE44" i="8"/>
  <c r="CT44" i="8"/>
  <c r="CI44" i="8"/>
  <c r="CH44" i="8"/>
  <c r="CG44" i="8"/>
  <c r="CF44" i="8"/>
  <c r="CE44" i="8"/>
  <c r="BN44" i="8"/>
  <c r="BM44" i="8"/>
  <c r="BL44" i="8"/>
  <c r="BK44" i="8"/>
  <c r="BJ44" i="8"/>
  <c r="BI44" i="8"/>
  <c r="NV43" i="8"/>
  <c r="NH43" i="8"/>
  <c r="NG43" i="8"/>
  <c r="NF43" i="8"/>
  <c r="NE43" i="8"/>
  <c r="ND43" i="8"/>
  <c r="NC43" i="8"/>
  <c r="NB43" i="8"/>
  <c r="NA43" i="8"/>
  <c r="MZ43" i="8"/>
  <c r="MX43" i="8"/>
  <c r="HY43" i="8"/>
  <c r="HE43" i="8"/>
  <c r="CT43" i="8"/>
  <c r="IZ43" i="8" s="1"/>
  <c r="CI43" i="8"/>
  <c r="CH43" i="8"/>
  <c r="CG43" i="8"/>
  <c r="CF43" i="8"/>
  <c r="CE43" i="8"/>
  <c r="BN43" i="8"/>
  <c r="BM43" i="8"/>
  <c r="BL43" i="8"/>
  <c r="BK43" i="8"/>
  <c r="BJ43" i="8"/>
  <c r="BI43" i="8"/>
  <c r="NV42" i="8"/>
  <c r="NH42" i="8"/>
  <c r="NG42" i="8"/>
  <c r="NF42" i="8"/>
  <c r="NE42" i="8"/>
  <c r="ND42" i="8"/>
  <c r="NC42" i="8"/>
  <c r="NB42" i="8"/>
  <c r="NA42" i="8"/>
  <c r="MZ42" i="8"/>
  <c r="MX42" i="8"/>
  <c r="HY42" i="8"/>
  <c r="HE42" i="8"/>
  <c r="CT42" i="8"/>
  <c r="IZ42" i="8" s="1"/>
  <c r="CI42" i="8"/>
  <c r="CH42" i="8"/>
  <c r="CG42" i="8"/>
  <c r="CF42" i="8"/>
  <c r="CE42" i="8"/>
  <c r="BN42" i="8"/>
  <c r="BM42" i="8"/>
  <c r="BL42" i="8"/>
  <c r="BK42" i="8"/>
  <c r="BJ42" i="8"/>
  <c r="BI42" i="8"/>
  <c r="NV41" i="8"/>
  <c r="NH41" i="8"/>
  <c r="NG41" i="8"/>
  <c r="NF41" i="8"/>
  <c r="NE41" i="8"/>
  <c r="ND41" i="8"/>
  <c r="NC41" i="8"/>
  <c r="NB41" i="8"/>
  <c r="NA41" i="8"/>
  <c r="MZ41" i="8"/>
  <c r="MX41" i="8"/>
  <c r="IZ41" i="8"/>
  <c r="HY41" i="8"/>
  <c r="HE41" i="8"/>
  <c r="CT41" i="8"/>
  <c r="CI41" i="8"/>
  <c r="CH41" i="8"/>
  <c r="CG41" i="8"/>
  <c r="CF41" i="8"/>
  <c r="CE41" i="8"/>
  <c r="NV40" i="8"/>
  <c r="IZ40" i="8"/>
  <c r="HY40" i="8"/>
  <c r="HE40" i="8"/>
  <c r="CT40" i="8"/>
  <c r="BN40" i="8"/>
  <c r="BM40" i="8"/>
  <c r="BL40" i="8"/>
  <c r="BK40" i="8"/>
  <c r="BJ40" i="8"/>
  <c r="BI40" i="8"/>
  <c r="NV39" i="8"/>
  <c r="NH39" i="8"/>
  <c r="NG39" i="8"/>
  <c r="NF39" i="8"/>
  <c r="NE39" i="8"/>
  <c r="ND39" i="8"/>
  <c r="NC39" i="8"/>
  <c r="NB39" i="8"/>
  <c r="NA39" i="8"/>
  <c r="MZ39" i="8"/>
  <c r="MX39" i="8"/>
  <c r="HY39" i="8"/>
  <c r="HE39" i="8"/>
  <c r="CT39" i="8"/>
  <c r="IZ39" i="8" s="1"/>
  <c r="BN39" i="8"/>
  <c r="BM39" i="8"/>
  <c r="BL39" i="8"/>
  <c r="BK39" i="8"/>
  <c r="BJ39" i="8"/>
  <c r="BI39" i="8"/>
  <c r="NV38" i="8"/>
  <c r="NH38" i="8"/>
  <c r="NG38" i="8"/>
  <c r="NF38" i="8"/>
  <c r="NE38" i="8"/>
  <c r="ND38" i="8"/>
  <c r="NC38" i="8"/>
  <c r="NB38" i="8"/>
  <c r="NA38" i="8"/>
  <c r="MZ38" i="8"/>
  <c r="MX38" i="8"/>
  <c r="IZ38" i="8"/>
  <c r="HY38" i="8"/>
  <c r="HE38" i="8"/>
  <c r="CT38" i="8"/>
  <c r="CC38" i="8"/>
  <c r="CB38" i="8"/>
  <c r="CB52" i="8" s="1"/>
  <c r="BN38" i="8"/>
  <c r="BM38" i="8"/>
  <c r="BL38" i="8"/>
  <c r="BK38" i="8"/>
  <c r="BJ38" i="8"/>
  <c r="BI38" i="8"/>
  <c r="NH37" i="8"/>
  <c r="NG37" i="8"/>
  <c r="NF37" i="8"/>
  <c r="NE37" i="8"/>
  <c r="ND37" i="8"/>
  <c r="NC37" i="8"/>
  <c r="NB37" i="8"/>
  <c r="NA37" i="8"/>
  <c r="MZ37" i="8"/>
  <c r="MX37" i="8"/>
  <c r="HY37" i="8"/>
  <c r="HE37" i="8"/>
  <c r="CT37" i="8"/>
  <c r="IZ37" i="8" s="1"/>
  <c r="CC37" i="8"/>
  <c r="CB37" i="8"/>
  <c r="BN37" i="8"/>
  <c r="BM37" i="8"/>
  <c r="BL37" i="8"/>
  <c r="BK37" i="8"/>
  <c r="BJ37" i="8"/>
  <c r="BI37" i="8"/>
  <c r="NH36" i="8"/>
  <c r="NG36" i="8"/>
  <c r="NF36" i="8"/>
  <c r="NE36" i="8"/>
  <c r="ND36" i="8"/>
  <c r="NC36" i="8"/>
  <c r="NB36" i="8"/>
  <c r="NA36" i="8"/>
  <c r="MZ36" i="8"/>
  <c r="MX36" i="8"/>
  <c r="IZ36" i="8"/>
  <c r="HY36" i="8"/>
  <c r="HE36" i="8"/>
  <c r="CT36" i="8"/>
  <c r="CC36" i="8"/>
  <c r="CB36" i="8"/>
  <c r="BN36" i="8"/>
  <c r="BM36" i="8"/>
  <c r="BL36" i="8"/>
  <c r="BK36" i="8"/>
  <c r="BJ36" i="8"/>
  <c r="BI36" i="8"/>
  <c r="NH35" i="8"/>
  <c r="NG35" i="8"/>
  <c r="NF35" i="8"/>
  <c r="NE35" i="8"/>
  <c r="ND35" i="8"/>
  <c r="NC35" i="8"/>
  <c r="NB35" i="8"/>
  <c r="NA35" i="8"/>
  <c r="MZ35" i="8"/>
  <c r="MX35" i="8"/>
  <c r="IZ35" i="8"/>
  <c r="CT35" i="8"/>
  <c r="CC35" i="8"/>
  <c r="CB35" i="8"/>
  <c r="BN35" i="8"/>
  <c r="BM35" i="8"/>
  <c r="BL35" i="8"/>
  <c r="BK35" i="8"/>
  <c r="BJ35" i="8"/>
  <c r="BI35" i="8"/>
  <c r="BH35" i="8"/>
  <c r="NH34" i="8"/>
  <c r="NG34" i="8"/>
  <c r="NF34" i="8"/>
  <c r="NE34" i="8"/>
  <c r="ND34" i="8"/>
  <c r="NC34" i="8"/>
  <c r="NB34" i="8"/>
  <c r="NA34" i="8"/>
  <c r="MZ34" i="8"/>
  <c r="MX34" i="8"/>
  <c r="IZ34" i="8"/>
  <c r="CT34" i="8"/>
  <c r="CC34" i="8"/>
  <c r="CB34" i="8"/>
  <c r="HV33" i="8"/>
  <c r="HA33" i="8"/>
  <c r="GA33" i="8"/>
  <c r="FJ33" i="8"/>
  <c r="FF33" i="8"/>
  <c r="CT33" i="8"/>
  <c r="IZ33" i="8" s="1"/>
  <c r="CC33" i="8"/>
  <c r="CB33" i="8"/>
  <c r="HV32" i="8"/>
  <c r="HA32" i="8"/>
  <c r="GA32" i="8"/>
  <c r="FJ32" i="8"/>
  <c r="FF32" i="8"/>
  <c r="CT32" i="8"/>
  <c r="IZ32" i="8" s="1"/>
  <c r="CC32" i="8"/>
  <c r="CB32" i="8"/>
  <c r="CB43" i="8" s="1"/>
  <c r="MY31" i="8"/>
  <c r="IZ31" i="8"/>
  <c r="HV31" i="8"/>
  <c r="HA31" i="8"/>
  <c r="GA31" i="8"/>
  <c r="FJ31" i="8"/>
  <c r="FF31" i="8"/>
  <c r="CT31" i="8"/>
  <c r="CC31" i="8"/>
  <c r="CB31" i="8"/>
  <c r="BH31" i="8"/>
  <c r="MY30" i="8"/>
  <c r="HV30" i="8"/>
  <c r="HA30" i="8"/>
  <c r="GA30" i="8"/>
  <c r="FJ30" i="8"/>
  <c r="FF30" i="8"/>
  <c r="CT30" i="8"/>
  <c r="IZ30" i="8" s="1"/>
  <c r="CC30" i="8"/>
  <c r="CB30" i="8"/>
  <c r="HV29" i="8"/>
  <c r="HA29" i="8"/>
  <c r="GA29" i="8"/>
  <c r="FJ29" i="8"/>
  <c r="FF29" i="8"/>
  <c r="CT29" i="8"/>
  <c r="IZ29" i="8" s="1"/>
  <c r="CC29" i="8"/>
  <c r="CB29" i="8"/>
  <c r="BH29" i="8"/>
  <c r="HV28" i="8"/>
  <c r="HA28" i="8"/>
  <c r="GA28" i="8"/>
  <c r="FJ28" i="8"/>
  <c r="FF28" i="8"/>
  <c r="CT28" i="8"/>
  <c r="IZ28" i="8" s="1"/>
  <c r="CD28" i="8"/>
  <c r="CC28" i="8"/>
  <c r="CB28" i="8"/>
  <c r="BH28" i="8"/>
  <c r="MY27" i="8"/>
  <c r="HV27" i="8"/>
  <c r="HA27" i="8"/>
  <c r="GA27" i="8"/>
  <c r="FJ27" i="8"/>
  <c r="FF27" i="8"/>
  <c r="CT27" i="8"/>
  <c r="IZ27" i="8" s="1"/>
  <c r="BH27" i="8"/>
  <c r="MY26" i="8"/>
  <c r="KA26" i="8"/>
  <c r="KA27" i="8" s="1"/>
  <c r="KA28" i="8" s="1"/>
  <c r="KA29" i="8" s="1"/>
  <c r="KA30" i="8" s="1"/>
  <c r="KA31" i="8" s="1"/>
  <c r="KA32" i="8" s="1"/>
  <c r="KA33" i="8" s="1"/>
  <c r="KA34" i="8" s="1"/>
  <c r="KA35" i="8" s="1"/>
  <c r="KA36" i="8" s="1"/>
  <c r="KA37" i="8" s="1"/>
  <c r="KA38" i="8" s="1"/>
  <c r="KA39" i="8" s="1"/>
  <c r="KA40" i="8" s="1"/>
  <c r="KA41" i="8" s="1"/>
  <c r="KA42" i="8" s="1"/>
  <c r="KA43" i="8" s="1"/>
  <c r="KA44" i="8" s="1"/>
  <c r="KA45" i="8" s="1"/>
  <c r="KA46" i="8" s="1"/>
  <c r="KA47" i="8" s="1"/>
  <c r="KA48" i="8" s="1"/>
  <c r="KA49" i="8" s="1"/>
  <c r="KA50" i="8" s="1"/>
  <c r="KA51" i="8" s="1"/>
  <c r="KA52" i="8" s="1"/>
  <c r="KA53" i="8" s="1"/>
  <c r="KA54" i="8" s="1"/>
  <c r="KA55" i="8" s="1"/>
  <c r="KA56" i="8" s="1"/>
  <c r="KA57" i="8" s="1"/>
  <c r="KA58" i="8" s="1"/>
  <c r="KA59" i="8" s="1"/>
  <c r="JZ26" i="8"/>
  <c r="JZ27" i="8" s="1"/>
  <c r="JZ28" i="8" s="1"/>
  <c r="JZ29" i="8" s="1"/>
  <c r="JZ30" i="8" s="1"/>
  <c r="JZ31" i="8" s="1"/>
  <c r="JZ32" i="8" s="1"/>
  <c r="JZ33" i="8" s="1"/>
  <c r="JZ34" i="8" s="1"/>
  <c r="JZ35" i="8" s="1"/>
  <c r="JZ36" i="8" s="1"/>
  <c r="JZ37" i="8" s="1"/>
  <c r="JZ38" i="8" s="1"/>
  <c r="JZ39" i="8" s="1"/>
  <c r="JZ40" i="8" s="1"/>
  <c r="JZ41" i="8" s="1"/>
  <c r="JZ42" i="8" s="1"/>
  <c r="JZ43" i="8" s="1"/>
  <c r="JZ44" i="8" s="1"/>
  <c r="JZ45" i="8" s="1"/>
  <c r="JZ46" i="8" s="1"/>
  <c r="JZ47" i="8" s="1"/>
  <c r="JZ48" i="8" s="1"/>
  <c r="JZ49" i="8" s="1"/>
  <c r="JZ50" i="8" s="1"/>
  <c r="JZ51" i="8" s="1"/>
  <c r="JZ52" i="8" s="1"/>
  <c r="JZ53" i="8" s="1"/>
  <c r="JZ54" i="8" s="1"/>
  <c r="JZ55" i="8" s="1"/>
  <c r="JZ56" i="8" s="1"/>
  <c r="JZ57" i="8" s="1"/>
  <c r="JZ58" i="8" s="1"/>
  <c r="JZ59" i="8" s="1"/>
  <c r="HV26" i="8"/>
  <c r="HA26" i="8"/>
  <c r="GA26" i="8"/>
  <c r="FJ26" i="8"/>
  <c r="FF26" i="8"/>
  <c r="CT26" i="8"/>
  <c r="IZ26" i="8" s="1"/>
  <c r="CH26" i="8"/>
  <c r="BH26" i="8"/>
  <c r="MY25" i="8"/>
  <c r="JZ25" i="8"/>
  <c r="IZ25" i="8"/>
  <c r="HV25" i="8"/>
  <c r="HA25" i="8"/>
  <c r="GA25" i="8"/>
  <c r="FJ25" i="8"/>
  <c r="FF25" i="8"/>
  <c r="CT25" i="8"/>
  <c r="CH25" i="8"/>
  <c r="BH25" i="8"/>
  <c r="MY24" i="8"/>
  <c r="KA24" i="8"/>
  <c r="KA25" i="8" s="1"/>
  <c r="JZ24" i="8"/>
  <c r="HV24" i="8"/>
  <c r="HA24" i="8"/>
  <c r="GA24" i="8"/>
  <c r="FJ24" i="8"/>
  <c r="FF24" i="8"/>
  <c r="CT24" i="8"/>
  <c r="IZ24" i="8" s="1"/>
  <c r="BH24" i="8"/>
  <c r="MY23" i="8"/>
  <c r="HV23" i="8"/>
  <c r="HA23" i="8"/>
  <c r="GA23" i="8"/>
  <c r="FJ23" i="8"/>
  <c r="FF23" i="8"/>
  <c r="CT23" i="8"/>
  <c r="IZ23" i="8" s="1"/>
  <c r="BH23" i="8"/>
  <c r="MY22" i="8"/>
  <c r="IZ22" i="8"/>
  <c r="HV22" i="8"/>
  <c r="HA22" i="8"/>
  <c r="GA22" i="8"/>
  <c r="FJ22" i="8"/>
  <c r="FF22" i="8"/>
  <c r="CT22" i="8"/>
  <c r="BH22" i="8"/>
  <c r="BH42" i="8" s="1"/>
  <c r="MY21" i="8"/>
  <c r="HV21" i="8"/>
  <c r="HA21" i="8"/>
  <c r="GA21" i="8"/>
  <c r="FJ21" i="8"/>
  <c r="FF21" i="8"/>
  <c r="CT21" i="8"/>
  <c r="IZ21" i="8" s="1"/>
  <c r="HV20" i="8"/>
  <c r="HA20" i="8"/>
  <c r="GA20" i="8"/>
  <c r="FJ20" i="8"/>
  <c r="FF20" i="8"/>
  <c r="CT20" i="8"/>
  <c r="IZ20" i="8" s="1"/>
  <c r="BL20" i="8"/>
  <c r="NS19" i="8"/>
  <c r="NG19" i="8"/>
  <c r="IZ19" i="8"/>
  <c r="HV19" i="8"/>
  <c r="HA19" i="8"/>
  <c r="GA19" i="8"/>
  <c r="FJ19" i="8"/>
  <c r="FF19" i="8"/>
  <c r="CT19" i="8"/>
  <c r="NS18" i="8"/>
  <c r="OR18" i="8" s="1"/>
  <c r="HV18" i="8"/>
  <c r="HA18" i="8"/>
  <c r="GA18" i="8"/>
  <c r="FJ18" i="8"/>
  <c r="FF18" i="8"/>
  <c r="CT18" i="8"/>
  <c r="IZ18" i="8" s="1"/>
  <c r="OR17" i="8"/>
  <c r="HV17" i="8"/>
  <c r="HA17" i="8"/>
  <c r="GA17" i="8"/>
  <c r="FJ17" i="8"/>
  <c r="FF17" i="8"/>
  <c r="CT17" i="8"/>
  <c r="IZ17" i="8" s="1"/>
  <c r="CH17" i="8"/>
  <c r="CG17" i="8"/>
  <c r="CF17" i="8"/>
  <c r="CE17" i="8"/>
  <c r="CD17" i="8"/>
  <c r="OR16" i="8"/>
  <c r="HV16" i="8"/>
  <c r="HA16" i="8"/>
  <c r="GE16" i="8"/>
  <c r="GE17" i="8" s="1"/>
  <c r="GE18" i="8" s="1"/>
  <c r="GE19" i="8" s="1"/>
  <c r="GE20" i="8" s="1"/>
  <c r="GE21" i="8" s="1"/>
  <c r="GE22" i="8" s="1"/>
  <c r="GE23" i="8" s="1"/>
  <c r="GE24" i="8" s="1"/>
  <c r="GE25" i="8" s="1"/>
  <c r="GE26" i="8" s="1"/>
  <c r="GE27" i="8" s="1"/>
  <c r="GE28" i="8" s="1"/>
  <c r="GE29" i="8" s="1"/>
  <c r="GE30" i="8" s="1"/>
  <c r="GE31" i="8" s="1"/>
  <c r="GE32" i="8" s="1"/>
  <c r="GE33" i="8" s="1"/>
  <c r="GE34" i="8" s="1"/>
  <c r="GE35" i="8" s="1"/>
  <c r="GE36" i="8" s="1"/>
  <c r="GE37" i="8" s="1"/>
  <c r="GE38" i="8" s="1"/>
  <c r="GE39" i="8" s="1"/>
  <c r="GE40" i="8" s="1"/>
  <c r="GE41" i="8" s="1"/>
  <c r="GE42" i="8" s="1"/>
  <c r="GE43" i="8" s="1"/>
  <c r="GE44" i="8" s="1"/>
  <c r="GE45" i="8" s="1"/>
  <c r="GE46" i="8" s="1"/>
  <c r="GE47" i="8" s="1"/>
  <c r="GE48" i="8" s="1"/>
  <c r="GE49" i="8" s="1"/>
  <c r="GE50" i="8" s="1"/>
  <c r="GE51" i="8" s="1"/>
  <c r="GE52" i="8" s="1"/>
  <c r="GA16" i="8"/>
  <c r="FJ16" i="8"/>
  <c r="FF16" i="8"/>
  <c r="CT16" i="8"/>
  <c r="IZ16" i="8" s="1"/>
  <c r="OR15" i="8"/>
  <c r="HV15" i="8"/>
  <c r="HA15" i="8"/>
  <c r="GF15" i="8"/>
  <c r="GF16" i="8" s="1"/>
  <c r="GF17" i="8" s="1"/>
  <c r="GF18" i="8" s="1"/>
  <c r="GF19" i="8" s="1"/>
  <c r="GF20" i="8" s="1"/>
  <c r="GF21" i="8" s="1"/>
  <c r="GF22" i="8" s="1"/>
  <c r="GF23" i="8" s="1"/>
  <c r="GF24" i="8" s="1"/>
  <c r="GF25" i="8" s="1"/>
  <c r="GF26" i="8" s="1"/>
  <c r="GF27" i="8" s="1"/>
  <c r="GF28" i="8" s="1"/>
  <c r="GF29" i="8" s="1"/>
  <c r="GF30" i="8" s="1"/>
  <c r="GF31" i="8" s="1"/>
  <c r="GF32" i="8" s="1"/>
  <c r="GF33" i="8" s="1"/>
  <c r="GF34" i="8" s="1"/>
  <c r="GF35" i="8" s="1"/>
  <c r="GF36" i="8" s="1"/>
  <c r="GF37" i="8" s="1"/>
  <c r="GF38" i="8" s="1"/>
  <c r="GF39" i="8" s="1"/>
  <c r="GF40" i="8" s="1"/>
  <c r="GF41" i="8" s="1"/>
  <c r="GF42" i="8" s="1"/>
  <c r="GF43" i="8" s="1"/>
  <c r="GF44" i="8" s="1"/>
  <c r="GF45" i="8" s="1"/>
  <c r="GF46" i="8" s="1"/>
  <c r="GF47" i="8" s="1"/>
  <c r="GF48" i="8" s="1"/>
  <c r="GF49" i="8" s="1"/>
  <c r="GF50" i="8" s="1"/>
  <c r="GF51" i="8" s="1"/>
  <c r="GF52" i="8" s="1"/>
  <c r="GF53" i="8" s="1"/>
  <c r="GF54" i="8" s="1"/>
  <c r="GF55" i="8" s="1"/>
  <c r="GF56" i="8" s="1"/>
  <c r="GF57" i="8" s="1"/>
  <c r="GF58" i="8" s="1"/>
  <c r="GF59" i="8" s="1"/>
  <c r="GA15" i="8"/>
  <c r="FJ15" i="8"/>
  <c r="FF15" i="8"/>
  <c r="EX15" i="8"/>
  <c r="EX16" i="8" s="1"/>
  <c r="EX17" i="8" s="1"/>
  <c r="EX18" i="8" s="1"/>
  <c r="EX19" i="8" s="1"/>
  <c r="EX20" i="8" s="1"/>
  <c r="EX21" i="8" s="1"/>
  <c r="EX22" i="8" s="1"/>
  <c r="EX23" i="8" s="1"/>
  <c r="EX24" i="8" s="1"/>
  <c r="EX25" i="8" s="1"/>
  <c r="EX26" i="8" s="1"/>
  <c r="EX27" i="8" s="1"/>
  <c r="EX28" i="8" s="1"/>
  <c r="EX29" i="8" s="1"/>
  <c r="EX30" i="8" s="1"/>
  <c r="EX31" i="8" s="1"/>
  <c r="EX32" i="8" s="1"/>
  <c r="EX33" i="8" s="1"/>
  <c r="CX15" i="8"/>
  <c r="CX16" i="8" s="1"/>
  <c r="CX17" i="8" s="1"/>
  <c r="CX18" i="8" s="1"/>
  <c r="CX19" i="8" s="1"/>
  <c r="CX20" i="8" s="1"/>
  <c r="CX21" i="8" s="1"/>
  <c r="CX22" i="8" s="1"/>
  <c r="CX23" i="8" s="1"/>
  <c r="CX24" i="8" s="1"/>
  <c r="CX25" i="8" s="1"/>
  <c r="CX26" i="8" s="1"/>
  <c r="CX27" i="8" s="1"/>
  <c r="CX28" i="8" s="1"/>
  <c r="CX29" i="8" s="1"/>
  <c r="CX30" i="8" s="1"/>
  <c r="CX31" i="8" s="1"/>
  <c r="CX32" i="8" s="1"/>
  <c r="CX33" i="8" s="1"/>
  <c r="CX34" i="8" s="1"/>
  <c r="CX35" i="8" s="1"/>
  <c r="CX36" i="8" s="1"/>
  <c r="CX37" i="8" s="1"/>
  <c r="CX38" i="8" s="1"/>
  <c r="CX39" i="8" s="1"/>
  <c r="CX40" i="8" s="1"/>
  <c r="CX41" i="8" s="1"/>
  <c r="CX42" i="8" s="1"/>
  <c r="CX43" i="8" s="1"/>
  <c r="CX44" i="8" s="1"/>
  <c r="CX45" i="8" s="1"/>
  <c r="CX46" i="8" s="1"/>
  <c r="CX47" i="8" s="1"/>
  <c r="CX48" i="8" s="1"/>
  <c r="CX49" i="8" s="1"/>
  <c r="CX50" i="8" s="1"/>
  <c r="CX51" i="8" s="1"/>
  <c r="CX52" i="8" s="1"/>
  <c r="CX53" i="8" s="1"/>
  <c r="CX54" i="8" s="1"/>
  <c r="CX55" i="8" s="1"/>
  <c r="CX56" i="8" s="1"/>
  <c r="CX57" i="8" s="1"/>
  <c r="CX58" i="8" s="1"/>
  <c r="CX59" i="8" s="1"/>
  <c r="CT15" i="8"/>
  <c r="IZ15" i="8" s="1"/>
  <c r="OR14" i="8"/>
  <c r="IZ14" i="8"/>
  <c r="IB14" i="8"/>
  <c r="IB15" i="8" s="1"/>
  <c r="IB16" i="8" s="1"/>
  <c r="IB17" i="8" s="1"/>
  <c r="IB18" i="8" s="1"/>
  <c r="IB19" i="8" s="1"/>
  <c r="IB20" i="8" s="1"/>
  <c r="IB21" i="8" s="1"/>
  <c r="IB22" i="8" s="1"/>
  <c r="IB23" i="8" s="1"/>
  <c r="IB24" i="8" s="1"/>
  <c r="IB25" i="8" s="1"/>
  <c r="IB26" i="8" s="1"/>
  <c r="IB27" i="8" s="1"/>
  <c r="IB28" i="8" s="1"/>
  <c r="IB29" i="8" s="1"/>
  <c r="IB30" i="8" s="1"/>
  <c r="IB31" i="8" s="1"/>
  <c r="IB32" i="8" s="1"/>
  <c r="IB33" i="8" s="1"/>
  <c r="IA14" i="8"/>
  <c r="IA15" i="8" s="1"/>
  <c r="IA16" i="8" s="1"/>
  <c r="IA17" i="8" s="1"/>
  <c r="IA18" i="8" s="1"/>
  <c r="IA19" i="8" s="1"/>
  <c r="IA20" i="8" s="1"/>
  <c r="IA21" i="8" s="1"/>
  <c r="IA22" i="8" s="1"/>
  <c r="IA23" i="8" s="1"/>
  <c r="IA24" i="8" s="1"/>
  <c r="IA25" i="8" s="1"/>
  <c r="IA26" i="8" s="1"/>
  <c r="IA27" i="8" s="1"/>
  <c r="IA28" i="8" s="1"/>
  <c r="IA29" i="8" s="1"/>
  <c r="IA30" i="8" s="1"/>
  <c r="IA31" i="8" s="1"/>
  <c r="IA32" i="8" s="1"/>
  <c r="IA33" i="8" s="1"/>
  <c r="HV14" i="8"/>
  <c r="HA14" i="8"/>
  <c r="GA14" i="8"/>
  <c r="FJ14" i="8"/>
  <c r="FF14" i="8"/>
  <c r="EW14" i="8"/>
  <c r="EW15" i="8" s="1"/>
  <c r="EW16" i="8" s="1"/>
  <c r="EW17" i="8" s="1"/>
  <c r="EW18" i="8" s="1"/>
  <c r="EW19" i="8" s="1"/>
  <c r="EW20" i="8" s="1"/>
  <c r="EW21" i="8" s="1"/>
  <c r="EW22" i="8" s="1"/>
  <c r="EW23" i="8" s="1"/>
  <c r="EW24" i="8" s="1"/>
  <c r="EW25" i="8" s="1"/>
  <c r="EW26" i="8" s="1"/>
  <c r="EW27" i="8" s="1"/>
  <c r="EW28" i="8" s="1"/>
  <c r="EW29" i="8" s="1"/>
  <c r="EW30" i="8" s="1"/>
  <c r="EW31" i="8" s="1"/>
  <c r="EW32" i="8" s="1"/>
  <c r="EW33" i="8" s="1"/>
  <c r="EV14" i="8"/>
  <c r="EV15" i="8" s="1"/>
  <c r="EV16" i="8" s="1"/>
  <c r="EV17" i="8" s="1"/>
  <c r="EV18" i="8" s="1"/>
  <c r="EV19" i="8" s="1"/>
  <c r="EV20" i="8" s="1"/>
  <c r="EV21" i="8" s="1"/>
  <c r="EV22" i="8" s="1"/>
  <c r="EV23" i="8" s="1"/>
  <c r="EV24" i="8" s="1"/>
  <c r="EV25" i="8" s="1"/>
  <c r="EV26" i="8" s="1"/>
  <c r="EV27" i="8" s="1"/>
  <c r="EV28" i="8" s="1"/>
  <c r="EV29" i="8" s="1"/>
  <c r="EV30" i="8" s="1"/>
  <c r="EV31" i="8" s="1"/>
  <c r="EV32" i="8" s="1"/>
  <c r="EV33" i="8" s="1"/>
  <c r="CX14" i="8"/>
  <c r="CW14" i="8"/>
  <c r="CW15" i="8" s="1"/>
  <c r="CW16" i="8" s="1"/>
  <c r="CW17" i="8" s="1"/>
  <c r="CW18" i="8" s="1"/>
  <c r="CW19" i="8" s="1"/>
  <c r="CW20" i="8" s="1"/>
  <c r="CW21" i="8" s="1"/>
  <c r="CW22" i="8" s="1"/>
  <c r="CW23" i="8" s="1"/>
  <c r="CW24" i="8" s="1"/>
  <c r="CW25" i="8" s="1"/>
  <c r="CW26" i="8" s="1"/>
  <c r="CW27" i="8" s="1"/>
  <c r="CW28" i="8" s="1"/>
  <c r="CW29" i="8" s="1"/>
  <c r="CW30" i="8" s="1"/>
  <c r="CW31" i="8" s="1"/>
  <c r="CW32" i="8" s="1"/>
  <c r="CW33" i="8" s="1"/>
  <c r="CW34" i="8" s="1"/>
  <c r="CW35" i="8" s="1"/>
  <c r="CW36" i="8" s="1"/>
  <c r="CW37" i="8" s="1"/>
  <c r="CW38" i="8" s="1"/>
  <c r="CW39" i="8" s="1"/>
  <c r="CW40" i="8" s="1"/>
  <c r="CW41" i="8" s="1"/>
  <c r="CW42" i="8" s="1"/>
  <c r="CW43" i="8" s="1"/>
  <c r="CW44" i="8" s="1"/>
  <c r="CW45" i="8" s="1"/>
  <c r="CW46" i="8" s="1"/>
  <c r="CW47" i="8" s="1"/>
  <c r="CW48" i="8" s="1"/>
  <c r="CW49" i="8" s="1"/>
  <c r="CW50" i="8" s="1"/>
  <c r="CW51" i="8" s="1"/>
  <c r="CW52" i="8" s="1"/>
  <c r="CW53" i="8" s="1"/>
  <c r="CW54" i="8" s="1"/>
  <c r="CW55" i="8" s="1"/>
  <c r="CW56" i="8" s="1"/>
  <c r="CW57" i="8" s="1"/>
  <c r="CW58" i="8" s="1"/>
  <c r="CW59" i="8" s="1"/>
  <c r="CT14" i="8"/>
  <c r="OR13" i="8"/>
  <c r="IZ13" i="8"/>
  <c r="HV13" i="8"/>
  <c r="HA13" i="8"/>
  <c r="GN13" i="8"/>
  <c r="GN14" i="8" s="1"/>
  <c r="GN15" i="8" s="1"/>
  <c r="GN16" i="8" s="1"/>
  <c r="GN17" i="8" s="1"/>
  <c r="GN18" i="8" s="1"/>
  <c r="GN19" i="8" s="1"/>
  <c r="GN20" i="8" s="1"/>
  <c r="GN21" i="8" s="1"/>
  <c r="GN22" i="8" s="1"/>
  <c r="GN23" i="8" s="1"/>
  <c r="GN24" i="8" s="1"/>
  <c r="GN25" i="8" s="1"/>
  <c r="GN26" i="8" s="1"/>
  <c r="GN27" i="8" s="1"/>
  <c r="GN28" i="8" s="1"/>
  <c r="GN29" i="8" s="1"/>
  <c r="GN30" i="8" s="1"/>
  <c r="GN31" i="8" s="1"/>
  <c r="GN32" i="8" s="1"/>
  <c r="GN33" i="8" s="1"/>
  <c r="GN34" i="8" s="1"/>
  <c r="GN35" i="8" s="1"/>
  <c r="GN36" i="8" s="1"/>
  <c r="GN37" i="8" s="1"/>
  <c r="GN38" i="8" s="1"/>
  <c r="GN39" i="8" s="1"/>
  <c r="GN40" i="8" s="1"/>
  <c r="GN41" i="8" s="1"/>
  <c r="GN42" i="8" s="1"/>
  <c r="GN43" i="8" s="1"/>
  <c r="GN44" i="8" s="1"/>
  <c r="GN45" i="8" s="1"/>
  <c r="GN46" i="8" s="1"/>
  <c r="GN47" i="8" s="1"/>
  <c r="GN48" i="8" s="1"/>
  <c r="GN49" i="8" s="1"/>
  <c r="GN50" i="8" s="1"/>
  <c r="GN51" i="8" s="1"/>
  <c r="GN52" i="8" s="1"/>
  <c r="GN53" i="8" s="1"/>
  <c r="GN54" i="8" s="1"/>
  <c r="GN55" i="8" s="1"/>
  <c r="GN56" i="8" s="1"/>
  <c r="GN57" i="8" s="1"/>
  <c r="GN58" i="8" s="1"/>
  <c r="GN59" i="8" s="1"/>
  <c r="GA13" i="8"/>
  <c r="FS13" i="8"/>
  <c r="FS14" i="8" s="1"/>
  <c r="FS15" i="8" s="1"/>
  <c r="FS16" i="8" s="1"/>
  <c r="FS17" i="8" s="1"/>
  <c r="FS18" i="8" s="1"/>
  <c r="FS19" i="8" s="1"/>
  <c r="FS20" i="8" s="1"/>
  <c r="FS21" i="8" s="1"/>
  <c r="FS22" i="8" s="1"/>
  <c r="FS23" i="8" s="1"/>
  <c r="FS24" i="8" s="1"/>
  <c r="FS25" i="8" s="1"/>
  <c r="FS26" i="8" s="1"/>
  <c r="FS27" i="8" s="1"/>
  <c r="FS28" i="8" s="1"/>
  <c r="FS29" i="8" s="1"/>
  <c r="FS30" i="8" s="1"/>
  <c r="FS31" i="8" s="1"/>
  <c r="FS32" i="8" s="1"/>
  <c r="FS33" i="8" s="1"/>
  <c r="FR13" i="8"/>
  <c r="FR14" i="8" s="1"/>
  <c r="FR15" i="8" s="1"/>
  <c r="FR16" i="8" s="1"/>
  <c r="FR17" i="8" s="1"/>
  <c r="FR18" i="8" s="1"/>
  <c r="FR19" i="8" s="1"/>
  <c r="FR20" i="8" s="1"/>
  <c r="FR21" i="8" s="1"/>
  <c r="FR22" i="8" s="1"/>
  <c r="FR23" i="8" s="1"/>
  <c r="FR24" i="8" s="1"/>
  <c r="FR25" i="8" s="1"/>
  <c r="FR26" i="8" s="1"/>
  <c r="FR27" i="8" s="1"/>
  <c r="FR28" i="8" s="1"/>
  <c r="FR29" i="8" s="1"/>
  <c r="FR30" i="8" s="1"/>
  <c r="FR31" i="8" s="1"/>
  <c r="FR32" i="8" s="1"/>
  <c r="FR33" i="8" s="1"/>
  <c r="FJ13" i="8"/>
  <c r="FF13" i="8"/>
  <c r="CT13" i="8"/>
  <c r="CH13" i="8"/>
  <c r="CG13" i="8"/>
  <c r="CF13" i="8"/>
  <c r="CE13" i="8"/>
  <c r="CD13" i="8"/>
  <c r="CC13" i="8"/>
  <c r="CB13" i="8"/>
  <c r="OR12" i="8"/>
  <c r="IZ12" i="8"/>
  <c r="HV12" i="8"/>
  <c r="HA12" i="8"/>
  <c r="GA12" i="8"/>
  <c r="FQ12" i="8"/>
  <c r="FQ13" i="8" s="1"/>
  <c r="FQ14" i="8" s="1"/>
  <c r="FQ15" i="8" s="1"/>
  <c r="FQ16" i="8" s="1"/>
  <c r="FQ17" i="8" s="1"/>
  <c r="FQ18" i="8" s="1"/>
  <c r="FQ19" i="8" s="1"/>
  <c r="FQ20" i="8" s="1"/>
  <c r="FQ21" i="8" s="1"/>
  <c r="FQ22" i="8" s="1"/>
  <c r="FQ23" i="8" s="1"/>
  <c r="FQ24" i="8" s="1"/>
  <c r="FQ25" i="8" s="1"/>
  <c r="FQ26" i="8" s="1"/>
  <c r="FQ27" i="8" s="1"/>
  <c r="FQ28" i="8" s="1"/>
  <c r="FQ29" i="8" s="1"/>
  <c r="FQ30" i="8" s="1"/>
  <c r="FQ31" i="8" s="1"/>
  <c r="FQ32" i="8" s="1"/>
  <c r="FQ33" i="8" s="1"/>
  <c r="FJ12" i="8"/>
  <c r="FF12" i="8"/>
  <c r="CT12" i="8"/>
  <c r="OR11" i="8"/>
  <c r="OD11" i="8"/>
  <c r="OD12" i="8" s="1"/>
  <c r="OD13" i="8" s="1"/>
  <c r="OD14" i="8" s="1"/>
  <c r="OD15" i="8" s="1"/>
  <c r="OD16" i="8" s="1"/>
  <c r="OD17" i="8" s="1"/>
  <c r="OD18" i="8" s="1"/>
  <c r="OD19" i="8" s="1"/>
  <c r="OD20" i="8" s="1"/>
  <c r="OD21" i="8" s="1"/>
  <c r="OD22" i="8" s="1"/>
  <c r="OD23" i="8" s="1"/>
  <c r="OD24" i="8" s="1"/>
  <c r="OD25" i="8" s="1"/>
  <c r="OD26" i="8" s="1"/>
  <c r="OD27" i="8" s="1"/>
  <c r="OD28" i="8" s="1"/>
  <c r="OD29" i="8" s="1"/>
  <c r="OD30" i="8" s="1"/>
  <c r="OD31" i="8" s="1"/>
  <c r="OD32" i="8" s="1"/>
  <c r="OD33" i="8" s="1"/>
  <c r="OC11" i="8"/>
  <c r="OC12" i="8" s="1"/>
  <c r="OC13" i="8" s="1"/>
  <c r="OC14" i="8" s="1"/>
  <c r="OC15" i="8" s="1"/>
  <c r="OC16" i="8" s="1"/>
  <c r="OC17" i="8" s="1"/>
  <c r="OC18" i="8" s="1"/>
  <c r="OC19" i="8" s="1"/>
  <c r="OC20" i="8" s="1"/>
  <c r="OC21" i="8" s="1"/>
  <c r="OC22" i="8" s="1"/>
  <c r="OC23" i="8" s="1"/>
  <c r="OC24" i="8" s="1"/>
  <c r="OC25" i="8" s="1"/>
  <c r="OC26" i="8" s="1"/>
  <c r="OC27" i="8" s="1"/>
  <c r="OC28" i="8" s="1"/>
  <c r="OC29" i="8" s="1"/>
  <c r="OC30" i="8" s="1"/>
  <c r="OC31" i="8" s="1"/>
  <c r="OC32" i="8" s="1"/>
  <c r="OC33" i="8" s="1"/>
  <c r="LQ11" i="8"/>
  <c r="LM11" i="8"/>
  <c r="LM12" i="8" s="1"/>
  <c r="IZ11" i="8"/>
  <c r="IB11" i="8"/>
  <c r="IB12" i="8" s="1"/>
  <c r="IB13" i="8" s="1"/>
  <c r="IA11" i="8"/>
  <c r="IA12" i="8" s="1"/>
  <c r="IA13" i="8" s="1"/>
  <c r="HV11" i="8"/>
  <c r="HA11" i="8"/>
  <c r="GH11" i="8"/>
  <c r="GH12" i="8" s="1"/>
  <c r="GH13" i="8" s="1"/>
  <c r="GH14" i="8" s="1"/>
  <c r="GH15" i="8" s="1"/>
  <c r="GH16" i="8" s="1"/>
  <c r="GH17" i="8" s="1"/>
  <c r="GH18" i="8" s="1"/>
  <c r="GH19" i="8" s="1"/>
  <c r="GH20" i="8" s="1"/>
  <c r="GH21" i="8" s="1"/>
  <c r="GH22" i="8" s="1"/>
  <c r="GH23" i="8" s="1"/>
  <c r="GH24" i="8" s="1"/>
  <c r="GH25" i="8" s="1"/>
  <c r="GH26" i="8" s="1"/>
  <c r="GH27" i="8" s="1"/>
  <c r="GH28" i="8" s="1"/>
  <c r="GH29" i="8" s="1"/>
  <c r="GH30" i="8" s="1"/>
  <c r="GH31" i="8" s="1"/>
  <c r="GH32" i="8" s="1"/>
  <c r="GH33" i="8" s="1"/>
  <c r="GH34" i="8" s="1"/>
  <c r="GH35" i="8" s="1"/>
  <c r="GH36" i="8" s="1"/>
  <c r="GH37" i="8" s="1"/>
  <c r="GH38" i="8" s="1"/>
  <c r="GH39" i="8" s="1"/>
  <c r="GH40" i="8" s="1"/>
  <c r="GH41" i="8" s="1"/>
  <c r="GH42" i="8" s="1"/>
  <c r="GH43" i="8" s="1"/>
  <c r="GH44" i="8" s="1"/>
  <c r="GH45" i="8" s="1"/>
  <c r="GH46" i="8" s="1"/>
  <c r="GH47" i="8" s="1"/>
  <c r="GH48" i="8" s="1"/>
  <c r="GH49" i="8" s="1"/>
  <c r="GH50" i="8" s="1"/>
  <c r="GH51" i="8" s="1"/>
  <c r="GH52" i="8" s="1"/>
  <c r="GH53" i="8" s="1"/>
  <c r="GH54" i="8" s="1"/>
  <c r="GH55" i="8" s="1"/>
  <c r="GH56" i="8" s="1"/>
  <c r="GH57" i="8" s="1"/>
  <c r="GH58" i="8" s="1"/>
  <c r="GH59" i="8" s="1"/>
  <c r="GG11" i="8"/>
  <c r="GG12" i="8" s="1"/>
  <c r="GG13" i="8" s="1"/>
  <c r="GG14" i="8" s="1"/>
  <c r="GG15" i="8" s="1"/>
  <c r="GG16" i="8" s="1"/>
  <c r="GG17" i="8" s="1"/>
  <c r="GG18" i="8" s="1"/>
  <c r="GG19" i="8" s="1"/>
  <c r="GG20" i="8" s="1"/>
  <c r="GG21" i="8" s="1"/>
  <c r="GG22" i="8" s="1"/>
  <c r="GG23" i="8" s="1"/>
  <c r="GG24" i="8" s="1"/>
  <c r="GG25" i="8" s="1"/>
  <c r="GG26" i="8" s="1"/>
  <c r="GG27" i="8" s="1"/>
  <c r="GG28" i="8" s="1"/>
  <c r="GG29" i="8" s="1"/>
  <c r="GG30" i="8" s="1"/>
  <c r="GG31" i="8" s="1"/>
  <c r="GG32" i="8" s="1"/>
  <c r="GG33" i="8" s="1"/>
  <c r="GG34" i="8" s="1"/>
  <c r="GG35" i="8" s="1"/>
  <c r="GG36" i="8" s="1"/>
  <c r="GG37" i="8" s="1"/>
  <c r="GG38" i="8" s="1"/>
  <c r="GG39" i="8" s="1"/>
  <c r="GG40" i="8" s="1"/>
  <c r="GG41" i="8" s="1"/>
  <c r="GG42" i="8" s="1"/>
  <c r="GG43" i="8" s="1"/>
  <c r="GG44" i="8" s="1"/>
  <c r="GG45" i="8" s="1"/>
  <c r="GG46" i="8" s="1"/>
  <c r="GG47" i="8" s="1"/>
  <c r="GG48" i="8" s="1"/>
  <c r="GG49" i="8" s="1"/>
  <c r="GG50" i="8" s="1"/>
  <c r="GG51" i="8" s="1"/>
  <c r="GG52" i="8" s="1"/>
  <c r="GG53" i="8" s="1"/>
  <c r="GG54" i="8" s="1"/>
  <c r="GG55" i="8" s="1"/>
  <c r="GG56" i="8" s="1"/>
  <c r="GG57" i="8" s="1"/>
  <c r="GG58" i="8" s="1"/>
  <c r="GG59" i="8" s="1"/>
  <c r="GA11" i="8"/>
  <c r="FJ11" i="8"/>
  <c r="FF11" i="8"/>
  <c r="EB11" i="8"/>
  <c r="EB12" i="8" s="1"/>
  <c r="EB13" i="8" s="1"/>
  <c r="EB14" i="8" s="1"/>
  <c r="EB15" i="8" s="1"/>
  <c r="EB16" i="8" s="1"/>
  <c r="EB17" i="8" s="1"/>
  <c r="EB18" i="8" s="1"/>
  <c r="EB19" i="8" s="1"/>
  <c r="EB20" i="8" s="1"/>
  <c r="EB21" i="8" s="1"/>
  <c r="EB22" i="8" s="1"/>
  <c r="EB23" i="8" s="1"/>
  <c r="EB24" i="8" s="1"/>
  <c r="EB25" i="8" s="1"/>
  <c r="EB26" i="8" s="1"/>
  <c r="EB27" i="8" s="1"/>
  <c r="EB28" i="8" s="1"/>
  <c r="EB29" i="8" s="1"/>
  <c r="EB30" i="8" s="1"/>
  <c r="EB31" i="8" s="1"/>
  <c r="EB32" i="8" s="1"/>
  <c r="EB33" i="8" s="1"/>
  <c r="EB34" i="8" s="1"/>
  <c r="EB35" i="8" s="1"/>
  <c r="EB36" i="8" s="1"/>
  <c r="EB37" i="8" s="1"/>
  <c r="EB38" i="8" s="1"/>
  <c r="EB39" i="8" s="1"/>
  <c r="EB40" i="8" s="1"/>
  <c r="EB41" i="8" s="1"/>
  <c r="EB42" i="8" s="1"/>
  <c r="EB43" i="8" s="1"/>
  <c r="EB44" i="8" s="1"/>
  <c r="EB45" i="8" s="1"/>
  <c r="EB46" i="8" s="1"/>
  <c r="EB47" i="8" s="1"/>
  <c r="EB48" i="8" s="1"/>
  <c r="EB49" i="8" s="1"/>
  <c r="EB50" i="8" s="1"/>
  <c r="EB51" i="8" s="1"/>
  <c r="EB52" i="8" s="1"/>
  <c r="EB53" i="8" s="1"/>
  <c r="EB54" i="8" s="1"/>
  <c r="EB55" i="8" s="1"/>
  <c r="EB56" i="8" s="1"/>
  <c r="EB57" i="8" s="1"/>
  <c r="EB58" i="8" s="1"/>
  <c r="EB59" i="8" s="1"/>
  <c r="EA11" i="8"/>
  <c r="EA12" i="8" s="1"/>
  <c r="EA13" i="8" s="1"/>
  <c r="EA14" i="8" s="1"/>
  <c r="EA15" i="8" s="1"/>
  <c r="EA16" i="8" s="1"/>
  <c r="EA17" i="8" s="1"/>
  <c r="EA18" i="8" s="1"/>
  <c r="EA19" i="8" s="1"/>
  <c r="EA20" i="8" s="1"/>
  <c r="EA21" i="8" s="1"/>
  <c r="EA22" i="8" s="1"/>
  <c r="EA23" i="8" s="1"/>
  <c r="EA24" i="8" s="1"/>
  <c r="EA25" i="8" s="1"/>
  <c r="EA26" i="8" s="1"/>
  <c r="EA27" i="8" s="1"/>
  <c r="EA28" i="8" s="1"/>
  <c r="EA29" i="8" s="1"/>
  <c r="EA30" i="8" s="1"/>
  <c r="EA31" i="8" s="1"/>
  <c r="EA32" i="8" s="1"/>
  <c r="EA33" i="8" s="1"/>
  <c r="EA34" i="8" s="1"/>
  <c r="EA35" i="8" s="1"/>
  <c r="EA36" i="8" s="1"/>
  <c r="EA37" i="8" s="1"/>
  <c r="EA38" i="8" s="1"/>
  <c r="EA39" i="8" s="1"/>
  <c r="EA40" i="8" s="1"/>
  <c r="EA41" i="8" s="1"/>
  <c r="EA42" i="8" s="1"/>
  <c r="EA43" i="8" s="1"/>
  <c r="EA44" i="8" s="1"/>
  <c r="EA45" i="8" s="1"/>
  <c r="EA46" i="8" s="1"/>
  <c r="EA47" i="8" s="1"/>
  <c r="EA48" i="8" s="1"/>
  <c r="EA49" i="8" s="1"/>
  <c r="EA50" i="8" s="1"/>
  <c r="EA51" i="8" s="1"/>
  <c r="EA52" i="8" s="1"/>
  <c r="EA53" i="8" s="1"/>
  <c r="EA54" i="8" s="1"/>
  <c r="EA55" i="8" s="1"/>
  <c r="EA56" i="8" s="1"/>
  <c r="EA57" i="8" s="1"/>
  <c r="EA58" i="8" s="1"/>
  <c r="EA59" i="8" s="1"/>
  <c r="DZ11" i="8"/>
  <c r="DZ12" i="8" s="1"/>
  <c r="DZ13" i="8" s="1"/>
  <c r="DZ14" i="8" s="1"/>
  <c r="DZ15" i="8" s="1"/>
  <c r="DZ16" i="8" s="1"/>
  <c r="DZ17" i="8" s="1"/>
  <c r="DZ18" i="8" s="1"/>
  <c r="DZ19" i="8" s="1"/>
  <c r="DZ20" i="8" s="1"/>
  <c r="DZ21" i="8" s="1"/>
  <c r="DZ22" i="8" s="1"/>
  <c r="DZ23" i="8" s="1"/>
  <c r="DZ24" i="8" s="1"/>
  <c r="DZ25" i="8" s="1"/>
  <c r="DZ26" i="8" s="1"/>
  <c r="DZ27" i="8" s="1"/>
  <c r="DZ28" i="8" s="1"/>
  <c r="DZ29" i="8" s="1"/>
  <c r="DZ30" i="8" s="1"/>
  <c r="DZ31" i="8" s="1"/>
  <c r="DZ32" i="8" s="1"/>
  <c r="DZ33" i="8" s="1"/>
  <c r="DZ34" i="8" s="1"/>
  <c r="DZ35" i="8" s="1"/>
  <c r="DZ36" i="8" s="1"/>
  <c r="DZ37" i="8" s="1"/>
  <c r="DZ38" i="8" s="1"/>
  <c r="DZ39" i="8" s="1"/>
  <c r="DZ40" i="8" s="1"/>
  <c r="DZ41" i="8" s="1"/>
  <c r="DZ42" i="8" s="1"/>
  <c r="DZ43" i="8" s="1"/>
  <c r="DZ44" i="8" s="1"/>
  <c r="DZ45" i="8" s="1"/>
  <c r="DZ46" i="8" s="1"/>
  <c r="DZ47" i="8" s="1"/>
  <c r="DZ48" i="8" s="1"/>
  <c r="DZ49" i="8" s="1"/>
  <c r="DZ50" i="8" s="1"/>
  <c r="DZ51" i="8" s="1"/>
  <c r="DZ52" i="8" s="1"/>
  <c r="DZ53" i="8" s="1"/>
  <c r="DZ54" i="8" s="1"/>
  <c r="DZ55" i="8" s="1"/>
  <c r="DZ56" i="8" s="1"/>
  <c r="DZ57" i="8" s="1"/>
  <c r="DZ58" i="8" s="1"/>
  <c r="DZ59" i="8" s="1"/>
  <c r="CX11" i="8"/>
  <c r="CX12" i="8" s="1"/>
  <c r="CX13" i="8" s="1"/>
  <c r="CW11" i="8"/>
  <c r="CW12" i="8" s="1"/>
  <c r="CW13" i="8" s="1"/>
  <c r="CT11" i="8"/>
  <c r="Q11" i="8"/>
  <c r="AO11" i="8" s="1"/>
  <c r="L11" i="8"/>
  <c r="AN11" i="8" s="1"/>
  <c r="OR10" i="8"/>
  <c r="NW10" i="8"/>
  <c r="NW11" i="8" s="1"/>
  <c r="NW12" i="8" s="1"/>
  <c r="NW13" i="8" s="1"/>
  <c r="NW14" i="8" s="1"/>
  <c r="NW15" i="8" s="1"/>
  <c r="NW16" i="8" s="1"/>
  <c r="NW17" i="8" s="1"/>
  <c r="NW18" i="8" s="1"/>
  <c r="NW19" i="8" s="1"/>
  <c r="NW20" i="8" s="1"/>
  <c r="NW21" i="8" s="1"/>
  <c r="NW22" i="8" s="1"/>
  <c r="NW23" i="8" s="1"/>
  <c r="NW24" i="8" s="1"/>
  <c r="NW25" i="8" s="1"/>
  <c r="NW26" i="8" s="1"/>
  <c r="NW27" i="8" s="1"/>
  <c r="NW28" i="8" s="1"/>
  <c r="NW29" i="8" s="1"/>
  <c r="NW30" i="8" s="1"/>
  <c r="NW31" i="8" s="1"/>
  <c r="NW32" i="8" s="1"/>
  <c r="NW33" i="8" s="1"/>
  <c r="NV10" i="8"/>
  <c r="NV11" i="8" s="1"/>
  <c r="NV12" i="8" s="1"/>
  <c r="NV13" i="8" s="1"/>
  <c r="NV14" i="8" s="1"/>
  <c r="NV15" i="8" s="1"/>
  <c r="NV16" i="8" s="1"/>
  <c r="NV17" i="8" s="1"/>
  <c r="NV18" i="8" s="1"/>
  <c r="NV19" i="8" s="1"/>
  <c r="NV20" i="8" s="1"/>
  <c r="NV21" i="8" s="1"/>
  <c r="NV22" i="8" s="1"/>
  <c r="NV23" i="8" s="1"/>
  <c r="NV24" i="8" s="1"/>
  <c r="NV25" i="8" s="1"/>
  <c r="NV26" i="8" s="1"/>
  <c r="NV27" i="8" s="1"/>
  <c r="NV28" i="8" s="1"/>
  <c r="NV29" i="8" s="1"/>
  <c r="NV30" i="8" s="1"/>
  <c r="NV31" i="8" s="1"/>
  <c r="NV32" i="8" s="1"/>
  <c r="NV33" i="8" s="1"/>
  <c r="NU10" i="8"/>
  <c r="NU11" i="8" s="1"/>
  <c r="NU12" i="8" s="1"/>
  <c r="NU13" i="8" s="1"/>
  <c r="NU14" i="8" s="1"/>
  <c r="NU15" i="8" s="1"/>
  <c r="NU16" i="8" s="1"/>
  <c r="NU17" i="8" s="1"/>
  <c r="NU18" i="8" s="1"/>
  <c r="NU19" i="8" s="1"/>
  <c r="NU20" i="8" s="1"/>
  <c r="NU21" i="8" s="1"/>
  <c r="NU22" i="8" s="1"/>
  <c r="NU23" i="8" s="1"/>
  <c r="NU24" i="8" s="1"/>
  <c r="NU25" i="8" s="1"/>
  <c r="NU26" i="8" s="1"/>
  <c r="NU27" i="8" s="1"/>
  <c r="NU28" i="8" s="1"/>
  <c r="NU29" i="8" s="1"/>
  <c r="NU30" i="8" s="1"/>
  <c r="NU31" i="8" s="1"/>
  <c r="NU32" i="8" s="1"/>
  <c r="NU33" i="8" s="1"/>
  <c r="MI10" i="8"/>
  <c r="MH10" i="8"/>
  <c r="MG10" i="8"/>
  <c r="LQ10" i="8"/>
  <c r="LM10" i="8"/>
  <c r="LI10" i="8"/>
  <c r="LI11" i="8" s="1"/>
  <c r="LE10" i="8"/>
  <c r="LE11" i="8" s="1"/>
  <c r="LA10" i="8"/>
  <c r="ME10" i="8" s="1"/>
  <c r="KW10" i="8"/>
  <c r="MD10" i="8" s="1"/>
  <c r="KS10" i="8"/>
  <c r="KO10" i="8"/>
  <c r="IB10" i="8"/>
  <c r="IA10" i="8"/>
  <c r="HZ10" i="8"/>
  <c r="HZ11" i="8" s="1"/>
  <c r="HZ12" i="8" s="1"/>
  <c r="HZ13" i="8" s="1"/>
  <c r="HZ14" i="8" s="1"/>
  <c r="HZ15" i="8" s="1"/>
  <c r="HZ16" i="8" s="1"/>
  <c r="HZ17" i="8" s="1"/>
  <c r="HZ18" i="8" s="1"/>
  <c r="HZ19" i="8" s="1"/>
  <c r="HZ20" i="8" s="1"/>
  <c r="HZ21" i="8" s="1"/>
  <c r="HZ22" i="8" s="1"/>
  <c r="HZ23" i="8" s="1"/>
  <c r="HZ24" i="8" s="1"/>
  <c r="HZ25" i="8" s="1"/>
  <c r="HZ26" i="8" s="1"/>
  <c r="HZ27" i="8" s="1"/>
  <c r="HZ28" i="8" s="1"/>
  <c r="HZ29" i="8" s="1"/>
  <c r="HZ30" i="8" s="1"/>
  <c r="HZ31" i="8" s="1"/>
  <c r="HZ32" i="8" s="1"/>
  <c r="HZ33" i="8" s="1"/>
  <c r="HY10" i="8"/>
  <c r="HY11" i="8" s="1"/>
  <c r="HY12" i="8" s="1"/>
  <c r="HY13" i="8" s="1"/>
  <c r="HY14" i="8" s="1"/>
  <c r="HY15" i="8" s="1"/>
  <c r="HY16" i="8" s="1"/>
  <c r="HY17" i="8" s="1"/>
  <c r="HY18" i="8" s="1"/>
  <c r="HY19" i="8" s="1"/>
  <c r="HY20" i="8" s="1"/>
  <c r="HY21" i="8" s="1"/>
  <c r="HY22" i="8" s="1"/>
  <c r="HY23" i="8" s="1"/>
  <c r="HY24" i="8" s="1"/>
  <c r="HY25" i="8" s="1"/>
  <c r="HY26" i="8" s="1"/>
  <c r="HY27" i="8" s="1"/>
  <c r="HY28" i="8" s="1"/>
  <c r="HY29" i="8" s="1"/>
  <c r="HY30" i="8" s="1"/>
  <c r="HY31" i="8" s="1"/>
  <c r="HY32" i="8" s="1"/>
  <c r="HY33" i="8" s="1"/>
  <c r="HX10" i="8"/>
  <c r="HX11" i="8" s="1"/>
  <c r="HX12" i="8" s="1"/>
  <c r="HX13" i="8" s="1"/>
  <c r="HX14" i="8" s="1"/>
  <c r="HX15" i="8" s="1"/>
  <c r="HX16" i="8" s="1"/>
  <c r="HX17" i="8" s="1"/>
  <c r="HX18" i="8" s="1"/>
  <c r="HX19" i="8" s="1"/>
  <c r="HX20" i="8" s="1"/>
  <c r="HX21" i="8" s="1"/>
  <c r="HX22" i="8" s="1"/>
  <c r="HX23" i="8" s="1"/>
  <c r="HX24" i="8" s="1"/>
  <c r="HX25" i="8" s="1"/>
  <c r="HX26" i="8" s="1"/>
  <c r="HX27" i="8" s="1"/>
  <c r="HX28" i="8" s="1"/>
  <c r="HX29" i="8" s="1"/>
  <c r="HX30" i="8" s="1"/>
  <c r="HX31" i="8" s="1"/>
  <c r="HX32" i="8" s="1"/>
  <c r="HX33" i="8" s="1"/>
  <c r="HV10" i="8"/>
  <c r="HA10" i="8"/>
  <c r="GH10" i="8"/>
  <c r="GG10" i="8"/>
  <c r="GF10" i="8"/>
  <c r="GF11" i="8" s="1"/>
  <c r="GF12" i="8" s="1"/>
  <c r="GF13" i="8" s="1"/>
  <c r="GF14" i="8" s="1"/>
  <c r="GE10" i="8"/>
  <c r="GE11" i="8" s="1"/>
  <c r="GE12" i="8" s="1"/>
  <c r="GE13" i="8" s="1"/>
  <c r="GE14" i="8" s="1"/>
  <c r="GE15" i="8" s="1"/>
  <c r="GA10" i="8"/>
  <c r="FX10" i="8"/>
  <c r="FX11" i="8" s="1"/>
  <c r="FX12" i="8" s="1"/>
  <c r="FX13" i="8" s="1"/>
  <c r="FX14" i="8" s="1"/>
  <c r="FX15" i="8" s="1"/>
  <c r="FX16" i="8" s="1"/>
  <c r="FX17" i="8" s="1"/>
  <c r="FX18" i="8" s="1"/>
  <c r="FX19" i="8" s="1"/>
  <c r="FX20" i="8" s="1"/>
  <c r="FX21" i="8" s="1"/>
  <c r="FX22" i="8" s="1"/>
  <c r="FX23" i="8" s="1"/>
  <c r="FX24" i="8" s="1"/>
  <c r="FX25" i="8" s="1"/>
  <c r="FX26" i="8" s="1"/>
  <c r="FX27" i="8" s="1"/>
  <c r="FX28" i="8" s="1"/>
  <c r="FX29" i="8" s="1"/>
  <c r="FX30" i="8" s="1"/>
  <c r="FX31" i="8" s="1"/>
  <c r="FX32" i="8" s="1"/>
  <c r="FX33" i="8" s="1"/>
  <c r="FW10" i="8"/>
  <c r="FW11" i="8" s="1"/>
  <c r="FW12" i="8" s="1"/>
  <c r="FW13" i="8" s="1"/>
  <c r="FW14" i="8" s="1"/>
  <c r="FW15" i="8" s="1"/>
  <c r="FW16" i="8" s="1"/>
  <c r="FW17" i="8" s="1"/>
  <c r="FW18" i="8" s="1"/>
  <c r="FW19" i="8" s="1"/>
  <c r="FW20" i="8" s="1"/>
  <c r="FW21" i="8" s="1"/>
  <c r="FW22" i="8" s="1"/>
  <c r="FW23" i="8" s="1"/>
  <c r="FW24" i="8" s="1"/>
  <c r="FW25" i="8" s="1"/>
  <c r="FW26" i="8" s="1"/>
  <c r="FW27" i="8" s="1"/>
  <c r="FW28" i="8" s="1"/>
  <c r="FW29" i="8" s="1"/>
  <c r="FW30" i="8" s="1"/>
  <c r="FW31" i="8" s="1"/>
  <c r="FW32" i="8" s="1"/>
  <c r="FW33" i="8" s="1"/>
  <c r="FV10" i="8"/>
  <c r="FV11" i="8" s="1"/>
  <c r="FV12" i="8" s="1"/>
  <c r="FV13" i="8" s="1"/>
  <c r="FV14" i="8" s="1"/>
  <c r="FV15" i="8" s="1"/>
  <c r="FV16" i="8" s="1"/>
  <c r="FV17" i="8" s="1"/>
  <c r="FV18" i="8" s="1"/>
  <c r="FV19" i="8" s="1"/>
  <c r="FV20" i="8" s="1"/>
  <c r="FV21" i="8" s="1"/>
  <c r="FV22" i="8" s="1"/>
  <c r="FV23" i="8" s="1"/>
  <c r="FV24" i="8" s="1"/>
  <c r="FV25" i="8" s="1"/>
  <c r="FV26" i="8" s="1"/>
  <c r="FV27" i="8" s="1"/>
  <c r="FV28" i="8" s="1"/>
  <c r="FV29" i="8" s="1"/>
  <c r="FV30" i="8" s="1"/>
  <c r="FV31" i="8" s="1"/>
  <c r="FV32" i="8" s="1"/>
  <c r="FV33" i="8" s="1"/>
  <c r="FJ10" i="8"/>
  <c r="FF10" i="8"/>
  <c r="FC10" i="8"/>
  <c r="FC11" i="8" s="1"/>
  <c r="FC12" i="8" s="1"/>
  <c r="FC13" i="8" s="1"/>
  <c r="FC14" i="8" s="1"/>
  <c r="FC15" i="8" s="1"/>
  <c r="FC16" i="8" s="1"/>
  <c r="FC17" i="8" s="1"/>
  <c r="FC18" i="8" s="1"/>
  <c r="FC19" i="8" s="1"/>
  <c r="FC20" i="8" s="1"/>
  <c r="FC21" i="8" s="1"/>
  <c r="FC22" i="8" s="1"/>
  <c r="FC23" i="8" s="1"/>
  <c r="FC24" i="8" s="1"/>
  <c r="FC25" i="8" s="1"/>
  <c r="FC26" i="8" s="1"/>
  <c r="FC27" i="8" s="1"/>
  <c r="FC28" i="8" s="1"/>
  <c r="FC29" i="8" s="1"/>
  <c r="FC30" i="8" s="1"/>
  <c r="FC31" i="8" s="1"/>
  <c r="FC32" i="8" s="1"/>
  <c r="FC33" i="8" s="1"/>
  <c r="FB10" i="8"/>
  <c r="FB11" i="8" s="1"/>
  <c r="FB12" i="8" s="1"/>
  <c r="FB13" i="8" s="1"/>
  <c r="FB14" i="8" s="1"/>
  <c r="FB15" i="8" s="1"/>
  <c r="FB16" i="8" s="1"/>
  <c r="FB17" i="8" s="1"/>
  <c r="FB18" i="8" s="1"/>
  <c r="FB19" i="8" s="1"/>
  <c r="FB20" i="8" s="1"/>
  <c r="FB21" i="8" s="1"/>
  <c r="FB22" i="8" s="1"/>
  <c r="FB23" i="8" s="1"/>
  <c r="FB24" i="8" s="1"/>
  <c r="FB25" i="8" s="1"/>
  <c r="FB26" i="8" s="1"/>
  <c r="FB27" i="8" s="1"/>
  <c r="FB28" i="8" s="1"/>
  <c r="FB29" i="8" s="1"/>
  <c r="FB30" i="8" s="1"/>
  <c r="FB31" i="8" s="1"/>
  <c r="FB32" i="8" s="1"/>
  <c r="FB33" i="8" s="1"/>
  <c r="FA10" i="8"/>
  <c r="FA11" i="8" s="1"/>
  <c r="FA12" i="8" s="1"/>
  <c r="FA13" i="8" s="1"/>
  <c r="FA14" i="8" s="1"/>
  <c r="FA15" i="8" s="1"/>
  <c r="FA16" i="8" s="1"/>
  <c r="FA17" i="8" s="1"/>
  <c r="FA18" i="8" s="1"/>
  <c r="FA19" i="8" s="1"/>
  <c r="FA20" i="8" s="1"/>
  <c r="FA21" i="8" s="1"/>
  <c r="FA22" i="8" s="1"/>
  <c r="FA23" i="8" s="1"/>
  <c r="FA24" i="8" s="1"/>
  <c r="FA25" i="8" s="1"/>
  <c r="FA26" i="8" s="1"/>
  <c r="FA27" i="8" s="1"/>
  <c r="FA28" i="8" s="1"/>
  <c r="FA29" i="8" s="1"/>
  <c r="FA30" i="8" s="1"/>
  <c r="FA31" i="8" s="1"/>
  <c r="FA32" i="8" s="1"/>
  <c r="FA33" i="8" s="1"/>
  <c r="EZ10" i="8"/>
  <c r="EZ11" i="8" s="1"/>
  <c r="EZ12" i="8" s="1"/>
  <c r="EZ13" i="8" s="1"/>
  <c r="EZ14" i="8" s="1"/>
  <c r="EZ15" i="8" s="1"/>
  <c r="EZ16" i="8" s="1"/>
  <c r="EZ17" i="8" s="1"/>
  <c r="EZ18" i="8" s="1"/>
  <c r="EZ19" i="8" s="1"/>
  <c r="EZ20" i="8" s="1"/>
  <c r="EZ21" i="8" s="1"/>
  <c r="EZ22" i="8" s="1"/>
  <c r="EZ23" i="8" s="1"/>
  <c r="EZ24" i="8" s="1"/>
  <c r="EZ25" i="8" s="1"/>
  <c r="EZ26" i="8" s="1"/>
  <c r="EZ27" i="8" s="1"/>
  <c r="EZ28" i="8" s="1"/>
  <c r="EZ29" i="8" s="1"/>
  <c r="EZ30" i="8" s="1"/>
  <c r="EZ31" i="8" s="1"/>
  <c r="EZ32" i="8" s="1"/>
  <c r="EZ33" i="8" s="1"/>
  <c r="EY10" i="8"/>
  <c r="EY11" i="8" s="1"/>
  <c r="EY12" i="8" s="1"/>
  <c r="EY13" i="8" s="1"/>
  <c r="EY14" i="8" s="1"/>
  <c r="EY15" i="8" s="1"/>
  <c r="EY16" i="8" s="1"/>
  <c r="EY17" i="8" s="1"/>
  <c r="EY18" i="8" s="1"/>
  <c r="EY19" i="8" s="1"/>
  <c r="EY20" i="8" s="1"/>
  <c r="EY21" i="8" s="1"/>
  <c r="EY22" i="8" s="1"/>
  <c r="EY23" i="8" s="1"/>
  <c r="EY24" i="8" s="1"/>
  <c r="EY25" i="8" s="1"/>
  <c r="EY26" i="8" s="1"/>
  <c r="EY27" i="8" s="1"/>
  <c r="EY28" i="8" s="1"/>
  <c r="EY29" i="8" s="1"/>
  <c r="EY30" i="8" s="1"/>
  <c r="EY31" i="8" s="1"/>
  <c r="EY32" i="8" s="1"/>
  <c r="EY33" i="8" s="1"/>
  <c r="EX10" i="8"/>
  <c r="EX11" i="8" s="1"/>
  <c r="EX12" i="8" s="1"/>
  <c r="EX13" i="8" s="1"/>
  <c r="EX14" i="8" s="1"/>
  <c r="EA10" i="8"/>
  <c r="DZ10" i="8"/>
  <c r="DY10" i="8"/>
  <c r="DY11" i="8" s="1"/>
  <c r="DY12" i="8" s="1"/>
  <c r="DY13" i="8" s="1"/>
  <c r="DY14" i="8" s="1"/>
  <c r="DY15" i="8" s="1"/>
  <c r="DY16" i="8" s="1"/>
  <c r="DY17" i="8" s="1"/>
  <c r="DY18" i="8" s="1"/>
  <c r="DY19" i="8" s="1"/>
  <c r="DY20" i="8" s="1"/>
  <c r="DY21" i="8" s="1"/>
  <c r="DY22" i="8" s="1"/>
  <c r="DY23" i="8" s="1"/>
  <c r="DY24" i="8" s="1"/>
  <c r="DY25" i="8" s="1"/>
  <c r="DY26" i="8" s="1"/>
  <c r="DY27" i="8" s="1"/>
  <c r="DY28" i="8" s="1"/>
  <c r="DY29" i="8" s="1"/>
  <c r="DY30" i="8" s="1"/>
  <c r="DY31" i="8" s="1"/>
  <c r="DY32" i="8" s="1"/>
  <c r="DY33" i="8" s="1"/>
  <c r="DY34" i="8" s="1"/>
  <c r="DY35" i="8" s="1"/>
  <c r="DY36" i="8" s="1"/>
  <c r="DY37" i="8" s="1"/>
  <c r="DY38" i="8" s="1"/>
  <c r="DY39" i="8" s="1"/>
  <c r="DY40" i="8" s="1"/>
  <c r="DY41" i="8" s="1"/>
  <c r="DY42" i="8" s="1"/>
  <c r="DY43" i="8" s="1"/>
  <c r="DY44" i="8" s="1"/>
  <c r="DY45" i="8" s="1"/>
  <c r="DY46" i="8" s="1"/>
  <c r="DY47" i="8" s="1"/>
  <c r="DY48" i="8" s="1"/>
  <c r="DY49" i="8" s="1"/>
  <c r="DY50" i="8" s="1"/>
  <c r="DY51" i="8" s="1"/>
  <c r="DY52" i="8" s="1"/>
  <c r="DY53" i="8" s="1"/>
  <c r="DY54" i="8" s="1"/>
  <c r="DY55" i="8" s="1"/>
  <c r="DY56" i="8" s="1"/>
  <c r="DY57" i="8" s="1"/>
  <c r="DY58" i="8" s="1"/>
  <c r="DY59" i="8" s="1"/>
  <c r="DX10" i="8"/>
  <c r="DX11" i="8" s="1"/>
  <c r="DX12" i="8" s="1"/>
  <c r="DX13" i="8" s="1"/>
  <c r="DX14" i="8" s="1"/>
  <c r="DX15" i="8" s="1"/>
  <c r="DX16" i="8" s="1"/>
  <c r="DX17" i="8" s="1"/>
  <c r="DX18" i="8" s="1"/>
  <c r="DX19" i="8" s="1"/>
  <c r="DX20" i="8" s="1"/>
  <c r="DX21" i="8" s="1"/>
  <c r="DX22" i="8" s="1"/>
  <c r="DX23" i="8" s="1"/>
  <c r="DX24" i="8" s="1"/>
  <c r="DX25" i="8" s="1"/>
  <c r="DX26" i="8" s="1"/>
  <c r="DX27" i="8" s="1"/>
  <c r="DX28" i="8" s="1"/>
  <c r="DX29" i="8" s="1"/>
  <c r="DX30" i="8" s="1"/>
  <c r="DX31" i="8" s="1"/>
  <c r="DX32" i="8" s="1"/>
  <c r="DX33" i="8" s="1"/>
  <c r="DX34" i="8" s="1"/>
  <c r="DX35" i="8" s="1"/>
  <c r="DX36" i="8" s="1"/>
  <c r="DX37" i="8" s="1"/>
  <c r="DX38" i="8" s="1"/>
  <c r="DX39" i="8" s="1"/>
  <c r="DX40" i="8" s="1"/>
  <c r="DX41" i="8" s="1"/>
  <c r="DX42" i="8" s="1"/>
  <c r="DX43" i="8" s="1"/>
  <c r="DX44" i="8" s="1"/>
  <c r="DX45" i="8" s="1"/>
  <c r="DX46" i="8" s="1"/>
  <c r="DX47" i="8" s="1"/>
  <c r="DX48" i="8" s="1"/>
  <c r="DX49" i="8" s="1"/>
  <c r="DX50" i="8" s="1"/>
  <c r="DX51" i="8" s="1"/>
  <c r="DX52" i="8" s="1"/>
  <c r="DX53" i="8" s="1"/>
  <c r="DX54" i="8" s="1"/>
  <c r="DX55" i="8" s="1"/>
  <c r="DX56" i="8" s="1"/>
  <c r="DX57" i="8" s="1"/>
  <c r="DX58" i="8" s="1"/>
  <c r="DX59" i="8" s="1"/>
  <c r="DW10" i="8"/>
  <c r="DW11" i="8" s="1"/>
  <c r="DW12" i="8" s="1"/>
  <c r="DW13" i="8" s="1"/>
  <c r="DW14" i="8" s="1"/>
  <c r="DW15" i="8" s="1"/>
  <c r="DW16" i="8" s="1"/>
  <c r="DW17" i="8" s="1"/>
  <c r="DW18" i="8" s="1"/>
  <c r="DW19" i="8" s="1"/>
  <c r="DW20" i="8" s="1"/>
  <c r="DW21" i="8" s="1"/>
  <c r="DW22" i="8" s="1"/>
  <c r="DW23" i="8" s="1"/>
  <c r="DW24" i="8" s="1"/>
  <c r="DW25" i="8" s="1"/>
  <c r="DW26" i="8" s="1"/>
  <c r="DW27" i="8" s="1"/>
  <c r="DW28" i="8" s="1"/>
  <c r="DW29" i="8" s="1"/>
  <c r="DW30" i="8" s="1"/>
  <c r="DW31" i="8" s="1"/>
  <c r="DW32" i="8" s="1"/>
  <c r="DW33" i="8" s="1"/>
  <c r="DW34" i="8" s="1"/>
  <c r="DW35" i="8" s="1"/>
  <c r="DW36" i="8" s="1"/>
  <c r="DW37" i="8" s="1"/>
  <c r="DW38" i="8" s="1"/>
  <c r="DW39" i="8" s="1"/>
  <c r="DW40" i="8" s="1"/>
  <c r="DW41" i="8" s="1"/>
  <c r="DW42" i="8" s="1"/>
  <c r="DW43" i="8" s="1"/>
  <c r="DW44" i="8" s="1"/>
  <c r="DW45" i="8" s="1"/>
  <c r="DW46" i="8" s="1"/>
  <c r="DW47" i="8" s="1"/>
  <c r="DW48" i="8" s="1"/>
  <c r="DW49" i="8" s="1"/>
  <c r="DW50" i="8" s="1"/>
  <c r="DW51" i="8" s="1"/>
  <c r="DW52" i="8" s="1"/>
  <c r="DW53" i="8" s="1"/>
  <c r="DW54" i="8" s="1"/>
  <c r="DW55" i="8" s="1"/>
  <c r="DW56" i="8" s="1"/>
  <c r="DW57" i="8" s="1"/>
  <c r="DW58" i="8" s="1"/>
  <c r="DW59" i="8" s="1"/>
  <c r="DV10" i="8"/>
  <c r="DV11" i="8" s="1"/>
  <c r="DV12" i="8" s="1"/>
  <c r="DV13" i="8" s="1"/>
  <c r="DV14" i="8" s="1"/>
  <c r="DV15" i="8" s="1"/>
  <c r="DV16" i="8" s="1"/>
  <c r="DV17" i="8" s="1"/>
  <c r="DV18" i="8" s="1"/>
  <c r="DV19" i="8" s="1"/>
  <c r="DV20" i="8" s="1"/>
  <c r="DV21" i="8" s="1"/>
  <c r="DV22" i="8" s="1"/>
  <c r="DV23" i="8" s="1"/>
  <c r="DV24" i="8" s="1"/>
  <c r="DV25" i="8" s="1"/>
  <c r="DV26" i="8" s="1"/>
  <c r="DV27" i="8" s="1"/>
  <c r="DV28" i="8" s="1"/>
  <c r="DV29" i="8" s="1"/>
  <c r="DV30" i="8" s="1"/>
  <c r="DV31" i="8" s="1"/>
  <c r="DV32" i="8" s="1"/>
  <c r="DV33" i="8" s="1"/>
  <c r="DV34" i="8" s="1"/>
  <c r="DV35" i="8" s="1"/>
  <c r="DV36" i="8" s="1"/>
  <c r="DV37" i="8" s="1"/>
  <c r="DV38" i="8" s="1"/>
  <c r="DV39" i="8" s="1"/>
  <c r="DV40" i="8" s="1"/>
  <c r="DV41" i="8" s="1"/>
  <c r="DV42" i="8" s="1"/>
  <c r="DV43" i="8" s="1"/>
  <c r="DV44" i="8" s="1"/>
  <c r="DV45" i="8" s="1"/>
  <c r="DV46" i="8" s="1"/>
  <c r="DV47" i="8" s="1"/>
  <c r="DV48" i="8" s="1"/>
  <c r="DV49" i="8" s="1"/>
  <c r="DV50" i="8" s="1"/>
  <c r="DV51" i="8" s="1"/>
  <c r="DV52" i="8" s="1"/>
  <c r="DV53" i="8" s="1"/>
  <c r="DV54" i="8" s="1"/>
  <c r="DV55" i="8" s="1"/>
  <c r="DV56" i="8" s="1"/>
  <c r="DV57" i="8" s="1"/>
  <c r="DV58" i="8" s="1"/>
  <c r="DV59" i="8" s="1"/>
  <c r="DU10" i="8"/>
  <c r="DU11" i="8" s="1"/>
  <c r="DU12" i="8" s="1"/>
  <c r="DU13" i="8" s="1"/>
  <c r="DU14" i="8" s="1"/>
  <c r="DU15" i="8" s="1"/>
  <c r="DU16" i="8" s="1"/>
  <c r="DU17" i="8" s="1"/>
  <c r="DU18" i="8" s="1"/>
  <c r="DU19" i="8" s="1"/>
  <c r="DU20" i="8" s="1"/>
  <c r="DU21" i="8" s="1"/>
  <c r="DU22" i="8" s="1"/>
  <c r="DU23" i="8" s="1"/>
  <c r="DU24" i="8" s="1"/>
  <c r="DU25" i="8" s="1"/>
  <c r="DU26" i="8" s="1"/>
  <c r="DU27" i="8" s="1"/>
  <c r="DU28" i="8" s="1"/>
  <c r="DU29" i="8" s="1"/>
  <c r="DU30" i="8" s="1"/>
  <c r="DU31" i="8" s="1"/>
  <c r="DU32" i="8" s="1"/>
  <c r="DU33" i="8" s="1"/>
  <c r="DU34" i="8" s="1"/>
  <c r="DU35" i="8" s="1"/>
  <c r="DU36" i="8" s="1"/>
  <c r="DU37" i="8" s="1"/>
  <c r="DU38" i="8" s="1"/>
  <c r="DU39" i="8" s="1"/>
  <c r="DU40" i="8" s="1"/>
  <c r="DU41" i="8" s="1"/>
  <c r="DU42" i="8" s="1"/>
  <c r="DU43" i="8" s="1"/>
  <c r="DU44" i="8" s="1"/>
  <c r="DU45" i="8" s="1"/>
  <c r="DU46" i="8" s="1"/>
  <c r="DU47" i="8" s="1"/>
  <c r="DU48" i="8" s="1"/>
  <c r="DU49" i="8" s="1"/>
  <c r="DU50" i="8" s="1"/>
  <c r="DU51" i="8" s="1"/>
  <c r="DU52" i="8" s="1"/>
  <c r="DU53" i="8" s="1"/>
  <c r="DU54" i="8" s="1"/>
  <c r="DU55" i="8" s="1"/>
  <c r="DU56" i="8" s="1"/>
  <c r="DU57" i="8" s="1"/>
  <c r="DU58" i="8" s="1"/>
  <c r="DU59" i="8" s="1"/>
  <c r="DT10" i="8"/>
  <c r="DT11" i="8" s="1"/>
  <c r="DT12" i="8" s="1"/>
  <c r="DT13" i="8" s="1"/>
  <c r="DT14" i="8" s="1"/>
  <c r="DT15" i="8" s="1"/>
  <c r="DT16" i="8" s="1"/>
  <c r="DT17" i="8" s="1"/>
  <c r="DT18" i="8" s="1"/>
  <c r="DT19" i="8" s="1"/>
  <c r="DT20" i="8" s="1"/>
  <c r="DT21" i="8" s="1"/>
  <c r="DT22" i="8" s="1"/>
  <c r="DT23" i="8" s="1"/>
  <c r="DT24" i="8" s="1"/>
  <c r="DT25" i="8" s="1"/>
  <c r="DT26" i="8" s="1"/>
  <c r="DT27" i="8" s="1"/>
  <c r="DT28" i="8" s="1"/>
  <c r="DT29" i="8" s="1"/>
  <c r="DT30" i="8" s="1"/>
  <c r="DT31" i="8" s="1"/>
  <c r="DT32" i="8" s="1"/>
  <c r="DT33" i="8" s="1"/>
  <c r="DT34" i="8" s="1"/>
  <c r="DT35" i="8" s="1"/>
  <c r="DT36" i="8" s="1"/>
  <c r="DT37" i="8" s="1"/>
  <c r="DT38" i="8" s="1"/>
  <c r="DT39" i="8" s="1"/>
  <c r="DT40" i="8" s="1"/>
  <c r="DT41" i="8" s="1"/>
  <c r="DT42" i="8" s="1"/>
  <c r="DT43" i="8" s="1"/>
  <c r="DT44" i="8" s="1"/>
  <c r="DT45" i="8" s="1"/>
  <c r="DT46" i="8" s="1"/>
  <c r="DT47" i="8" s="1"/>
  <c r="DT48" i="8" s="1"/>
  <c r="DT49" i="8" s="1"/>
  <c r="DT50" i="8" s="1"/>
  <c r="DT51" i="8" s="1"/>
  <c r="DT52" i="8" s="1"/>
  <c r="DT53" i="8" s="1"/>
  <c r="DT54" i="8" s="1"/>
  <c r="DT55" i="8" s="1"/>
  <c r="DT56" i="8" s="1"/>
  <c r="DT57" i="8" s="1"/>
  <c r="DT58" i="8" s="1"/>
  <c r="DT59" i="8" s="1"/>
  <c r="CX10" i="8"/>
  <c r="CW10" i="8"/>
  <c r="CV10" i="8"/>
  <c r="CV11" i="8" s="1"/>
  <c r="CV12" i="8" s="1"/>
  <c r="CV13" i="8" s="1"/>
  <c r="CV14" i="8" s="1"/>
  <c r="CV15" i="8" s="1"/>
  <c r="CV16" i="8" s="1"/>
  <c r="CV17" i="8" s="1"/>
  <c r="CV18" i="8" s="1"/>
  <c r="CV19" i="8" s="1"/>
  <c r="CV20" i="8" s="1"/>
  <c r="CV21" i="8" s="1"/>
  <c r="CV22" i="8" s="1"/>
  <c r="CV23" i="8" s="1"/>
  <c r="CV24" i="8" s="1"/>
  <c r="CV25" i="8" s="1"/>
  <c r="CV26" i="8" s="1"/>
  <c r="CV27" i="8" s="1"/>
  <c r="CV28" i="8" s="1"/>
  <c r="CV29" i="8" s="1"/>
  <c r="CV30" i="8" s="1"/>
  <c r="CV31" i="8" s="1"/>
  <c r="CV32" i="8" s="1"/>
  <c r="CV33" i="8" s="1"/>
  <c r="CV34" i="8" s="1"/>
  <c r="CV35" i="8" s="1"/>
  <c r="CV36" i="8" s="1"/>
  <c r="CV37" i="8" s="1"/>
  <c r="CV38" i="8" s="1"/>
  <c r="CV39" i="8" s="1"/>
  <c r="CV40" i="8" s="1"/>
  <c r="CV41" i="8" s="1"/>
  <c r="CV42" i="8" s="1"/>
  <c r="CV43" i="8" s="1"/>
  <c r="CV44" i="8" s="1"/>
  <c r="CV45" i="8" s="1"/>
  <c r="CV46" i="8" s="1"/>
  <c r="CV47" i="8" s="1"/>
  <c r="CV48" i="8" s="1"/>
  <c r="CV49" i="8" s="1"/>
  <c r="CV50" i="8" s="1"/>
  <c r="CV51" i="8" s="1"/>
  <c r="CV52" i="8" s="1"/>
  <c r="CV53" i="8" s="1"/>
  <c r="CV54" i="8" s="1"/>
  <c r="CV55" i="8" s="1"/>
  <c r="CV56" i="8" s="1"/>
  <c r="CV57" i="8" s="1"/>
  <c r="CV58" i="8" s="1"/>
  <c r="CV59" i="8" s="1"/>
  <c r="CT10" i="8"/>
  <c r="IZ10" i="8" s="1"/>
  <c r="AU10" i="8"/>
  <c r="Q10" i="8"/>
  <c r="AO10" i="8" s="1"/>
  <c r="L10" i="8"/>
  <c r="AN10" i="8" s="1"/>
  <c r="OR9" i="8"/>
  <c r="OE9" i="8"/>
  <c r="OE10" i="8" s="1"/>
  <c r="OE11" i="8" s="1"/>
  <c r="OE12" i="8" s="1"/>
  <c r="OE13" i="8" s="1"/>
  <c r="OE14" i="8" s="1"/>
  <c r="OE15" i="8" s="1"/>
  <c r="OE16" i="8" s="1"/>
  <c r="OE17" i="8" s="1"/>
  <c r="OE18" i="8" s="1"/>
  <c r="OE19" i="8" s="1"/>
  <c r="OE20" i="8" s="1"/>
  <c r="OE21" i="8" s="1"/>
  <c r="OE22" i="8" s="1"/>
  <c r="OE23" i="8" s="1"/>
  <c r="OE24" i="8" s="1"/>
  <c r="OE25" i="8" s="1"/>
  <c r="OE26" i="8" s="1"/>
  <c r="OE27" i="8" s="1"/>
  <c r="OE28" i="8" s="1"/>
  <c r="OE29" i="8" s="1"/>
  <c r="OE30" i="8" s="1"/>
  <c r="OE31" i="8" s="1"/>
  <c r="OE32" i="8" s="1"/>
  <c r="OE33" i="8" s="1"/>
  <c r="OD9" i="8"/>
  <c r="OD10" i="8" s="1"/>
  <c r="OC9" i="8"/>
  <c r="OC10" i="8" s="1"/>
  <c r="NW9" i="8"/>
  <c r="NV9" i="8"/>
  <c r="NU9" i="8"/>
  <c r="MI9" i="8"/>
  <c r="MH9" i="8"/>
  <c r="MG9" i="8"/>
  <c r="MF9" i="8"/>
  <c r="ME9" i="8"/>
  <c r="MD9" i="8"/>
  <c r="LQ9" i="8"/>
  <c r="LM9" i="8"/>
  <c r="LI9" i="8"/>
  <c r="LE9" i="8"/>
  <c r="LA9" i="8"/>
  <c r="KW9" i="8"/>
  <c r="KS9" i="8"/>
  <c r="MC9" i="8" s="1"/>
  <c r="KO9" i="8"/>
  <c r="MB9" i="8" s="1"/>
  <c r="IZ9" i="8"/>
  <c r="IH9" i="8"/>
  <c r="IH10" i="8" s="1"/>
  <c r="IH11" i="8" s="1"/>
  <c r="IH12" i="8" s="1"/>
  <c r="IH13" i="8" s="1"/>
  <c r="IH14" i="8" s="1"/>
  <c r="IH15" i="8" s="1"/>
  <c r="IH16" i="8" s="1"/>
  <c r="IH17" i="8" s="1"/>
  <c r="IH18" i="8" s="1"/>
  <c r="IH19" i="8" s="1"/>
  <c r="IH20" i="8" s="1"/>
  <c r="IH21" i="8" s="1"/>
  <c r="IH22" i="8" s="1"/>
  <c r="IH23" i="8" s="1"/>
  <c r="IH24" i="8" s="1"/>
  <c r="IH25" i="8" s="1"/>
  <c r="IH26" i="8" s="1"/>
  <c r="IH27" i="8" s="1"/>
  <c r="IH28" i="8" s="1"/>
  <c r="IH29" i="8" s="1"/>
  <c r="IH30" i="8" s="1"/>
  <c r="IH31" i="8" s="1"/>
  <c r="IH32" i="8" s="1"/>
  <c r="IH33" i="8" s="1"/>
  <c r="IB9" i="8"/>
  <c r="IA9" i="8"/>
  <c r="HZ9" i="8"/>
  <c r="HY9" i="8"/>
  <c r="HX9" i="8"/>
  <c r="HV9" i="8"/>
  <c r="HA9" i="8"/>
  <c r="GO9" i="8"/>
  <c r="GO10" i="8" s="1"/>
  <c r="GO11" i="8" s="1"/>
  <c r="GO12" i="8" s="1"/>
  <c r="GO13" i="8" s="1"/>
  <c r="GO14" i="8" s="1"/>
  <c r="GO15" i="8" s="1"/>
  <c r="GO16" i="8" s="1"/>
  <c r="GO17" i="8" s="1"/>
  <c r="GO18" i="8" s="1"/>
  <c r="GO19" i="8" s="1"/>
  <c r="GO20" i="8" s="1"/>
  <c r="GO21" i="8" s="1"/>
  <c r="GO22" i="8" s="1"/>
  <c r="GO23" i="8" s="1"/>
  <c r="GO24" i="8" s="1"/>
  <c r="GO25" i="8" s="1"/>
  <c r="GO26" i="8" s="1"/>
  <c r="GO27" i="8" s="1"/>
  <c r="GO28" i="8" s="1"/>
  <c r="GO29" i="8" s="1"/>
  <c r="GO30" i="8" s="1"/>
  <c r="GO31" i="8" s="1"/>
  <c r="GO32" i="8" s="1"/>
  <c r="GO33" i="8" s="1"/>
  <c r="GO34" i="8" s="1"/>
  <c r="GO35" i="8" s="1"/>
  <c r="GO36" i="8" s="1"/>
  <c r="GO37" i="8" s="1"/>
  <c r="GO38" i="8" s="1"/>
  <c r="GO39" i="8" s="1"/>
  <c r="GO40" i="8" s="1"/>
  <c r="GO41" i="8" s="1"/>
  <c r="GO42" i="8" s="1"/>
  <c r="GO43" i="8" s="1"/>
  <c r="GO44" i="8" s="1"/>
  <c r="GO45" i="8" s="1"/>
  <c r="GO46" i="8" s="1"/>
  <c r="GO47" i="8" s="1"/>
  <c r="GO48" i="8" s="1"/>
  <c r="GO49" i="8" s="1"/>
  <c r="GO50" i="8" s="1"/>
  <c r="GO51" i="8" s="1"/>
  <c r="GO52" i="8" s="1"/>
  <c r="GO53" i="8" s="1"/>
  <c r="GO54" i="8" s="1"/>
  <c r="GO55" i="8" s="1"/>
  <c r="GO56" i="8" s="1"/>
  <c r="GO57" i="8" s="1"/>
  <c r="GO58" i="8" s="1"/>
  <c r="GO59" i="8" s="1"/>
  <c r="GN9" i="8"/>
  <c r="GN10" i="8" s="1"/>
  <c r="GN11" i="8" s="1"/>
  <c r="GN12" i="8" s="1"/>
  <c r="GH9" i="8"/>
  <c r="GG9" i="8"/>
  <c r="GF9" i="8"/>
  <c r="GE9" i="8"/>
  <c r="GA9" i="8"/>
  <c r="FX9" i="8"/>
  <c r="FW9" i="8"/>
  <c r="FV9" i="8"/>
  <c r="FU9" i="8"/>
  <c r="FU10" i="8" s="1"/>
  <c r="FU11" i="8" s="1"/>
  <c r="FU12" i="8" s="1"/>
  <c r="FU13" i="8" s="1"/>
  <c r="FU14" i="8" s="1"/>
  <c r="FU15" i="8" s="1"/>
  <c r="FU16" i="8" s="1"/>
  <c r="FU17" i="8" s="1"/>
  <c r="FU18" i="8" s="1"/>
  <c r="FU19" i="8" s="1"/>
  <c r="FU20" i="8" s="1"/>
  <c r="FU21" i="8" s="1"/>
  <c r="FU22" i="8" s="1"/>
  <c r="FU23" i="8" s="1"/>
  <c r="FU24" i="8" s="1"/>
  <c r="FU25" i="8" s="1"/>
  <c r="FU26" i="8" s="1"/>
  <c r="FU27" i="8" s="1"/>
  <c r="FU28" i="8" s="1"/>
  <c r="FU29" i="8" s="1"/>
  <c r="FU30" i="8" s="1"/>
  <c r="FU31" i="8" s="1"/>
  <c r="FU32" i="8" s="1"/>
  <c r="FU33" i="8" s="1"/>
  <c r="FT9" i="8"/>
  <c r="FT10" i="8" s="1"/>
  <c r="FT11" i="8" s="1"/>
  <c r="FT12" i="8" s="1"/>
  <c r="FT13" i="8" s="1"/>
  <c r="FT14" i="8" s="1"/>
  <c r="FT15" i="8" s="1"/>
  <c r="FT16" i="8" s="1"/>
  <c r="FT17" i="8" s="1"/>
  <c r="FT18" i="8" s="1"/>
  <c r="FT19" i="8" s="1"/>
  <c r="FT20" i="8" s="1"/>
  <c r="FT21" i="8" s="1"/>
  <c r="FT22" i="8" s="1"/>
  <c r="FT23" i="8" s="1"/>
  <c r="FT24" i="8" s="1"/>
  <c r="FT25" i="8" s="1"/>
  <c r="FT26" i="8" s="1"/>
  <c r="FT27" i="8" s="1"/>
  <c r="FT28" i="8" s="1"/>
  <c r="FT29" i="8" s="1"/>
  <c r="FT30" i="8" s="1"/>
  <c r="FT31" i="8" s="1"/>
  <c r="FT32" i="8" s="1"/>
  <c r="FT33" i="8" s="1"/>
  <c r="FS9" i="8"/>
  <c r="FS10" i="8" s="1"/>
  <c r="FS11" i="8" s="1"/>
  <c r="FS12" i="8" s="1"/>
  <c r="FJ9" i="8"/>
  <c r="FF9" i="8"/>
  <c r="FC9" i="8"/>
  <c r="FB9" i="8"/>
  <c r="FA9" i="8"/>
  <c r="EZ9" i="8"/>
  <c r="EY9" i="8"/>
  <c r="EX9" i="8"/>
  <c r="EW9" i="8"/>
  <c r="EW10" i="8" s="1"/>
  <c r="EW11" i="8" s="1"/>
  <c r="EW12" i="8" s="1"/>
  <c r="EW13" i="8" s="1"/>
  <c r="EV9" i="8"/>
  <c r="EV10" i="8" s="1"/>
  <c r="EV11" i="8" s="1"/>
  <c r="EV12" i="8" s="1"/>
  <c r="EV13" i="8" s="1"/>
  <c r="EU9" i="8"/>
  <c r="EU10" i="8" s="1"/>
  <c r="EU11" i="8" s="1"/>
  <c r="EU12" i="8" s="1"/>
  <c r="EU13" i="8" s="1"/>
  <c r="EU14" i="8" s="1"/>
  <c r="EU15" i="8" s="1"/>
  <c r="EU16" i="8" s="1"/>
  <c r="EU17" i="8" s="1"/>
  <c r="EU18" i="8" s="1"/>
  <c r="EU19" i="8" s="1"/>
  <c r="EU20" i="8" s="1"/>
  <c r="EU21" i="8" s="1"/>
  <c r="EU22" i="8" s="1"/>
  <c r="EU23" i="8" s="1"/>
  <c r="EU24" i="8" s="1"/>
  <c r="EU25" i="8" s="1"/>
  <c r="EU26" i="8" s="1"/>
  <c r="EU27" i="8" s="1"/>
  <c r="EU28" i="8" s="1"/>
  <c r="EU29" i="8" s="1"/>
  <c r="EU30" i="8" s="1"/>
  <c r="EU31" i="8" s="1"/>
  <c r="EU32" i="8" s="1"/>
  <c r="EU33" i="8" s="1"/>
  <c r="EA9" i="8"/>
  <c r="DZ9" i="8"/>
  <c r="DY9" i="8"/>
  <c r="DX9" i="8"/>
  <c r="DW9" i="8"/>
  <c r="DV9" i="8"/>
  <c r="DU9" i="8"/>
  <c r="DT9" i="8"/>
  <c r="DF9" i="8"/>
  <c r="DF10" i="8" s="1"/>
  <c r="DF11" i="8" s="1"/>
  <c r="DF12" i="8" s="1"/>
  <c r="DF13" i="8" s="1"/>
  <c r="DF14" i="8" s="1"/>
  <c r="DF15" i="8" s="1"/>
  <c r="DF16" i="8" s="1"/>
  <c r="DF17" i="8" s="1"/>
  <c r="DF18" i="8" s="1"/>
  <c r="DF19" i="8" s="1"/>
  <c r="DF20" i="8" s="1"/>
  <c r="DF21" i="8" s="1"/>
  <c r="DF22" i="8" s="1"/>
  <c r="DF23" i="8" s="1"/>
  <c r="DF24" i="8" s="1"/>
  <c r="DF25" i="8" s="1"/>
  <c r="DF26" i="8" s="1"/>
  <c r="DF27" i="8" s="1"/>
  <c r="DF28" i="8" s="1"/>
  <c r="DF29" i="8" s="1"/>
  <c r="DF30" i="8" s="1"/>
  <c r="DF31" i="8" s="1"/>
  <c r="DF32" i="8" s="1"/>
  <c r="DF33" i="8" s="1"/>
  <c r="DF34" i="8" s="1"/>
  <c r="DF35" i="8" s="1"/>
  <c r="DF36" i="8" s="1"/>
  <c r="DF37" i="8" s="1"/>
  <c r="DF38" i="8" s="1"/>
  <c r="DF39" i="8" s="1"/>
  <c r="DF40" i="8" s="1"/>
  <c r="DF41" i="8" s="1"/>
  <c r="DF42" i="8" s="1"/>
  <c r="DF43" i="8" s="1"/>
  <c r="DF44" i="8" s="1"/>
  <c r="DF45" i="8" s="1"/>
  <c r="DF46" i="8" s="1"/>
  <c r="DF47" i="8" s="1"/>
  <c r="DF48" i="8" s="1"/>
  <c r="DF49" i="8" s="1"/>
  <c r="DF50" i="8" s="1"/>
  <c r="DF51" i="8" s="1"/>
  <c r="DF52" i="8" s="1"/>
  <c r="DF53" i="8" s="1"/>
  <c r="DF54" i="8" s="1"/>
  <c r="DF55" i="8" s="1"/>
  <c r="DF56" i="8" s="1"/>
  <c r="DF57" i="8" s="1"/>
  <c r="DF58" i="8" s="1"/>
  <c r="DF59" i="8" s="1"/>
  <c r="DE9" i="8"/>
  <c r="DE10" i="8" s="1"/>
  <c r="DE11" i="8" s="1"/>
  <c r="DE12" i="8" s="1"/>
  <c r="DE13" i="8" s="1"/>
  <c r="DE14" i="8" s="1"/>
  <c r="DE15" i="8" s="1"/>
  <c r="DE16" i="8" s="1"/>
  <c r="DE17" i="8" s="1"/>
  <c r="DE18" i="8" s="1"/>
  <c r="DE19" i="8" s="1"/>
  <c r="DE20" i="8" s="1"/>
  <c r="DE21" i="8" s="1"/>
  <c r="DE22" i="8" s="1"/>
  <c r="DE23" i="8" s="1"/>
  <c r="DE24" i="8" s="1"/>
  <c r="DE25" i="8" s="1"/>
  <c r="DE26" i="8" s="1"/>
  <c r="DE27" i="8" s="1"/>
  <c r="DE28" i="8" s="1"/>
  <c r="DE29" i="8" s="1"/>
  <c r="DE30" i="8" s="1"/>
  <c r="DE31" i="8" s="1"/>
  <c r="DE32" i="8" s="1"/>
  <c r="DE33" i="8" s="1"/>
  <c r="DE34" i="8" s="1"/>
  <c r="DE35" i="8" s="1"/>
  <c r="DE36" i="8" s="1"/>
  <c r="DE37" i="8" s="1"/>
  <c r="DE38" i="8" s="1"/>
  <c r="DE39" i="8" s="1"/>
  <c r="DE40" i="8" s="1"/>
  <c r="DE41" i="8" s="1"/>
  <c r="DE42" i="8" s="1"/>
  <c r="DE43" i="8" s="1"/>
  <c r="DE44" i="8" s="1"/>
  <c r="DE45" i="8" s="1"/>
  <c r="DE46" i="8" s="1"/>
  <c r="DE47" i="8" s="1"/>
  <c r="DE48" i="8" s="1"/>
  <c r="DE49" i="8" s="1"/>
  <c r="DE50" i="8" s="1"/>
  <c r="DE51" i="8" s="1"/>
  <c r="DE52" i="8" s="1"/>
  <c r="DE53" i="8" s="1"/>
  <c r="DE54" i="8" s="1"/>
  <c r="DE55" i="8" s="1"/>
  <c r="DE56" i="8" s="1"/>
  <c r="DE57" i="8" s="1"/>
  <c r="DE58" i="8" s="1"/>
  <c r="DE59" i="8" s="1"/>
  <c r="DD9" i="8"/>
  <c r="DD10" i="8" s="1"/>
  <c r="DD11" i="8" s="1"/>
  <c r="DD12" i="8" s="1"/>
  <c r="DD13" i="8" s="1"/>
  <c r="DD14" i="8" s="1"/>
  <c r="DD15" i="8" s="1"/>
  <c r="DD16" i="8" s="1"/>
  <c r="DD17" i="8" s="1"/>
  <c r="DD18" i="8" s="1"/>
  <c r="DD19" i="8" s="1"/>
  <c r="DD20" i="8" s="1"/>
  <c r="DD21" i="8" s="1"/>
  <c r="DD22" i="8" s="1"/>
  <c r="DD23" i="8" s="1"/>
  <c r="DD24" i="8" s="1"/>
  <c r="DD25" i="8" s="1"/>
  <c r="DD26" i="8" s="1"/>
  <c r="DD27" i="8" s="1"/>
  <c r="DD28" i="8" s="1"/>
  <c r="DD29" i="8" s="1"/>
  <c r="DD30" i="8" s="1"/>
  <c r="DD31" i="8" s="1"/>
  <c r="DD32" i="8" s="1"/>
  <c r="DD33" i="8" s="1"/>
  <c r="DD34" i="8" s="1"/>
  <c r="DD35" i="8" s="1"/>
  <c r="DD36" i="8" s="1"/>
  <c r="DD37" i="8" s="1"/>
  <c r="DD38" i="8" s="1"/>
  <c r="DD39" i="8" s="1"/>
  <c r="DD40" i="8" s="1"/>
  <c r="DD41" i="8" s="1"/>
  <c r="DD42" i="8" s="1"/>
  <c r="DD43" i="8" s="1"/>
  <c r="DD44" i="8" s="1"/>
  <c r="DD45" i="8" s="1"/>
  <c r="DD46" i="8" s="1"/>
  <c r="DD47" i="8" s="1"/>
  <c r="DD48" i="8" s="1"/>
  <c r="DD49" i="8" s="1"/>
  <c r="DD50" i="8" s="1"/>
  <c r="DD51" i="8" s="1"/>
  <c r="DD52" i="8" s="1"/>
  <c r="DD53" i="8" s="1"/>
  <c r="DD54" i="8" s="1"/>
  <c r="DD55" i="8" s="1"/>
  <c r="DD56" i="8" s="1"/>
  <c r="DD57" i="8" s="1"/>
  <c r="DD58" i="8" s="1"/>
  <c r="DD59" i="8" s="1"/>
  <c r="CX9" i="8"/>
  <c r="CW9" i="8"/>
  <c r="CV9" i="8"/>
  <c r="CT9" i="8"/>
  <c r="AU9" i="8"/>
  <c r="AO9" i="8"/>
  <c r="AN9" i="8"/>
  <c r="Q9" i="8"/>
  <c r="L9" i="8"/>
  <c r="OR8" i="8"/>
  <c r="OE8" i="8"/>
  <c r="OD8" i="8"/>
  <c r="OC8" i="8"/>
  <c r="OB8" i="8"/>
  <c r="OB9" i="8" s="1"/>
  <c r="OB10" i="8" s="1"/>
  <c r="OB11" i="8" s="1"/>
  <c r="OB12" i="8" s="1"/>
  <c r="OB13" i="8" s="1"/>
  <c r="OB14" i="8" s="1"/>
  <c r="OB15" i="8" s="1"/>
  <c r="OB16" i="8" s="1"/>
  <c r="OB17" i="8" s="1"/>
  <c r="OB18" i="8" s="1"/>
  <c r="OB19" i="8" s="1"/>
  <c r="OB20" i="8" s="1"/>
  <c r="OB21" i="8" s="1"/>
  <c r="OB22" i="8" s="1"/>
  <c r="OB23" i="8" s="1"/>
  <c r="OB24" i="8" s="1"/>
  <c r="OB25" i="8" s="1"/>
  <c r="OB26" i="8" s="1"/>
  <c r="OB27" i="8" s="1"/>
  <c r="OB28" i="8" s="1"/>
  <c r="OB29" i="8" s="1"/>
  <c r="OB30" i="8" s="1"/>
  <c r="OB31" i="8" s="1"/>
  <c r="OB32" i="8" s="1"/>
  <c r="OB33" i="8" s="1"/>
  <c r="OA8" i="8"/>
  <c r="OA9" i="8" s="1"/>
  <c r="OA10" i="8" s="1"/>
  <c r="OA11" i="8" s="1"/>
  <c r="OA12" i="8" s="1"/>
  <c r="OA13" i="8" s="1"/>
  <c r="OA14" i="8" s="1"/>
  <c r="OA15" i="8" s="1"/>
  <c r="OA16" i="8" s="1"/>
  <c r="OA17" i="8" s="1"/>
  <c r="OA18" i="8" s="1"/>
  <c r="OA19" i="8" s="1"/>
  <c r="OA20" i="8" s="1"/>
  <c r="OA21" i="8" s="1"/>
  <c r="OA22" i="8" s="1"/>
  <c r="OA23" i="8" s="1"/>
  <c r="OA24" i="8" s="1"/>
  <c r="OA25" i="8" s="1"/>
  <c r="OA26" i="8" s="1"/>
  <c r="OA27" i="8" s="1"/>
  <c r="OA28" i="8" s="1"/>
  <c r="OA29" i="8" s="1"/>
  <c r="OA30" i="8" s="1"/>
  <c r="OA31" i="8" s="1"/>
  <c r="OA32" i="8" s="1"/>
  <c r="OA33" i="8" s="1"/>
  <c r="NZ8" i="8"/>
  <c r="NZ9" i="8" s="1"/>
  <c r="NZ10" i="8" s="1"/>
  <c r="NZ11" i="8" s="1"/>
  <c r="NZ12" i="8" s="1"/>
  <c r="NZ13" i="8" s="1"/>
  <c r="NZ14" i="8" s="1"/>
  <c r="NZ15" i="8" s="1"/>
  <c r="NZ16" i="8" s="1"/>
  <c r="NZ17" i="8" s="1"/>
  <c r="NZ18" i="8" s="1"/>
  <c r="NZ19" i="8" s="1"/>
  <c r="NZ20" i="8" s="1"/>
  <c r="NZ21" i="8" s="1"/>
  <c r="NZ22" i="8" s="1"/>
  <c r="NZ23" i="8" s="1"/>
  <c r="NZ24" i="8" s="1"/>
  <c r="NZ25" i="8" s="1"/>
  <c r="NZ26" i="8" s="1"/>
  <c r="NZ27" i="8" s="1"/>
  <c r="NZ28" i="8" s="1"/>
  <c r="NZ29" i="8" s="1"/>
  <c r="NZ30" i="8" s="1"/>
  <c r="NZ31" i="8" s="1"/>
  <c r="NZ32" i="8" s="1"/>
  <c r="NZ33" i="8" s="1"/>
  <c r="NY8" i="8"/>
  <c r="NY9" i="8" s="1"/>
  <c r="NY10" i="8" s="1"/>
  <c r="NY11" i="8" s="1"/>
  <c r="NY12" i="8" s="1"/>
  <c r="NY13" i="8" s="1"/>
  <c r="NY14" i="8" s="1"/>
  <c r="NY15" i="8" s="1"/>
  <c r="NY16" i="8" s="1"/>
  <c r="NY17" i="8" s="1"/>
  <c r="NY18" i="8" s="1"/>
  <c r="NY19" i="8" s="1"/>
  <c r="NY20" i="8" s="1"/>
  <c r="NY21" i="8" s="1"/>
  <c r="NY22" i="8" s="1"/>
  <c r="NY23" i="8" s="1"/>
  <c r="NY24" i="8" s="1"/>
  <c r="NY25" i="8" s="1"/>
  <c r="NY26" i="8" s="1"/>
  <c r="NY27" i="8" s="1"/>
  <c r="NY28" i="8" s="1"/>
  <c r="NY29" i="8" s="1"/>
  <c r="NY30" i="8" s="1"/>
  <c r="NY31" i="8" s="1"/>
  <c r="NY32" i="8" s="1"/>
  <c r="NY33" i="8" s="1"/>
  <c r="NX8" i="8"/>
  <c r="NX9" i="8" s="1"/>
  <c r="NX10" i="8" s="1"/>
  <c r="NX11" i="8" s="1"/>
  <c r="NX12" i="8" s="1"/>
  <c r="NX13" i="8" s="1"/>
  <c r="NX14" i="8" s="1"/>
  <c r="NX15" i="8" s="1"/>
  <c r="NX16" i="8" s="1"/>
  <c r="NX17" i="8" s="1"/>
  <c r="NX18" i="8" s="1"/>
  <c r="NX19" i="8" s="1"/>
  <c r="NX20" i="8" s="1"/>
  <c r="NX21" i="8" s="1"/>
  <c r="NX22" i="8" s="1"/>
  <c r="NX23" i="8" s="1"/>
  <c r="NX24" i="8" s="1"/>
  <c r="NX25" i="8" s="1"/>
  <c r="NX26" i="8" s="1"/>
  <c r="NX27" i="8" s="1"/>
  <c r="NX28" i="8" s="1"/>
  <c r="NX29" i="8" s="1"/>
  <c r="NX30" i="8" s="1"/>
  <c r="NX31" i="8" s="1"/>
  <c r="NX32" i="8" s="1"/>
  <c r="NX33" i="8" s="1"/>
  <c r="NW8" i="8"/>
  <c r="NV8" i="8"/>
  <c r="NU8" i="8"/>
  <c r="MI8" i="8"/>
  <c r="MH8" i="8"/>
  <c r="MG8" i="8"/>
  <c r="MF8" i="8"/>
  <c r="ME8" i="8"/>
  <c r="MD8" i="8"/>
  <c r="MC8" i="8"/>
  <c r="MB8" i="8"/>
  <c r="LY8" i="8"/>
  <c r="LU8" i="8"/>
  <c r="LQ8" i="8"/>
  <c r="LM8" i="8"/>
  <c r="LI8" i="8"/>
  <c r="LE8" i="8"/>
  <c r="LA8" i="8"/>
  <c r="KW8" i="8"/>
  <c r="KS8" i="8"/>
  <c r="KO8" i="8"/>
  <c r="IZ8" i="8"/>
  <c r="IH8" i="8"/>
  <c r="IG8" i="8"/>
  <c r="IG9" i="8" s="1"/>
  <c r="IG10" i="8" s="1"/>
  <c r="IG11" i="8" s="1"/>
  <c r="IG12" i="8" s="1"/>
  <c r="IG13" i="8" s="1"/>
  <c r="IG14" i="8" s="1"/>
  <c r="IG15" i="8" s="1"/>
  <c r="IG16" i="8" s="1"/>
  <c r="IG17" i="8" s="1"/>
  <c r="IG18" i="8" s="1"/>
  <c r="IG19" i="8" s="1"/>
  <c r="IG20" i="8" s="1"/>
  <c r="IG21" i="8" s="1"/>
  <c r="IG22" i="8" s="1"/>
  <c r="IG23" i="8" s="1"/>
  <c r="IG24" i="8" s="1"/>
  <c r="IG25" i="8" s="1"/>
  <c r="IG26" i="8" s="1"/>
  <c r="IG27" i="8" s="1"/>
  <c r="IG28" i="8" s="1"/>
  <c r="IG29" i="8" s="1"/>
  <c r="IG30" i="8" s="1"/>
  <c r="IG31" i="8" s="1"/>
  <c r="IG32" i="8" s="1"/>
  <c r="IG33" i="8" s="1"/>
  <c r="IF8" i="8"/>
  <c r="IF9" i="8" s="1"/>
  <c r="IF10" i="8" s="1"/>
  <c r="IF11" i="8" s="1"/>
  <c r="IF12" i="8" s="1"/>
  <c r="IF13" i="8" s="1"/>
  <c r="IF14" i="8" s="1"/>
  <c r="IF15" i="8" s="1"/>
  <c r="IF16" i="8" s="1"/>
  <c r="IF17" i="8" s="1"/>
  <c r="IF18" i="8" s="1"/>
  <c r="IF19" i="8" s="1"/>
  <c r="IF20" i="8" s="1"/>
  <c r="IF21" i="8" s="1"/>
  <c r="IF22" i="8" s="1"/>
  <c r="IF23" i="8" s="1"/>
  <c r="IF24" i="8" s="1"/>
  <c r="IF25" i="8" s="1"/>
  <c r="IF26" i="8" s="1"/>
  <c r="IF27" i="8" s="1"/>
  <c r="IF28" i="8" s="1"/>
  <c r="IF29" i="8" s="1"/>
  <c r="IF30" i="8" s="1"/>
  <c r="IF31" i="8" s="1"/>
  <c r="IF32" i="8" s="1"/>
  <c r="IF33" i="8" s="1"/>
  <c r="IE8" i="8"/>
  <c r="IE9" i="8" s="1"/>
  <c r="IE10" i="8" s="1"/>
  <c r="IE11" i="8" s="1"/>
  <c r="IE12" i="8" s="1"/>
  <c r="IE13" i="8" s="1"/>
  <c r="IE14" i="8" s="1"/>
  <c r="IE15" i="8" s="1"/>
  <c r="IE16" i="8" s="1"/>
  <c r="IE17" i="8" s="1"/>
  <c r="IE18" i="8" s="1"/>
  <c r="IE19" i="8" s="1"/>
  <c r="IE20" i="8" s="1"/>
  <c r="IE21" i="8" s="1"/>
  <c r="IE22" i="8" s="1"/>
  <c r="IE23" i="8" s="1"/>
  <c r="IE24" i="8" s="1"/>
  <c r="IE25" i="8" s="1"/>
  <c r="IE26" i="8" s="1"/>
  <c r="IE27" i="8" s="1"/>
  <c r="IE28" i="8" s="1"/>
  <c r="IE29" i="8" s="1"/>
  <c r="IE30" i="8" s="1"/>
  <c r="IE31" i="8" s="1"/>
  <c r="IE32" i="8" s="1"/>
  <c r="IE33" i="8" s="1"/>
  <c r="ID8" i="8"/>
  <c r="ID9" i="8" s="1"/>
  <c r="ID10" i="8" s="1"/>
  <c r="ID11" i="8" s="1"/>
  <c r="ID12" i="8" s="1"/>
  <c r="ID13" i="8" s="1"/>
  <c r="ID14" i="8" s="1"/>
  <c r="ID15" i="8" s="1"/>
  <c r="ID16" i="8" s="1"/>
  <c r="ID17" i="8" s="1"/>
  <c r="ID18" i="8" s="1"/>
  <c r="ID19" i="8" s="1"/>
  <c r="ID20" i="8" s="1"/>
  <c r="ID21" i="8" s="1"/>
  <c r="ID22" i="8" s="1"/>
  <c r="ID23" i="8" s="1"/>
  <c r="ID24" i="8" s="1"/>
  <c r="ID25" i="8" s="1"/>
  <c r="ID26" i="8" s="1"/>
  <c r="ID27" i="8" s="1"/>
  <c r="ID28" i="8" s="1"/>
  <c r="ID29" i="8" s="1"/>
  <c r="ID30" i="8" s="1"/>
  <c r="ID31" i="8" s="1"/>
  <c r="ID32" i="8" s="1"/>
  <c r="ID33" i="8" s="1"/>
  <c r="IC8" i="8"/>
  <c r="IC9" i="8" s="1"/>
  <c r="IC10" i="8" s="1"/>
  <c r="IC11" i="8" s="1"/>
  <c r="IC12" i="8" s="1"/>
  <c r="IC13" i="8" s="1"/>
  <c r="IC14" i="8" s="1"/>
  <c r="IC15" i="8" s="1"/>
  <c r="IC16" i="8" s="1"/>
  <c r="IC17" i="8" s="1"/>
  <c r="IC18" i="8" s="1"/>
  <c r="IC19" i="8" s="1"/>
  <c r="IC20" i="8" s="1"/>
  <c r="IC21" i="8" s="1"/>
  <c r="IC22" i="8" s="1"/>
  <c r="IC23" i="8" s="1"/>
  <c r="IC24" i="8" s="1"/>
  <c r="IC25" i="8" s="1"/>
  <c r="IC26" i="8" s="1"/>
  <c r="IC27" i="8" s="1"/>
  <c r="IC28" i="8" s="1"/>
  <c r="IC29" i="8" s="1"/>
  <c r="IC30" i="8" s="1"/>
  <c r="IC31" i="8" s="1"/>
  <c r="IC32" i="8" s="1"/>
  <c r="IC33" i="8" s="1"/>
  <c r="IB8" i="8"/>
  <c r="IA8" i="8"/>
  <c r="HZ8" i="8"/>
  <c r="HY8" i="8"/>
  <c r="HX8" i="8"/>
  <c r="HV8" i="8"/>
  <c r="HA8" i="8"/>
  <c r="GO8" i="8"/>
  <c r="GN8" i="8"/>
  <c r="GM8" i="8"/>
  <c r="GM9" i="8" s="1"/>
  <c r="GM10" i="8" s="1"/>
  <c r="GM11" i="8" s="1"/>
  <c r="GM12" i="8" s="1"/>
  <c r="GM13" i="8" s="1"/>
  <c r="GM14" i="8" s="1"/>
  <c r="GM15" i="8" s="1"/>
  <c r="GM16" i="8" s="1"/>
  <c r="GM17" i="8" s="1"/>
  <c r="GM18" i="8" s="1"/>
  <c r="GM19" i="8" s="1"/>
  <c r="GM20" i="8" s="1"/>
  <c r="GM21" i="8" s="1"/>
  <c r="GM22" i="8" s="1"/>
  <c r="GM23" i="8" s="1"/>
  <c r="GM24" i="8" s="1"/>
  <c r="GM25" i="8" s="1"/>
  <c r="GM26" i="8" s="1"/>
  <c r="GM27" i="8" s="1"/>
  <c r="GM28" i="8" s="1"/>
  <c r="GM29" i="8" s="1"/>
  <c r="GM30" i="8" s="1"/>
  <c r="GM31" i="8" s="1"/>
  <c r="GM32" i="8" s="1"/>
  <c r="GM33" i="8" s="1"/>
  <c r="GM34" i="8" s="1"/>
  <c r="GM35" i="8" s="1"/>
  <c r="GM36" i="8" s="1"/>
  <c r="GM37" i="8" s="1"/>
  <c r="GM38" i="8" s="1"/>
  <c r="GM39" i="8" s="1"/>
  <c r="GM40" i="8" s="1"/>
  <c r="GM41" i="8" s="1"/>
  <c r="GM42" i="8" s="1"/>
  <c r="GM43" i="8" s="1"/>
  <c r="GM44" i="8" s="1"/>
  <c r="GM45" i="8" s="1"/>
  <c r="GM46" i="8" s="1"/>
  <c r="GM47" i="8" s="1"/>
  <c r="GM48" i="8" s="1"/>
  <c r="GM49" i="8" s="1"/>
  <c r="GM50" i="8" s="1"/>
  <c r="GM51" i="8" s="1"/>
  <c r="GM52" i="8" s="1"/>
  <c r="GM53" i="8" s="1"/>
  <c r="GM54" i="8" s="1"/>
  <c r="GM55" i="8" s="1"/>
  <c r="GM56" i="8" s="1"/>
  <c r="GM57" i="8" s="1"/>
  <c r="GM58" i="8" s="1"/>
  <c r="GM59" i="8" s="1"/>
  <c r="GL8" i="8"/>
  <c r="GL9" i="8" s="1"/>
  <c r="GL10" i="8" s="1"/>
  <c r="GL11" i="8" s="1"/>
  <c r="GL12" i="8" s="1"/>
  <c r="GL13" i="8" s="1"/>
  <c r="GL14" i="8" s="1"/>
  <c r="GL15" i="8" s="1"/>
  <c r="GL16" i="8" s="1"/>
  <c r="GL17" i="8" s="1"/>
  <c r="GL18" i="8" s="1"/>
  <c r="GL19" i="8" s="1"/>
  <c r="GL20" i="8" s="1"/>
  <c r="GL21" i="8" s="1"/>
  <c r="GL22" i="8" s="1"/>
  <c r="GL23" i="8" s="1"/>
  <c r="GL24" i="8" s="1"/>
  <c r="GL25" i="8" s="1"/>
  <c r="GL26" i="8" s="1"/>
  <c r="GL27" i="8" s="1"/>
  <c r="GL28" i="8" s="1"/>
  <c r="GL29" i="8" s="1"/>
  <c r="GL30" i="8" s="1"/>
  <c r="GL31" i="8" s="1"/>
  <c r="GL32" i="8" s="1"/>
  <c r="GL33" i="8" s="1"/>
  <c r="GL34" i="8" s="1"/>
  <c r="GL35" i="8" s="1"/>
  <c r="GL36" i="8" s="1"/>
  <c r="GL37" i="8" s="1"/>
  <c r="GL38" i="8" s="1"/>
  <c r="GL39" i="8" s="1"/>
  <c r="GL40" i="8" s="1"/>
  <c r="GL41" i="8" s="1"/>
  <c r="GL42" i="8" s="1"/>
  <c r="GL43" i="8" s="1"/>
  <c r="GL44" i="8" s="1"/>
  <c r="GL45" i="8" s="1"/>
  <c r="GL46" i="8" s="1"/>
  <c r="GL47" i="8" s="1"/>
  <c r="GL48" i="8" s="1"/>
  <c r="GL49" i="8" s="1"/>
  <c r="GL50" i="8" s="1"/>
  <c r="GL51" i="8" s="1"/>
  <c r="GL52" i="8" s="1"/>
  <c r="GL53" i="8" s="1"/>
  <c r="GL54" i="8" s="1"/>
  <c r="GL55" i="8" s="1"/>
  <c r="GL56" i="8" s="1"/>
  <c r="GL57" i="8" s="1"/>
  <c r="GL58" i="8" s="1"/>
  <c r="GL59" i="8" s="1"/>
  <c r="GK8" i="8"/>
  <c r="GK9" i="8" s="1"/>
  <c r="GK10" i="8" s="1"/>
  <c r="GK11" i="8" s="1"/>
  <c r="GK12" i="8" s="1"/>
  <c r="GK13" i="8" s="1"/>
  <c r="GK14" i="8" s="1"/>
  <c r="GK15" i="8" s="1"/>
  <c r="GK16" i="8" s="1"/>
  <c r="GK17" i="8" s="1"/>
  <c r="GK18" i="8" s="1"/>
  <c r="GK19" i="8" s="1"/>
  <c r="GK20" i="8" s="1"/>
  <c r="GK21" i="8" s="1"/>
  <c r="GK22" i="8" s="1"/>
  <c r="GK23" i="8" s="1"/>
  <c r="GK24" i="8" s="1"/>
  <c r="GK25" i="8" s="1"/>
  <c r="GK26" i="8" s="1"/>
  <c r="GK27" i="8" s="1"/>
  <c r="GK28" i="8" s="1"/>
  <c r="GK29" i="8" s="1"/>
  <c r="GK30" i="8" s="1"/>
  <c r="GK31" i="8" s="1"/>
  <c r="GK32" i="8" s="1"/>
  <c r="GK33" i="8" s="1"/>
  <c r="GK34" i="8" s="1"/>
  <c r="GK35" i="8" s="1"/>
  <c r="GK36" i="8" s="1"/>
  <c r="GK37" i="8" s="1"/>
  <c r="GK38" i="8" s="1"/>
  <c r="GK39" i="8" s="1"/>
  <c r="GK40" i="8" s="1"/>
  <c r="GK41" i="8" s="1"/>
  <c r="GK42" i="8" s="1"/>
  <c r="GK43" i="8" s="1"/>
  <c r="GK44" i="8" s="1"/>
  <c r="GK45" i="8" s="1"/>
  <c r="GK46" i="8" s="1"/>
  <c r="GK47" i="8" s="1"/>
  <c r="GK48" i="8" s="1"/>
  <c r="GK49" i="8" s="1"/>
  <c r="GK50" i="8" s="1"/>
  <c r="GK51" i="8" s="1"/>
  <c r="GK52" i="8" s="1"/>
  <c r="GK53" i="8" s="1"/>
  <c r="GK54" i="8" s="1"/>
  <c r="GK55" i="8" s="1"/>
  <c r="GK56" i="8" s="1"/>
  <c r="GK57" i="8" s="1"/>
  <c r="GK58" i="8" s="1"/>
  <c r="GK59" i="8" s="1"/>
  <c r="GJ8" i="8"/>
  <c r="GJ9" i="8" s="1"/>
  <c r="GJ10" i="8" s="1"/>
  <c r="GJ11" i="8" s="1"/>
  <c r="GJ12" i="8" s="1"/>
  <c r="GJ13" i="8" s="1"/>
  <c r="GJ14" i="8" s="1"/>
  <c r="GJ15" i="8" s="1"/>
  <c r="GJ16" i="8" s="1"/>
  <c r="GJ17" i="8" s="1"/>
  <c r="GJ18" i="8" s="1"/>
  <c r="GJ19" i="8" s="1"/>
  <c r="GJ20" i="8" s="1"/>
  <c r="GJ21" i="8" s="1"/>
  <c r="GJ22" i="8" s="1"/>
  <c r="GJ23" i="8" s="1"/>
  <c r="GJ24" i="8" s="1"/>
  <c r="GJ25" i="8" s="1"/>
  <c r="GJ26" i="8" s="1"/>
  <c r="GJ27" i="8" s="1"/>
  <c r="GJ28" i="8" s="1"/>
  <c r="GJ29" i="8" s="1"/>
  <c r="GJ30" i="8" s="1"/>
  <c r="GJ31" i="8" s="1"/>
  <c r="GJ32" i="8" s="1"/>
  <c r="GJ33" i="8" s="1"/>
  <c r="GJ34" i="8" s="1"/>
  <c r="GJ35" i="8" s="1"/>
  <c r="GJ36" i="8" s="1"/>
  <c r="GJ37" i="8" s="1"/>
  <c r="GJ38" i="8" s="1"/>
  <c r="GJ39" i="8" s="1"/>
  <c r="GJ40" i="8" s="1"/>
  <c r="GJ41" i="8" s="1"/>
  <c r="GJ42" i="8" s="1"/>
  <c r="GJ43" i="8" s="1"/>
  <c r="GJ44" i="8" s="1"/>
  <c r="GJ45" i="8" s="1"/>
  <c r="GJ46" i="8" s="1"/>
  <c r="GJ47" i="8" s="1"/>
  <c r="GJ48" i="8" s="1"/>
  <c r="GJ49" i="8" s="1"/>
  <c r="GJ50" i="8" s="1"/>
  <c r="GJ51" i="8" s="1"/>
  <c r="GJ52" i="8" s="1"/>
  <c r="GJ53" i="8" s="1"/>
  <c r="GJ54" i="8" s="1"/>
  <c r="GJ55" i="8" s="1"/>
  <c r="GJ56" i="8" s="1"/>
  <c r="GJ57" i="8" s="1"/>
  <c r="GJ58" i="8" s="1"/>
  <c r="GJ59" i="8" s="1"/>
  <c r="GI8" i="8"/>
  <c r="GI9" i="8" s="1"/>
  <c r="GI10" i="8" s="1"/>
  <c r="GI11" i="8" s="1"/>
  <c r="GI12" i="8" s="1"/>
  <c r="GI13" i="8" s="1"/>
  <c r="GI14" i="8" s="1"/>
  <c r="GI15" i="8" s="1"/>
  <c r="GI16" i="8" s="1"/>
  <c r="GI17" i="8" s="1"/>
  <c r="GI18" i="8" s="1"/>
  <c r="GI19" i="8" s="1"/>
  <c r="GI20" i="8" s="1"/>
  <c r="GI21" i="8" s="1"/>
  <c r="GI22" i="8" s="1"/>
  <c r="GI23" i="8" s="1"/>
  <c r="GI24" i="8" s="1"/>
  <c r="GI25" i="8" s="1"/>
  <c r="GI26" i="8" s="1"/>
  <c r="GI27" i="8" s="1"/>
  <c r="GI28" i="8" s="1"/>
  <c r="GI29" i="8" s="1"/>
  <c r="GI30" i="8" s="1"/>
  <c r="GI31" i="8" s="1"/>
  <c r="GI32" i="8" s="1"/>
  <c r="GI33" i="8" s="1"/>
  <c r="GI34" i="8" s="1"/>
  <c r="GI35" i="8" s="1"/>
  <c r="GI36" i="8" s="1"/>
  <c r="GI37" i="8" s="1"/>
  <c r="GI38" i="8" s="1"/>
  <c r="GI39" i="8" s="1"/>
  <c r="GI40" i="8" s="1"/>
  <c r="GI41" i="8" s="1"/>
  <c r="GI42" i="8" s="1"/>
  <c r="GI43" i="8" s="1"/>
  <c r="GI44" i="8" s="1"/>
  <c r="GI45" i="8" s="1"/>
  <c r="GI46" i="8" s="1"/>
  <c r="GI47" i="8" s="1"/>
  <c r="GI48" i="8" s="1"/>
  <c r="GI49" i="8" s="1"/>
  <c r="GI50" i="8" s="1"/>
  <c r="GI51" i="8" s="1"/>
  <c r="GI52" i="8" s="1"/>
  <c r="GI53" i="8" s="1"/>
  <c r="GI54" i="8" s="1"/>
  <c r="GI55" i="8" s="1"/>
  <c r="GI56" i="8" s="1"/>
  <c r="GI57" i="8" s="1"/>
  <c r="GI58" i="8" s="1"/>
  <c r="GI59" i="8" s="1"/>
  <c r="GH8" i="8"/>
  <c r="GG8" i="8"/>
  <c r="GF8" i="8"/>
  <c r="GE8" i="8"/>
  <c r="GA8" i="8"/>
  <c r="FX8" i="8"/>
  <c r="FW8" i="8"/>
  <c r="FV8" i="8"/>
  <c r="FU8" i="8"/>
  <c r="FT8" i="8"/>
  <c r="FS8" i="8"/>
  <c r="FR8" i="8"/>
  <c r="FR9" i="8" s="1"/>
  <c r="FR10" i="8" s="1"/>
  <c r="FR11" i="8" s="1"/>
  <c r="FR12" i="8" s="1"/>
  <c r="FQ8" i="8"/>
  <c r="FQ9" i="8" s="1"/>
  <c r="FQ10" i="8" s="1"/>
  <c r="FQ11" i="8" s="1"/>
  <c r="FP8" i="8"/>
  <c r="FP9" i="8" s="1"/>
  <c r="FP10" i="8" s="1"/>
  <c r="FP11" i="8" s="1"/>
  <c r="FP12" i="8" s="1"/>
  <c r="FP13" i="8" s="1"/>
  <c r="FP14" i="8" s="1"/>
  <c r="FP15" i="8" s="1"/>
  <c r="FP16" i="8" s="1"/>
  <c r="FP17" i="8" s="1"/>
  <c r="FP18" i="8" s="1"/>
  <c r="FP19" i="8" s="1"/>
  <c r="FP20" i="8" s="1"/>
  <c r="FP21" i="8" s="1"/>
  <c r="FP22" i="8" s="1"/>
  <c r="FP23" i="8" s="1"/>
  <c r="FP24" i="8" s="1"/>
  <c r="FP25" i="8" s="1"/>
  <c r="FP26" i="8" s="1"/>
  <c r="FP27" i="8" s="1"/>
  <c r="FP28" i="8" s="1"/>
  <c r="FP29" i="8" s="1"/>
  <c r="FP30" i="8" s="1"/>
  <c r="FP31" i="8" s="1"/>
  <c r="FP32" i="8" s="1"/>
  <c r="FP33" i="8" s="1"/>
  <c r="FO8" i="8"/>
  <c r="FO9" i="8" s="1"/>
  <c r="FO10" i="8" s="1"/>
  <c r="FO11" i="8" s="1"/>
  <c r="FO12" i="8" s="1"/>
  <c r="FO13" i="8" s="1"/>
  <c r="FO14" i="8" s="1"/>
  <c r="FO15" i="8" s="1"/>
  <c r="FO16" i="8" s="1"/>
  <c r="FO17" i="8" s="1"/>
  <c r="FO18" i="8" s="1"/>
  <c r="FO19" i="8" s="1"/>
  <c r="FO20" i="8" s="1"/>
  <c r="FO21" i="8" s="1"/>
  <c r="FO22" i="8" s="1"/>
  <c r="FO23" i="8" s="1"/>
  <c r="FO24" i="8" s="1"/>
  <c r="FO25" i="8" s="1"/>
  <c r="FO26" i="8" s="1"/>
  <c r="FO27" i="8" s="1"/>
  <c r="FO28" i="8" s="1"/>
  <c r="FO29" i="8" s="1"/>
  <c r="FO30" i="8" s="1"/>
  <c r="FO31" i="8" s="1"/>
  <c r="FO32" i="8" s="1"/>
  <c r="FO33" i="8" s="1"/>
  <c r="FN8" i="8"/>
  <c r="FN9" i="8" s="1"/>
  <c r="FN10" i="8" s="1"/>
  <c r="FN11" i="8" s="1"/>
  <c r="FN12" i="8" s="1"/>
  <c r="FN13" i="8" s="1"/>
  <c r="FN14" i="8" s="1"/>
  <c r="FN15" i="8" s="1"/>
  <c r="FN16" i="8" s="1"/>
  <c r="FN17" i="8" s="1"/>
  <c r="FN18" i="8" s="1"/>
  <c r="FN19" i="8" s="1"/>
  <c r="FN20" i="8" s="1"/>
  <c r="FN21" i="8" s="1"/>
  <c r="FN22" i="8" s="1"/>
  <c r="FN23" i="8" s="1"/>
  <c r="FN24" i="8" s="1"/>
  <c r="FN25" i="8" s="1"/>
  <c r="FN26" i="8" s="1"/>
  <c r="FN27" i="8" s="1"/>
  <c r="FN28" i="8" s="1"/>
  <c r="FN29" i="8" s="1"/>
  <c r="FN30" i="8" s="1"/>
  <c r="FN31" i="8" s="1"/>
  <c r="FN32" i="8" s="1"/>
  <c r="FN33" i="8" s="1"/>
  <c r="FJ8" i="8"/>
  <c r="FF8" i="8"/>
  <c r="FC8" i="8"/>
  <c r="FB8" i="8"/>
  <c r="FA8" i="8"/>
  <c r="EZ8" i="8"/>
  <c r="EY8" i="8"/>
  <c r="EX8" i="8"/>
  <c r="EW8" i="8"/>
  <c r="EV8" i="8"/>
  <c r="EU8" i="8"/>
  <c r="ET8" i="8"/>
  <c r="ET9" i="8" s="1"/>
  <c r="ET10" i="8" s="1"/>
  <c r="ET11" i="8" s="1"/>
  <c r="ET12" i="8" s="1"/>
  <c r="ET13" i="8" s="1"/>
  <c r="ET14" i="8" s="1"/>
  <c r="ET15" i="8" s="1"/>
  <c r="ET16" i="8" s="1"/>
  <c r="ET17" i="8" s="1"/>
  <c r="ET18" i="8" s="1"/>
  <c r="ET19" i="8" s="1"/>
  <c r="ET20" i="8" s="1"/>
  <c r="ET21" i="8" s="1"/>
  <c r="ET22" i="8" s="1"/>
  <c r="ET23" i="8" s="1"/>
  <c r="ET24" i="8" s="1"/>
  <c r="ET25" i="8" s="1"/>
  <c r="ET26" i="8" s="1"/>
  <c r="ET27" i="8" s="1"/>
  <c r="ET28" i="8" s="1"/>
  <c r="ET29" i="8" s="1"/>
  <c r="ET30" i="8" s="1"/>
  <c r="ET31" i="8" s="1"/>
  <c r="ET32" i="8" s="1"/>
  <c r="ET33" i="8" s="1"/>
  <c r="ES8" i="8"/>
  <c r="ES9" i="8" s="1"/>
  <c r="ES10" i="8" s="1"/>
  <c r="ES11" i="8" s="1"/>
  <c r="ES12" i="8" s="1"/>
  <c r="ES13" i="8" s="1"/>
  <c r="ES14" i="8" s="1"/>
  <c r="ES15" i="8" s="1"/>
  <c r="ES16" i="8" s="1"/>
  <c r="ES17" i="8" s="1"/>
  <c r="ES18" i="8" s="1"/>
  <c r="ES19" i="8" s="1"/>
  <c r="ES20" i="8" s="1"/>
  <c r="ES21" i="8" s="1"/>
  <c r="ES22" i="8" s="1"/>
  <c r="ES23" i="8" s="1"/>
  <c r="ES24" i="8" s="1"/>
  <c r="ES25" i="8" s="1"/>
  <c r="ES26" i="8" s="1"/>
  <c r="ES27" i="8" s="1"/>
  <c r="ES28" i="8" s="1"/>
  <c r="ES29" i="8" s="1"/>
  <c r="ES30" i="8" s="1"/>
  <c r="ES31" i="8" s="1"/>
  <c r="ES32" i="8" s="1"/>
  <c r="ES33" i="8" s="1"/>
  <c r="ED8" i="8"/>
  <c r="ED9" i="8" s="1"/>
  <c r="ED10" i="8" s="1"/>
  <c r="ED11" i="8" s="1"/>
  <c r="ED12" i="8" s="1"/>
  <c r="ED13" i="8" s="1"/>
  <c r="ED14" i="8" s="1"/>
  <c r="ED15" i="8" s="1"/>
  <c r="ED16" i="8" s="1"/>
  <c r="ED17" i="8" s="1"/>
  <c r="ED18" i="8" s="1"/>
  <c r="ED19" i="8" s="1"/>
  <c r="ED20" i="8" s="1"/>
  <c r="ED21" i="8" s="1"/>
  <c r="ED22" i="8" s="1"/>
  <c r="ED23" i="8" s="1"/>
  <c r="ED24" i="8" s="1"/>
  <c r="ED25" i="8" s="1"/>
  <c r="ED26" i="8" s="1"/>
  <c r="ED27" i="8" s="1"/>
  <c r="ED28" i="8" s="1"/>
  <c r="ED29" i="8" s="1"/>
  <c r="ED30" i="8" s="1"/>
  <c r="ED31" i="8" s="1"/>
  <c r="ED32" i="8" s="1"/>
  <c r="ED33" i="8" s="1"/>
  <c r="ED34" i="8" s="1"/>
  <c r="ED35" i="8" s="1"/>
  <c r="ED36" i="8" s="1"/>
  <c r="ED37" i="8" s="1"/>
  <c r="ED38" i="8" s="1"/>
  <c r="ED39" i="8" s="1"/>
  <c r="ED40" i="8" s="1"/>
  <c r="ED41" i="8" s="1"/>
  <c r="ED42" i="8" s="1"/>
  <c r="ED43" i="8" s="1"/>
  <c r="ED44" i="8" s="1"/>
  <c r="ED45" i="8" s="1"/>
  <c r="ED46" i="8" s="1"/>
  <c r="ED47" i="8" s="1"/>
  <c r="ED48" i="8" s="1"/>
  <c r="ED49" i="8" s="1"/>
  <c r="ED50" i="8" s="1"/>
  <c r="ED51" i="8" s="1"/>
  <c r="ED52" i="8" s="1"/>
  <c r="ED53" i="8" s="1"/>
  <c r="ED54" i="8" s="1"/>
  <c r="ED55" i="8" s="1"/>
  <c r="ED56" i="8" s="1"/>
  <c r="ED57" i="8" s="1"/>
  <c r="ED58" i="8" s="1"/>
  <c r="ED59" i="8" s="1"/>
  <c r="EC8" i="8"/>
  <c r="EC9" i="8" s="1"/>
  <c r="EC10" i="8" s="1"/>
  <c r="EC11" i="8" s="1"/>
  <c r="EC12" i="8" s="1"/>
  <c r="EC13" i="8" s="1"/>
  <c r="EC14" i="8" s="1"/>
  <c r="EC15" i="8" s="1"/>
  <c r="EC16" i="8" s="1"/>
  <c r="EC17" i="8" s="1"/>
  <c r="EC18" i="8" s="1"/>
  <c r="EC19" i="8" s="1"/>
  <c r="EC20" i="8" s="1"/>
  <c r="EC21" i="8" s="1"/>
  <c r="EC22" i="8" s="1"/>
  <c r="EC23" i="8" s="1"/>
  <c r="EC24" i="8" s="1"/>
  <c r="EC25" i="8" s="1"/>
  <c r="EC26" i="8" s="1"/>
  <c r="EC27" i="8" s="1"/>
  <c r="EC28" i="8" s="1"/>
  <c r="EC29" i="8" s="1"/>
  <c r="EC30" i="8" s="1"/>
  <c r="EC31" i="8" s="1"/>
  <c r="EC32" i="8" s="1"/>
  <c r="EC33" i="8" s="1"/>
  <c r="EC34" i="8" s="1"/>
  <c r="EC35" i="8" s="1"/>
  <c r="EC36" i="8" s="1"/>
  <c r="EC37" i="8" s="1"/>
  <c r="EC38" i="8" s="1"/>
  <c r="EC39" i="8" s="1"/>
  <c r="EC40" i="8" s="1"/>
  <c r="EC41" i="8" s="1"/>
  <c r="EC42" i="8" s="1"/>
  <c r="EC43" i="8" s="1"/>
  <c r="EC44" i="8" s="1"/>
  <c r="EC45" i="8" s="1"/>
  <c r="EC46" i="8" s="1"/>
  <c r="EC47" i="8" s="1"/>
  <c r="EC48" i="8" s="1"/>
  <c r="EC49" i="8" s="1"/>
  <c r="EC50" i="8" s="1"/>
  <c r="EC51" i="8" s="1"/>
  <c r="EC52" i="8" s="1"/>
  <c r="EC53" i="8" s="1"/>
  <c r="EC54" i="8" s="1"/>
  <c r="EC55" i="8" s="1"/>
  <c r="EC56" i="8" s="1"/>
  <c r="EC57" i="8" s="1"/>
  <c r="EC58" i="8" s="1"/>
  <c r="EC59" i="8" s="1"/>
  <c r="EB8" i="8"/>
  <c r="EB9" i="8" s="1"/>
  <c r="EB10" i="8" s="1"/>
  <c r="EA8" i="8"/>
  <c r="DZ8" i="8"/>
  <c r="DY8" i="8"/>
  <c r="DX8" i="8"/>
  <c r="DW8" i="8"/>
  <c r="DV8" i="8"/>
  <c r="DU8" i="8"/>
  <c r="DT8" i="8"/>
  <c r="DF8" i="8"/>
  <c r="DE8" i="8"/>
  <c r="DD8" i="8"/>
  <c r="DC8" i="8"/>
  <c r="DC9" i="8" s="1"/>
  <c r="DC10" i="8" s="1"/>
  <c r="DC11" i="8" s="1"/>
  <c r="DC12" i="8" s="1"/>
  <c r="DC13" i="8" s="1"/>
  <c r="DC14" i="8" s="1"/>
  <c r="DC15" i="8" s="1"/>
  <c r="DC16" i="8" s="1"/>
  <c r="DC17" i="8" s="1"/>
  <c r="DC18" i="8" s="1"/>
  <c r="DC19" i="8" s="1"/>
  <c r="DC20" i="8" s="1"/>
  <c r="DC21" i="8" s="1"/>
  <c r="DC22" i="8" s="1"/>
  <c r="DC23" i="8" s="1"/>
  <c r="DC24" i="8" s="1"/>
  <c r="DC25" i="8" s="1"/>
  <c r="DC26" i="8" s="1"/>
  <c r="DC27" i="8" s="1"/>
  <c r="DC28" i="8" s="1"/>
  <c r="DC29" i="8" s="1"/>
  <c r="DC30" i="8" s="1"/>
  <c r="DC31" i="8" s="1"/>
  <c r="DC32" i="8" s="1"/>
  <c r="DC33" i="8" s="1"/>
  <c r="DC34" i="8" s="1"/>
  <c r="DC35" i="8" s="1"/>
  <c r="DC36" i="8" s="1"/>
  <c r="DC37" i="8" s="1"/>
  <c r="DC38" i="8" s="1"/>
  <c r="DC39" i="8" s="1"/>
  <c r="DC40" i="8" s="1"/>
  <c r="DC41" i="8" s="1"/>
  <c r="DC42" i="8" s="1"/>
  <c r="DC43" i="8" s="1"/>
  <c r="DC44" i="8" s="1"/>
  <c r="DC45" i="8" s="1"/>
  <c r="DC46" i="8" s="1"/>
  <c r="DC47" i="8" s="1"/>
  <c r="DC48" i="8" s="1"/>
  <c r="DC49" i="8" s="1"/>
  <c r="DC50" i="8" s="1"/>
  <c r="DC51" i="8" s="1"/>
  <c r="DC52" i="8" s="1"/>
  <c r="DC53" i="8" s="1"/>
  <c r="DC54" i="8" s="1"/>
  <c r="DC55" i="8" s="1"/>
  <c r="DC56" i="8" s="1"/>
  <c r="DC57" i="8" s="1"/>
  <c r="DC58" i="8" s="1"/>
  <c r="DC59" i="8" s="1"/>
  <c r="DB8" i="8"/>
  <c r="DB9" i="8" s="1"/>
  <c r="DB10" i="8" s="1"/>
  <c r="DB11" i="8" s="1"/>
  <c r="DB12" i="8" s="1"/>
  <c r="DB13" i="8" s="1"/>
  <c r="DB14" i="8" s="1"/>
  <c r="DB15" i="8" s="1"/>
  <c r="DB16" i="8" s="1"/>
  <c r="DB17" i="8" s="1"/>
  <c r="DB18" i="8" s="1"/>
  <c r="DB19" i="8" s="1"/>
  <c r="DB20" i="8" s="1"/>
  <c r="DB21" i="8" s="1"/>
  <c r="DB22" i="8" s="1"/>
  <c r="DB23" i="8" s="1"/>
  <c r="DB24" i="8" s="1"/>
  <c r="DB25" i="8" s="1"/>
  <c r="DB26" i="8" s="1"/>
  <c r="DB27" i="8" s="1"/>
  <c r="DB28" i="8" s="1"/>
  <c r="DB29" i="8" s="1"/>
  <c r="DB30" i="8" s="1"/>
  <c r="DB31" i="8" s="1"/>
  <c r="DB32" i="8" s="1"/>
  <c r="DB33" i="8" s="1"/>
  <c r="DB34" i="8" s="1"/>
  <c r="DB35" i="8" s="1"/>
  <c r="DB36" i="8" s="1"/>
  <c r="DB37" i="8" s="1"/>
  <c r="DB38" i="8" s="1"/>
  <c r="DB39" i="8" s="1"/>
  <c r="DB40" i="8" s="1"/>
  <c r="DB41" i="8" s="1"/>
  <c r="DB42" i="8" s="1"/>
  <c r="DB43" i="8" s="1"/>
  <c r="DB44" i="8" s="1"/>
  <c r="DB45" i="8" s="1"/>
  <c r="DB46" i="8" s="1"/>
  <c r="DB47" i="8" s="1"/>
  <c r="DB48" i="8" s="1"/>
  <c r="DB49" i="8" s="1"/>
  <c r="DB50" i="8" s="1"/>
  <c r="DB51" i="8" s="1"/>
  <c r="DB52" i="8" s="1"/>
  <c r="DB53" i="8" s="1"/>
  <c r="DB54" i="8" s="1"/>
  <c r="DB55" i="8" s="1"/>
  <c r="DB56" i="8" s="1"/>
  <c r="DB57" i="8" s="1"/>
  <c r="DB58" i="8" s="1"/>
  <c r="DB59" i="8" s="1"/>
  <c r="DA8" i="8"/>
  <c r="DA9" i="8" s="1"/>
  <c r="DA10" i="8" s="1"/>
  <c r="DA11" i="8" s="1"/>
  <c r="DA12" i="8" s="1"/>
  <c r="DA13" i="8" s="1"/>
  <c r="DA14" i="8" s="1"/>
  <c r="DA15" i="8" s="1"/>
  <c r="DA16" i="8" s="1"/>
  <c r="DA17" i="8" s="1"/>
  <c r="DA18" i="8" s="1"/>
  <c r="DA19" i="8" s="1"/>
  <c r="DA20" i="8" s="1"/>
  <c r="DA21" i="8" s="1"/>
  <c r="DA22" i="8" s="1"/>
  <c r="DA23" i="8" s="1"/>
  <c r="DA24" i="8" s="1"/>
  <c r="DA25" i="8" s="1"/>
  <c r="DA26" i="8" s="1"/>
  <c r="DA27" i="8" s="1"/>
  <c r="DA28" i="8" s="1"/>
  <c r="DA29" i="8" s="1"/>
  <c r="DA30" i="8" s="1"/>
  <c r="DA31" i="8" s="1"/>
  <c r="DA32" i="8" s="1"/>
  <c r="DA33" i="8" s="1"/>
  <c r="DA34" i="8" s="1"/>
  <c r="DA35" i="8" s="1"/>
  <c r="DA36" i="8" s="1"/>
  <c r="DA37" i="8" s="1"/>
  <c r="DA38" i="8" s="1"/>
  <c r="DA39" i="8" s="1"/>
  <c r="DA40" i="8" s="1"/>
  <c r="DA41" i="8" s="1"/>
  <c r="DA42" i="8" s="1"/>
  <c r="DA43" i="8" s="1"/>
  <c r="DA44" i="8" s="1"/>
  <c r="DA45" i="8" s="1"/>
  <c r="DA46" i="8" s="1"/>
  <c r="DA47" i="8" s="1"/>
  <c r="DA48" i="8" s="1"/>
  <c r="DA49" i="8" s="1"/>
  <c r="DA50" i="8" s="1"/>
  <c r="DA51" i="8" s="1"/>
  <c r="DA52" i="8" s="1"/>
  <c r="DA53" i="8" s="1"/>
  <c r="DA54" i="8" s="1"/>
  <c r="DA55" i="8" s="1"/>
  <c r="DA56" i="8" s="1"/>
  <c r="DA57" i="8" s="1"/>
  <c r="DA58" i="8" s="1"/>
  <c r="DA59" i="8" s="1"/>
  <c r="CZ8" i="8"/>
  <c r="CZ9" i="8" s="1"/>
  <c r="CZ10" i="8" s="1"/>
  <c r="CZ11" i="8" s="1"/>
  <c r="CZ12" i="8" s="1"/>
  <c r="CZ13" i="8" s="1"/>
  <c r="CZ14" i="8" s="1"/>
  <c r="CZ15" i="8" s="1"/>
  <c r="CZ16" i="8" s="1"/>
  <c r="CZ17" i="8" s="1"/>
  <c r="CZ18" i="8" s="1"/>
  <c r="CZ19" i="8" s="1"/>
  <c r="CZ20" i="8" s="1"/>
  <c r="CZ21" i="8" s="1"/>
  <c r="CZ22" i="8" s="1"/>
  <c r="CZ23" i="8" s="1"/>
  <c r="CZ24" i="8" s="1"/>
  <c r="CZ25" i="8" s="1"/>
  <c r="CZ26" i="8" s="1"/>
  <c r="CZ27" i="8" s="1"/>
  <c r="CZ28" i="8" s="1"/>
  <c r="CZ29" i="8" s="1"/>
  <c r="CZ30" i="8" s="1"/>
  <c r="CZ31" i="8" s="1"/>
  <c r="CZ32" i="8" s="1"/>
  <c r="CZ33" i="8" s="1"/>
  <c r="CZ34" i="8" s="1"/>
  <c r="CZ35" i="8" s="1"/>
  <c r="CZ36" i="8" s="1"/>
  <c r="CZ37" i="8" s="1"/>
  <c r="CZ38" i="8" s="1"/>
  <c r="CZ39" i="8" s="1"/>
  <c r="CZ40" i="8" s="1"/>
  <c r="CZ41" i="8" s="1"/>
  <c r="CZ42" i="8" s="1"/>
  <c r="CZ43" i="8" s="1"/>
  <c r="CZ44" i="8" s="1"/>
  <c r="CZ45" i="8" s="1"/>
  <c r="CZ46" i="8" s="1"/>
  <c r="CZ47" i="8" s="1"/>
  <c r="CZ48" i="8" s="1"/>
  <c r="CZ49" i="8" s="1"/>
  <c r="CZ50" i="8" s="1"/>
  <c r="CZ51" i="8" s="1"/>
  <c r="CZ52" i="8" s="1"/>
  <c r="CZ53" i="8" s="1"/>
  <c r="CZ54" i="8" s="1"/>
  <c r="CZ55" i="8" s="1"/>
  <c r="CZ56" i="8" s="1"/>
  <c r="CZ57" i="8" s="1"/>
  <c r="CZ58" i="8" s="1"/>
  <c r="CZ59" i="8" s="1"/>
  <c r="CY8" i="8"/>
  <c r="CY9" i="8" s="1"/>
  <c r="CY10" i="8" s="1"/>
  <c r="CY11" i="8" s="1"/>
  <c r="CY12" i="8" s="1"/>
  <c r="CY13" i="8" s="1"/>
  <c r="CY14" i="8" s="1"/>
  <c r="CY15" i="8" s="1"/>
  <c r="CY16" i="8" s="1"/>
  <c r="CY17" i="8" s="1"/>
  <c r="CY18" i="8" s="1"/>
  <c r="CY19" i="8" s="1"/>
  <c r="CY20" i="8" s="1"/>
  <c r="CY21" i="8" s="1"/>
  <c r="CY22" i="8" s="1"/>
  <c r="CY23" i="8" s="1"/>
  <c r="CY24" i="8" s="1"/>
  <c r="CY25" i="8" s="1"/>
  <c r="CY26" i="8" s="1"/>
  <c r="CY27" i="8" s="1"/>
  <c r="CY28" i="8" s="1"/>
  <c r="CY29" i="8" s="1"/>
  <c r="CY30" i="8" s="1"/>
  <c r="CY31" i="8" s="1"/>
  <c r="CY32" i="8" s="1"/>
  <c r="CY33" i="8" s="1"/>
  <c r="CY34" i="8" s="1"/>
  <c r="CY35" i="8" s="1"/>
  <c r="CY36" i="8" s="1"/>
  <c r="CY37" i="8" s="1"/>
  <c r="CY38" i="8" s="1"/>
  <c r="CY39" i="8" s="1"/>
  <c r="CY40" i="8" s="1"/>
  <c r="CY41" i="8" s="1"/>
  <c r="CY42" i="8" s="1"/>
  <c r="CY43" i="8" s="1"/>
  <c r="CY44" i="8" s="1"/>
  <c r="CY45" i="8" s="1"/>
  <c r="CY46" i="8" s="1"/>
  <c r="CY47" i="8" s="1"/>
  <c r="CY48" i="8" s="1"/>
  <c r="CY49" i="8" s="1"/>
  <c r="CY50" i="8" s="1"/>
  <c r="CY51" i="8" s="1"/>
  <c r="CY52" i="8" s="1"/>
  <c r="CY53" i="8" s="1"/>
  <c r="CY54" i="8" s="1"/>
  <c r="CY55" i="8" s="1"/>
  <c r="CY56" i="8" s="1"/>
  <c r="CY57" i="8" s="1"/>
  <c r="CY58" i="8" s="1"/>
  <c r="CY59" i="8" s="1"/>
  <c r="CX8" i="8"/>
  <c r="CW8" i="8"/>
  <c r="CV8" i="8"/>
  <c r="CT8" i="8"/>
  <c r="AU8" i="8"/>
  <c r="AO8" i="8"/>
  <c r="AN8" i="8"/>
  <c r="AK8" i="8"/>
  <c r="AF8" i="8"/>
  <c r="AA8" i="8"/>
  <c r="V8" i="8"/>
  <c r="Q8" i="8"/>
  <c r="L8" i="8"/>
  <c r="AX3" i="8"/>
  <c r="AW3" i="8"/>
  <c r="AV3" i="8"/>
  <c r="JM2" i="8"/>
  <c r="GP2" i="8"/>
  <c r="FY2" i="8"/>
  <c r="FD2" i="8"/>
  <c r="EE2" i="8"/>
  <c r="DG2" i="8"/>
  <c r="LM13" i="8" l="1"/>
  <c r="MH12" i="8"/>
  <c r="LQ12" i="8"/>
  <c r="MI11" i="8"/>
  <c r="MC10" i="8"/>
  <c r="KS11" i="8"/>
  <c r="LE12" i="8"/>
  <c r="MF11" i="8"/>
  <c r="AS8" i="8"/>
  <c r="CU8" i="8" s="1"/>
  <c r="JA8" i="8" s="1"/>
  <c r="HB8" i="8"/>
  <c r="HW8" i="8" s="1"/>
  <c r="AK9" i="8"/>
  <c r="LI12" i="8"/>
  <c r="MG11" i="8"/>
  <c r="AF9" i="8"/>
  <c r="AR8" i="8"/>
  <c r="MB10" i="8"/>
  <c r="KO11" i="8"/>
  <c r="NS20" i="8"/>
  <c r="OR19" i="8"/>
  <c r="MF10" i="8"/>
  <c r="AU11" i="8"/>
  <c r="AU12" i="8" s="1"/>
  <c r="AU13" i="8" s="1"/>
  <c r="AU14" i="8" s="1"/>
  <c r="AU15" i="8" s="1"/>
  <c r="AU16" i="8" s="1"/>
  <c r="AU17" i="8" s="1"/>
  <c r="AU18" i="8" s="1"/>
  <c r="AU19" i="8" s="1"/>
  <c r="AU20" i="8" s="1"/>
  <c r="AU21" i="8" s="1"/>
  <c r="AU22" i="8" s="1"/>
  <c r="AU23" i="8" s="1"/>
  <c r="AU24" i="8" s="1"/>
  <c r="AU25" i="8" s="1"/>
  <c r="AU26" i="8" s="1"/>
  <c r="AU27" i="8" s="1"/>
  <c r="AU28" i="8" s="1"/>
  <c r="AU29" i="8" s="1"/>
  <c r="AU30" i="8" s="1"/>
  <c r="AU31" i="8" s="1"/>
  <c r="AU32" i="8" s="1"/>
  <c r="AU33" i="8" s="1"/>
  <c r="AU34" i="8" s="1"/>
  <c r="AU35" i="8" s="1"/>
  <c r="AU36" i="8" s="1"/>
  <c r="AU37" i="8" s="1"/>
  <c r="AU38" i="8" s="1"/>
  <c r="AU39" i="8" s="1"/>
  <c r="AU40" i="8" s="1"/>
  <c r="AU41" i="8" s="1"/>
  <c r="AU42" i="8" s="1"/>
  <c r="AU43" i="8" s="1"/>
  <c r="AU44" i="8" s="1"/>
  <c r="AU45" i="8" s="1"/>
  <c r="AU46" i="8" s="1"/>
  <c r="AU47" i="8" s="1"/>
  <c r="AU48" i="8" s="1"/>
  <c r="AU49" i="8" s="1"/>
  <c r="AU50" i="8" s="1"/>
  <c r="AU51" i="8" s="1"/>
  <c r="AU52" i="8" s="1"/>
  <c r="AU53" i="8" s="1"/>
  <c r="AU54" i="8" s="1"/>
  <c r="AU55" i="8" s="1"/>
  <c r="AU56" i="8" s="1"/>
  <c r="AU57" i="8" s="1"/>
  <c r="AU58" i="8" s="1"/>
  <c r="AU59" i="8" s="1"/>
  <c r="CC17" i="8"/>
  <c r="CB17" i="8"/>
  <c r="L12" i="8"/>
  <c r="Q12" i="8"/>
  <c r="CH19" i="8"/>
  <c r="AQ8" i="8"/>
  <c r="MJ8" i="8"/>
  <c r="MK8" i="8"/>
  <c r="MH11" i="8"/>
  <c r="CB48" i="8"/>
  <c r="CB41" i="8"/>
  <c r="V9" i="8"/>
  <c r="LU9" i="8"/>
  <c r="KW11" i="8"/>
  <c r="CH15" i="8"/>
  <c r="CC41" i="8"/>
  <c r="CC48" i="8"/>
  <c r="CC42" i="8"/>
  <c r="AP8" i="8"/>
  <c r="AA9" i="8"/>
  <c r="LY9" i="8"/>
  <c r="LA11" i="8"/>
  <c r="JZ60" i="8"/>
  <c r="KC57" i="8"/>
  <c r="BH38" i="8"/>
  <c r="BH45" i="8"/>
  <c r="MY42" i="8"/>
  <c r="MY36" i="8"/>
  <c r="BH43" i="8"/>
  <c r="BH37" i="8"/>
  <c r="MY44" i="8"/>
  <c r="MY37" i="8"/>
  <c r="CD41" i="8"/>
  <c r="CD48" i="8"/>
  <c r="ID49" i="8"/>
  <c r="IH49" i="8" s="1"/>
  <c r="IC49" i="8"/>
  <c r="ID51" i="8"/>
  <c r="IH51" i="8" s="1"/>
  <c r="IC51" i="8"/>
  <c r="CC43" i="8"/>
  <c r="CC49" i="8"/>
  <c r="BH36" i="8"/>
  <c r="MY43" i="8"/>
  <c r="BH44" i="8"/>
  <c r="MY41" i="8"/>
  <c r="MY34" i="8"/>
  <c r="CB49" i="8"/>
  <c r="MY35" i="8"/>
  <c r="HK53" i="8"/>
  <c r="HM50" i="8"/>
  <c r="HK50" i="8"/>
  <c r="CB51" i="8"/>
  <c r="CB44" i="8"/>
  <c r="CB45" i="8"/>
  <c r="BH59" i="8"/>
  <c r="CB50" i="8"/>
  <c r="CC44" i="8"/>
  <c r="CC51" i="8"/>
  <c r="CC45" i="8"/>
  <c r="CC50" i="8"/>
  <c r="MY45" i="8"/>
  <c r="BH61" i="8"/>
  <c r="CB42" i="8"/>
  <c r="CC52" i="8"/>
  <c r="MY58" i="8"/>
  <c r="IE56" i="8"/>
  <c r="IG56" i="8"/>
  <c r="IG50" i="8"/>
  <c r="IE50" i="8"/>
  <c r="HJ49" i="8"/>
  <c r="HN49" i="8" s="1"/>
  <c r="HI49" i="8"/>
  <c r="HK54" i="8"/>
  <c r="HI57" i="8"/>
  <c r="IC53" i="8"/>
  <c r="BH62" i="8"/>
  <c r="IG57" i="8"/>
  <c r="IE57" i="8"/>
  <c r="HI51" i="8"/>
  <c r="CD107" i="8"/>
  <c r="CD79" i="8" s="1"/>
  <c r="CD106" i="8"/>
  <c r="CD78" i="8" s="1"/>
  <c r="CD62" i="8"/>
  <c r="CD34" i="8" s="1"/>
  <c r="CD57" i="8"/>
  <c r="CD29" i="8" s="1"/>
  <c r="CD105" i="8"/>
  <c r="CD77" i="8" s="1"/>
  <c r="CD66" i="8"/>
  <c r="CD38" i="8" s="1"/>
  <c r="CD104" i="8"/>
  <c r="CD76" i="8" s="1"/>
  <c r="CD103" i="8"/>
  <c r="CD75" i="8" s="1"/>
  <c r="CD102" i="8"/>
  <c r="CD74" i="8" s="1"/>
  <c r="CD101" i="8"/>
  <c r="CD73" i="8" s="1"/>
  <c r="CD59" i="8"/>
  <c r="CD31" i="8" s="1"/>
  <c r="CD100" i="8"/>
  <c r="CD72" i="8" s="1"/>
  <c r="CD63" i="8"/>
  <c r="CD35" i="8" s="1"/>
  <c r="CD99" i="8"/>
  <c r="CD71" i="8" s="1"/>
  <c r="CD65" i="8"/>
  <c r="CD37" i="8" s="1"/>
  <c r="CD98" i="8"/>
  <c r="CD70" i="8" s="1"/>
  <c r="CD97" i="8"/>
  <c r="CD69" i="8" s="1"/>
  <c r="CD61" i="8"/>
  <c r="CD33" i="8" s="1"/>
  <c r="CD50" i="8" s="1"/>
  <c r="CD64" i="8"/>
  <c r="CD36" i="8" s="1"/>
  <c r="CD45" i="8" s="1"/>
  <c r="HM55" i="8"/>
  <c r="CD58" i="8"/>
  <c r="CD30" i="8" s="1"/>
  <c r="CD42" i="8" s="1"/>
  <c r="HJ58" i="8"/>
  <c r="HN58" i="8" s="1"/>
  <c r="HI58" i="8"/>
  <c r="MY63" i="8"/>
  <c r="CD60" i="8"/>
  <c r="CD32" i="8" s="1"/>
  <c r="IC55" i="8"/>
  <c r="CB84" i="8"/>
  <c r="IC59" i="8"/>
  <c r="CC84" i="8"/>
  <c r="MZ85" i="8"/>
  <c r="MY53" i="8" s="1"/>
  <c r="MY62" i="8" s="1"/>
  <c r="BJ79" i="8"/>
  <c r="BH32" i="8" s="1"/>
  <c r="BJ86" i="8"/>
  <c r="BH54" i="8" s="1"/>
  <c r="BH63" i="8" s="1"/>
  <c r="MZ82" i="8"/>
  <c r="MY50" i="8" s="1"/>
  <c r="MY59" i="8" s="1"/>
  <c r="CB86" i="8"/>
  <c r="MZ76" i="8"/>
  <c r="MY29" i="8" s="1"/>
  <c r="MY38" i="8" s="1"/>
  <c r="BJ83" i="8"/>
  <c r="BH51" i="8" s="1"/>
  <c r="BH60" i="8" s="1"/>
  <c r="BJ77" i="8"/>
  <c r="BH30" i="8" s="1"/>
  <c r="BH39" i="8" s="1"/>
  <c r="MZ80" i="8"/>
  <c r="MY48" i="8" s="1"/>
  <c r="MY57" i="8" s="1"/>
  <c r="MZ84" i="8"/>
  <c r="MY52" i="8" s="1"/>
  <c r="MY61" i="8" s="1"/>
  <c r="HI59" i="8"/>
  <c r="BJ81" i="8"/>
  <c r="BH49" i="8" s="1"/>
  <c r="BH58" i="8" s="1"/>
  <c r="MZ75" i="8"/>
  <c r="MY28" i="8" s="1"/>
  <c r="LI13" i="8" l="1"/>
  <c r="MG12" i="8"/>
  <c r="V10" i="8"/>
  <c r="AP9" i="8"/>
  <c r="LY10" i="8"/>
  <c r="MK9" i="8"/>
  <c r="NT9" i="8" s="1"/>
  <c r="OS9" i="8" s="1"/>
  <c r="AQ9" i="8"/>
  <c r="AA10" i="8"/>
  <c r="AU3" i="8"/>
  <c r="MY60" i="8"/>
  <c r="IG49" i="8"/>
  <c r="IE49" i="8"/>
  <c r="CD93" i="8"/>
  <c r="CD87" i="8"/>
  <c r="CD44" i="8"/>
  <c r="CD51" i="8"/>
  <c r="HM51" i="8"/>
  <c r="HK51" i="8"/>
  <c r="LE13" i="8"/>
  <c r="MF12" i="8"/>
  <c r="HM59" i="8"/>
  <c r="HK59" i="8"/>
  <c r="CD86" i="8"/>
  <c r="LA12" i="8"/>
  <c r="ME11" i="8"/>
  <c r="CD83" i="8"/>
  <c r="NS21" i="8"/>
  <c r="OR20" i="8"/>
  <c r="KS12" i="8"/>
  <c r="MC11" i="8"/>
  <c r="BH64" i="8"/>
  <c r="MB11" i="8"/>
  <c r="KO12" i="8"/>
  <c r="CD92" i="8"/>
  <c r="CD85" i="8"/>
  <c r="HM49" i="8"/>
  <c r="HK49" i="8"/>
  <c r="IE51" i="8"/>
  <c r="IG51" i="8"/>
  <c r="CD89" i="8"/>
  <c r="CD82" i="8"/>
  <c r="MY39" i="8"/>
  <c r="IG59" i="8"/>
  <c r="IE59" i="8"/>
  <c r="IG53" i="8"/>
  <c r="IE53" i="8"/>
  <c r="AO12" i="8"/>
  <c r="Q13" i="8"/>
  <c r="LQ13" i="8"/>
  <c r="MI12" i="8"/>
  <c r="HM58" i="8"/>
  <c r="HK58" i="8"/>
  <c r="CD46" i="8"/>
  <c r="CD52" i="8"/>
  <c r="NT8" i="8"/>
  <c r="OS8" i="8" s="1"/>
  <c r="CD84" i="8"/>
  <c r="CD90" i="8"/>
  <c r="HM57" i="8"/>
  <c r="HK57" i="8"/>
  <c r="KW12" i="8"/>
  <c r="MD11" i="8"/>
  <c r="AR9" i="8"/>
  <c r="AF10" i="8"/>
  <c r="BH46" i="8"/>
  <c r="BH40" i="8"/>
  <c r="AK10" i="8"/>
  <c r="AS9" i="8"/>
  <c r="CU9" i="8" s="1"/>
  <c r="JA9" i="8" s="1"/>
  <c r="HB9" i="8"/>
  <c r="HW9" i="8" s="1"/>
  <c r="IE55" i="8"/>
  <c r="IG55" i="8"/>
  <c r="CD49" i="8"/>
  <c r="CD43" i="8"/>
  <c r="CD91" i="8"/>
  <c r="LU10" i="8"/>
  <c r="MJ9" i="8"/>
  <c r="AN12" i="8"/>
  <c r="L13" i="8"/>
  <c r="LM14" i="8"/>
  <c r="MH13" i="8"/>
  <c r="ME12" i="8" l="1"/>
  <c r="LA13" i="8"/>
  <c r="AA11" i="8"/>
  <c r="AQ10" i="8"/>
  <c r="V11" i="8"/>
  <c r="AP10" i="8"/>
  <c r="MJ10" i="8"/>
  <c r="LU11" i="8"/>
  <c r="MK10" i="8"/>
  <c r="NT10" i="8" s="1"/>
  <c r="OS10" i="8" s="1"/>
  <c r="LY11" i="8"/>
  <c r="KO13" i="8"/>
  <c r="MB12" i="8"/>
  <c r="MH14" i="8"/>
  <c r="LM15" i="8"/>
  <c r="AN13" i="8"/>
  <c r="L14" i="8"/>
  <c r="Q14" i="8"/>
  <c r="AO13" i="8"/>
  <c r="LI14" i="8"/>
  <c r="MG13" i="8"/>
  <c r="AF11" i="8"/>
  <c r="AR10" i="8"/>
  <c r="OR21" i="8"/>
  <c r="NS22" i="8"/>
  <c r="AK11" i="8"/>
  <c r="AS10" i="8"/>
  <c r="CU10" i="8" s="1"/>
  <c r="JA10" i="8" s="1"/>
  <c r="HB10" i="8"/>
  <c r="HW10" i="8" s="1"/>
  <c r="LE14" i="8"/>
  <c r="MF13" i="8"/>
  <c r="KW13" i="8"/>
  <c r="MD12" i="8"/>
  <c r="LQ14" i="8"/>
  <c r="MI13" i="8"/>
  <c r="KS13" i="8"/>
  <c r="MC12" i="8"/>
  <c r="LQ15" i="8" l="1"/>
  <c r="MI14" i="8"/>
  <c r="MC13" i="8"/>
  <c r="KS14" i="8"/>
  <c r="AK12" i="8"/>
  <c r="HB11" i="8"/>
  <c r="HW11" i="8" s="1"/>
  <c r="AS11" i="8"/>
  <c r="CU11" i="8" s="1"/>
  <c r="JA11" i="8" s="1"/>
  <c r="AR11" i="8"/>
  <c r="AF12" i="8"/>
  <c r="MJ11" i="8"/>
  <c r="LU12" i="8"/>
  <c r="AQ11" i="8"/>
  <c r="AA12" i="8"/>
  <c r="MH15" i="8"/>
  <c r="LM16" i="8"/>
  <c r="MK11" i="8"/>
  <c r="NT11" i="8" s="1"/>
  <c r="OS11" i="8" s="1"/>
  <c r="LY12" i="8"/>
  <c r="LE15" i="8"/>
  <c r="MF14" i="8"/>
  <c r="AO14" i="8"/>
  <c r="Q15" i="8"/>
  <c r="LA14" i="8"/>
  <c r="ME13" i="8"/>
  <c r="LI15" i="8"/>
  <c r="MG14" i="8"/>
  <c r="AP11" i="8"/>
  <c r="V12" i="8"/>
  <c r="NS23" i="8"/>
  <c r="OR22" i="8"/>
  <c r="MB13" i="8"/>
  <c r="KO14" i="8"/>
  <c r="MD13" i="8"/>
  <c r="KW14" i="8"/>
  <c r="AN14" i="8"/>
  <c r="L15" i="8"/>
  <c r="ME14" i="8" l="1"/>
  <c r="LA15" i="8"/>
  <c r="MF15" i="8"/>
  <c r="LE16" i="8"/>
  <c r="MD14" i="8"/>
  <c r="KW15" i="8"/>
  <c r="MC14" i="8"/>
  <c r="KS15" i="8"/>
  <c r="LY13" i="8"/>
  <c r="MK12" i="8"/>
  <c r="NT12" i="8" s="1"/>
  <c r="OS12" i="8" s="1"/>
  <c r="AN15" i="8"/>
  <c r="L16" i="8"/>
  <c r="AO15" i="8"/>
  <c r="Q16" i="8"/>
  <c r="MH16" i="8"/>
  <c r="LM17" i="8"/>
  <c r="V13" i="8"/>
  <c r="AP12" i="8"/>
  <c r="LU13" i="8"/>
  <c r="MJ12" i="8"/>
  <c r="AF13" i="8"/>
  <c r="AR12" i="8"/>
  <c r="AK13" i="8"/>
  <c r="HB12" i="8"/>
  <c r="HW12" i="8" s="1"/>
  <c r="AS12" i="8"/>
  <c r="CU12" i="8" s="1"/>
  <c r="JA12" i="8" s="1"/>
  <c r="MB14" i="8"/>
  <c r="KO15" i="8"/>
  <c r="OR23" i="8"/>
  <c r="NS24" i="8"/>
  <c r="AA13" i="8"/>
  <c r="AQ12" i="8"/>
  <c r="MG15" i="8"/>
  <c r="LI16" i="8"/>
  <c r="MI15" i="8"/>
  <c r="LQ16" i="8"/>
  <c r="LI17" i="8" l="1"/>
  <c r="MG16" i="8"/>
  <c r="AP13" i="8"/>
  <c r="V14" i="8"/>
  <c r="AN16" i="8"/>
  <c r="L17" i="8"/>
  <c r="KS16" i="8"/>
  <c r="MC15" i="8"/>
  <c r="OR24" i="8"/>
  <c r="NS25" i="8"/>
  <c r="KO16" i="8"/>
  <c r="MB15" i="8"/>
  <c r="AO16" i="8"/>
  <c r="Q17" i="8"/>
  <c r="HB13" i="8"/>
  <c r="HW13" i="8" s="1"/>
  <c r="AK14" i="8"/>
  <c r="AS13" i="8"/>
  <c r="CU13" i="8" s="1"/>
  <c r="JA13" i="8" s="1"/>
  <c r="AF14" i="8"/>
  <c r="AR13" i="8"/>
  <c r="MJ13" i="8"/>
  <c r="LU14" i="8"/>
  <c r="MD15" i="8"/>
  <c r="KW16" i="8"/>
  <c r="MH17" i="8"/>
  <c r="LM18" i="8"/>
  <c r="LE17" i="8"/>
  <c r="MF16" i="8"/>
  <c r="ME15" i="8"/>
  <c r="LA16" i="8"/>
  <c r="MI16" i="8"/>
  <c r="LQ17" i="8"/>
  <c r="MK13" i="8"/>
  <c r="NT13" i="8" s="1"/>
  <c r="OS13" i="8" s="1"/>
  <c r="LY14" i="8"/>
  <c r="AQ13" i="8"/>
  <c r="AA14" i="8"/>
  <c r="MH18" i="8" l="1"/>
  <c r="LM19" i="8"/>
  <c r="KO17" i="8"/>
  <c r="MB16" i="8"/>
  <c r="NS26" i="8"/>
  <c r="OR25" i="8"/>
  <c r="LY15" i="8"/>
  <c r="MK14" i="8"/>
  <c r="NT14" i="8" s="1"/>
  <c r="OS14" i="8" s="1"/>
  <c r="KS17" i="8"/>
  <c r="MC16" i="8"/>
  <c r="LU15" i="8"/>
  <c r="MJ14" i="8"/>
  <c r="AR14" i="8"/>
  <c r="AF15" i="8"/>
  <c r="L18" i="8"/>
  <c r="AN17" i="8"/>
  <c r="LA17" i="8"/>
  <c r="ME16" i="8"/>
  <c r="HB14" i="8"/>
  <c r="HW14" i="8" s="1"/>
  <c r="AS14" i="8"/>
  <c r="CU14" i="8" s="1"/>
  <c r="JA14" i="8" s="1"/>
  <c r="AK15" i="8"/>
  <c r="AP14" i="8"/>
  <c r="V15" i="8"/>
  <c r="MD16" i="8"/>
  <c r="KW17" i="8"/>
  <c r="AQ14" i="8"/>
  <c r="AA15" i="8"/>
  <c r="MI17" i="8"/>
  <c r="LQ18" i="8"/>
  <c r="Q18" i="8"/>
  <c r="AO17" i="8"/>
  <c r="LE18" i="8"/>
  <c r="MF17" i="8"/>
  <c r="LI18" i="8"/>
  <c r="MG17" i="8"/>
  <c r="MI18" i="8" l="1"/>
  <c r="LQ19" i="8"/>
  <c r="OR26" i="8"/>
  <c r="NS27" i="8"/>
  <c r="AR15" i="8"/>
  <c r="AF16" i="8"/>
  <c r="MG18" i="8"/>
  <c r="LI19" i="8"/>
  <c r="MH19" i="8"/>
  <c r="LM20" i="8"/>
  <c r="Q19" i="8"/>
  <c r="AO18" i="8"/>
  <c r="L19" i="8"/>
  <c r="AN18" i="8"/>
  <c r="KO18" i="8"/>
  <c r="MB17" i="8"/>
  <c r="KW18" i="8"/>
  <c r="MD17" i="8"/>
  <c r="LY16" i="8"/>
  <c r="MK15" i="8"/>
  <c r="NT15" i="8" s="1"/>
  <c r="OS15" i="8" s="1"/>
  <c r="LA18" i="8"/>
  <c r="ME17" i="8"/>
  <c r="AQ15" i="8"/>
  <c r="AA16" i="8"/>
  <c r="LU16" i="8"/>
  <c r="MJ15" i="8"/>
  <c r="AS15" i="8"/>
  <c r="CU15" i="8" s="1"/>
  <c r="JA15" i="8" s="1"/>
  <c r="HB15" i="8"/>
  <c r="HW15" i="8" s="1"/>
  <c r="AK16" i="8"/>
  <c r="KS18" i="8"/>
  <c r="MC17" i="8"/>
  <c r="MF18" i="8"/>
  <c r="LE19" i="8"/>
  <c r="AP15" i="8"/>
  <c r="V16" i="8"/>
  <c r="NS28" i="8" l="1"/>
  <c r="OR27" i="8"/>
  <c r="MD18" i="8"/>
  <c r="KW19" i="8"/>
  <c r="MI19" i="8"/>
  <c r="LQ20" i="8"/>
  <c r="KO19" i="8"/>
  <c r="MB18" i="8"/>
  <c r="LU17" i="8"/>
  <c r="MJ16" i="8"/>
  <c r="AQ16" i="8"/>
  <c r="AA17" i="8"/>
  <c r="AN19" i="8"/>
  <c r="L20" i="8"/>
  <c r="MF19" i="8"/>
  <c r="LE20" i="8"/>
  <c r="AR16" i="8"/>
  <c r="AF17" i="8"/>
  <c r="Q20" i="8"/>
  <c r="AO19" i="8"/>
  <c r="MG19" i="8"/>
  <c r="LI20" i="8"/>
  <c r="KS19" i="8"/>
  <c r="MC18" i="8"/>
  <c r="LM21" i="8"/>
  <c r="MH20" i="8"/>
  <c r="AS16" i="8"/>
  <c r="CU16" i="8" s="1"/>
  <c r="JA16" i="8" s="1"/>
  <c r="HB16" i="8"/>
  <c r="HW16" i="8" s="1"/>
  <c r="AK17" i="8"/>
  <c r="ME18" i="8"/>
  <c r="LA19" i="8"/>
  <c r="AP16" i="8"/>
  <c r="V17" i="8"/>
  <c r="LY17" i="8"/>
  <c r="MK16" i="8"/>
  <c r="NT16" i="8" s="1"/>
  <c r="OS16" i="8" s="1"/>
  <c r="AQ17" i="8" l="1"/>
  <c r="AA18" i="8"/>
  <c r="LM22" i="8"/>
  <c r="MH21" i="8"/>
  <c r="MK17" i="8"/>
  <c r="NT17" i="8" s="1"/>
  <c r="OS17" i="8" s="1"/>
  <c r="LY18" i="8"/>
  <c r="MB19" i="8"/>
  <c r="KO20" i="8"/>
  <c r="KS20" i="8"/>
  <c r="MC19" i="8"/>
  <c r="MG20" i="8"/>
  <c r="LI21" i="8"/>
  <c r="LU18" i="8"/>
  <c r="MJ17" i="8"/>
  <c r="LA20" i="8"/>
  <c r="ME19" i="8"/>
  <c r="L21" i="8"/>
  <c r="AN20" i="8"/>
  <c r="Q21" i="8"/>
  <c r="AO20" i="8"/>
  <c r="AR17" i="8"/>
  <c r="AF18" i="8"/>
  <c r="MF20" i="8"/>
  <c r="LE21" i="8"/>
  <c r="V18" i="8"/>
  <c r="AP17" i="8"/>
  <c r="LQ21" i="8"/>
  <c r="MI20" i="8"/>
  <c r="KW20" i="8"/>
  <c r="MD19" i="8"/>
  <c r="HB17" i="8"/>
  <c r="AS17" i="8"/>
  <c r="CU17" i="8" s="1"/>
  <c r="JA17" i="8" s="1"/>
  <c r="AK18" i="8"/>
  <c r="NS29" i="8"/>
  <c r="OR28" i="8"/>
  <c r="V19" i="8" l="1"/>
  <c r="AP18" i="8"/>
  <c r="KO21" i="8"/>
  <c r="MB20" i="8"/>
  <c r="LE22" i="8"/>
  <c r="MF21" i="8"/>
  <c r="LY19" i="8"/>
  <c r="MK18" i="8"/>
  <c r="NT18" i="8" s="1"/>
  <c r="OS18" i="8" s="1"/>
  <c r="AF19" i="8"/>
  <c r="AR18" i="8"/>
  <c r="Q22" i="8"/>
  <c r="AO21" i="8"/>
  <c r="NS30" i="8"/>
  <c r="OR29" i="8"/>
  <c r="L22" i="8"/>
  <c r="AN21" i="8"/>
  <c r="HC17" i="8"/>
  <c r="HW17" i="8"/>
  <c r="HD17" i="8"/>
  <c r="ME20" i="8"/>
  <c r="LA21" i="8"/>
  <c r="LI22" i="8"/>
  <c r="MG21" i="8"/>
  <c r="AA19" i="8"/>
  <c r="AQ18" i="8"/>
  <c r="KS21" i="8"/>
  <c r="MC20" i="8"/>
  <c r="HW18" i="8"/>
  <c r="AK19" i="8"/>
  <c r="AS18" i="8"/>
  <c r="CU18" i="8" s="1"/>
  <c r="JA18" i="8" s="1"/>
  <c r="HC18" i="8"/>
  <c r="MD20" i="8"/>
  <c r="KW21" i="8"/>
  <c r="LU19" i="8"/>
  <c r="MJ18" i="8"/>
  <c r="LM23" i="8"/>
  <c r="MH22" i="8"/>
  <c r="LQ22" i="8"/>
  <c r="MI21" i="8"/>
  <c r="L23" i="8" l="1"/>
  <c r="AN22" i="8"/>
  <c r="AK20" i="8"/>
  <c r="HC19" i="8"/>
  <c r="HW19" i="8"/>
  <c r="AS19" i="8"/>
  <c r="CU19" i="8" s="1"/>
  <c r="JA19" i="8" s="1"/>
  <c r="Q23" i="8"/>
  <c r="AO22" i="8"/>
  <c r="NS31" i="8"/>
  <c r="OR30" i="8"/>
  <c r="KS22" i="8"/>
  <c r="MC21" i="8"/>
  <c r="AF20" i="8"/>
  <c r="AR19" i="8"/>
  <c r="AA20" i="8"/>
  <c r="AQ19" i="8"/>
  <c r="LI23" i="8"/>
  <c r="MG22" i="8"/>
  <c r="MK19" i="8"/>
  <c r="NT19" i="8" s="1"/>
  <c r="OS19" i="8" s="1"/>
  <c r="LY20" i="8"/>
  <c r="LQ23" i="8"/>
  <c r="MI22" i="8"/>
  <c r="LA22" i="8"/>
  <c r="ME21" i="8"/>
  <c r="LE23" i="8"/>
  <c r="MF22" i="8"/>
  <c r="MH23" i="8"/>
  <c r="LM24" i="8"/>
  <c r="HD18" i="8"/>
  <c r="HD19" i="8" s="1"/>
  <c r="HD20" i="8" s="1"/>
  <c r="HD21" i="8" s="1"/>
  <c r="HD22" i="8" s="1"/>
  <c r="HD23" i="8" s="1"/>
  <c r="HD24" i="8" s="1"/>
  <c r="HD25" i="8" s="1"/>
  <c r="HD26" i="8" s="1"/>
  <c r="HD27" i="8" s="1"/>
  <c r="HD28" i="8" s="1"/>
  <c r="HD29" i="8" s="1"/>
  <c r="HD30" i="8" s="1"/>
  <c r="HD31" i="8" s="1"/>
  <c r="HD32" i="8" s="1"/>
  <c r="HD33" i="8" s="1"/>
  <c r="HE17" i="8"/>
  <c r="KO22" i="8"/>
  <c r="MB21" i="8"/>
  <c r="MJ19" i="8"/>
  <c r="LU20" i="8"/>
  <c r="KW22" i="8"/>
  <c r="MD21" i="8"/>
  <c r="V20" i="8"/>
  <c r="AP19" i="8"/>
  <c r="AF21" i="8" l="1"/>
  <c r="AR20" i="8"/>
  <c r="MH24" i="8"/>
  <c r="LM25" i="8"/>
  <c r="AA21" i="8"/>
  <c r="AQ20" i="8"/>
  <c r="OR31" i="8"/>
  <c r="NS32" i="8"/>
  <c r="LA23" i="8"/>
  <c r="ME22" i="8"/>
  <c r="MC22" i="8"/>
  <c r="KS23" i="8"/>
  <c r="AO23" i="8"/>
  <c r="Q24" i="8"/>
  <c r="HE18" i="8"/>
  <c r="HE19" i="8" s="1"/>
  <c r="HE20" i="8" s="1"/>
  <c r="HE21" i="8" s="1"/>
  <c r="HE22" i="8" s="1"/>
  <c r="HE23" i="8" s="1"/>
  <c r="HE24" i="8" s="1"/>
  <c r="HE25" i="8" s="1"/>
  <c r="HE26" i="8" s="1"/>
  <c r="HE27" i="8" s="1"/>
  <c r="HE28" i="8" s="1"/>
  <c r="HE29" i="8" s="1"/>
  <c r="HE30" i="8" s="1"/>
  <c r="HE31" i="8" s="1"/>
  <c r="HE32" i="8" s="1"/>
  <c r="HE33" i="8" s="1"/>
  <c r="HF17" i="8"/>
  <c r="V21" i="8"/>
  <c r="AP20" i="8"/>
  <c r="MI23" i="8"/>
  <c r="LQ24" i="8"/>
  <c r="MJ20" i="8"/>
  <c r="LU21" i="8"/>
  <c r="MB22" i="8"/>
  <c r="KO23" i="8"/>
  <c r="MF23" i="8"/>
  <c r="LE24" i="8"/>
  <c r="MK20" i="8"/>
  <c r="NT20" i="8" s="1"/>
  <c r="OS20" i="8" s="1"/>
  <c r="LY21" i="8"/>
  <c r="MD22" i="8"/>
  <c r="KW23" i="8"/>
  <c r="AK21" i="8"/>
  <c r="HC20" i="8"/>
  <c r="AS20" i="8"/>
  <c r="CU20" i="8" s="1"/>
  <c r="JA20" i="8" s="1"/>
  <c r="HW20" i="8"/>
  <c r="MG23" i="8"/>
  <c r="LI24" i="8"/>
  <c r="AN23" i="8"/>
  <c r="L24" i="8"/>
  <c r="HF18" i="8" l="1"/>
  <c r="HF19" i="8" s="1"/>
  <c r="HF20" i="8" s="1"/>
  <c r="HF21" i="8" s="1"/>
  <c r="HF22" i="8" s="1"/>
  <c r="HF23" i="8" s="1"/>
  <c r="HF24" i="8" s="1"/>
  <c r="HF25" i="8" s="1"/>
  <c r="HF26" i="8" s="1"/>
  <c r="HF27" i="8" s="1"/>
  <c r="HF28" i="8" s="1"/>
  <c r="HF29" i="8" s="1"/>
  <c r="HF30" i="8" s="1"/>
  <c r="HF31" i="8" s="1"/>
  <c r="HF32" i="8" s="1"/>
  <c r="HF33" i="8" s="1"/>
  <c r="HG17" i="8"/>
  <c r="AS21" i="8"/>
  <c r="CU21" i="8" s="1"/>
  <c r="JA21" i="8" s="1"/>
  <c r="HC21" i="8"/>
  <c r="HW21" i="8"/>
  <c r="AK22" i="8"/>
  <c r="LY22" i="8"/>
  <c r="MK21" i="8"/>
  <c r="NT21" i="8" s="1"/>
  <c r="OS21" i="8" s="1"/>
  <c r="AQ21" i="8"/>
  <c r="AA22" i="8"/>
  <c r="KO24" i="8"/>
  <c r="MB23" i="8"/>
  <c r="L25" i="8"/>
  <c r="AN24" i="8"/>
  <c r="LI25" i="8"/>
  <c r="MG24" i="8"/>
  <c r="MI24" i="8"/>
  <c r="LQ25" i="8"/>
  <c r="LM26" i="8"/>
  <c r="MH25" i="8"/>
  <c r="Q25" i="8"/>
  <c r="AO24" i="8"/>
  <c r="KS24" i="8"/>
  <c r="MC23" i="8"/>
  <c r="LA24" i="8"/>
  <c r="ME23" i="8"/>
  <c r="LU22" i="8"/>
  <c r="MJ21" i="8"/>
  <c r="MD23" i="8"/>
  <c r="KW24" i="8"/>
  <c r="LE25" i="8"/>
  <c r="MF24" i="8"/>
  <c r="NS33" i="8"/>
  <c r="OR33" i="8" s="1"/>
  <c r="OR32" i="8"/>
  <c r="V22" i="8"/>
  <c r="AP21" i="8"/>
  <c r="AR21" i="8"/>
  <c r="AF22" i="8"/>
  <c r="LI26" i="8" l="1"/>
  <c r="MG25" i="8"/>
  <c r="LE26" i="8"/>
  <c r="MF25" i="8"/>
  <c r="KW25" i="8"/>
  <c r="MD24" i="8"/>
  <c r="L26" i="8"/>
  <c r="AN25" i="8"/>
  <c r="LU23" i="8"/>
  <c r="MJ22" i="8"/>
  <c r="KO25" i="8"/>
  <c r="MB24" i="8"/>
  <c r="ME24" i="8"/>
  <c r="LA25" i="8"/>
  <c r="LY23" i="8"/>
  <c r="MK22" i="8"/>
  <c r="NT22" i="8" s="1"/>
  <c r="OS22" i="8" s="1"/>
  <c r="AF23" i="8"/>
  <c r="AR22" i="8"/>
  <c r="AK23" i="8"/>
  <c r="HC22" i="8"/>
  <c r="AS22" i="8"/>
  <c r="CU22" i="8" s="1"/>
  <c r="JA22" i="8" s="1"/>
  <c r="HW22" i="8"/>
  <c r="Q26" i="8"/>
  <c r="AO25" i="8"/>
  <c r="V23" i="8"/>
  <c r="AP22" i="8"/>
  <c r="LM27" i="8"/>
  <c r="MH26" i="8"/>
  <c r="LQ26" i="8"/>
  <c r="MI25" i="8"/>
  <c r="HG18" i="8"/>
  <c r="HG19" i="8" s="1"/>
  <c r="HG20" i="8" s="1"/>
  <c r="HG21" i="8" s="1"/>
  <c r="HG22" i="8" s="1"/>
  <c r="HG23" i="8" s="1"/>
  <c r="HG24" i="8" s="1"/>
  <c r="HG25" i="8" s="1"/>
  <c r="HG26" i="8" s="1"/>
  <c r="HG27" i="8" s="1"/>
  <c r="HG28" i="8" s="1"/>
  <c r="HG29" i="8" s="1"/>
  <c r="HG30" i="8" s="1"/>
  <c r="HG31" i="8" s="1"/>
  <c r="HG32" i="8" s="1"/>
  <c r="HG33" i="8" s="1"/>
  <c r="HH17" i="8"/>
  <c r="AA23" i="8"/>
  <c r="AQ22" i="8"/>
  <c r="KS25" i="8"/>
  <c r="MC24" i="8"/>
  <c r="HH18" i="8" l="1"/>
  <c r="HH19" i="8" s="1"/>
  <c r="HH20" i="8" s="1"/>
  <c r="HH21" i="8" s="1"/>
  <c r="HH22" i="8" s="1"/>
  <c r="HH23" i="8" s="1"/>
  <c r="HH24" i="8" s="1"/>
  <c r="HH25" i="8" s="1"/>
  <c r="HH26" i="8" s="1"/>
  <c r="HH27" i="8" s="1"/>
  <c r="HH28" i="8" s="1"/>
  <c r="HH29" i="8" s="1"/>
  <c r="HH30" i="8" s="1"/>
  <c r="HH31" i="8" s="1"/>
  <c r="HH32" i="8" s="1"/>
  <c r="HH33" i="8" s="1"/>
  <c r="HI17" i="8"/>
  <c r="MK23" i="8"/>
  <c r="NT23" i="8" s="1"/>
  <c r="OS23" i="8" s="1"/>
  <c r="LY24" i="8"/>
  <c r="LA26" i="8"/>
  <c r="ME25" i="8"/>
  <c r="MB25" i="8"/>
  <c r="KO26" i="8"/>
  <c r="MJ23" i="8"/>
  <c r="LU24" i="8"/>
  <c r="AO26" i="8"/>
  <c r="Q27" i="8"/>
  <c r="LQ27" i="8"/>
  <c r="MI26" i="8"/>
  <c r="MH27" i="8"/>
  <c r="LM28" i="8"/>
  <c r="V24" i="8"/>
  <c r="AP23" i="8"/>
  <c r="AN26" i="8"/>
  <c r="L27" i="8"/>
  <c r="MD25" i="8"/>
  <c r="KW26" i="8"/>
  <c r="KS26" i="8"/>
  <c r="MC25" i="8"/>
  <c r="HW23" i="8"/>
  <c r="HC23" i="8"/>
  <c r="AK24" i="8"/>
  <c r="AS23" i="8"/>
  <c r="CU23" i="8" s="1"/>
  <c r="JA23" i="8" s="1"/>
  <c r="LE27" i="8"/>
  <c r="MF26" i="8"/>
  <c r="AQ23" i="8"/>
  <c r="AA24" i="8"/>
  <c r="AF24" i="8"/>
  <c r="AR23" i="8"/>
  <c r="LI27" i="8"/>
  <c r="MG26" i="8"/>
  <c r="LQ28" i="8" l="1"/>
  <c r="MI27" i="8"/>
  <c r="MJ24" i="8"/>
  <c r="LU25" i="8"/>
  <c r="MB26" i="8"/>
  <c r="KO27" i="8"/>
  <c r="ME26" i="8"/>
  <c r="LA27" i="8"/>
  <c r="MH28" i="8"/>
  <c r="LM29" i="8"/>
  <c r="MF27" i="8"/>
  <c r="LE28" i="8"/>
  <c r="MD26" i="8"/>
  <c r="KW27" i="8"/>
  <c r="AN27" i="8"/>
  <c r="L28" i="8"/>
  <c r="LY25" i="8"/>
  <c r="MK24" i="8"/>
  <c r="AQ24" i="8"/>
  <c r="AA25" i="8"/>
  <c r="MG27" i="8"/>
  <c r="LI28" i="8"/>
  <c r="Q28" i="8"/>
  <c r="AO27" i="8"/>
  <c r="HI18" i="8"/>
  <c r="HI19" i="8" s="1"/>
  <c r="HI20" i="8" s="1"/>
  <c r="HI21" i="8" s="1"/>
  <c r="HI22" i="8" s="1"/>
  <c r="HI23" i="8" s="1"/>
  <c r="HI24" i="8" s="1"/>
  <c r="HI25" i="8" s="1"/>
  <c r="HI26" i="8" s="1"/>
  <c r="HI27" i="8" s="1"/>
  <c r="HI28" i="8" s="1"/>
  <c r="HI29" i="8" s="1"/>
  <c r="HI30" i="8" s="1"/>
  <c r="HI31" i="8" s="1"/>
  <c r="HI32" i="8" s="1"/>
  <c r="HI33" i="8" s="1"/>
  <c r="HJ17" i="8"/>
  <c r="HC24" i="8"/>
  <c r="HW24" i="8"/>
  <c r="AK25" i="8"/>
  <c r="AS24" i="8"/>
  <c r="CU24" i="8" s="1"/>
  <c r="JA24" i="8" s="1"/>
  <c r="MC26" i="8"/>
  <c r="KS27" i="8"/>
  <c r="AR24" i="8"/>
  <c r="AF25" i="8"/>
  <c r="AP24" i="8"/>
  <c r="V25" i="8"/>
  <c r="MC27" i="8" l="1"/>
  <c r="KS28" i="8"/>
  <c r="L29" i="8"/>
  <c r="AN28" i="8"/>
  <c r="HW25" i="8"/>
  <c r="AK26" i="8"/>
  <c r="AS25" i="8"/>
  <c r="CU25" i="8" s="1"/>
  <c r="JA25" i="8" s="1"/>
  <c r="HC25" i="8"/>
  <c r="MF28" i="8"/>
  <c r="LE29" i="8"/>
  <c r="MD27" i="8"/>
  <c r="KW28" i="8"/>
  <c r="HK17" i="8"/>
  <c r="HJ18" i="8"/>
  <c r="HJ19" i="8" s="1"/>
  <c r="HJ20" i="8" s="1"/>
  <c r="HJ21" i="8" s="1"/>
  <c r="HJ22" i="8" s="1"/>
  <c r="HJ23" i="8" s="1"/>
  <c r="HJ24" i="8" s="1"/>
  <c r="HJ25" i="8" s="1"/>
  <c r="HJ26" i="8" s="1"/>
  <c r="HJ27" i="8" s="1"/>
  <c r="HJ28" i="8" s="1"/>
  <c r="HJ29" i="8" s="1"/>
  <c r="HJ30" i="8" s="1"/>
  <c r="HJ31" i="8" s="1"/>
  <c r="HJ32" i="8" s="1"/>
  <c r="HJ33" i="8" s="1"/>
  <c r="MH29" i="8"/>
  <c r="LM30" i="8"/>
  <c r="ME27" i="8"/>
  <c r="LA28" i="8"/>
  <c r="Q29" i="8"/>
  <c r="AO28" i="8"/>
  <c r="MG28" i="8"/>
  <c r="LI29" i="8"/>
  <c r="KO28" i="8"/>
  <c r="MB27" i="8"/>
  <c r="V26" i="8"/>
  <c r="AP25" i="8"/>
  <c r="AA26" i="8"/>
  <c r="AQ25" i="8"/>
  <c r="LU26" i="8"/>
  <c r="MJ25" i="8"/>
  <c r="AF26" i="8"/>
  <c r="AR25" i="8"/>
  <c r="NT24" i="8"/>
  <c r="OS24" i="8" s="1"/>
  <c r="MN24" i="8"/>
  <c r="MM24" i="8"/>
  <c r="ML24" i="8"/>
  <c r="LY26" i="8"/>
  <c r="MK25" i="8"/>
  <c r="NT25" i="8" s="1"/>
  <c r="LQ29" i="8"/>
  <c r="MI28" i="8"/>
  <c r="LM31" i="8" l="1"/>
  <c r="MH30" i="8"/>
  <c r="AF27" i="8"/>
  <c r="AR26" i="8"/>
  <c r="LU27" i="8"/>
  <c r="MJ26" i="8"/>
  <c r="HK18" i="8"/>
  <c r="HK19" i="8" s="1"/>
  <c r="HK20" i="8" s="1"/>
  <c r="HK21" i="8" s="1"/>
  <c r="HK22" i="8" s="1"/>
  <c r="HK23" i="8" s="1"/>
  <c r="HK24" i="8" s="1"/>
  <c r="HK25" i="8" s="1"/>
  <c r="HK26" i="8" s="1"/>
  <c r="HK27" i="8" s="1"/>
  <c r="HK28" i="8" s="1"/>
  <c r="HK29" i="8" s="1"/>
  <c r="HK30" i="8" s="1"/>
  <c r="HK31" i="8" s="1"/>
  <c r="HK32" i="8" s="1"/>
  <c r="HK33" i="8" s="1"/>
  <c r="HL17" i="8"/>
  <c r="AQ26" i="8"/>
  <c r="AA27" i="8"/>
  <c r="LE30" i="8"/>
  <c r="MF29" i="8"/>
  <c r="AP26" i="8"/>
  <c r="V27" i="8"/>
  <c r="MI29" i="8"/>
  <c r="LQ30" i="8"/>
  <c r="KO29" i="8"/>
  <c r="MB28" i="8"/>
  <c r="LI30" i="8"/>
  <c r="MG29" i="8"/>
  <c r="AK27" i="8"/>
  <c r="HC26" i="8"/>
  <c r="HW26" i="8"/>
  <c r="AS26" i="8"/>
  <c r="CU26" i="8" s="1"/>
  <c r="JA26" i="8" s="1"/>
  <c r="KW29" i="8"/>
  <c r="MD28" i="8"/>
  <c r="LY27" i="8"/>
  <c r="MK26" i="8"/>
  <c r="NT26" i="8" s="1"/>
  <c r="Q30" i="8"/>
  <c r="AO29" i="8"/>
  <c r="L30" i="8"/>
  <c r="AN29" i="8"/>
  <c r="ME28" i="8"/>
  <c r="LA29" i="8"/>
  <c r="KS29" i="8"/>
  <c r="MC28" i="8"/>
  <c r="PD24" i="8"/>
  <c r="PD25" i="8" s="1"/>
  <c r="PD26" i="8" s="1"/>
  <c r="PD27" i="8" s="1"/>
  <c r="PD28" i="8" s="1"/>
  <c r="PD29" i="8" s="1"/>
  <c r="PD30" i="8" s="1"/>
  <c r="PD31" i="8" s="1"/>
  <c r="PD32" i="8" s="1"/>
  <c r="PD33" i="8" s="1"/>
  <c r="PC24" i="8"/>
  <c r="PC25" i="8" s="1"/>
  <c r="PC26" i="8" s="1"/>
  <c r="PC27" i="8" s="1"/>
  <c r="PC28" i="8" s="1"/>
  <c r="PC29" i="8" s="1"/>
  <c r="PC30" i="8" s="1"/>
  <c r="PC31" i="8" s="1"/>
  <c r="PC32" i="8" s="1"/>
  <c r="PC33" i="8" s="1"/>
  <c r="PE24" i="8"/>
  <c r="PB24" i="8"/>
  <c r="PB25" i="8" s="1"/>
  <c r="PB26" i="8" s="1"/>
  <c r="PB27" i="8" s="1"/>
  <c r="PB28" i="8" s="1"/>
  <c r="PB29" i="8" s="1"/>
  <c r="PB30" i="8" s="1"/>
  <c r="PB31" i="8" s="1"/>
  <c r="PB32" i="8" s="1"/>
  <c r="PB33" i="8" s="1"/>
  <c r="PA24" i="8"/>
  <c r="PA25" i="8" s="1"/>
  <c r="PA26" i="8" s="1"/>
  <c r="PA27" i="8" s="1"/>
  <c r="PA28" i="8" s="1"/>
  <c r="PA29" i="8" s="1"/>
  <c r="PA30" i="8" s="1"/>
  <c r="PA31" i="8" s="1"/>
  <c r="PA32" i="8" s="1"/>
  <c r="PA33" i="8" s="1"/>
  <c r="OZ24" i="8"/>
  <c r="OZ25" i="8" s="1"/>
  <c r="OZ26" i="8" s="1"/>
  <c r="OZ27" i="8" s="1"/>
  <c r="OZ28" i="8" s="1"/>
  <c r="OZ29" i="8" s="1"/>
  <c r="OZ30" i="8" s="1"/>
  <c r="OZ31" i="8" s="1"/>
  <c r="OZ32" i="8" s="1"/>
  <c r="OZ33" i="8" s="1"/>
  <c r="OY24" i="8"/>
  <c r="OY25" i="8" s="1"/>
  <c r="OY26" i="8" s="1"/>
  <c r="OY27" i="8" s="1"/>
  <c r="OY28" i="8" s="1"/>
  <c r="OY29" i="8" s="1"/>
  <c r="OY30" i="8" s="1"/>
  <c r="OY31" i="8" s="1"/>
  <c r="OY32" i="8" s="1"/>
  <c r="OY33" i="8" s="1"/>
  <c r="OX24" i="8"/>
  <c r="OX25" i="8" s="1"/>
  <c r="OX26" i="8" s="1"/>
  <c r="OX27" i="8" s="1"/>
  <c r="OX28" i="8" s="1"/>
  <c r="OX29" i="8" s="1"/>
  <c r="OX30" i="8" s="1"/>
  <c r="OX31" i="8" s="1"/>
  <c r="OX32" i="8" s="1"/>
  <c r="OX33" i="8" s="1"/>
  <c r="OV24" i="8"/>
  <c r="OV25" i="8" s="1"/>
  <c r="OV26" i="8" s="1"/>
  <c r="OV27" i="8" s="1"/>
  <c r="OV28" i="8" s="1"/>
  <c r="OV29" i="8" s="1"/>
  <c r="OV30" i="8" s="1"/>
  <c r="OV31" i="8" s="1"/>
  <c r="OV32" i="8" s="1"/>
  <c r="OV33" i="8" s="1"/>
  <c r="OU24" i="8"/>
  <c r="OU25" i="8" s="1"/>
  <c r="OU26" i="8" s="1"/>
  <c r="OU27" i="8" s="1"/>
  <c r="OU28" i="8" s="1"/>
  <c r="OU29" i="8" s="1"/>
  <c r="OU30" i="8" s="1"/>
  <c r="OU31" i="8" s="1"/>
  <c r="OU32" i="8" s="1"/>
  <c r="OU33" i="8" s="1"/>
  <c r="OT24" i="8"/>
  <c r="OT25" i="8" s="1"/>
  <c r="OT26" i="8" s="1"/>
  <c r="OT27" i="8" s="1"/>
  <c r="OT28" i="8" s="1"/>
  <c r="OT29" i="8" s="1"/>
  <c r="OT30" i="8" s="1"/>
  <c r="OT31" i="8" s="1"/>
  <c r="OT32" i="8" s="1"/>
  <c r="OT33" i="8" s="1"/>
  <c r="OW24" i="8"/>
  <c r="OW25" i="8" s="1"/>
  <c r="OW26" i="8" s="1"/>
  <c r="OW27" i="8" s="1"/>
  <c r="OW28" i="8" s="1"/>
  <c r="OW29" i="8" s="1"/>
  <c r="OW30" i="8" s="1"/>
  <c r="OW31" i="8" s="1"/>
  <c r="OW32" i="8" s="1"/>
  <c r="OW33" i="8" s="1"/>
  <c r="OT41" i="8"/>
  <c r="OU41" i="8" s="1"/>
  <c r="OT46" i="8"/>
  <c r="OU46" i="8" s="1"/>
  <c r="OT47" i="8"/>
  <c r="OU47" i="8" s="1"/>
  <c r="OT40" i="8"/>
  <c r="OU40" i="8" s="1"/>
  <c r="OT45" i="8"/>
  <c r="OU45" i="8" s="1"/>
  <c r="OT48" i="8"/>
  <c r="OU48" i="8" s="1"/>
  <c r="OT39" i="8"/>
  <c r="OU39" i="8" s="1"/>
  <c r="OT44" i="8"/>
  <c r="OU44" i="8" s="1"/>
  <c r="OT42" i="8"/>
  <c r="OU42" i="8" s="1"/>
  <c r="OT43" i="8"/>
  <c r="OU43" i="8" s="1"/>
  <c r="OT38" i="8"/>
  <c r="OU38" i="8" s="1"/>
  <c r="V28" i="8" l="1"/>
  <c r="AP27" i="8"/>
  <c r="LQ31" i="8"/>
  <c r="MI30" i="8"/>
  <c r="KW30" i="8"/>
  <c r="MD29" i="8"/>
  <c r="LY28" i="8"/>
  <c r="MK27" i="8"/>
  <c r="NT27" i="8" s="1"/>
  <c r="LE31" i="8"/>
  <c r="MF30" i="8"/>
  <c r="HL18" i="8"/>
  <c r="HL19" i="8" s="1"/>
  <c r="HL20" i="8" s="1"/>
  <c r="HL21" i="8" s="1"/>
  <c r="HL22" i="8" s="1"/>
  <c r="HL23" i="8" s="1"/>
  <c r="HL24" i="8" s="1"/>
  <c r="HL25" i="8" s="1"/>
  <c r="HL26" i="8" s="1"/>
  <c r="HL27" i="8" s="1"/>
  <c r="HL28" i="8" s="1"/>
  <c r="HL29" i="8" s="1"/>
  <c r="HL30" i="8" s="1"/>
  <c r="HL31" i="8" s="1"/>
  <c r="HL32" i="8" s="1"/>
  <c r="HL33" i="8" s="1"/>
  <c r="HM17" i="8"/>
  <c r="LA30" i="8"/>
  <c r="ME29" i="8"/>
  <c r="LU28" i="8"/>
  <c r="MJ27" i="8"/>
  <c r="LI31" i="8"/>
  <c r="MG30" i="8"/>
  <c r="AF28" i="8"/>
  <c r="AR27" i="8"/>
  <c r="Q31" i="8"/>
  <c r="AO30" i="8"/>
  <c r="AA28" i="8"/>
  <c r="AQ27" i="8"/>
  <c r="KS30" i="8"/>
  <c r="MC29" i="8"/>
  <c r="AK28" i="8"/>
  <c r="HC27" i="8"/>
  <c r="AS27" i="8"/>
  <c r="CU27" i="8" s="1"/>
  <c r="JA27" i="8" s="1"/>
  <c r="HW27" i="8"/>
  <c r="L31" i="8"/>
  <c r="AN30" i="8"/>
  <c r="KO30" i="8"/>
  <c r="MB29" i="8"/>
  <c r="LM32" i="8"/>
  <c r="MH31" i="8"/>
  <c r="HW28" i="8" l="1"/>
  <c r="AS28" i="8"/>
  <c r="CU28" i="8" s="1"/>
  <c r="JA28" i="8" s="1"/>
  <c r="AK29" i="8"/>
  <c r="HC28" i="8"/>
  <c r="AN31" i="8"/>
  <c r="L32" i="8"/>
  <c r="LU29" i="8"/>
  <c r="MJ28" i="8"/>
  <c r="HM18" i="8"/>
  <c r="HM19" i="8" s="1"/>
  <c r="HM20" i="8" s="1"/>
  <c r="HM21" i="8" s="1"/>
  <c r="HM22" i="8" s="1"/>
  <c r="HM23" i="8" s="1"/>
  <c r="HM24" i="8" s="1"/>
  <c r="HM25" i="8" s="1"/>
  <c r="HM26" i="8" s="1"/>
  <c r="HM27" i="8" s="1"/>
  <c r="HM28" i="8" s="1"/>
  <c r="HM29" i="8" s="1"/>
  <c r="HM30" i="8" s="1"/>
  <c r="HM31" i="8" s="1"/>
  <c r="HM32" i="8" s="1"/>
  <c r="HM33" i="8" s="1"/>
  <c r="HN17" i="8"/>
  <c r="HN18" i="8" s="1"/>
  <c r="HN19" i="8" s="1"/>
  <c r="HN20" i="8" s="1"/>
  <c r="HN21" i="8" s="1"/>
  <c r="HN22" i="8" s="1"/>
  <c r="HN23" i="8" s="1"/>
  <c r="HN24" i="8" s="1"/>
  <c r="HN25" i="8" s="1"/>
  <c r="HN26" i="8" s="1"/>
  <c r="HN27" i="8" s="1"/>
  <c r="HN28" i="8" s="1"/>
  <c r="HN29" i="8" s="1"/>
  <c r="HN30" i="8" s="1"/>
  <c r="HN31" i="8" s="1"/>
  <c r="HN32" i="8" s="1"/>
  <c r="HN33" i="8" s="1"/>
  <c r="KS31" i="8"/>
  <c r="MC30" i="8"/>
  <c r="LE32" i="8"/>
  <c r="MF31" i="8"/>
  <c r="AR28" i="8"/>
  <c r="AF29" i="8"/>
  <c r="AQ28" i="8"/>
  <c r="AA29" i="8"/>
  <c r="LY29" i="8"/>
  <c r="MK28" i="8"/>
  <c r="NT28" i="8" s="1"/>
  <c r="AO31" i="8"/>
  <c r="Q32" i="8"/>
  <c r="KW31" i="8"/>
  <c r="MD30" i="8"/>
  <c r="KO31" i="8"/>
  <c r="MB30" i="8"/>
  <c r="LA31" i="8"/>
  <c r="ME30" i="8"/>
  <c r="LM33" i="8"/>
  <c r="MH32" i="8"/>
  <c r="LQ32" i="8"/>
  <c r="MI31" i="8"/>
  <c r="LI32" i="8"/>
  <c r="MG31" i="8"/>
  <c r="AP28" i="8"/>
  <c r="V29" i="8"/>
  <c r="LM34" i="8" l="1"/>
  <c r="MH33" i="8"/>
  <c r="LA32" i="8"/>
  <c r="ME31" i="8"/>
  <c r="AR29" i="8"/>
  <c r="AF30" i="8"/>
  <c r="KO32" i="8"/>
  <c r="MB31" i="8"/>
  <c r="AO32" i="8"/>
  <c r="Q33" i="8"/>
  <c r="MI32" i="8"/>
  <c r="LQ36" i="8"/>
  <c r="MF32" i="8"/>
  <c r="LE33" i="8"/>
  <c r="KS32" i="8"/>
  <c r="MC31" i="8"/>
  <c r="KW32" i="8"/>
  <c r="MD31" i="8"/>
  <c r="MJ29" i="8"/>
  <c r="LU30" i="8"/>
  <c r="L33" i="8"/>
  <c r="AN32" i="8"/>
  <c r="V30" i="8"/>
  <c r="AP29" i="8"/>
  <c r="MK29" i="8"/>
  <c r="NT29" i="8" s="1"/>
  <c r="LY30" i="8"/>
  <c r="HW29" i="8"/>
  <c r="AS29" i="8"/>
  <c r="CU29" i="8" s="1"/>
  <c r="JA29" i="8" s="1"/>
  <c r="AK30" i="8"/>
  <c r="HC29" i="8"/>
  <c r="AQ29" i="8"/>
  <c r="AA30" i="8"/>
  <c r="LI33" i="8"/>
  <c r="MG32" i="8"/>
  <c r="AA31" i="8" l="1"/>
  <c r="AQ30" i="8"/>
  <c r="MF33" i="8"/>
  <c r="LE36" i="8"/>
  <c r="HC30" i="8"/>
  <c r="AK31" i="8"/>
  <c r="HW30" i="8"/>
  <c r="AS30" i="8"/>
  <c r="CU30" i="8" s="1"/>
  <c r="JA30" i="8" s="1"/>
  <c r="V31" i="8"/>
  <c r="AP30" i="8"/>
  <c r="MC32" i="8"/>
  <c r="KS33" i="8"/>
  <c r="LQ37" i="8"/>
  <c r="NE11" i="8"/>
  <c r="MK30" i="8"/>
  <c r="NT30" i="8" s="1"/>
  <c r="LY31" i="8"/>
  <c r="Q34" i="8"/>
  <c r="AO33" i="8"/>
  <c r="MB32" i="8"/>
  <c r="KO33" i="8"/>
  <c r="AF31" i="8"/>
  <c r="AR30" i="8"/>
  <c r="AN33" i="8"/>
  <c r="L34" i="8"/>
  <c r="LU31" i="8"/>
  <c r="MJ30" i="8"/>
  <c r="ME32" i="8"/>
  <c r="LA33" i="8"/>
  <c r="MG33" i="8"/>
  <c r="LI36" i="8"/>
  <c r="MD32" i="8"/>
  <c r="KW33" i="8"/>
  <c r="MH34" i="8"/>
  <c r="LM36" i="8"/>
  <c r="MD33" i="8" l="1"/>
  <c r="KW36" i="8"/>
  <c r="LY32" i="8"/>
  <c r="MK31" i="8"/>
  <c r="NT31" i="8" s="1"/>
  <c r="LI37" i="8"/>
  <c r="NC11" i="8"/>
  <c r="MC33" i="8"/>
  <c r="KS36" i="8"/>
  <c r="L35" i="8"/>
  <c r="AN34" i="8"/>
  <c r="LQ38" i="8"/>
  <c r="NE12" i="8"/>
  <c r="ME33" i="8"/>
  <c r="LA36" i="8"/>
  <c r="LU32" i="8"/>
  <c r="MJ31" i="8"/>
  <c r="V32" i="8"/>
  <c r="AP31" i="8"/>
  <c r="HW31" i="8"/>
  <c r="AK32" i="8"/>
  <c r="AS31" i="8"/>
  <c r="CU31" i="8" s="1"/>
  <c r="JA31" i="8" s="1"/>
  <c r="HC31" i="8"/>
  <c r="AF32" i="8"/>
  <c r="AR31" i="8"/>
  <c r="MB33" i="8"/>
  <c r="KO36" i="8"/>
  <c r="LE37" i="8"/>
  <c r="NB11" i="8"/>
  <c r="LM37" i="8"/>
  <c r="ND11" i="8"/>
  <c r="Q35" i="8"/>
  <c r="AO34" i="8"/>
  <c r="AA32" i="8"/>
  <c r="AQ31" i="8"/>
  <c r="LE38" i="8" l="1"/>
  <c r="NB12" i="8"/>
  <c r="AO35" i="8"/>
  <c r="Q36" i="8"/>
  <c r="LA37" i="8"/>
  <c r="NA11" i="8"/>
  <c r="KO37" i="8"/>
  <c r="MX11" i="8"/>
  <c r="AN35" i="8"/>
  <c r="L36" i="8"/>
  <c r="KW37" i="8"/>
  <c r="MZ11" i="8"/>
  <c r="LU33" i="8"/>
  <c r="MJ32" i="8"/>
  <c r="LM38" i="8"/>
  <c r="ND12" i="8"/>
  <c r="KS37" i="8"/>
  <c r="MY11" i="8"/>
  <c r="AR32" i="8"/>
  <c r="AF33" i="8"/>
  <c r="LI38" i="8"/>
  <c r="NC12" i="8"/>
  <c r="AK33" i="8"/>
  <c r="AS32" i="8"/>
  <c r="CU32" i="8" s="1"/>
  <c r="JA32" i="8" s="1"/>
  <c r="HC32" i="8"/>
  <c r="HW32" i="8"/>
  <c r="MK32" i="8"/>
  <c r="NT32" i="8" s="1"/>
  <c r="LY33" i="8"/>
  <c r="AQ32" i="8"/>
  <c r="AA33" i="8"/>
  <c r="AP32" i="8"/>
  <c r="V33" i="8"/>
  <c r="LU34" i="8" l="1"/>
  <c r="MJ33" i="8"/>
  <c r="KO38" i="8"/>
  <c r="MX12" i="8"/>
  <c r="V34" i="8"/>
  <c r="AP33" i="8"/>
  <c r="AQ33" i="8"/>
  <c r="AA34" i="8"/>
  <c r="MK33" i="8"/>
  <c r="LY36" i="8"/>
  <c r="KW38" i="8"/>
  <c r="MZ12" i="8"/>
  <c r="L37" i="8"/>
  <c r="AN36" i="8"/>
  <c r="HW33" i="8"/>
  <c r="AS33" i="8"/>
  <c r="CU33" i="8" s="1"/>
  <c r="JA33" i="8" s="1"/>
  <c r="HC33" i="8"/>
  <c r="AK34" i="8"/>
  <c r="LA38" i="8"/>
  <c r="NA12" i="8"/>
  <c r="AR33" i="8"/>
  <c r="AF34" i="8"/>
  <c r="Q37" i="8"/>
  <c r="AO36" i="8"/>
  <c r="KS38" i="8"/>
  <c r="MY12" i="8"/>
  <c r="LY37" i="8" l="1"/>
  <c r="NG11" i="8"/>
  <c r="NT33" i="8"/>
  <c r="MK3" i="8"/>
  <c r="AA35" i="8"/>
  <c r="AQ34" i="8"/>
  <c r="AN37" i="8"/>
  <c r="L38" i="8"/>
  <c r="Q38" i="8"/>
  <c r="AO37" i="8"/>
  <c r="AF35" i="8"/>
  <c r="AR34" i="8"/>
  <c r="V35" i="8"/>
  <c r="AP34" i="8"/>
  <c r="AK35" i="8"/>
  <c r="AS34" i="8"/>
  <c r="CU34" i="8" s="1"/>
  <c r="JA34" i="8" s="1"/>
  <c r="MJ34" i="8"/>
  <c r="LU36" i="8"/>
  <c r="Q39" i="8" l="1"/>
  <c r="AO38" i="8"/>
  <c r="LU37" i="8"/>
  <c r="NF11" i="8"/>
  <c r="AS35" i="8"/>
  <c r="CU35" i="8" s="1"/>
  <c r="JA35" i="8" s="1"/>
  <c r="AK36" i="8"/>
  <c r="AP35" i="8"/>
  <c r="V36" i="8"/>
  <c r="AF36" i="8"/>
  <c r="AR35" i="8"/>
  <c r="L39" i="8"/>
  <c r="AN38" i="8"/>
  <c r="AA36" i="8"/>
  <c r="AQ35" i="8"/>
  <c r="MN3" i="8"/>
  <c r="MN25" i="8" s="1"/>
  <c r="MN26" i="8" s="1"/>
  <c r="MN27" i="8" s="1"/>
  <c r="MN28" i="8" s="1"/>
  <c r="MN29" i="8" s="1"/>
  <c r="MN30" i="8" s="1"/>
  <c r="MN31" i="8" s="1"/>
  <c r="MN32" i="8" s="1"/>
  <c r="MN33" i="8" s="1"/>
  <c r="MM3" i="8"/>
  <c r="MM25" i="8" s="1"/>
  <c r="MM26" i="8" s="1"/>
  <c r="MM27" i="8" s="1"/>
  <c r="MM28" i="8" s="1"/>
  <c r="MM29" i="8" s="1"/>
  <c r="MM30" i="8" s="1"/>
  <c r="MM31" i="8" s="1"/>
  <c r="MM32" i="8" s="1"/>
  <c r="MM33" i="8" s="1"/>
  <c r="ML3" i="8"/>
  <c r="ML25" i="8" s="1"/>
  <c r="ML26" i="8" s="1"/>
  <c r="ML27" i="8" s="1"/>
  <c r="ML28" i="8" s="1"/>
  <c r="ML29" i="8" s="1"/>
  <c r="ML30" i="8" s="1"/>
  <c r="ML31" i="8" s="1"/>
  <c r="ML32" i="8" s="1"/>
  <c r="ML33" i="8" s="1"/>
  <c r="PE2" i="8"/>
  <c r="PE25" i="8" s="1"/>
  <c r="PE26" i="8" s="1"/>
  <c r="PE27" i="8" s="1"/>
  <c r="PE28" i="8" s="1"/>
  <c r="PE29" i="8" s="1"/>
  <c r="PE30" i="8" s="1"/>
  <c r="PE31" i="8" s="1"/>
  <c r="PE32" i="8" s="1"/>
  <c r="PE33" i="8" s="1"/>
  <c r="OF2" i="8"/>
  <c r="OF8" i="8" s="1"/>
  <c r="OF9" i="8" s="1"/>
  <c r="OF10" i="8" s="1"/>
  <c r="OF11" i="8" s="1"/>
  <c r="OF12" i="8" s="1"/>
  <c r="OF13" i="8" s="1"/>
  <c r="OF14" i="8" s="1"/>
  <c r="OF15" i="8" s="1"/>
  <c r="OF16" i="8" s="1"/>
  <c r="OF17" i="8" s="1"/>
  <c r="OF18" i="8" s="1"/>
  <c r="OF19" i="8" s="1"/>
  <c r="OF20" i="8" s="1"/>
  <c r="OF21" i="8" s="1"/>
  <c r="OF22" i="8" s="1"/>
  <c r="OF23" i="8" s="1"/>
  <c r="OF24" i="8" s="1"/>
  <c r="OF25" i="8" s="1"/>
  <c r="OF26" i="8" s="1"/>
  <c r="OF27" i="8" s="1"/>
  <c r="OF28" i="8" s="1"/>
  <c r="OF29" i="8" s="1"/>
  <c r="OF30" i="8" s="1"/>
  <c r="OF31" i="8" s="1"/>
  <c r="OF32" i="8" s="1"/>
  <c r="OF33" i="8" s="1"/>
  <c r="LY38" i="8"/>
  <c r="NG13" i="8" s="1"/>
  <c r="NG12" i="8"/>
  <c r="LU38" i="8" l="1"/>
  <c r="NF12" i="8"/>
  <c r="AQ36" i="8"/>
  <c r="AA37" i="8"/>
  <c r="L40" i="8"/>
  <c r="AN39" i="8"/>
  <c r="AF37" i="8"/>
  <c r="AR36" i="8"/>
  <c r="AP36" i="8"/>
  <c r="V37" i="8"/>
  <c r="AK37" i="8"/>
  <c r="AS36" i="8"/>
  <c r="CU36" i="8" s="1"/>
  <c r="JA36" i="8" s="1"/>
  <c r="NG14" i="8"/>
  <c r="NH12" i="8"/>
  <c r="AO39" i="8"/>
  <c r="Q40" i="8"/>
  <c r="AP37" i="8" l="1"/>
  <c r="V38" i="8"/>
  <c r="AA38" i="8"/>
  <c r="AQ37" i="8"/>
  <c r="AO40" i="8"/>
  <c r="Q41" i="8"/>
  <c r="AK38" i="8"/>
  <c r="AS37" i="8"/>
  <c r="CU37" i="8" s="1"/>
  <c r="JA37" i="8" s="1"/>
  <c r="AR37" i="8"/>
  <c r="AF38" i="8"/>
  <c r="L41" i="8"/>
  <c r="AN40" i="8"/>
  <c r="AN41" i="8" l="1"/>
  <c r="L42" i="8"/>
  <c r="AF39" i="8"/>
  <c r="AR38" i="8"/>
  <c r="Q42" i="8"/>
  <c r="AO41" i="8"/>
  <c r="AA39" i="8"/>
  <c r="AQ38" i="8"/>
  <c r="AP38" i="8"/>
  <c r="V39" i="8"/>
  <c r="AS38" i="8"/>
  <c r="CU38" i="8" s="1"/>
  <c r="JA38" i="8" s="1"/>
  <c r="AK39" i="8"/>
  <c r="V40" i="8" l="1"/>
  <c r="AP39" i="8"/>
  <c r="AN42" i="8"/>
  <c r="L43" i="8"/>
  <c r="AS39" i="8"/>
  <c r="CU39" i="8" s="1"/>
  <c r="JA39" i="8" s="1"/>
  <c r="AK40" i="8"/>
  <c r="AQ39" i="8"/>
  <c r="AA40" i="8"/>
  <c r="Q43" i="8"/>
  <c r="AO42" i="8"/>
  <c r="AR39" i="8"/>
  <c r="AF40" i="8"/>
  <c r="Q44" i="8" l="1"/>
  <c r="AO43" i="8"/>
  <c r="AF41" i="8"/>
  <c r="AR40" i="8"/>
  <c r="AQ40" i="8"/>
  <c r="AA41" i="8"/>
  <c r="AK41" i="8"/>
  <c r="AS40" i="8"/>
  <c r="CU40" i="8" s="1"/>
  <c r="JA40" i="8" s="1"/>
  <c r="L44" i="8"/>
  <c r="AN43" i="8"/>
  <c r="V41" i="8"/>
  <c r="AP40" i="8"/>
  <c r="V42" i="8" l="1"/>
  <c r="AP41" i="8"/>
  <c r="L45" i="8"/>
  <c r="AN44" i="8"/>
  <c r="AK42" i="8"/>
  <c r="AS41" i="8"/>
  <c r="CU41" i="8" s="1"/>
  <c r="JA41" i="8" s="1"/>
  <c r="AA42" i="8"/>
  <c r="AQ41" i="8"/>
  <c r="AF42" i="8"/>
  <c r="AR41" i="8"/>
  <c r="Q45" i="8"/>
  <c r="AO44" i="8"/>
  <c r="AO45" i="8" l="1"/>
  <c r="Q46" i="8"/>
  <c r="AR42" i="8"/>
  <c r="AF43" i="8"/>
  <c r="AA43" i="8"/>
  <c r="AQ42" i="8"/>
  <c r="AS42" i="8"/>
  <c r="CU42" i="8" s="1"/>
  <c r="JA42" i="8" s="1"/>
  <c r="AK43" i="8"/>
  <c r="L46" i="8"/>
  <c r="AN45" i="8"/>
  <c r="AP42" i="8"/>
  <c r="V43" i="8"/>
  <c r="AN46" i="8" l="1"/>
  <c r="L47" i="8"/>
  <c r="AK44" i="8"/>
  <c r="AS43" i="8"/>
  <c r="CU43" i="8" s="1"/>
  <c r="JA43" i="8" s="1"/>
  <c r="V44" i="8"/>
  <c r="AP43" i="8"/>
  <c r="AA44" i="8"/>
  <c r="AQ43" i="8"/>
  <c r="AF44" i="8"/>
  <c r="AR43" i="8"/>
  <c r="Q47" i="8"/>
  <c r="AO46" i="8"/>
  <c r="Q48" i="8" l="1"/>
  <c r="AO47" i="8"/>
  <c r="AR44" i="8"/>
  <c r="AF45" i="8"/>
  <c r="AA45" i="8"/>
  <c r="AQ44" i="8"/>
  <c r="V45" i="8"/>
  <c r="AP44" i="8"/>
  <c r="AS44" i="8"/>
  <c r="CU44" i="8" s="1"/>
  <c r="JA44" i="8" s="1"/>
  <c r="AK45" i="8"/>
  <c r="L48" i="8"/>
  <c r="AN47" i="8"/>
  <c r="AK46" i="8" l="1"/>
  <c r="AS45" i="8"/>
  <c r="CU45" i="8" s="1"/>
  <c r="JA45" i="8" s="1"/>
  <c r="AQ45" i="8"/>
  <c r="AA46" i="8"/>
  <c r="AN48" i="8"/>
  <c r="L49" i="8"/>
  <c r="AF46" i="8"/>
  <c r="AR45" i="8"/>
  <c r="V46" i="8"/>
  <c r="AP45" i="8"/>
  <c r="AO48" i="8"/>
  <c r="Q49" i="8"/>
  <c r="AP46" i="8" l="1"/>
  <c r="V47" i="8"/>
  <c r="Q50" i="8"/>
  <c r="AO49" i="8"/>
  <c r="AR46" i="8"/>
  <c r="AF47" i="8"/>
  <c r="L50" i="8"/>
  <c r="AN49" i="8"/>
  <c r="AQ46" i="8"/>
  <c r="AA47" i="8"/>
  <c r="AS46" i="8"/>
  <c r="CU46" i="8" s="1"/>
  <c r="JA46" i="8" s="1"/>
  <c r="AK47" i="8"/>
  <c r="AN50" i="8" l="1"/>
  <c r="L51" i="8"/>
  <c r="AF48" i="8"/>
  <c r="AR47" i="8"/>
  <c r="AK48" i="8"/>
  <c r="AS47" i="8"/>
  <c r="CU47" i="8" s="1"/>
  <c r="JA47" i="8" s="1"/>
  <c r="AQ47" i="8"/>
  <c r="AA48" i="8"/>
  <c r="AO50" i="8"/>
  <c r="Q51" i="8"/>
  <c r="V48" i="8"/>
  <c r="AP47" i="8"/>
  <c r="AQ48" i="8" l="1"/>
  <c r="AA49" i="8"/>
  <c r="AK49" i="8"/>
  <c r="AS48" i="8"/>
  <c r="CU48" i="8" s="1"/>
  <c r="JA48" i="8" s="1"/>
  <c r="AP48" i="8"/>
  <c r="V49" i="8"/>
  <c r="AR48" i="8"/>
  <c r="AF49" i="8"/>
  <c r="AO51" i="8"/>
  <c r="Q52" i="8"/>
  <c r="AN51" i="8"/>
  <c r="L52" i="8"/>
  <c r="AR49" i="8" l="1"/>
  <c r="AF50" i="8"/>
  <c r="V50" i="8"/>
  <c r="AP49" i="8"/>
  <c r="AS49" i="8"/>
  <c r="CU49" i="8" s="1"/>
  <c r="JA49" i="8" s="1"/>
  <c r="AK50" i="8"/>
  <c r="L53" i="8"/>
  <c r="AN52" i="8"/>
  <c r="AO52" i="8"/>
  <c r="Q53" i="8"/>
  <c r="AQ49" i="8"/>
  <c r="AA50" i="8"/>
  <c r="AO53" i="8" l="1"/>
  <c r="Q54" i="8"/>
  <c r="AN53" i="8"/>
  <c r="L54" i="8"/>
  <c r="AQ50" i="8"/>
  <c r="AA51" i="8"/>
  <c r="AK51" i="8"/>
  <c r="AS50" i="8"/>
  <c r="CU50" i="8" s="1"/>
  <c r="JA50" i="8" s="1"/>
  <c r="AP50" i="8"/>
  <c r="V51" i="8"/>
  <c r="AF51" i="8"/>
  <c r="AR50" i="8"/>
  <c r="AS51" i="8" l="1"/>
  <c r="CU51" i="8" s="1"/>
  <c r="JA51" i="8" s="1"/>
  <c r="AK52" i="8"/>
  <c r="AQ51" i="8"/>
  <c r="AA52" i="8"/>
  <c r="AP51" i="8"/>
  <c r="V52" i="8"/>
  <c r="L55" i="8"/>
  <c r="AN54" i="8"/>
  <c r="AF52" i="8"/>
  <c r="AR51" i="8"/>
  <c r="AV51" i="8" s="1"/>
  <c r="Q55" i="8"/>
  <c r="AO54" i="8"/>
  <c r="Q56" i="8" l="1"/>
  <c r="AO55" i="8"/>
  <c r="AR52" i="8"/>
  <c r="AF53" i="8"/>
  <c r="AP52" i="8"/>
  <c r="V53" i="8"/>
  <c r="AQ52" i="8"/>
  <c r="AA53" i="8"/>
  <c r="AS52" i="8"/>
  <c r="CU52" i="8" s="1"/>
  <c r="AK53" i="8"/>
  <c r="AV52" i="8"/>
  <c r="AV53" i="8" s="1"/>
  <c r="AV54" i="8" s="1"/>
  <c r="AV55" i="8" s="1"/>
  <c r="AV56" i="8" s="1"/>
  <c r="AV57" i="8" s="1"/>
  <c r="AV58" i="8" s="1"/>
  <c r="AV59" i="8" s="1"/>
  <c r="AV60" i="8" s="1"/>
  <c r="AW51" i="8"/>
  <c r="AN55" i="8"/>
  <c r="L56" i="8"/>
  <c r="JM51" i="8"/>
  <c r="JM52" i="8" s="1"/>
  <c r="JM53" i="8" s="1"/>
  <c r="JM54" i="8" s="1"/>
  <c r="JM55" i="8" s="1"/>
  <c r="JM56" i="8" s="1"/>
  <c r="JM57" i="8" s="1"/>
  <c r="JM58" i="8" s="1"/>
  <c r="JM59" i="8" s="1"/>
  <c r="JM60" i="8" s="1"/>
  <c r="JK51" i="8"/>
  <c r="JK52" i="8" s="1"/>
  <c r="JK53" i="8" s="1"/>
  <c r="JK54" i="8" s="1"/>
  <c r="JK55" i="8" s="1"/>
  <c r="JK56" i="8" s="1"/>
  <c r="JK57" i="8" s="1"/>
  <c r="JK58" i="8" s="1"/>
  <c r="JK59" i="8" s="1"/>
  <c r="JK60" i="8" s="1"/>
  <c r="JE51" i="8"/>
  <c r="JE52" i="8" s="1"/>
  <c r="JE53" i="8" s="1"/>
  <c r="JE54" i="8" s="1"/>
  <c r="JE55" i="8" s="1"/>
  <c r="JE56" i="8" s="1"/>
  <c r="JE57" i="8" s="1"/>
  <c r="JE58" i="8" s="1"/>
  <c r="JE59" i="8" s="1"/>
  <c r="JE60" i="8" s="1"/>
  <c r="JJ51" i="8"/>
  <c r="JJ52" i="8" s="1"/>
  <c r="JJ53" i="8" s="1"/>
  <c r="JJ54" i="8" s="1"/>
  <c r="JJ55" i="8" s="1"/>
  <c r="JJ56" i="8" s="1"/>
  <c r="JJ57" i="8" s="1"/>
  <c r="JJ58" i="8" s="1"/>
  <c r="JJ59" i="8" s="1"/>
  <c r="JJ60" i="8" s="1"/>
  <c r="JI51" i="8"/>
  <c r="JI52" i="8" s="1"/>
  <c r="JI53" i="8" s="1"/>
  <c r="JI54" i="8" s="1"/>
  <c r="JI55" i="8" s="1"/>
  <c r="JI56" i="8" s="1"/>
  <c r="JI57" i="8" s="1"/>
  <c r="JI58" i="8" s="1"/>
  <c r="JI59" i="8" s="1"/>
  <c r="JI60" i="8" s="1"/>
  <c r="JH51" i="8"/>
  <c r="JH52" i="8" s="1"/>
  <c r="JH53" i="8" s="1"/>
  <c r="JH54" i="8" s="1"/>
  <c r="JH55" i="8" s="1"/>
  <c r="JH56" i="8" s="1"/>
  <c r="JH57" i="8" s="1"/>
  <c r="JH58" i="8" s="1"/>
  <c r="JH59" i="8" s="1"/>
  <c r="JH60" i="8" s="1"/>
  <c r="JG51" i="8"/>
  <c r="JG52" i="8" s="1"/>
  <c r="JG53" i="8" s="1"/>
  <c r="JG54" i="8" s="1"/>
  <c r="JG55" i="8" s="1"/>
  <c r="JG56" i="8" s="1"/>
  <c r="JG57" i="8" s="1"/>
  <c r="JG58" i="8" s="1"/>
  <c r="JG59" i="8" s="1"/>
  <c r="JG60" i="8" s="1"/>
  <c r="JF51" i="8"/>
  <c r="JF52" i="8" s="1"/>
  <c r="JF53" i="8" s="1"/>
  <c r="JF54" i="8" s="1"/>
  <c r="JF55" i="8" s="1"/>
  <c r="JF56" i="8" s="1"/>
  <c r="JF57" i="8" s="1"/>
  <c r="JF58" i="8" s="1"/>
  <c r="JF59" i="8" s="1"/>
  <c r="JF60" i="8" s="1"/>
  <c r="JD51" i="8"/>
  <c r="JD52" i="8" s="1"/>
  <c r="JD53" i="8" s="1"/>
  <c r="JD54" i="8" s="1"/>
  <c r="JD55" i="8" s="1"/>
  <c r="JD56" i="8" s="1"/>
  <c r="JD57" i="8" s="1"/>
  <c r="JD58" i="8" s="1"/>
  <c r="JD59" i="8" s="1"/>
  <c r="JD60" i="8" s="1"/>
  <c r="JC51" i="8"/>
  <c r="JC52" i="8" s="1"/>
  <c r="JC53" i="8" s="1"/>
  <c r="JC54" i="8" s="1"/>
  <c r="JC55" i="8" s="1"/>
  <c r="JC56" i="8" s="1"/>
  <c r="JC57" i="8" s="1"/>
  <c r="JC58" i="8" s="1"/>
  <c r="JC59" i="8" s="1"/>
  <c r="JC60" i="8" s="1"/>
  <c r="JB51" i="8"/>
  <c r="JB52" i="8" s="1"/>
  <c r="JB53" i="8" s="1"/>
  <c r="JB54" i="8" s="1"/>
  <c r="JB55" i="8" s="1"/>
  <c r="JB56" i="8" s="1"/>
  <c r="JB57" i="8" s="1"/>
  <c r="JB58" i="8" s="1"/>
  <c r="JB59" i="8" s="1"/>
  <c r="JB60" i="8" s="1"/>
  <c r="JL51" i="8"/>
  <c r="JL52" i="8" s="1"/>
  <c r="JL53" i="8" s="1"/>
  <c r="JL54" i="8" s="1"/>
  <c r="JL55" i="8" s="1"/>
  <c r="JL56" i="8" s="1"/>
  <c r="JL57" i="8" s="1"/>
  <c r="JL58" i="8" s="1"/>
  <c r="JL59" i="8" s="1"/>
  <c r="JL60" i="8" s="1"/>
  <c r="JB68" i="8"/>
  <c r="JC68" i="8" s="1"/>
  <c r="JB74" i="8"/>
  <c r="JC74" i="8" s="1"/>
  <c r="JB76" i="8"/>
  <c r="JC76" i="8" s="1"/>
  <c r="JB69" i="8"/>
  <c r="JC69" i="8" s="1"/>
  <c r="JB75" i="8"/>
  <c r="JC75" i="8" s="1"/>
  <c r="JB66" i="8"/>
  <c r="JC66" i="8" s="1"/>
  <c r="JB73" i="8"/>
  <c r="JC73" i="8" s="1"/>
  <c r="JB71" i="8"/>
  <c r="JC71" i="8" s="1"/>
  <c r="JB70" i="8"/>
  <c r="JC70" i="8" s="1"/>
  <c r="JB72" i="8"/>
  <c r="JC72" i="8" s="1"/>
  <c r="JB67" i="8"/>
  <c r="JC67" i="8" s="1"/>
  <c r="AA54" i="8" l="1"/>
  <c r="AQ53" i="8"/>
  <c r="AP53" i="8"/>
  <c r="V54" i="8"/>
  <c r="AS53" i="8"/>
  <c r="CU53" i="8" s="1"/>
  <c r="AK54" i="8"/>
  <c r="AF54" i="8"/>
  <c r="AR53" i="8"/>
  <c r="L57" i="8"/>
  <c r="AN56" i="8"/>
  <c r="AW52" i="8"/>
  <c r="AW53" i="8" s="1"/>
  <c r="AW54" i="8" s="1"/>
  <c r="AW55" i="8" s="1"/>
  <c r="AW56" i="8" s="1"/>
  <c r="AW57" i="8" s="1"/>
  <c r="AW58" i="8" s="1"/>
  <c r="AW59" i="8" s="1"/>
  <c r="AW60" i="8" s="1"/>
  <c r="AX51" i="8"/>
  <c r="AX52" i="8" s="1"/>
  <c r="AX53" i="8" s="1"/>
  <c r="AX54" i="8" s="1"/>
  <c r="AX55" i="8" s="1"/>
  <c r="AX56" i="8" s="1"/>
  <c r="AX57" i="8" s="1"/>
  <c r="AX58" i="8" s="1"/>
  <c r="AX59" i="8" s="1"/>
  <c r="AX60" i="8" s="1"/>
  <c r="Q57" i="8"/>
  <c r="AO56" i="8"/>
  <c r="Q58" i="8" l="1"/>
  <c r="AO57" i="8"/>
  <c r="AK55" i="8"/>
  <c r="AS54" i="8"/>
  <c r="CU54" i="8" s="1"/>
  <c r="L58" i="8"/>
  <c r="AN57" i="8"/>
  <c r="AR54" i="8"/>
  <c r="AF55" i="8"/>
  <c r="V55" i="8"/>
  <c r="AP54" i="8"/>
  <c r="AA55" i="8"/>
  <c r="AQ54" i="8"/>
  <c r="AA56" i="8" l="1"/>
  <c r="AQ55" i="8"/>
  <c r="AP55" i="8"/>
  <c r="V56" i="8"/>
  <c r="AF56" i="8"/>
  <c r="AR55" i="8"/>
  <c r="L59" i="8"/>
  <c r="AN58" i="8"/>
  <c r="AK56" i="8"/>
  <c r="AS55" i="8"/>
  <c r="CU55" i="8" s="1"/>
  <c r="Q59" i="8"/>
  <c r="AO58" i="8"/>
  <c r="AS56" i="8" l="1"/>
  <c r="CU56" i="8" s="1"/>
  <c r="AK57" i="8"/>
  <c r="AN59" i="8"/>
  <c r="L62" i="8"/>
  <c r="AR56" i="8"/>
  <c r="AF57" i="8"/>
  <c r="V57" i="8"/>
  <c r="AP56" i="8"/>
  <c r="AO59" i="8"/>
  <c r="Q62" i="8"/>
  <c r="AA57" i="8"/>
  <c r="AQ56" i="8"/>
  <c r="AQ57" i="8" l="1"/>
  <c r="AA58" i="8"/>
  <c r="Q63" i="8"/>
  <c r="CE11" i="8"/>
  <c r="BI11" i="8"/>
  <c r="V58" i="8"/>
  <c r="AP57" i="8"/>
  <c r="AF58" i="8"/>
  <c r="AR57" i="8"/>
  <c r="L63" i="8"/>
  <c r="CD11" i="8"/>
  <c r="BH11" i="8"/>
  <c r="AS57" i="8"/>
  <c r="CU57" i="8" s="1"/>
  <c r="AK58" i="8"/>
  <c r="CB11" i="8" l="1"/>
  <c r="CC11" i="8"/>
  <c r="L64" i="8"/>
  <c r="BH12" i="8"/>
  <c r="AR58" i="8"/>
  <c r="AF59" i="8"/>
  <c r="AK59" i="8"/>
  <c r="AS58" i="8"/>
  <c r="CU58" i="8" s="1"/>
  <c r="AP58" i="8"/>
  <c r="V59" i="8"/>
  <c r="Q64" i="8"/>
  <c r="BI12" i="8"/>
  <c r="AQ58" i="8"/>
  <c r="AA59" i="8"/>
  <c r="AQ59" i="8" l="1"/>
  <c r="AA62" i="8"/>
  <c r="AP59" i="8"/>
  <c r="V62" i="8"/>
  <c r="AS59" i="8"/>
  <c r="CU59" i="8" s="1"/>
  <c r="AK62" i="8"/>
  <c r="AK63" i="8" s="1"/>
  <c r="AK64" i="8" s="1"/>
  <c r="AR59" i="8"/>
  <c r="AF60" i="8"/>
  <c r="AR60" i="8" l="1"/>
  <c r="AF62" i="8"/>
  <c r="V63" i="8"/>
  <c r="CF11" i="8"/>
  <c r="BJ11" i="8"/>
  <c r="AA63" i="8"/>
  <c r="BK11" i="8"/>
  <c r="CG11" i="8"/>
  <c r="AA64" i="8" l="1"/>
  <c r="BK12" i="8"/>
  <c r="V64" i="8"/>
  <c r="BJ12" i="8"/>
  <c r="AF63" i="8"/>
  <c r="CH11" i="8"/>
  <c r="BL11" i="8"/>
  <c r="AF64" i="8" l="1"/>
  <c r="BL13" i="8" s="1"/>
  <c r="BL12" i="8"/>
  <c r="CH18" i="8"/>
  <c r="CH14" i="8"/>
  <c r="BL14" i="8" l="1"/>
  <c r="BN12" i="8"/>
  <c r="BL61" i="1" l="1"/>
  <c r="AT74" i="1" l="1"/>
  <c r="AT73" i="1"/>
  <c r="AT72" i="1"/>
  <c r="AT71" i="1"/>
  <c r="AT70" i="1"/>
  <c r="AT69" i="1"/>
  <c r="AT68" i="1"/>
  <c r="AT67" i="1"/>
  <c r="AT66" i="1"/>
  <c r="AT65" i="1"/>
  <c r="AT64" i="1"/>
  <c r="AX9" i="1"/>
  <c r="AX10" i="1" s="1"/>
  <c r="AX11" i="1" s="1"/>
  <c r="AX12" i="1" s="1"/>
  <c r="AX13" i="1" s="1"/>
  <c r="AX14" i="1" s="1"/>
  <c r="AX15" i="1" s="1"/>
  <c r="AX16" i="1" s="1"/>
  <c r="AX17" i="1" s="1"/>
  <c r="AX18" i="1" s="1"/>
  <c r="AX19" i="1" s="1"/>
  <c r="AX20" i="1" s="1"/>
  <c r="AX21" i="1" s="1"/>
  <c r="AX22" i="1" s="1"/>
  <c r="AX23" i="1" s="1"/>
  <c r="AX24" i="1" s="1"/>
  <c r="AX25" i="1" s="1"/>
  <c r="AX26" i="1" s="1"/>
  <c r="AX27" i="1" s="1"/>
  <c r="AX28" i="1" s="1"/>
  <c r="AX29" i="1" s="1"/>
  <c r="AX30" i="1" s="1"/>
  <c r="AX31" i="1" s="1"/>
  <c r="AX32" i="1" s="1"/>
  <c r="AX33" i="1" s="1"/>
  <c r="AX34" i="1" s="1"/>
  <c r="AX35" i="1" s="1"/>
  <c r="AX36" i="1" s="1"/>
  <c r="AX37" i="1" s="1"/>
  <c r="AX38" i="1" s="1"/>
  <c r="AX39" i="1" s="1"/>
  <c r="AX40" i="1" s="1"/>
  <c r="AX41" i="1" s="1"/>
  <c r="AX42" i="1" s="1"/>
  <c r="AX43" i="1" s="1"/>
  <c r="AX44" i="1" s="1"/>
  <c r="AX45" i="1" s="1"/>
  <c r="AX46" i="1" s="1"/>
  <c r="AX47" i="1" s="1"/>
  <c r="AX48" i="1" s="1"/>
  <c r="AX49" i="1" s="1"/>
  <c r="AX50" i="1" s="1"/>
  <c r="AX51" i="1" s="1"/>
  <c r="AX52" i="1" s="1"/>
  <c r="AX53" i="1" s="1"/>
  <c r="AX54" i="1" s="1"/>
  <c r="AX55" i="1" s="1"/>
  <c r="AX56" i="1" s="1"/>
  <c r="AX57" i="1" s="1"/>
  <c r="AX58" i="1" s="1"/>
  <c r="AX59" i="1" s="1"/>
  <c r="AV9" i="1"/>
  <c r="AV10" i="1" s="1"/>
  <c r="AV11" i="1" s="1"/>
  <c r="AV12" i="1" s="1"/>
  <c r="AV13" i="1" s="1"/>
  <c r="AV14" i="1" s="1"/>
  <c r="AV15" i="1" s="1"/>
  <c r="AV16" i="1" s="1"/>
  <c r="AV17" i="1" s="1"/>
  <c r="AV18" i="1" s="1"/>
  <c r="AV19" i="1" s="1"/>
  <c r="AV20" i="1" s="1"/>
  <c r="AV21" i="1" s="1"/>
  <c r="AV22" i="1" s="1"/>
  <c r="AV23" i="1" s="1"/>
  <c r="AV24" i="1" s="1"/>
  <c r="AV25" i="1" s="1"/>
  <c r="AV26" i="1" s="1"/>
  <c r="AV27" i="1" s="1"/>
  <c r="AV28" i="1" s="1"/>
  <c r="AV29" i="1" s="1"/>
  <c r="AV30" i="1" s="1"/>
  <c r="AV31" i="1" s="1"/>
  <c r="AV32" i="1" s="1"/>
  <c r="AV33" i="1" s="1"/>
  <c r="AV34" i="1" s="1"/>
  <c r="AV35" i="1" s="1"/>
  <c r="AV36" i="1" s="1"/>
  <c r="AV37" i="1" s="1"/>
  <c r="AV38" i="1" s="1"/>
  <c r="AV39" i="1" s="1"/>
  <c r="AV40" i="1" s="1"/>
  <c r="AV41" i="1" s="1"/>
  <c r="AV42" i="1" s="1"/>
  <c r="AV43" i="1" s="1"/>
  <c r="AV44" i="1" s="1"/>
  <c r="AV45" i="1" s="1"/>
  <c r="AV46" i="1" s="1"/>
  <c r="AV47" i="1" s="1"/>
  <c r="AV48" i="1" s="1"/>
  <c r="AV49" i="1" s="1"/>
  <c r="AV50" i="1" s="1"/>
  <c r="AV51" i="1" s="1"/>
  <c r="AV52" i="1" s="1"/>
  <c r="AV53" i="1" s="1"/>
  <c r="AV54" i="1" s="1"/>
  <c r="AV55" i="1" s="1"/>
  <c r="AV56" i="1" s="1"/>
  <c r="AV57" i="1" s="1"/>
  <c r="AV58" i="1" s="1"/>
  <c r="AV59" i="1" s="1"/>
  <c r="AU9" i="1"/>
  <c r="AU10" i="1" s="1"/>
  <c r="AU11" i="1" s="1"/>
  <c r="AU12" i="1" s="1"/>
  <c r="AU13" i="1" s="1"/>
  <c r="AU14" i="1" s="1"/>
  <c r="AU15" i="1" s="1"/>
  <c r="AU16" i="1" s="1"/>
  <c r="AU17" i="1" s="1"/>
  <c r="AU18" i="1" s="1"/>
  <c r="AU19" i="1" s="1"/>
  <c r="AU20" i="1" s="1"/>
  <c r="AU21" i="1" s="1"/>
  <c r="AU22" i="1" s="1"/>
  <c r="AU23" i="1" s="1"/>
  <c r="AU24" i="1" s="1"/>
  <c r="AU25" i="1" s="1"/>
  <c r="AU26" i="1" s="1"/>
  <c r="AU27" i="1" s="1"/>
  <c r="AU28" i="1" s="1"/>
  <c r="AU29" i="1" s="1"/>
  <c r="AU30" i="1" s="1"/>
  <c r="AU31" i="1" s="1"/>
  <c r="AU32" i="1" s="1"/>
  <c r="AU33" i="1" s="1"/>
  <c r="AU34" i="1" s="1"/>
  <c r="AU35" i="1" s="1"/>
  <c r="AU36" i="1" s="1"/>
  <c r="AU37" i="1" s="1"/>
  <c r="AU38" i="1" s="1"/>
  <c r="AU39" i="1" s="1"/>
  <c r="AU40" i="1" s="1"/>
  <c r="AU41" i="1" s="1"/>
  <c r="AU42" i="1" s="1"/>
  <c r="AU43" i="1" s="1"/>
  <c r="AU44" i="1" s="1"/>
  <c r="AU45" i="1" s="1"/>
  <c r="AU46" i="1" s="1"/>
  <c r="AU47" i="1" s="1"/>
  <c r="AU48" i="1" s="1"/>
  <c r="AU49" i="1" s="1"/>
  <c r="AU50" i="1" s="1"/>
  <c r="AU51" i="1" s="1"/>
  <c r="AU52" i="1" s="1"/>
  <c r="AU53" i="1" s="1"/>
  <c r="AU54" i="1" s="1"/>
  <c r="AU55" i="1" s="1"/>
  <c r="AU56" i="1" s="1"/>
  <c r="AU57" i="1" s="1"/>
  <c r="AU58" i="1" s="1"/>
  <c r="AU59" i="1" s="1"/>
  <c r="AT9" i="1"/>
  <c r="AT10" i="1" s="1"/>
  <c r="AT11" i="1" s="1"/>
  <c r="AT12" i="1" s="1"/>
  <c r="AT13" i="1" s="1"/>
  <c r="AT14" i="1" s="1"/>
  <c r="AT15" i="1" s="1"/>
  <c r="AT16" i="1" s="1"/>
  <c r="AT17" i="1" s="1"/>
  <c r="AT18" i="1" s="1"/>
  <c r="AT19" i="1" s="1"/>
  <c r="AT20" i="1" s="1"/>
  <c r="AT21" i="1" s="1"/>
  <c r="AT22" i="1" s="1"/>
  <c r="AT23" i="1" s="1"/>
  <c r="AT24" i="1" s="1"/>
  <c r="AT25" i="1" s="1"/>
  <c r="AT26" i="1" s="1"/>
  <c r="AT27" i="1" s="1"/>
  <c r="AT28" i="1" s="1"/>
  <c r="AT29" i="1" s="1"/>
  <c r="AT30" i="1" s="1"/>
  <c r="AT31" i="1" s="1"/>
  <c r="AT32" i="1" s="1"/>
  <c r="AT33" i="1" s="1"/>
  <c r="AT34" i="1" s="1"/>
  <c r="AT35" i="1" s="1"/>
  <c r="AT36" i="1" s="1"/>
  <c r="AT37" i="1" s="1"/>
  <c r="AT38" i="1" s="1"/>
  <c r="AT39" i="1" s="1"/>
  <c r="AT40" i="1" s="1"/>
  <c r="AT41" i="1" s="1"/>
  <c r="AT42" i="1" s="1"/>
  <c r="AT43" i="1" s="1"/>
  <c r="AT44" i="1" s="1"/>
  <c r="AT45" i="1" s="1"/>
  <c r="AT46" i="1" s="1"/>
  <c r="AT47" i="1" s="1"/>
  <c r="AT48" i="1" s="1"/>
  <c r="AT49" i="1" s="1"/>
  <c r="AT50" i="1" s="1"/>
  <c r="AT51" i="1" s="1"/>
  <c r="AT52" i="1" s="1"/>
  <c r="AT53" i="1" s="1"/>
  <c r="AT54" i="1" s="1"/>
  <c r="AT55" i="1" s="1"/>
  <c r="AT56" i="1" s="1"/>
  <c r="AT57" i="1" s="1"/>
  <c r="AT58" i="1" s="1"/>
  <c r="AT59" i="1" s="1"/>
  <c r="BC8" i="1"/>
  <c r="BC9" i="1" s="1"/>
  <c r="BC10" i="1" s="1"/>
  <c r="BC11" i="1" s="1"/>
  <c r="BC12" i="1" s="1"/>
  <c r="BC13" i="1" s="1"/>
  <c r="BC14" i="1" s="1"/>
  <c r="BC15" i="1" s="1"/>
  <c r="BC16" i="1" s="1"/>
  <c r="BC17" i="1" s="1"/>
  <c r="BC18" i="1" s="1"/>
  <c r="BC19" i="1" s="1"/>
  <c r="BC20" i="1" s="1"/>
  <c r="BC21" i="1" s="1"/>
  <c r="BC22" i="1" s="1"/>
  <c r="BC23" i="1" s="1"/>
  <c r="BC24" i="1" s="1"/>
  <c r="BC25" i="1" s="1"/>
  <c r="BC26" i="1" s="1"/>
  <c r="BC27" i="1" s="1"/>
  <c r="BC28" i="1" s="1"/>
  <c r="BC29" i="1" s="1"/>
  <c r="BC30" i="1" s="1"/>
  <c r="BC31" i="1" s="1"/>
  <c r="BC32" i="1" s="1"/>
  <c r="BC33" i="1" s="1"/>
  <c r="BC34" i="1" s="1"/>
  <c r="BC35" i="1" s="1"/>
  <c r="BC36" i="1" s="1"/>
  <c r="BC37" i="1" s="1"/>
  <c r="BC38" i="1" s="1"/>
  <c r="BC39" i="1" s="1"/>
  <c r="BC40" i="1" s="1"/>
  <c r="BC41" i="1" s="1"/>
  <c r="BC42" i="1" s="1"/>
  <c r="BC43" i="1" s="1"/>
  <c r="BC44" i="1" s="1"/>
  <c r="BC45" i="1" s="1"/>
  <c r="BC46" i="1" s="1"/>
  <c r="BC47" i="1" s="1"/>
  <c r="BC48" i="1" s="1"/>
  <c r="BC49" i="1" s="1"/>
  <c r="BC50" i="1" s="1"/>
  <c r="BC51" i="1" s="1"/>
  <c r="BC52" i="1" s="1"/>
  <c r="BC53" i="1" s="1"/>
  <c r="BC54" i="1" s="1"/>
  <c r="BC55" i="1" s="1"/>
  <c r="BC56" i="1" s="1"/>
  <c r="BC57" i="1" s="1"/>
  <c r="BC58" i="1" s="1"/>
  <c r="BC59" i="1" s="1"/>
  <c r="BB8" i="1"/>
  <c r="BB9" i="1" s="1"/>
  <c r="BB10" i="1" s="1"/>
  <c r="BB11" i="1" s="1"/>
  <c r="BB12" i="1" s="1"/>
  <c r="BB13" i="1" s="1"/>
  <c r="BB14" i="1" s="1"/>
  <c r="BB15" i="1" s="1"/>
  <c r="BB16" i="1" s="1"/>
  <c r="BB17" i="1" s="1"/>
  <c r="BB18" i="1" s="1"/>
  <c r="BB19" i="1" s="1"/>
  <c r="BB20" i="1" s="1"/>
  <c r="BB21" i="1" s="1"/>
  <c r="BB22" i="1" s="1"/>
  <c r="BB23" i="1" s="1"/>
  <c r="BB24" i="1" s="1"/>
  <c r="BB25" i="1" s="1"/>
  <c r="BB26" i="1" s="1"/>
  <c r="BB27" i="1" s="1"/>
  <c r="BB28" i="1" s="1"/>
  <c r="BB29" i="1" s="1"/>
  <c r="BB30" i="1" s="1"/>
  <c r="BB31" i="1" s="1"/>
  <c r="BB32" i="1" s="1"/>
  <c r="BB33" i="1" s="1"/>
  <c r="BB34" i="1" s="1"/>
  <c r="BB35" i="1" s="1"/>
  <c r="BB36" i="1" s="1"/>
  <c r="BB37" i="1" s="1"/>
  <c r="BB38" i="1" s="1"/>
  <c r="BB39" i="1" s="1"/>
  <c r="BB40" i="1" s="1"/>
  <c r="BB41" i="1" s="1"/>
  <c r="BB42" i="1" s="1"/>
  <c r="BB43" i="1" s="1"/>
  <c r="BB44" i="1" s="1"/>
  <c r="BB45" i="1" s="1"/>
  <c r="BB46" i="1" s="1"/>
  <c r="BB47" i="1" s="1"/>
  <c r="BB48" i="1" s="1"/>
  <c r="BB49" i="1" s="1"/>
  <c r="BB50" i="1" s="1"/>
  <c r="BB51" i="1" s="1"/>
  <c r="BB52" i="1" s="1"/>
  <c r="BB53" i="1" s="1"/>
  <c r="BB54" i="1" s="1"/>
  <c r="BB55" i="1" s="1"/>
  <c r="BB56" i="1" s="1"/>
  <c r="BB57" i="1" s="1"/>
  <c r="BB58" i="1" s="1"/>
  <c r="BB59" i="1" s="1"/>
  <c r="BA8" i="1"/>
  <c r="BA9" i="1" s="1"/>
  <c r="BA10" i="1" s="1"/>
  <c r="BA11" i="1" s="1"/>
  <c r="BA12" i="1" s="1"/>
  <c r="BA13" i="1" s="1"/>
  <c r="BA14" i="1" s="1"/>
  <c r="BA15" i="1" s="1"/>
  <c r="BA16" i="1" s="1"/>
  <c r="BA17" i="1" s="1"/>
  <c r="BA18" i="1" s="1"/>
  <c r="BA19" i="1" s="1"/>
  <c r="BA20" i="1" s="1"/>
  <c r="BA21" i="1" s="1"/>
  <c r="BA22" i="1" s="1"/>
  <c r="BA23" i="1" s="1"/>
  <c r="BA24" i="1" s="1"/>
  <c r="BA25" i="1" s="1"/>
  <c r="BA26" i="1" s="1"/>
  <c r="BA27" i="1" s="1"/>
  <c r="BA28" i="1" s="1"/>
  <c r="BA29" i="1" s="1"/>
  <c r="BA30" i="1" s="1"/>
  <c r="BA31" i="1" s="1"/>
  <c r="BA32" i="1" s="1"/>
  <c r="BA33" i="1" s="1"/>
  <c r="BA34" i="1" s="1"/>
  <c r="BA35" i="1" s="1"/>
  <c r="BA36" i="1" s="1"/>
  <c r="BA37" i="1" s="1"/>
  <c r="BA38" i="1" s="1"/>
  <c r="BA39" i="1" s="1"/>
  <c r="BA40" i="1" s="1"/>
  <c r="BA41" i="1" s="1"/>
  <c r="BA42" i="1" s="1"/>
  <c r="BA43" i="1" s="1"/>
  <c r="BA44" i="1" s="1"/>
  <c r="BA45" i="1" s="1"/>
  <c r="BA46" i="1" s="1"/>
  <c r="BA47" i="1" s="1"/>
  <c r="BA48" i="1" s="1"/>
  <c r="BA49" i="1" s="1"/>
  <c r="BA50" i="1" s="1"/>
  <c r="BA51" i="1" s="1"/>
  <c r="BA52" i="1" s="1"/>
  <c r="BA53" i="1" s="1"/>
  <c r="BA54" i="1" s="1"/>
  <c r="BA55" i="1" s="1"/>
  <c r="BA56" i="1" s="1"/>
  <c r="BA57" i="1" s="1"/>
  <c r="BA58" i="1" s="1"/>
  <c r="BA59" i="1" s="1"/>
  <c r="AZ8" i="1"/>
  <c r="AZ9" i="1" s="1"/>
  <c r="AZ10" i="1" s="1"/>
  <c r="AZ11" i="1" s="1"/>
  <c r="AZ12" i="1" s="1"/>
  <c r="AZ13" i="1" s="1"/>
  <c r="AZ14" i="1" s="1"/>
  <c r="AZ15" i="1" s="1"/>
  <c r="AZ16" i="1" s="1"/>
  <c r="AZ17" i="1" s="1"/>
  <c r="AZ18" i="1" s="1"/>
  <c r="AZ19" i="1" s="1"/>
  <c r="AZ20" i="1" s="1"/>
  <c r="AZ21" i="1" s="1"/>
  <c r="AZ22" i="1" s="1"/>
  <c r="AZ23" i="1" s="1"/>
  <c r="AZ24" i="1" s="1"/>
  <c r="AZ25" i="1" s="1"/>
  <c r="AZ26" i="1" s="1"/>
  <c r="AZ27" i="1" s="1"/>
  <c r="AZ28" i="1" s="1"/>
  <c r="AZ29" i="1" s="1"/>
  <c r="AZ30" i="1" s="1"/>
  <c r="AZ31" i="1" s="1"/>
  <c r="AZ32" i="1" s="1"/>
  <c r="AZ33" i="1" s="1"/>
  <c r="AZ34" i="1" s="1"/>
  <c r="AZ35" i="1" s="1"/>
  <c r="AZ36" i="1" s="1"/>
  <c r="AZ37" i="1" s="1"/>
  <c r="AZ38" i="1" s="1"/>
  <c r="AZ39" i="1" s="1"/>
  <c r="AZ40" i="1" s="1"/>
  <c r="AZ41" i="1" s="1"/>
  <c r="AZ42" i="1" s="1"/>
  <c r="AZ43" i="1" s="1"/>
  <c r="AZ44" i="1" s="1"/>
  <c r="AZ45" i="1" s="1"/>
  <c r="AZ46" i="1" s="1"/>
  <c r="AZ47" i="1" s="1"/>
  <c r="AZ48" i="1" s="1"/>
  <c r="AZ49" i="1" s="1"/>
  <c r="AZ50" i="1" s="1"/>
  <c r="AZ51" i="1" s="1"/>
  <c r="AZ52" i="1" s="1"/>
  <c r="AZ53" i="1" s="1"/>
  <c r="AZ54" i="1" s="1"/>
  <c r="AZ55" i="1" s="1"/>
  <c r="AZ56" i="1" s="1"/>
  <c r="AZ57" i="1" s="1"/>
  <c r="AZ58" i="1" s="1"/>
  <c r="AZ59" i="1" s="1"/>
  <c r="AY8" i="1"/>
  <c r="AY9" i="1" s="1"/>
  <c r="AY10" i="1" s="1"/>
  <c r="AY11" i="1" s="1"/>
  <c r="AY12" i="1" s="1"/>
  <c r="AY13" i="1" s="1"/>
  <c r="AY14" i="1" s="1"/>
  <c r="AY15" i="1" s="1"/>
  <c r="AY16" i="1" s="1"/>
  <c r="AY17" i="1" s="1"/>
  <c r="AY18" i="1" s="1"/>
  <c r="AY19" i="1" s="1"/>
  <c r="AY20" i="1" s="1"/>
  <c r="AY21" i="1" s="1"/>
  <c r="AY22" i="1" s="1"/>
  <c r="AY23" i="1" s="1"/>
  <c r="AY24" i="1" s="1"/>
  <c r="AY25" i="1" s="1"/>
  <c r="AY26" i="1" s="1"/>
  <c r="AY27" i="1" s="1"/>
  <c r="AY28" i="1" s="1"/>
  <c r="AY29" i="1" s="1"/>
  <c r="AY30" i="1" s="1"/>
  <c r="AY31" i="1" s="1"/>
  <c r="AY32" i="1" s="1"/>
  <c r="AY33" i="1" s="1"/>
  <c r="AY34" i="1" s="1"/>
  <c r="AY35" i="1" s="1"/>
  <c r="AY36" i="1" s="1"/>
  <c r="AY37" i="1" s="1"/>
  <c r="AY38" i="1" s="1"/>
  <c r="AY39" i="1" s="1"/>
  <c r="AY40" i="1" s="1"/>
  <c r="AY41" i="1" s="1"/>
  <c r="AY42" i="1" s="1"/>
  <c r="AY43" i="1" s="1"/>
  <c r="AY44" i="1" s="1"/>
  <c r="AY45" i="1" s="1"/>
  <c r="AY46" i="1" s="1"/>
  <c r="AY47" i="1" s="1"/>
  <c r="AY48" i="1" s="1"/>
  <c r="AY49" i="1" s="1"/>
  <c r="AY50" i="1" s="1"/>
  <c r="AY51" i="1" s="1"/>
  <c r="AY52" i="1" s="1"/>
  <c r="AY53" i="1" s="1"/>
  <c r="AY54" i="1" s="1"/>
  <c r="AY55" i="1" s="1"/>
  <c r="AY56" i="1" s="1"/>
  <c r="AY57" i="1" s="1"/>
  <c r="AY58" i="1" s="1"/>
  <c r="AY59" i="1" s="1"/>
  <c r="AX8" i="1"/>
  <c r="AW8" i="1"/>
  <c r="AW9" i="1" s="1"/>
  <c r="AW10" i="1" s="1"/>
  <c r="AW11" i="1" s="1"/>
  <c r="AW12" i="1" s="1"/>
  <c r="AW13" i="1" s="1"/>
  <c r="AW14" i="1" s="1"/>
  <c r="AW15" i="1" s="1"/>
  <c r="AW16" i="1" s="1"/>
  <c r="AW17" i="1" s="1"/>
  <c r="AW18" i="1" s="1"/>
  <c r="AW19" i="1" s="1"/>
  <c r="AW20" i="1" s="1"/>
  <c r="AW21" i="1" s="1"/>
  <c r="AW22" i="1" s="1"/>
  <c r="AW23" i="1" s="1"/>
  <c r="AW24" i="1" s="1"/>
  <c r="AW25" i="1" s="1"/>
  <c r="AW26" i="1" s="1"/>
  <c r="AW27" i="1" s="1"/>
  <c r="AW28" i="1" s="1"/>
  <c r="AW29" i="1" s="1"/>
  <c r="AW30" i="1" s="1"/>
  <c r="AW31" i="1" s="1"/>
  <c r="AW32" i="1" s="1"/>
  <c r="AW33" i="1" s="1"/>
  <c r="AW34" i="1" s="1"/>
  <c r="AW35" i="1" s="1"/>
  <c r="AW36" i="1" s="1"/>
  <c r="AW37" i="1" s="1"/>
  <c r="AW38" i="1" s="1"/>
  <c r="AW39" i="1" s="1"/>
  <c r="AW40" i="1" s="1"/>
  <c r="AW41" i="1" s="1"/>
  <c r="AW42" i="1" s="1"/>
  <c r="AW43" i="1" s="1"/>
  <c r="AW44" i="1" s="1"/>
  <c r="AW45" i="1" s="1"/>
  <c r="AW46" i="1" s="1"/>
  <c r="AW47" i="1" s="1"/>
  <c r="AW48" i="1" s="1"/>
  <c r="AW49" i="1" s="1"/>
  <c r="AW50" i="1" s="1"/>
  <c r="AW51" i="1" s="1"/>
  <c r="AW52" i="1" s="1"/>
  <c r="AW53" i="1" s="1"/>
  <c r="AW54" i="1" s="1"/>
  <c r="AW55" i="1" s="1"/>
  <c r="AW56" i="1" s="1"/>
  <c r="AW57" i="1" s="1"/>
  <c r="AW58" i="1" s="1"/>
  <c r="AW59" i="1" s="1"/>
  <c r="AV8" i="1"/>
  <c r="AU8" i="1"/>
  <c r="AT8" i="1"/>
  <c r="AS8" i="1"/>
  <c r="AS9" i="1" s="1"/>
  <c r="AS10" i="1" s="1"/>
  <c r="AS11" i="1" s="1"/>
  <c r="AS12" i="1" s="1"/>
  <c r="AS13" i="1" s="1"/>
  <c r="AS14" i="1" s="1"/>
  <c r="AS15" i="1" s="1"/>
  <c r="AS16" i="1" s="1"/>
  <c r="AS17" i="1" s="1"/>
  <c r="AS18" i="1" s="1"/>
  <c r="AS19" i="1" s="1"/>
  <c r="AS20" i="1" s="1"/>
  <c r="AS21" i="1" s="1"/>
  <c r="AS22" i="1" s="1"/>
  <c r="AS23" i="1" s="1"/>
  <c r="AS24" i="1" s="1"/>
  <c r="AS25" i="1" s="1"/>
  <c r="AS26" i="1" s="1"/>
  <c r="AS27" i="1" s="1"/>
  <c r="AS28" i="1" s="1"/>
  <c r="AS29" i="1" s="1"/>
  <c r="AS30" i="1" s="1"/>
  <c r="AS31" i="1" s="1"/>
  <c r="AS32" i="1" s="1"/>
  <c r="AS33" i="1" s="1"/>
  <c r="AS34" i="1" s="1"/>
  <c r="AS35" i="1" s="1"/>
  <c r="AS36" i="1" s="1"/>
  <c r="AS37" i="1" s="1"/>
  <c r="AS38" i="1" s="1"/>
  <c r="AS39" i="1" s="1"/>
  <c r="AS40" i="1" s="1"/>
  <c r="AS41" i="1" s="1"/>
  <c r="AS42" i="1" s="1"/>
  <c r="AS43" i="1" s="1"/>
  <c r="AS44" i="1" s="1"/>
  <c r="AS45" i="1" s="1"/>
  <c r="AS46" i="1" s="1"/>
  <c r="AS47" i="1" s="1"/>
  <c r="AS48" i="1" s="1"/>
  <c r="AS49" i="1" s="1"/>
  <c r="AS50" i="1" s="1"/>
  <c r="AS51" i="1" s="1"/>
  <c r="AS52" i="1" s="1"/>
  <c r="AS53" i="1" s="1"/>
  <c r="AS54" i="1" s="1"/>
  <c r="AS55" i="1" s="1"/>
  <c r="AS56" i="1" s="1"/>
  <c r="AS57" i="1" s="1"/>
  <c r="AS58" i="1" s="1"/>
  <c r="AS59" i="1" s="1"/>
  <c r="DO267" i="7"/>
  <c r="DR266" i="7"/>
  <c r="DO266" i="7"/>
  <c r="DR265" i="7"/>
  <c r="DO265" i="7"/>
  <c r="DL265" i="7"/>
  <c r="DH265" i="7"/>
  <c r="DU262" i="7" s="1"/>
  <c r="DR264" i="7"/>
  <c r="DL264" i="7"/>
  <c r="DI264" i="7"/>
  <c r="DH264" i="7"/>
  <c r="DU261" i="7" s="1"/>
  <c r="DR263" i="7"/>
  <c r="DO263" i="7"/>
  <c r="DL263" i="7"/>
  <c r="DH263" i="7"/>
  <c r="DU260" i="7" s="1"/>
  <c r="DR262" i="7"/>
  <c r="DL262" i="7"/>
  <c r="DH262" i="7"/>
  <c r="DU259" i="7" s="1"/>
  <c r="DR261" i="7"/>
  <c r="DL261" i="7"/>
  <c r="DH261" i="7"/>
  <c r="DU258" i="7" s="1"/>
  <c r="DR260" i="7"/>
  <c r="DL260" i="7"/>
  <c r="DH260" i="7"/>
  <c r="DU257" i="7" s="1"/>
  <c r="DR259" i="7"/>
  <c r="DR258" i="7"/>
  <c r="DO258" i="7"/>
  <c r="DK258" i="7"/>
  <c r="DR257" i="7"/>
  <c r="DO257" i="7"/>
  <c r="DI250" i="7"/>
  <c r="DU247" i="7" s="1"/>
  <c r="DI249" i="7"/>
  <c r="DU246" i="7" s="1"/>
  <c r="DO248" i="7"/>
  <c r="DI248" i="7"/>
  <c r="DR247" i="7"/>
  <c r="DO247" i="7"/>
  <c r="DL247" i="7"/>
  <c r="DH247" i="7"/>
  <c r="DR246" i="7"/>
  <c r="DO246" i="7"/>
  <c r="DL246" i="7"/>
  <c r="DH246" i="7"/>
  <c r="DU243" i="7" s="1"/>
  <c r="DU245" i="7"/>
  <c r="DR245" i="7"/>
  <c r="DL245" i="7"/>
  <c r="DH245" i="7"/>
  <c r="DU244" i="7"/>
  <c r="DR244" i="7"/>
  <c r="DL244" i="7"/>
  <c r="DH244" i="7"/>
  <c r="DR243" i="7"/>
  <c r="DL243" i="7"/>
  <c r="DH243" i="7"/>
  <c r="DU240" i="7" s="1"/>
  <c r="DU242" i="7"/>
  <c r="DR242" i="7"/>
  <c r="DL242" i="7"/>
  <c r="DH242" i="7"/>
  <c r="DU239" i="7" s="1"/>
  <c r="DU241" i="7"/>
  <c r="DR241" i="7"/>
  <c r="DL241" i="7"/>
  <c r="DH241" i="7"/>
  <c r="DR240" i="7"/>
  <c r="DR239" i="7"/>
  <c r="DO239" i="7"/>
  <c r="DK239" i="7"/>
  <c r="DI247" i="7" s="1"/>
  <c r="DU238" i="7"/>
  <c r="DR238" i="7"/>
  <c r="DO238" i="7"/>
  <c r="AW233" i="7"/>
  <c r="AU233" i="7"/>
  <c r="AW232" i="7"/>
  <c r="AU232" i="7"/>
  <c r="BC229" i="7" s="1"/>
  <c r="DI231" i="7"/>
  <c r="DU228" i="7" s="1"/>
  <c r="AW231" i="7"/>
  <c r="AU231" i="7"/>
  <c r="BC228" i="7" s="1"/>
  <c r="DI230" i="7"/>
  <c r="BC230" i="7"/>
  <c r="BB230" i="7"/>
  <c r="AW230" i="7"/>
  <c r="AU230" i="7"/>
  <c r="DI229" i="7"/>
  <c r="DU226" i="7" s="1"/>
  <c r="BB229" i="7"/>
  <c r="AZ229" i="7"/>
  <c r="AW229" i="7"/>
  <c r="AU229" i="7"/>
  <c r="BC226" i="7" s="1"/>
  <c r="DR228" i="7"/>
  <c r="DL228" i="7"/>
  <c r="DH228" i="7"/>
  <c r="BB228" i="7"/>
  <c r="AZ228" i="7"/>
  <c r="AW228" i="7"/>
  <c r="AU228" i="7"/>
  <c r="DU227" i="7"/>
  <c r="DR227" i="7"/>
  <c r="DO227" i="7"/>
  <c r="DL227" i="7"/>
  <c r="DH227" i="7"/>
  <c r="DU224" i="7" s="1"/>
  <c r="BC227" i="7"/>
  <c r="BB227" i="7"/>
  <c r="AW227" i="7"/>
  <c r="AU227" i="7"/>
  <c r="DR226" i="7"/>
  <c r="DO226" i="7"/>
  <c r="DL226" i="7"/>
  <c r="DH226" i="7"/>
  <c r="DU223" i="7" s="1"/>
  <c r="BB226" i="7"/>
  <c r="AW226" i="7"/>
  <c r="AU226" i="7"/>
  <c r="BC223" i="7" s="1"/>
  <c r="DU225" i="7"/>
  <c r="DR225" i="7"/>
  <c r="DL225" i="7"/>
  <c r="DH225" i="7"/>
  <c r="DU222" i="7" s="1"/>
  <c r="BC225" i="7"/>
  <c r="BB225" i="7"/>
  <c r="AW225" i="7"/>
  <c r="AU225" i="7"/>
  <c r="BC222" i="7" s="1"/>
  <c r="DR224" i="7"/>
  <c r="DL224" i="7"/>
  <c r="DH224" i="7"/>
  <c r="BC224" i="7"/>
  <c r="BB224" i="7"/>
  <c r="AZ224" i="7"/>
  <c r="AW224" i="7"/>
  <c r="AU224" i="7"/>
  <c r="DR223" i="7"/>
  <c r="DL223" i="7"/>
  <c r="DH223" i="7"/>
  <c r="DU220" i="7" s="1"/>
  <c r="BB223" i="7"/>
  <c r="AZ223" i="7"/>
  <c r="DR222" i="7"/>
  <c r="DL222" i="7"/>
  <c r="DH222" i="7"/>
  <c r="BB222" i="7"/>
  <c r="AZ222" i="7"/>
  <c r="AD222" i="7"/>
  <c r="AA222" i="7"/>
  <c r="Y222" i="7"/>
  <c r="DU221" i="7"/>
  <c r="DR221" i="7"/>
  <c r="BC221" i="7"/>
  <c r="BB221" i="7"/>
  <c r="AD221" i="7"/>
  <c r="AA221" i="7"/>
  <c r="Y221" i="7"/>
  <c r="DR220" i="7"/>
  <c r="DK220" i="7"/>
  <c r="AA220" i="7"/>
  <c r="AD220" i="7" s="1"/>
  <c r="Y220" i="7"/>
  <c r="DU219" i="7"/>
  <c r="DR219" i="7"/>
  <c r="AD219" i="7"/>
  <c r="AA219" i="7"/>
  <c r="Y219" i="7"/>
  <c r="AA218" i="7"/>
  <c r="AD218" i="7" s="1"/>
  <c r="Y218" i="7"/>
  <c r="AA217" i="7"/>
  <c r="AD217" i="7" s="1"/>
  <c r="Y217" i="7"/>
  <c r="AA216" i="7"/>
  <c r="AD216" i="7" s="1"/>
  <c r="Y216" i="7"/>
  <c r="AA215" i="7"/>
  <c r="AD215" i="7" s="1"/>
  <c r="Y215" i="7"/>
  <c r="AU214" i="7"/>
  <c r="BC211" i="7" s="1"/>
  <c r="AA214" i="7"/>
  <c r="AD214" i="7" s="1"/>
  <c r="Y214" i="7"/>
  <c r="AU213" i="7"/>
  <c r="BC210" i="7" s="1"/>
  <c r="AD213" i="7"/>
  <c r="AA213" i="7"/>
  <c r="Y213" i="7"/>
  <c r="DI212" i="7"/>
  <c r="DU209" i="7" s="1"/>
  <c r="AW212" i="7"/>
  <c r="AU212" i="7"/>
  <c r="BB211" i="7"/>
  <c r="AW211" i="7"/>
  <c r="AU211" i="7"/>
  <c r="BB210" i="7"/>
  <c r="AZ210" i="7"/>
  <c r="AW210" i="7"/>
  <c r="AU210" i="7"/>
  <c r="BC207" i="7" s="1"/>
  <c r="AD210" i="7"/>
  <c r="AA210" i="7"/>
  <c r="Y210" i="7"/>
  <c r="DR209" i="7"/>
  <c r="DL209" i="7"/>
  <c r="DH209" i="7"/>
  <c r="BC209" i="7"/>
  <c r="BB209" i="7"/>
  <c r="AZ209" i="7"/>
  <c r="AW209" i="7"/>
  <c r="AU209" i="7"/>
  <c r="AA209" i="7"/>
  <c r="AD209" i="7" s="1"/>
  <c r="Y209" i="7"/>
  <c r="DR208" i="7"/>
  <c r="DO208" i="7"/>
  <c r="DL208" i="7"/>
  <c r="DH208" i="7"/>
  <c r="DU205" i="7" s="1"/>
  <c r="BC208" i="7"/>
  <c r="BB208" i="7"/>
  <c r="AW208" i="7"/>
  <c r="AU208" i="7"/>
  <c r="AA208" i="7"/>
  <c r="AD208" i="7" s="1"/>
  <c r="Y208" i="7"/>
  <c r="DR207" i="7"/>
  <c r="DO207" i="7"/>
  <c r="DL207" i="7"/>
  <c r="DH207" i="7"/>
  <c r="BB207" i="7"/>
  <c r="AW207" i="7"/>
  <c r="AU207" i="7"/>
  <c r="BC204" i="7" s="1"/>
  <c r="AD207" i="7"/>
  <c r="AA207" i="7"/>
  <c r="Y207" i="7"/>
  <c r="DU206" i="7"/>
  <c r="DR206" i="7"/>
  <c r="DL206" i="7"/>
  <c r="DH206" i="7"/>
  <c r="DU203" i="7" s="1"/>
  <c r="BC206" i="7"/>
  <c r="BB206" i="7"/>
  <c r="AW206" i="7"/>
  <c r="AU206" i="7"/>
  <c r="AD206" i="7"/>
  <c r="AA206" i="7"/>
  <c r="Y206" i="7"/>
  <c r="DR205" i="7"/>
  <c r="DL205" i="7"/>
  <c r="DH205" i="7"/>
  <c r="DU202" i="7" s="1"/>
  <c r="BC205" i="7"/>
  <c r="BB205" i="7"/>
  <c r="AZ205" i="7"/>
  <c r="AW205" i="7"/>
  <c r="AU205" i="7"/>
  <c r="BC202" i="7" s="1"/>
  <c r="AA205" i="7"/>
  <c r="AD205" i="7" s="1"/>
  <c r="Y205" i="7"/>
  <c r="DU204" i="7"/>
  <c r="DR204" i="7"/>
  <c r="DL204" i="7"/>
  <c r="DH204" i="7"/>
  <c r="DU201" i="7" s="1"/>
  <c r="BB204" i="7"/>
  <c r="AZ204" i="7"/>
  <c r="AD204" i="7"/>
  <c r="AA204" i="7"/>
  <c r="Y204" i="7"/>
  <c r="DR203" i="7"/>
  <c r="DL203" i="7"/>
  <c r="DH203" i="7"/>
  <c r="DU200" i="7" s="1"/>
  <c r="BC203" i="7"/>
  <c r="BB203" i="7"/>
  <c r="AZ203" i="7"/>
  <c r="AD203" i="7"/>
  <c r="AA203" i="7"/>
  <c r="Y203" i="7"/>
  <c r="DR202" i="7"/>
  <c r="BB202" i="7"/>
  <c r="AD202" i="7"/>
  <c r="AA202" i="7"/>
  <c r="Y202" i="7"/>
  <c r="DR201" i="7"/>
  <c r="DK201" i="7"/>
  <c r="DI211" i="7" s="1"/>
  <c r="DU208" i="7" s="1"/>
  <c r="AD201" i="7"/>
  <c r="AA201" i="7"/>
  <c r="Y201" i="7"/>
  <c r="DR200" i="7"/>
  <c r="AD198" i="7"/>
  <c r="AA198" i="7"/>
  <c r="Y198" i="7"/>
  <c r="AA197" i="7"/>
  <c r="AD197" i="7" s="1"/>
  <c r="Y197" i="7"/>
  <c r="AA196" i="7"/>
  <c r="AD196" i="7" s="1"/>
  <c r="Y196" i="7"/>
  <c r="AD195" i="7"/>
  <c r="AA195" i="7"/>
  <c r="Y195" i="7"/>
  <c r="AD194" i="7"/>
  <c r="AA194" i="7"/>
  <c r="Y194" i="7"/>
  <c r="AD193" i="7"/>
  <c r="AA193" i="7"/>
  <c r="Y193" i="7"/>
  <c r="BB192" i="7"/>
  <c r="AA192" i="7"/>
  <c r="AD192" i="7" s="1"/>
  <c r="Y192" i="7"/>
  <c r="BC191" i="7"/>
  <c r="BB191" i="7"/>
  <c r="AZ191" i="7"/>
  <c r="AW191" i="7"/>
  <c r="AA191" i="7"/>
  <c r="AD191" i="7" s="1"/>
  <c r="Y191" i="7"/>
  <c r="DR190" i="7"/>
  <c r="BB190" i="7"/>
  <c r="AZ190" i="7"/>
  <c r="AW190" i="7"/>
  <c r="AD190" i="7"/>
  <c r="AA190" i="7"/>
  <c r="Y190" i="7"/>
  <c r="DR189" i="7"/>
  <c r="DO189" i="7"/>
  <c r="DL189" i="7"/>
  <c r="DH189" i="7"/>
  <c r="BB189" i="7"/>
  <c r="AW189" i="7"/>
  <c r="AD189" i="7"/>
  <c r="AA189" i="7"/>
  <c r="Y189" i="7"/>
  <c r="DR188" i="7"/>
  <c r="DO188" i="7"/>
  <c r="DL188" i="7"/>
  <c r="DH188" i="7"/>
  <c r="BB188" i="7"/>
  <c r="AW188" i="7"/>
  <c r="DR187" i="7"/>
  <c r="DL187" i="7"/>
  <c r="DH187" i="7"/>
  <c r="BB187" i="7"/>
  <c r="AW187" i="7"/>
  <c r="DU186" i="7"/>
  <c r="DR186" i="7"/>
  <c r="DL186" i="7"/>
  <c r="DH186" i="7"/>
  <c r="BB186" i="7"/>
  <c r="AZ186" i="7"/>
  <c r="AW186" i="7"/>
  <c r="DU185" i="7"/>
  <c r="DR185" i="7"/>
  <c r="DL185" i="7"/>
  <c r="DH185" i="7"/>
  <c r="BB185" i="7"/>
  <c r="AZ185" i="7"/>
  <c r="DU184" i="7"/>
  <c r="DR184" i="7"/>
  <c r="DL184" i="7"/>
  <c r="DH184" i="7"/>
  <c r="DU181" i="7" s="1"/>
  <c r="BB184" i="7"/>
  <c r="AZ184" i="7"/>
  <c r="AV184" i="7"/>
  <c r="AV194" i="7" s="1"/>
  <c r="AE184" i="7"/>
  <c r="AD184" i="7"/>
  <c r="DU183" i="7"/>
  <c r="DR183" i="7"/>
  <c r="BB183" i="7"/>
  <c r="AE183" i="7"/>
  <c r="AD183" i="7"/>
  <c r="DU182" i="7"/>
  <c r="DR182" i="7"/>
  <c r="DK182" i="7"/>
  <c r="DI190" i="7" s="1"/>
  <c r="DU187" i="7" s="1"/>
  <c r="AE182" i="7"/>
  <c r="AD182" i="7"/>
  <c r="DR181" i="7"/>
  <c r="AE181" i="7"/>
  <c r="AD181" i="7"/>
  <c r="AE180" i="7"/>
  <c r="AD180" i="7"/>
  <c r="AE179" i="7"/>
  <c r="AD179" i="7"/>
  <c r="AE178" i="7"/>
  <c r="AD178" i="7"/>
  <c r="AE177" i="7"/>
  <c r="AD177" i="7"/>
  <c r="AH176" i="7"/>
  <c r="AE176" i="7"/>
  <c r="AD176" i="7"/>
  <c r="AI176" i="7" s="1"/>
  <c r="AA176" i="7"/>
  <c r="AV175" i="7"/>
  <c r="BC172" i="7" s="1"/>
  <c r="AI175" i="7"/>
  <c r="AH175" i="7"/>
  <c r="AE175" i="7"/>
  <c r="AD175" i="7"/>
  <c r="AA175" i="7"/>
  <c r="AI174" i="7"/>
  <c r="AH174" i="7"/>
  <c r="AE174" i="7"/>
  <c r="AD174" i="7"/>
  <c r="AA174" i="7"/>
  <c r="AI173" i="7"/>
  <c r="AH173" i="7"/>
  <c r="AE173" i="7"/>
  <c r="AD173" i="7"/>
  <c r="AA173" i="7"/>
  <c r="BB172" i="7"/>
  <c r="AW172" i="7"/>
  <c r="AH172" i="7"/>
  <c r="AE172" i="7"/>
  <c r="AD172" i="7"/>
  <c r="AI172" i="7" s="1"/>
  <c r="AA172" i="7"/>
  <c r="DR171" i="7"/>
  <c r="BB171" i="7"/>
  <c r="AZ171" i="7"/>
  <c r="AW171" i="7"/>
  <c r="AH171" i="7"/>
  <c r="AE171" i="7"/>
  <c r="AA171" i="7"/>
  <c r="AD171" i="7" s="1"/>
  <c r="AI171" i="7" s="1"/>
  <c r="DR170" i="7"/>
  <c r="DO170" i="7"/>
  <c r="DL170" i="7"/>
  <c r="DH170" i="7"/>
  <c r="BB170" i="7"/>
  <c r="AZ170" i="7"/>
  <c r="AW170" i="7"/>
  <c r="AI170" i="7"/>
  <c r="AH170" i="7"/>
  <c r="AE170" i="7"/>
  <c r="AD170" i="7"/>
  <c r="AA170" i="7"/>
  <c r="DR169" i="7"/>
  <c r="DO169" i="7"/>
  <c r="DL169" i="7"/>
  <c r="DH169" i="7"/>
  <c r="DU166" i="7" s="1"/>
  <c r="BB169" i="7"/>
  <c r="AW169" i="7"/>
  <c r="AU169" i="7"/>
  <c r="AH169" i="7"/>
  <c r="AE169" i="7"/>
  <c r="AD169" i="7"/>
  <c r="AI169" i="7" s="1"/>
  <c r="AA169" i="7"/>
  <c r="DR168" i="7"/>
  <c r="DL168" i="7"/>
  <c r="DH168" i="7"/>
  <c r="DU165" i="7" s="1"/>
  <c r="BB168" i="7"/>
  <c r="AW168" i="7"/>
  <c r="AU168" i="7"/>
  <c r="AH168" i="7"/>
  <c r="AE168" i="7"/>
  <c r="AA168" i="7"/>
  <c r="AD168" i="7" s="1"/>
  <c r="AI168" i="7" s="1"/>
  <c r="DU167" i="7"/>
  <c r="DR167" i="7"/>
  <c r="DL167" i="7"/>
  <c r="DH167" i="7"/>
  <c r="DU164" i="7" s="1"/>
  <c r="BB167" i="7"/>
  <c r="AW167" i="7"/>
  <c r="AU167" i="7"/>
  <c r="BC164" i="7" s="1"/>
  <c r="AH167" i="7"/>
  <c r="AE167" i="7"/>
  <c r="AA167" i="7"/>
  <c r="AD167" i="7" s="1"/>
  <c r="AI167" i="7" s="1"/>
  <c r="DR166" i="7"/>
  <c r="DL166" i="7"/>
  <c r="DH166" i="7"/>
  <c r="DU163" i="7" s="1"/>
  <c r="BC166" i="7"/>
  <c r="BB166" i="7"/>
  <c r="AZ166" i="7"/>
  <c r="AW166" i="7"/>
  <c r="AU166" i="7"/>
  <c r="BC163" i="7" s="1"/>
  <c r="AH166" i="7"/>
  <c r="AE166" i="7"/>
  <c r="AA166" i="7"/>
  <c r="AD166" i="7" s="1"/>
  <c r="AI166" i="7" s="1"/>
  <c r="DR165" i="7"/>
  <c r="DL165" i="7"/>
  <c r="DH165" i="7"/>
  <c r="BC165" i="7"/>
  <c r="BB165" i="7"/>
  <c r="AZ165" i="7"/>
  <c r="AH165" i="7"/>
  <c r="AE165" i="7"/>
  <c r="AA165" i="7"/>
  <c r="AD165" i="7" s="1"/>
  <c r="AI165" i="7" s="1"/>
  <c r="DR164" i="7"/>
  <c r="BB164" i="7"/>
  <c r="AZ164" i="7"/>
  <c r="AV164" i="7"/>
  <c r="AU172" i="7" s="1"/>
  <c r="BC169" i="7" s="1"/>
  <c r="AH164" i="7"/>
  <c r="AE164" i="7"/>
  <c r="AA164" i="7"/>
  <c r="AD164" i="7" s="1"/>
  <c r="AI164" i="7" s="1"/>
  <c r="DR163" i="7"/>
  <c r="DK163" i="7"/>
  <c r="BB163" i="7"/>
  <c r="AH163" i="7"/>
  <c r="AE163" i="7"/>
  <c r="AA163" i="7"/>
  <c r="AD163" i="7" s="1"/>
  <c r="AI163" i="7" s="1"/>
  <c r="DU162" i="7"/>
  <c r="DR162" i="7"/>
  <c r="BJ156" i="7"/>
  <c r="BV153" i="7" s="1"/>
  <c r="DI155" i="7"/>
  <c r="DU152" i="7" s="1"/>
  <c r="BJ155" i="7"/>
  <c r="BP154" i="7"/>
  <c r="AI154" i="7"/>
  <c r="BS153" i="7"/>
  <c r="BP153" i="7"/>
  <c r="BJ153" i="7"/>
  <c r="BV150" i="7" s="1"/>
  <c r="BB153" i="7"/>
  <c r="AL153" i="7"/>
  <c r="AI153" i="7"/>
  <c r="DR152" i="7"/>
  <c r="DA152" i="7"/>
  <c r="CV152" i="7"/>
  <c r="CR152" i="7"/>
  <c r="DB149" i="7" s="1"/>
  <c r="BV152" i="7"/>
  <c r="BS152" i="7"/>
  <c r="BP152" i="7"/>
  <c r="BM152" i="7"/>
  <c r="BI152" i="7"/>
  <c r="BV149" i="7" s="1"/>
  <c r="BB152" i="7"/>
  <c r="AZ152" i="7"/>
  <c r="AL152" i="7"/>
  <c r="AI152" i="7"/>
  <c r="AE152" i="7"/>
  <c r="AA152" i="7"/>
  <c r="DR151" i="7"/>
  <c r="DO151" i="7"/>
  <c r="DI151" i="7"/>
  <c r="DA151" i="7"/>
  <c r="CY151" i="7"/>
  <c r="CV151" i="7"/>
  <c r="CR151" i="7"/>
  <c r="DB148" i="7" s="1"/>
  <c r="BS151" i="7"/>
  <c r="BM151" i="7"/>
  <c r="BI151" i="7"/>
  <c r="BB151" i="7"/>
  <c r="AZ151" i="7"/>
  <c r="AL151" i="7"/>
  <c r="AI151" i="7"/>
  <c r="AE151" i="7"/>
  <c r="AA151" i="7"/>
  <c r="AO148" i="7" s="1"/>
  <c r="DR150" i="7"/>
  <c r="DO150" i="7"/>
  <c r="DL150" i="7"/>
  <c r="DH150" i="7"/>
  <c r="DU147" i="7" s="1"/>
  <c r="DA150" i="7"/>
  <c r="CY150" i="7"/>
  <c r="CV150" i="7"/>
  <c r="CR150" i="7"/>
  <c r="BS150" i="7"/>
  <c r="BM150" i="7"/>
  <c r="BI150" i="7"/>
  <c r="BV147" i="7" s="1"/>
  <c r="BB150" i="7"/>
  <c r="AL150" i="7"/>
  <c r="AE150" i="7"/>
  <c r="AA150" i="7"/>
  <c r="DR149" i="7"/>
  <c r="DL149" i="7"/>
  <c r="DH149" i="7"/>
  <c r="DA149" i="7"/>
  <c r="CV149" i="7"/>
  <c r="CR149" i="7"/>
  <c r="BS149" i="7"/>
  <c r="BM149" i="7"/>
  <c r="BI149" i="7"/>
  <c r="BB149" i="7"/>
  <c r="AZ149" i="7"/>
  <c r="AO149" i="7"/>
  <c r="AL149" i="7"/>
  <c r="AE149" i="7"/>
  <c r="AA149" i="7"/>
  <c r="DU148" i="7"/>
  <c r="DR148" i="7"/>
  <c r="DL148" i="7"/>
  <c r="DH148" i="7"/>
  <c r="DA148" i="7"/>
  <c r="CV148" i="7"/>
  <c r="CR148" i="7"/>
  <c r="DB145" i="7" s="1"/>
  <c r="BV148" i="7"/>
  <c r="BS148" i="7"/>
  <c r="BM148" i="7"/>
  <c r="BI148" i="7"/>
  <c r="BB148" i="7"/>
  <c r="AZ148" i="7"/>
  <c r="AL148" i="7"/>
  <c r="AE148" i="7"/>
  <c r="AA148" i="7"/>
  <c r="AO145" i="7" s="1"/>
  <c r="DR147" i="7"/>
  <c r="DL147" i="7"/>
  <c r="DH147" i="7"/>
  <c r="DU144" i="7" s="1"/>
  <c r="DB147" i="7"/>
  <c r="DA147" i="7"/>
  <c r="CV147" i="7"/>
  <c r="CR147" i="7"/>
  <c r="DB144" i="7" s="1"/>
  <c r="BS147" i="7"/>
  <c r="BM147" i="7"/>
  <c r="BI147" i="7"/>
  <c r="BB147" i="7"/>
  <c r="AZ147" i="7"/>
  <c r="AO147" i="7"/>
  <c r="AL147" i="7"/>
  <c r="AE147" i="7"/>
  <c r="AA147" i="7"/>
  <c r="AO144" i="7" s="1"/>
  <c r="DU146" i="7"/>
  <c r="DR146" i="7"/>
  <c r="DL146" i="7"/>
  <c r="DH146" i="7"/>
  <c r="DU143" i="7" s="1"/>
  <c r="DB146" i="7"/>
  <c r="DA146" i="7"/>
  <c r="CV146" i="7"/>
  <c r="CR146" i="7"/>
  <c r="BV146" i="7"/>
  <c r="BS146" i="7"/>
  <c r="BB146" i="7"/>
  <c r="AZ146" i="7"/>
  <c r="AO146" i="7"/>
  <c r="AL146" i="7"/>
  <c r="AI146" i="7"/>
  <c r="DU145" i="7"/>
  <c r="DR145" i="7"/>
  <c r="DA145" i="7"/>
  <c r="BV145" i="7"/>
  <c r="BS145" i="7"/>
  <c r="BL145" i="7"/>
  <c r="BJ154" i="7" s="1"/>
  <c r="BV151" i="7" s="1"/>
  <c r="BB145" i="7"/>
  <c r="AZ145" i="7"/>
  <c r="AV145" i="7"/>
  <c r="AL145" i="7"/>
  <c r="AD145" i="7"/>
  <c r="AB155" i="7" s="1"/>
  <c r="AO152" i="7" s="1"/>
  <c r="DR144" i="7"/>
  <c r="DK144" i="7"/>
  <c r="DI154" i="7" s="1"/>
  <c r="DU151" i="7" s="1"/>
  <c r="DA144" i="7"/>
  <c r="CU144" i="7"/>
  <c r="CS144" i="7"/>
  <c r="CY152" i="7" s="1"/>
  <c r="BV144" i="7"/>
  <c r="BS144" i="7"/>
  <c r="BB144" i="7"/>
  <c r="AL144" i="7"/>
  <c r="DR143" i="7"/>
  <c r="DB143" i="7"/>
  <c r="DA143" i="7"/>
  <c r="BP135" i="7"/>
  <c r="AV135" i="7"/>
  <c r="AI135" i="7"/>
  <c r="BV134" i="7"/>
  <c r="BS134" i="7"/>
  <c r="BP134" i="7"/>
  <c r="BM134" i="7"/>
  <c r="BB134" i="7"/>
  <c r="AV134" i="7"/>
  <c r="AL134" i="7"/>
  <c r="AI134" i="7"/>
  <c r="DR133" i="7"/>
  <c r="DL133" i="7"/>
  <c r="DH133" i="7"/>
  <c r="DU130" i="7" s="1"/>
  <c r="DA133" i="7"/>
  <c r="CV133" i="7"/>
  <c r="CR133" i="7"/>
  <c r="DB130" i="7" s="1"/>
  <c r="BV133" i="7"/>
  <c r="BS133" i="7"/>
  <c r="BP133" i="7"/>
  <c r="BM133" i="7"/>
  <c r="BI133" i="7"/>
  <c r="BB133" i="7"/>
  <c r="AZ133" i="7"/>
  <c r="AW133" i="7"/>
  <c r="AU133" i="7"/>
  <c r="BC130" i="7" s="1"/>
  <c r="AL133" i="7"/>
  <c r="AI133" i="7"/>
  <c r="AE133" i="7"/>
  <c r="AA133" i="7"/>
  <c r="DR132" i="7"/>
  <c r="DO132" i="7"/>
  <c r="DL132" i="7"/>
  <c r="DH132" i="7"/>
  <c r="DU129" i="7" s="1"/>
  <c r="DA132" i="7"/>
  <c r="CY132" i="7"/>
  <c r="CV132" i="7"/>
  <c r="CR132" i="7"/>
  <c r="BV132" i="7"/>
  <c r="BS132" i="7"/>
  <c r="BM132" i="7"/>
  <c r="BI132" i="7"/>
  <c r="BC132" i="7"/>
  <c r="BB132" i="7"/>
  <c r="AZ132" i="7"/>
  <c r="AW132" i="7"/>
  <c r="AU132" i="7"/>
  <c r="BC129" i="7" s="1"/>
  <c r="AL132" i="7"/>
  <c r="AI132" i="7"/>
  <c r="AE132" i="7"/>
  <c r="AA132" i="7"/>
  <c r="DR131" i="7"/>
  <c r="DO131" i="7"/>
  <c r="DL131" i="7"/>
  <c r="DH131" i="7"/>
  <c r="DA131" i="7"/>
  <c r="CY131" i="7"/>
  <c r="CV131" i="7"/>
  <c r="CR131" i="7"/>
  <c r="DB128" i="7" s="1"/>
  <c r="BV131" i="7"/>
  <c r="BS131" i="7"/>
  <c r="BM131" i="7"/>
  <c r="BI131" i="7"/>
  <c r="BC131" i="7"/>
  <c r="BB131" i="7"/>
  <c r="AW131" i="7"/>
  <c r="AU131" i="7"/>
  <c r="AL131" i="7"/>
  <c r="AE131" i="7"/>
  <c r="AA131" i="7"/>
  <c r="AO128" i="7" s="1"/>
  <c r="DR130" i="7"/>
  <c r="DL130" i="7"/>
  <c r="DH130" i="7"/>
  <c r="DU127" i="7" s="1"/>
  <c r="DA130" i="7"/>
  <c r="CV130" i="7"/>
  <c r="CR130" i="7"/>
  <c r="DB127" i="7" s="1"/>
  <c r="BV130" i="7"/>
  <c r="BS130" i="7"/>
  <c r="BM130" i="7"/>
  <c r="BI130" i="7"/>
  <c r="BB130" i="7"/>
  <c r="AW130" i="7"/>
  <c r="AU130" i="7"/>
  <c r="BC127" i="7" s="1"/>
  <c r="AO130" i="7"/>
  <c r="AL130" i="7"/>
  <c r="AE130" i="7"/>
  <c r="AA130" i="7"/>
  <c r="AO127" i="7" s="1"/>
  <c r="DR129" i="7"/>
  <c r="DL129" i="7"/>
  <c r="DH129" i="7"/>
  <c r="DB129" i="7"/>
  <c r="DA129" i="7"/>
  <c r="CV129" i="7"/>
  <c r="CR129" i="7"/>
  <c r="DB126" i="7" s="1"/>
  <c r="BV129" i="7"/>
  <c r="BS129" i="7"/>
  <c r="BM129" i="7"/>
  <c r="BI129" i="7"/>
  <c r="BB129" i="7"/>
  <c r="AW129" i="7"/>
  <c r="AU129" i="7"/>
  <c r="AO129" i="7"/>
  <c r="AL129" i="7"/>
  <c r="AE129" i="7"/>
  <c r="AA129" i="7"/>
  <c r="DU128" i="7"/>
  <c r="DR128" i="7"/>
  <c r="DL128" i="7"/>
  <c r="DH128" i="7"/>
  <c r="DA128" i="7"/>
  <c r="CV128" i="7"/>
  <c r="CR128" i="7"/>
  <c r="BV128" i="7"/>
  <c r="BS128" i="7"/>
  <c r="BM128" i="7"/>
  <c r="BI128" i="7"/>
  <c r="BC128" i="7"/>
  <c r="BB128" i="7"/>
  <c r="AZ128" i="7"/>
  <c r="AW128" i="7"/>
  <c r="AU128" i="7"/>
  <c r="BC125" i="7" s="1"/>
  <c r="AL128" i="7"/>
  <c r="AE128" i="7"/>
  <c r="AA128" i="7"/>
  <c r="AO125" i="7" s="1"/>
  <c r="DR127" i="7"/>
  <c r="DL127" i="7"/>
  <c r="DH127" i="7"/>
  <c r="DA127" i="7"/>
  <c r="CV127" i="7"/>
  <c r="CR127" i="7"/>
  <c r="BV127" i="7"/>
  <c r="BS127" i="7"/>
  <c r="BB127" i="7"/>
  <c r="AZ127" i="7"/>
  <c r="AL127" i="7"/>
  <c r="AI127" i="7"/>
  <c r="DU126" i="7"/>
  <c r="DR126" i="7"/>
  <c r="DA126" i="7"/>
  <c r="BV126" i="7"/>
  <c r="BS126" i="7"/>
  <c r="BC126" i="7"/>
  <c r="BB126" i="7"/>
  <c r="AZ126" i="7"/>
  <c r="AV126" i="7"/>
  <c r="AV137" i="7" s="1"/>
  <c r="BC134" i="7" s="1"/>
  <c r="AO126" i="7"/>
  <c r="AL126" i="7"/>
  <c r="AD126" i="7"/>
  <c r="DU125" i="7"/>
  <c r="DR125" i="7"/>
  <c r="DK125" i="7"/>
  <c r="DB125" i="7"/>
  <c r="DA125" i="7"/>
  <c r="CU125" i="7"/>
  <c r="CS125" i="7"/>
  <c r="CY133" i="7" s="1"/>
  <c r="BV125" i="7"/>
  <c r="BS125" i="7"/>
  <c r="BB125" i="7"/>
  <c r="AL125" i="7"/>
  <c r="DU124" i="7"/>
  <c r="DR124" i="7"/>
  <c r="DB124" i="7"/>
  <c r="DA124" i="7"/>
  <c r="DL116" i="7"/>
  <c r="DH116" i="7"/>
  <c r="DU113" i="7" s="1"/>
  <c r="BP116" i="7"/>
  <c r="DL115" i="7"/>
  <c r="DH115" i="7"/>
  <c r="BV115" i="7"/>
  <c r="BS115" i="7"/>
  <c r="BP115" i="7"/>
  <c r="BB115" i="7"/>
  <c r="AW115" i="7"/>
  <c r="AI115" i="7"/>
  <c r="DR114" i="7"/>
  <c r="DL114" i="7"/>
  <c r="DH114" i="7"/>
  <c r="DA114" i="7"/>
  <c r="BV114" i="7"/>
  <c r="BS114" i="7"/>
  <c r="BP114" i="7"/>
  <c r="BM114" i="7"/>
  <c r="BB114" i="7"/>
  <c r="AZ114" i="7"/>
  <c r="AW114" i="7"/>
  <c r="AL114" i="7"/>
  <c r="AI114" i="7"/>
  <c r="DR113" i="7"/>
  <c r="DO113" i="7"/>
  <c r="DL113" i="7"/>
  <c r="DH113" i="7"/>
  <c r="DU110" i="7" s="1"/>
  <c r="DA113" i="7"/>
  <c r="CY113" i="7"/>
  <c r="BV113" i="7"/>
  <c r="BS113" i="7"/>
  <c r="BM113" i="7"/>
  <c r="BB113" i="7"/>
  <c r="AZ113" i="7"/>
  <c r="AW113" i="7"/>
  <c r="AL113" i="7"/>
  <c r="AI113" i="7"/>
  <c r="AE113" i="7"/>
  <c r="AA113" i="7"/>
  <c r="AO110" i="7" s="1"/>
  <c r="DU112" i="7"/>
  <c r="DR112" i="7"/>
  <c r="DO112" i="7"/>
  <c r="DL112" i="7"/>
  <c r="DH112" i="7"/>
  <c r="DA112" i="7"/>
  <c r="CY112" i="7"/>
  <c r="CV112" i="7"/>
  <c r="CR112" i="7"/>
  <c r="BV112" i="7"/>
  <c r="BS112" i="7"/>
  <c r="BM112" i="7"/>
  <c r="BB112" i="7"/>
  <c r="AW112" i="7"/>
  <c r="AL112" i="7"/>
  <c r="AI112" i="7"/>
  <c r="AE112" i="7"/>
  <c r="AA112" i="7"/>
  <c r="DU111" i="7"/>
  <c r="DR111" i="7"/>
  <c r="DL111" i="7"/>
  <c r="DH111" i="7"/>
  <c r="DA111" i="7"/>
  <c r="CV111" i="7"/>
  <c r="CR111" i="7"/>
  <c r="BV111" i="7"/>
  <c r="BS111" i="7"/>
  <c r="BM111" i="7"/>
  <c r="BI111" i="7"/>
  <c r="BV108" i="7" s="1"/>
  <c r="BB111" i="7"/>
  <c r="AW111" i="7"/>
  <c r="AL111" i="7"/>
  <c r="AE111" i="7"/>
  <c r="AA111" i="7"/>
  <c r="DR110" i="7"/>
  <c r="DL110" i="7"/>
  <c r="DH110" i="7"/>
  <c r="DU107" i="7" s="1"/>
  <c r="DA110" i="7"/>
  <c r="CV110" i="7"/>
  <c r="CR110" i="7"/>
  <c r="BV110" i="7"/>
  <c r="BS110" i="7"/>
  <c r="BM110" i="7"/>
  <c r="BI110" i="7"/>
  <c r="BB110" i="7"/>
  <c r="AW110" i="7"/>
  <c r="AL110" i="7"/>
  <c r="AE110" i="7"/>
  <c r="AA110" i="7"/>
  <c r="DU109" i="7"/>
  <c r="DR109" i="7"/>
  <c r="DL109" i="7"/>
  <c r="DH109" i="7"/>
  <c r="DU106" i="7" s="1"/>
  <c r="DB109" i="7"/>
  <c r="DA109" i="7"/>
  <c r="CV109" i="7"/>
  <c r="CR109" i="7"/>
  <c r="DB106" i="7" s="1"/>
  <c r="BV109" i="7"/>
  <c r="BS109" i="7"/>
  <c r="BM109" i="7"/>
  <c r="BI109" i="7"/>
  <c r="BV106" i="7" s="1"/>
  <c r="BB109" i="7"/>
  <c r="AZ109" i="7"/>
  <c r="AW109" i="7"/>
  <c r="AO109" i="7"/>
  <c r="AL109" i="7"/>
  <c r="AE109" i="7"/>
  <c r="AA109" i="7"/>
  <c r="DU108" i="7"/>
  <c r="DR108" i="7"/>
  <c r="DL108" i="7"/>
  <c r="DH108" i="7"/>
  <c r="DU105" i="7" s="1"/>
  <c r="DB108" i="7"/>
  <c r="DA108" i="7"/>
  <c r="CV108" i="7"/>
  <c r="CR108" i="7"/>
  <c r="DB105" i="7" s="1"/>
  <c r="BS108" i="7"/>
  <c r="BB108" i="7"/>
  <c r="AZ108" i="7"/>
  <c r="AO108" i="7"/>
  <c r="AL108" i="7"/>
  <c r="AE108" i="7"/>
  <c r="AA108" i="7"/>
  <c r="DR107" i="7"/>
  <c r="DB107" i="7"/>
  <c r="DA107" i="7"/>
  <c r="BV107" i="7"/>
  <c r="BS107" i="7"/>
  <c r="BB107" i="7"/>
  <c r="AZ107" i="7"/>
  <c r="AV107" i="7"/>
  <c r="AU115" i="7" s="1"/>
  <c r="BC112" i="7" s="1"/>
  <c r="AO107" i="7"/>
  <c r="AL107" i="7"/>
  <c r="AI107" i="7"/>
  <c r="DR106" i="7"/>
  <c r="DK106" i="7"/>
  <c r="DI117" i="7" s="1"/>
  <c r="DU114" i="7" s="1"/>
  <c r="DA106" i="7"/>
  <c r="CU106" i="7"/>
  <c r="CS106" i="7"/>
  <c r="CY114" i="7" s="1"/>
  <c r="BS106" i="7"/>
  <c r="BB106" i="7"/>
  <c r="AO106" i="7"/>
  <c r="AL106" i="7"/>
  <c r="AD106" i="7"/>
  <c r="AB117" i="7" s="1"/>
  <c r="AO114" i="7" s="1"/>
  <c r="DR105" i="7"/>
  <c r="DI105" i="7"/>
  <c r="DO109" i="7" s="1"/>
  <c r="DA105" i="7"/>
  <c r="AO105" i="7"/>
  <c r="AL105" i="7"/>
  <c r="DI98" i="7"/>
  <c r="DU95" i="7" s="1"/>
  <c r="DL97" i="7"/>
  <c r="DH97" i="7"/>
  <c r="DU94" i="7" s="1"/>
  <c r="BP97" i="7"/>
  <c r="DL96" i="7"/>
  <c r="DH96" i="7"/>
  <c r="BV96" i="7"/>
  <c r="BS96" i="7"/>
  <c r="BP96" i="7"/>
  <c r="BM96" i="7"/>
  <c r="BB96" i="7"/>
  <c r="AI96" i="7"/>
  <c r="DR95" i="7"/>
  <c r="DL95" i="7"/>
  <c r="DH95" i="7"/>
  <c r="DA95" i="7"/>
  <c r="BV95" i="7"/>
  <c r="BS95" i="7"/>
  <c r="BP95" i="7"/>
  <c r="BM95" i="7"/>
  <c r="BI95" i="7"/>
  <c r="BB95" i="7"/>
  <c r="AZ95" i="7"/>
  <c r="AL95" i="7"/>
  <c r="AI95" i="7"/>
  <c r="DR94" i="7"/>
  <c r="DO94" i="7"/>
  <c r="DL94" i="7"/>
  <c r="DH94" i="7"/>
  <c r="DA94" i="7"/>
  <c r="CY94" i="7"/>
  <c r="CV94" i="7"/>
  <c r="CR94" i="7"/>
  <c r="BV94" i="7"/>
  <c r="BS94" i="7"/>
  <c r="BM94" i="7"/>
  <c r="BI94" i="7"/>
  <c r="BB94" i="7"/>
  <c r="AZ94" i="7"/>
  <c r="AL94" i="7"/>
  <c r="AI94" i="7"/>
  <c r="AE94" i="7"/>
  <c r="AA94" i="7"/>
  <c r="AO91" i="7" s="1"/>
  <c r="DU93" i="7"/>
  <c r="DR93" i="7"/>
  <c r="DO93" i="7"/>
  <c r="DL93" i="7"/>
  <c r="DH93" i="7"/>
  <c r="DA93" i="7"/>
  <c r="CY93" i="7"/>
  <c r="CV93" i="7"/>
  <c r="CR93" i="7"/>
  <c r="DB90" i="7" s="1"/>
  <c r="BV93" i="7"/>
  <c r="BS93" i="7"/>
  <c r="BM93" i="7"/>
  <c r="BI93" i="7"/>
  <c r="BB93" i="7"/>
  <c r="AL93" i="7"/>
  <c r="AI93" i="7"/>
  <c r="AE93" i="7"/>
  <c r="DU92" i="7"/>
  <c r="DR92" i="7"/>
  <c r="DL92" i="7"/>
  <c r="DH92" i="7"/>
  <c r="DA92" i="7"/>
  <c r="CV92" i="7"/>
  <c r="CR92" i="7"/>
  <c r="BV92" i="7"/>
  <c r="BS92" i="7"/>
  <c r="BM92" i="7"/>
  <c r="BI92" i="7"/>
  <c r="BB92" i="7"/>
  <c r="AZ92" i="7"/>
  <c r="AL92" i="7"/>
  <c r="AE92" i="7"/>
  <c r="DU91" i="7"/>
  <c r="DR91" i="7"/>
  <c r="DL91" i="7"/>
  <c r="DH91" i="7"/>
  <c r="DB91" i="7"/>
  <c r="DA91" i="7"/>
  <c r="CV91" i="7"/>
  <c r="CR91" i="7"/>
  <c r="DB88" i="7" s="1"/>
  <c r="BV91" i="7"/>
  <c r="BS91" i="7"/>
  <c r="BM91" i="7"/>
  <c r="BI91" i="7"/>
  <c r="BB91" i="7"/>
  <c r="AZ91" i="7"/>
  <c r="AL91" i="7"/>
  <c r="AE91" i="7"/>
  <c r="AA91" i="7"/>
  <c r="DU90" i="7"/>
  <c r="DR90" i="7"/>
  <c r="DL90" i="7"/>
  <c r="DH90" i="7"/>
  <c r="DU87" i="7" s="1"/>
  <c r="DA90" i="7"/>
  <c r="CV90" i="7"/>
  <c r="CR90" i="7"/>
  <c r="BV90" i="7"/>
  <c r="BS90" i="7"/>
  <c r="BM90" i="7"/>
  <c r="BI90" i="7"/>
  <c r="BV87" i="7" s="1"/>
  <c r="BB90" i="7"/>
  <c r="AZ90" i="7"/>
  <c r="AL90" i="7"/>
  <c r="AE90" i="7"/>
  <c r="AA90" i="7"/>
  <c r="DU89" i="7"/>
  <c r="DR89" i="7"/>
  <c r="DL89" i="7"/>
  <c r="DH89" i="7"/>
  <c r="DU86" i="7" s="1"/>
  <c r="DB89" i="7"/>
  <c r="DA89" i="7"/>
  <c r="CV89" i="7"/>
  <c r="CR89" i="7"/>
  <c r="BV89" i="7"/>
  <c r="BS89" i="7"/>
  <c r="BB89" i="7"/>
  <c r="AZ89" i="7"/>
  <c r="AL89" i="7"/>
  <c r="AE89" i="7"/>
  <c r="AA89" i="7"/>
  <c r="AO86" i="7" s="1"/>
  <c r="DU88" i="7"/>
  <c r="DR88" i="7"/>
  <c r="DA88" i="7"/>
  <c r="BV88" i="7"/>
  <c r="BS88" i="7"/>
  <c r="BB88" i="7"/>
  <c r="AZ88" i="7"/>
  <c r="AV88" i="7"/>
  <c r="AU95" i="7" s="1"/>
  <c r="AO88" i="7"/>
  <c r="AL88" i="7"/>
  <c r="AI88" i="7"/>
  <c r="DR87" i="7"/>
  <c r="DK87" i="7"/>
  <c r="DB87" i="7"/>
  <c r="DA87" i="7"/>
  <c r="CU87" i="7"/>
  <c r="CS87" i="7"/>
  <c r="CY95" i="7" s="1"/>
  <c r="BS87" i="7"/>
  <c r="BB87" i="7"/>
  <c r="AO87" i="7"/>
  <c r="AL87" i="7"/>
  <c r="AD87" i="7"/>
  <c r="AB96" i="7" s="1"/>
  <c r="AO93" i="7" s="1"/>
  <c r="DR86" i="7"/>
  <c r="DB86" i="7"/>
  <c r="DA86" i="7"/>
  <c r="AL86" i="7"/>
  <c r="AB79" i="7"/>
  <c r="DL78" i="7"/>
  <c r="DH78" i="7"/>
  <c r="CV78" i="7"/>
  <c r="CR78" i="7"/>
  <c r="BP78" i="7"/>
  <c r="DL77" i="7"/>
  <c r="DH77" i="7"/>
  <c r="CV77" i="7"/>
  <c r="CR77" i="7"/>
  <c r="DB74" i="7" s="1"/>
  <c r="BV77" i="7"/>
  <c r="BS77" i="7"/>
  <c r="BP77" i="7"/>
  <c r="BC77" i="7"/>
  <c r="BB77" i="7"/>
  <c r="AI77" i="7"/>
  <c r="DR76" i="7"/>
  <c r="DL76" i="7"/>
  <c r="DH76" i="7"/>
  <c r="DU73" i="7" s="1"/>
  <c r="DA76" i="7"/>
  <c r="CV76" i="7"/>
  <c r="CR76" i="7"/>
  <c r="DB73" i="7" s="1"/>
  <c r="BV76" i="7"/>
  <c r="BS76" i="7"/>
  <c r="BP76" i="7"/>
  <c r="BM76" i="7"/>
  <c r="BI76" i="7"/>
  <c r="BV73" i="7" s="1"/>
  <c r="BC76" i="7"/>
  <c r="BB76" i="7"/>
  <c r="AZ76" i="7"/>
  <c r="AW76" i="7"/>
  <c r="AU76" i="7"/>
  <c r="AO76" i="7"/>
  <c r="AL76" i="7"/>
  <c r="AI76" i="7"/>
  <c r="AE76" i="7"/>
  <c r="DU75" i="7"/>
  <c r="DR75" i="7"/>
  <c r="DO75" i="7"/>
  <c r="DL75" i="7"/>
  <c r="DH75" i="7"/>
  <c r="DB75" i="7"/>
  <c r="DA75" i="7"/>
  <c r="CY75" i="7"/>
  <c r="CV75" i="7"/>
  <c r="CR75" i="7"/>
  <c r="BV75" i="7"/>
  <c r="BS75" i="7"/>
  <c r="BM75" i="7"/>
  <c r="BI75" i="7"/>
  <c r="BC75" i="7"/>
  <c r="BB75" i="7"/>
  <c r="AZ75" i="7"/>
  <c r="AW75" i="7"/>
  <c r="AU75" i="7"/>
  <c r="BC72" i="7" s="1"/>
  <c r="AL75" i="7"/>
  <c r="AI75" i="7"/>
  <c r="AE75" i="7"/>
  <c r="AA75" i="7"/>
  <c r="AO72" i="7" s="1"/>
  <c r="DU74" i="7"/>
  <c r="DR74" i="7"/>
  <c r="DO74" i="7"/>
  <c r="DL74" i="7"/>
  <c r="DH74" i="7"/>
  <c r="DA74" i="7"/>
  <c r="CY74" i="7"/>
  <c r="CV74" i="7"/>
  <c r="CR74" i="7"/>
  <c r="BV74" i="7"/>
  <c r="BS74" i="7"/>
  <c r="BM74" i="7"/>
  <c r="BI74" i="7"/>
  <c r="BC74" i="7"/>
  <c r="BB74" i="7"/>
  <c r="AW74" i="7"/>
  <c r="AU74" i="7"/>
  <c r="BC71" i="7" s="1"/>
  <c r="AL74" i="7"/>
  <c r="AI74" i="7"/>
  <c r="AE74" i="7"/>
  <c r="AA74" i="7"/>
  <c r="DR73" i="7"/>
  <c r="DL73" i="7"/>
  <c r="DH73" i="7"/>
  <c r="DA73" i="7"/>
  <c r="CV73" i="7"/>
  <c r="CR73" i="7"/>
  <c r="DB70" i="7" s="1"/>
  <c r="BS73" i="7"/>
  <c r="BM73" i="7"/>
  <c r="BI73" i="7"/>
  <c r="BC73" i="7"/>
  <c r="BB73" i="7"/>
  <c r="AW73" i="7"/>
  <c r="AU73" i="7"/>
  <c r="AL73" i="7"/>
  <c r="AE73" i="7"/>
  <c r="AA73" i="7"/>
  <c r="DU72" i="7"/>
  <c r="DR72" i="7"/>
  <c r="DL72" i="7"/>
  <c r="DH72" i="7"/>
  <c r="DB72" i="7"/>
  <c r="DA72" i="7"/>
  <c r="CV72" i="7"/>
  <c r="CR72" i="7"/>
  <c r="DB69" i="7" s="1"/>
  <c r="BV72" i="7"/>
  <c r="BS72" i="7"/>
  <c r="BM72" i="7"/>
  <c r="BI72" i="7"/>
  <c r="BV69" i="7" s="1"/>
  <c r="BB72" i="7"/>
  <c r="AW72" i="7"/>
  <c r="AU72" i="7"/>
  <c r="BC69" i="7" s="1"/>
  <c r="AL72" i="7"/>
  <c r="AE72" i="7"/>
  <c r="AA72" i="7"/>
  <c r="DU71" i="7"/>
  <c r="DR71" i="7"/>
  <c r="DL71" i="7"/>
  <c r="DH71" i="7"/>
  <c r="DB71" i="7"/>
  <c r="DA71" i="7"/>
  <c r="CV71" i="7"/>
  <c r="CR71" i="7"/>
  <c r="BV71" i="7"/>
  <c r="BS71" i="7"/>
  <c r="BM71" i="7"/>
  <c r="BI71" i="7"/>
  <c r="BB71" i="7"/>
  <c r="AW71" i="7"/>
  <c r="AU71" i="7"/>
  <c r="AO71" i="7"/>
  <c r="AL71" i="7"/>
  <c r="AE71" i="7"/>
  <c r="AA71" i="7"/>
  <c r="DU70" i="7"/>
  <c r="DR70" i="7"/>
  <c r="DL70" i="7"/>
  <c r="DH70" i="7"/>
  <c r="DU67" i="7" s="1"/>
  <c r="DA70" i="7"/>
  <c r="CV70" i="7"/>
  <c r="CR70" i="7"/>
  <c r="DB67" i="7" s="1"/>
  <c r="BV70" i="7"/>
  <c r="BS70" i="7"/>
  <c r="BC70" i="7"/>
  <c r="BB70" i="7"/>
  <c r="AZ70" i="7"/>
  <c r="AO70" i="7"/>
  <c r="AL70" i="7"/>
  <c r="AE70" i="7"/>
  <c r="AA70" i="7"/>
  <c r="DU69" i="7"/>
  <c r="DR69" i="7"/>
  <c r="DA69" i="7"/>
  <c r="BS69" i="7"/>
  <c r="BB69" i="7"/>
  <c r="AZ69" i="7"/>
  <c r="AO69" i="7"/>
  <c r="AL69" i="7"/>
  <c r="AI69" i="7"/>
  <c r="DU68" i="7"/>
  <c r="DR68" i="7"/>
  <c r="DK68" i="7"/>
  <c r="DI79" i="7" s="1"/>
  <c r="DU76" i="7" s="1"/>
  <c r="DB68" i="7"/>
  <c r="DA68" i="7"/>
  <c r="CU68" i="7"/>
  <c r="CS79" i="7" s="1"/>
  <c r="DB76" i="7" s="1"/>
  <c r="BV68" i="7"/>
  <c r="BS68" i="7"/>
  <c r="BC68" i="7"/>
  <c r="BB68" i="7"/>
  <c r="AO68" i="7"/>
  <c r="AL68" i="7"/>
  <c r="AD68" i="7"/>
  <c r="AB77" i="7" s="1"/>
  <c r="AO74" i="7" s="1"/>
  <c r="DR67" i="7"/>
  <c r="DA67" i="7"/>
  <c r="CS67" i="7"/>
  <c r="CY71" i="7" s="1"/>
  <c r="AO67" i="7"/>
  <c r="AL67" i="7"/>
  <c r="EE59" i="7"/>
  <c r="EA59" i="7"/>
  <c r="EN56" i="7" s="1"/>
  <c r="CV59" i="7"/>
  <c r="CR59" i="7"/>
  <c r="BP59" i="7"/>
  <c r="EH58" i="7"/>
  <c r="EE58" i="7"/>
  <c r="EA58" i="7"/>
  <c r="CV58" i="7"/>
  <c r="CR58" i="7"/>
  <c r="DB55" i="7" s="1"/>
  <c r="BV58" i="7"/>
  <c r="BS58" i="7"/>
  <c r="BP58" i="7"/>
  <c r="AI58" i="7"/>
  <c r="EK57" i="7"/>
  <c r="EH57" i="7"/>
  <c r="EE57" i="7"/>
  <c r="EA57" i="7"/>
  <c r="DR57" i="7"/>
  <c r="DL57" i="7"/>
  <c r="DH57" i="7"/>
  <c r="DU54" i="7" s="1"/>
  <c r="DA57" i="7"/>
  <c r="CV57" i="7"/>
  <c r="CR57" i="7"/>
  <c r="DB54" i="7" s="1"/>
  <c r="BV57" i="7"/>
  <c r="BS57" i="7"/>
  <c r="BP57" i="7"/>
  <c r="BC57" i="7"/>
  <c r="BB57" i="7"/>
  <c r="AW57" i="7"/>
  <c r="AL57" i="7"/>
  <c r="AI57" i="7"/>
  <c r="AE57" i="7"/>
  <c r="AA57" i="7"/>
  <c r="EK56" i="7"/>
  <c r="EH56" i="7"/>
  <c r="EE56" i="7"/>
  <c r="EA56" i="7"/>
  <c r="DR56" i="7"/>
  <c r="DO56" i="7"/>
  <c r="DL56" i="7"/>
  <c r="DH56" i="7"/>
  <c r="DB56" i="7"/>
  <c r="DA56" i="7"/>
  <c r="CY56" i="7"/>
  <c r="CV56" i="7"/>
  <c r="CR56" i="7"/>
  <c r="DB53" i="7" s="1"/>
  <c r="BV56" i="7"/>
  <c r="BS56" i="7"/>
  <c r="BM56" i="7"/>
  <c r="BI56" i="7"/>
  <c r="BC56" i="7"/>
  <c r="BB56" i="7"/>
  <c r="AZ56" i="7"/>
  <c r="AW56" i="7"/>
  <c r="AU56" i="7"/>
  <c r="AL56" i="7"/>
  <c r="AI56" i="7"/>
  <c r="AE56" i="7"/>
  <c r="AA56" i="7"/>
  <c r="AO53" i="7" s="1"/>
  <c r="EN55" i="7"/>
  <c r="EK55" i="7"/>
  <c r="EE55" i="7"/>
  <c r="EA55" i="7"/>
  <c r="DR55" i="7"/>
  <c r="DO55" i="7"/>
  <c r="DL55" i="7"/>
  <c r="DH55" i="7"/>
  <c r="DU52" i="7" s="1"/>
  <c r="DA55" i="7"/>
  <c r="CY55" i="7"/>
  <c r="CV55" i="7"/>
  <c r="CR55" i="7"/>
  <c r="DB52" i="7" s="1"/>
  <c r="BV55" i="7"/>
  <c r="BS55" i="7"/>
  <c r="BM55" i="7"/>
  <c r="BI55" i="7"/>
  <c r="BV52" i="7" s="1"/>
  <c r="BC55" i="7"/>
  <c r="BB55" i="7"/>
  <c r="AZ55" i="7"/>
  <c r="AW55" i="7"/>
  <c r="AU55" i="7"/>
  <c r="BC52" i="7" s="1"/>
  <c r="AL55" i="7"/>
  <c r="AI55" i="7"/>
  <c r="AE55" i="7"/>
  <c r="AA55" i="7"/>
  <c r="EN54" i="7"/>
  <c r="EK54" i="7"/>
  <c r="EH54" i="7"/>
  <c r="EE54" i="7"/>
  <c r="EA54" i="7"/>
  <c r="DR54" i="7"/>
  <c r="DL54" i="7"/>
  <c r="DH54" i="7"/>
  <c r="DA54" i="7"/>
  <c r="CV54" i="7"/>
  <c r="CR54" i="7"/>
  <c r="BV54" i="7"/>
  <c r="BS54" i="7"/>
  <c r="BM54" i="7"/>
  <c r="BI54" i="7"/>
  <c r="BV51" i="7" s="1"/>
  <c r="BC54" i="7"/>
  <c r="BB54" i="7"/>
  <c r="AW54" i="7"/>
  <c r="AU54" i="7"/>
  <c r="AO54" i="7"/>
  <c r="AL54" i="7"/>
  <c r="AE54" i="7"/>
  <c r="AA54" i="7"/>
  <c r="EN53" i="7"/>
  <c r="EK53" i="7"/>
  <c r="EE53" i="7"/>
  <c r="EA53" i="7"/>
  <c r="DU53" i="7"/>
  <c r="DR53" i="7"/>
  <c r="DL53" i="7"/>
  <c r="DH53" i="7"/>
  <c r="DA53" i="7"/>
  <c r="CV53" i="7"/>
  <c r="CR53" i="7"/>
  <c r="DB50" i="7" s="1"/>
  <c r="BV53" i="7"/>
  <c r="BS53" i="7"/>
  <c r="BM53" i="7"/>
  <c r="BI53" i="7"/>
  <c r="BC53" i="7"/>
  <c r="BB53" i="7"/>
  <c r="AW53" i="7"/>
  <c r="AU53" i="7"/>
  <c r="AL53" i="7"/>
  <c r="AE53" i="7"/>
  <c r="AA53" i="7"/>
  <c r="EN52" i="7"/>
  <c r="EK52" i="7"/>
  <c r="EE52" i="7"/>
  <c r="EA52" i="7"/>
  <c r="EN49" i="7" s="1"/>
  <c r="DR52" i="7"/>
  <c r="DL52" i="7"/>
  <c r="DH52" i="7"/>
  <c r="DA52" i="7"/>
  <c r="CV52" i="7"/>
  <c r="CR52" i="7"/>
  <c r="DB49" i="7" s="1"/>
  <c r="BS52" i="7"/>
  <c r="BM52" i="7"/>
  <c r="BI52" i="7"/>
  <c r="BV49" i="7" s="1"/>
  <c r="BB52" i="7"/>
  <c r="AW52" i="7"/>
  <c r="AU52" i="7"/>
  <c r="AO52" i="7"/>
  <c r="AL52" i="7"/>
  <c r="AE52" i="7"/>
  <c r="AA52" i="7"/>
  <c r="AO49" i="7" s="1"/>
  <c r="EN51" i="7"/>
  <c r="EK51" i="7"/>
  <c r="EE51" i="7"/>
  <c r="EA51" i="7"/>
  <c r="DU51" i="7"/>
  <c r="DR51" i="7"/>
  <c r="DL51" i="7"/>
  <c r="DH51" i="7"/>
  <c r="DU48" i="7" s="1"/>
  <c r="DB51" i="7"/>
  <c r="DA51" i="7"/>
  <c r="CV51" i="7"/>
  <c r="CR51" i="7"/>
  <c r="BS51" i="7"/>
  <c r="BC51" i="7"/>
  <c r="BB51" i="7"/>
  <c r="AW51" i="7"/>
  <c r="AU51" i="7"/>
  <c r="AO51" i="7"/>
  <c r="AL51" i="7"/>
  <c r="AI51" i="7"/>
  <c r="AE51" i="7"/>
  <c r="AA51" i="7"/>
  <c r="AO48" i="7" s="1"/>
  <c r="EN50" i="7"/>
  <c r="EK50" i="7"/>
  <c r="DU50" i="7"/>
  <c r="DR50" i="7"/>
  <c r="DA50" i="7"/>
  <c r="BV50" i="7"/>
  <c r="BS50" i="7"/>
  <c r="BL50" i="7"/>
  <c r="BC50" i="7"/>
  <c r="BB50" i="7"/>
  <c r="AZ50" i="7"/>
  <c r="AO50" i="7"/>
  <c r="AL50" i="7"/>
  <c r="AI50" i="7"/>
  <c r="EK49" i="7"/>
  <c r="EH49" i="7"/>
  <c r="ED49" i="7"/>
  <c r="DU49" i="7"/>
  <c r="DR49" i="7"/>
  <c r="DK49" i="7"/>
  <c r="DA49" i="7"/>
  <c r="CU49" i="7"/>
  <c r="CS60" i="7" s="1"/>
  <c r="DB57" i="7" s="1"/>
  <c r="BS49" i="7"/>
  <c r="BJ49" i="7" a="1"/>
  <c r="BJ49" i="7" s="1"/>
  <c r="BP52" i="7" s="1"/>
  <c r="BC49" i="7"/>
  <c r="BB49" i="7"/>
  <c r="AZ49" i="7"/>
  <c r="AL49" i="7"/>
  <c r="AD49" i="7"/>
  <c r="EN48" i="7"/>
  <c r="EK48" i="7"/>
  <c r="EH48" i="7"/>
  <c r="DR48" i="7"/>
  <c r="DB48" i="7"/>
  <c r="DA48" i="7"/>
  <c r="BC48" i="7"/>
  <c r="BB48" i="7"/>
  <c r="AL48" i="7"/>
  <c r="AB48" i="7"/>
  <c r="EB41" i="7"/>
  <c r="H41" i="7"/>
  <c r="AE40" i="7"/>
  <c r="AA40" i="7"/>
  <c r="AO37" i="7" s="1"/>
  <c r="EH39" i="7"/>
  <c r="BP39" i="7"/>
  <c r="AI39" i="7"/>
  <c r="AE39" i="7"/>
  <c r="AA39" i="7"/>
  <c r="AO36" i="7" s="1"/>
  <c r="EN38" i="7"/>
  <c r="EK38" i="7"/>
  <c r="EH38" i="7"/>
  <c r="EE38" i="7"/>
  <c r="EA38" i="7"/>
  <c r="EN35" i="7" s="1"/>
  <c r="DR38" i="7"/>
  <c r="DA38" i="7"/>
  <c r="CV38" i="7"/>
  <c r="CR38" i="7"/>
  <c r="DB35" i="7" s="1"/>
  <c r="CK38" i="7"/>
  <c r="CF38" i="7"/>
  <c r="BS38" i="7"/>
  <c r="BP38" i="7"/>
  <c r="BM38" i="7"/>
  <c r="BC38" i="7"/>
  <c r="BB38" i="7"/>
  <c r="AL38" i="7"/>
  <c r="AI38" i="7"/>
  <c r="AE38" i="7"/>
  <c r="AA38" i="7"/>
  <c r="EK37" i="7"/>
  <c r="EH37" i="7"/>
  <c r="EE37" i="7"/>
  <c r="EA37" i="7"/>
  <c r="DR37" i="7"/>
  <c r="DO37" i="7"/>
  <c r="DL37" i="7"/>
  <c r="DH37" i="7"/>
  <c r="DA37" i="7"/>
  <c r="CY37" i="7"/>
  <c r="CV37" i="7"/>
  <c r="CR37" i="7"/>
  <c r="CK37" i="7"/>
  <c r="CI37" i="7"/>
  <c r="CF37" i="7"/>
  <c r="CB37" i="7"/>
  <c r="CL34" i="7" s="1"/>
  <c r="BS37" i="7"/>
  <c r="BP37" i="7"/>
  <c r="BM37" i="7"/>
  <c r="BI37" i="7"/>
  <c r="BV34" i="7" s="1"/>
  <c r="BC37" i="7"/>
  <c r="BB37" i="7"/>
  <c r="AZ37" i="7"/>
  <c r="AL37" i="7"/>
  <c r="AI37" i="7"/>
  <c r="AE37" i="7"/>
  <c r="AA37" i="7"/>
  <c r="H37" i="7"/>
  <c r="EK36" i="7"/>
  <c r="EE36" i="7"/>
  <c r="EA36" i="7"/>
  <c r="DR36" i="7"/>
  <c r="DO36" i="7"/>
  <c r="DL36" i="7"/>
  <c r="DH36" i="7"/>
  <c r="DA36" i="7"/>
  <c r="CY36" i="7"/>
  <c r="CV36" i="7"/>
  <c r="CR36" i="7"/>
  <c r="CK36" i="7"/>
  <c r="CI36" i="7"/>
  <c r="CF36" i="7"/>
  <c r="CB36" i="7"/>
  <c r="CL33" i="7" s="1"/>
  <c r="BS36" i="7"/>
  <c r="BM36" i="7"/>
  <c r="BI36" i="7"/>
  <c r="BC36" i="7"/>
  <c r="BB36" i="7"/>
  <c r="AZ36" i="7"/>
  <c r="AL36" i="7"/>
  <c r="AI36" i="7"/>
  <c r="AE36" i="7"/>
  <c r="AA36" i="7"/>
  <c r="EK35" i="7"/>
  <c r="EH35" i="7"/>
  <c r="EE35" i="7"/>
  <c r="EA35" i="7"/>
  <c r="DR35" i="7"/>
  <c r="DL35" i="7"/>
  <c r="DH35" i="7"/>
  <c r="DA35" i="7"/>
  <c r="CV35" i="7"/>
  <c r="CR35" i="7"/>
  <c r="CL35" i="7"/>
  <c r="CK35" i="7"/>
  <c r="CF35" i="7"/>
  <c r="CB35" i="7"/>
  <c r="BV35" i="7"/>
  <c r="BS35" i="7"/>
  <c r="BM35" i="7"/>
  <c r="BI35" i="7"/>
  <c r="BC35" i="7"/>
  <c r="BB35" i="7"/>
  <c r="AO35" i="7"/>
  <c r="AL35" i="7"/>
  <c r="AE35" i="7"/>
  <c r="AA35" i="7"/>
  <c r="EN34" i="7"/>
  <c r="EK34" i="7"/>
  <c r="EE34" i="7"/>
  <c r="EA34" i="7"/>
  <c r="DU34" i="7"/>
  <c r="DR34" i="7"/>
  <c r="DL34" i="7"/>
  <c r="DH34" i="7"/>
  <c r="DU31" i="7" s="1"/>
  <c r="DB34" i="7"/>
  <c r="DA34" i="7"/>
  <c r="CV34" i="7"/>
  <c r="CR34" i="7"/>
  <c r="DB31" i="7" s="1"/>
  <c r="CK34" i="7"/>
  <c r="CF34" i="7"/>
  <c r="CB34" i="7"/>
  <c r="BS34" i="7"/>
  <c r="BM34" i="7"/>
  <c r="BI34" i="7"/>
  <c r="BV31" i="7" s="1"/>
  <c r="BC34" i="7"/>
  <c r="BB34" i="7"/>
  <c r="AZ34" i="7"/>
  <c r="AO34" i="7"/>
  <c r="AL34" i="7"/>
  <c r="AE34" i="7"/>
  <c r="AA34" i="7"/>
  <c r="Q34" i="7" a="1"/>
  <c r="Q34" i="7" s="1"/>
  <c r="P34" i="7" a="1"/>
  <c r="P34" i="7" s="1"/>
  <c r="EN33" i="7"/>
  <c r="EK33" i="7"/>
  <c r="EE33" i="7"/>
  <c r="EA33" i="7"/>
  <c r="EN30" i="7" s="1"/>
  <c r="DU33" i="7"/>
  <c r="DR33" i="7"/>
  <c r="DL33" i="7"/>
  <c r="DH33" i="7"/>
  <c r="DB33" i="7"/>
  <c r="DA33" i="7"/>
  <c r="CV33" i="7"/>
  <c r="CR33" i="7"/>
  <c r="DB30" i="7" s="1"/>
  <c r="CK33" i="7"/>
  <c r="CF33" i="7"/>
  <c r="CB33" i="7"/>
  <c r="CL30" i="7" s="1"/>
  <c r="BV33" i="7"/>
  <c r="BS33" i="7"/>
  <c r="BM33" i="7"/>
  <c r="BI33" i="7"/>
  <c r="BC33" i="7"/>
  <c r="BB33" i="7"/>
  <c r="AZ33" i="7"/>
  <c r="AO33" i="7"/>
  <c r="AL33" i="7"/>
  <c r="AE33" i="7"/>
  <c r="AA33" i="7"/>
  <c r="AO30" i="7" s="1"/>
  <c r="P33" i="7" a="1"/>
  <c r="P33" i="7" s="1"/>
  <c r="EN32" i="7"/>
  <c r="EK32" i="7"/>
  <c r="EE32" i="7"/>
  <c r="EA32" i="7"/>
  <c r="EN29" i="7" s="1"/>
  <c r="DU32" i="7"/>
  <c r="DR32" i="7"/>
  <c r="DL32" i="7"/>
  <c r="DH32" i="7"/>
  <c r="DB32" i="7"/>
  <c r="DA32" i="7"/>
  <c r="CV32" i="7"/>
  <c r="CR32" i="7"/>
  <c r="CL32" i="7"/>
  <c r="CK32" i="7"/>
  <c r="CF32" i="7"/>
  <c r="CB32" i="7"/>
  <c r="CL29" i="7" s="1"/>
  <c r="BV32" i="7"/>
  <c r="BS32" i="7"/>
  <c r="BM32" i="7"/>
  <c r="BI32" i="7"/>
  <c r="BC32" i="7"/>
  <c r="BB32" i="7"/>
  <c r="AZ32" i="7"/>
  <c r="AO32" i="7"/>
  <c r="AL32" i="7"/>
  <c r="AE32" i="7"/>
  <c r="AA32" i="7"/>
  <c r="P32" i="7" a="1"/>
  <c r="P32" i="7" s="1"/>
  <c r="EN31" i="7"/>
  <c r="EK31" i="7"/>
  <c r="DR31" i="7"/>
  <c r="DA31" i="7"/>
  <c r="CL31" i="7"/>
  <c r="CK31" i="7"/>
  <c r="BS31" i="7"/>
  <c r="BC31" i="7"/>
  <c r="BB31" i="7"/>
  <c r="AZ31" i="7"/>
  <c r="AO31" i="7"/>
  <c r="AL31" i="7"/>
  <c r="AI31" i="7"/>
  <c r="P31" i="7" a="1"/>
  <c r="P31" i="7" s="1"/>
  <c r="EK30" i="7"/>
  <c r="EH30" i="7"/>
  <c r="ED30" i="7"/>
  <c r="EB40" i="7" s="1"/>
  <c r="EN37" i="7" s="1"/>
  <c r="DU30" i="7"/>
  <c r="DR30" i="7"/>
  <c r="DK30" i="7"/>
  <c r="DA30" i="7"/>
  <c r="CU30" i="7"/>
  <c r="CK30" i="7"/>
  <c r="CE30" i="7"/>
  <c r="CA30" i="7" a="1"/>
  <c r="CA30" i="7" s="1"/>
  <c r="CI34" i="7" s="1"/>
  <c r="BV30" i="7"/>
  <c r="BS30" i="7"/>
  <c r="BL30" i="7"/>
  <c r="BH30" i="7" a="1"/>
  <c r="BH30" i="7" s="1"/>
  <c r="BP33" i="7" s="1"/>
  <c r="BC30" i="7"/>
  <c r="BB30" i="7"/>
  <c r="AZ30" i="7"/>
  <c r="AL30" i="7"/>
  <c r="AD30" i="7"/>
  <c r="AB41" i="7" s="1"/>
  <c r="AO38" i="7" s="1"/>
  <c r="Q30" i="7" a="1"/>
  <c r="Q30" i="7" s="1"/>
  <c r="P30" i="7" a="1"/>
  <c r="P30" i="7" s="1"/>
  <c r="EK29" i="7"/>
  <c r="EH29" i="7"/>
  <c r="EB29" i="7" a="1"/>
  <c r="EB29" i="7" s="1"/>
  <c r="EH32" i="7" s="1"/>
  <c r="DZ29" i="7" a="1"/>
  <c r="DZ29" i="7" s="1"/>
  <c r="EH31" i="7" s="1"/>
  <c r="DU29" i="7"/>
  <c r="DR29" i="7"/>
  <c r="DI29" i="7" a="1"/>
  <c r="DI29" i="7" s="1"/>
  <c r="DO33" i="7" s="1"/>
  <c r="DG29" i="7" a="1"/>
  <c r="DG29" i="7" s="1"/>
  <c r="DB29" i="7"/>
  <c r="DA29" i="7"/>
  <c r="CQ29" i="7" a="1"/>
  <c r="CQ29" i="7" s="1"/>
  <c r="CY32" i="7" s="1"/>
  <c r="CK29" i="7"/>
  <c r="CC29" i="7" a="1"/>
  <c r="CC29" i="7" s="1"/>
  <c r="CI33" i="7" s="1"/>
  <c r="CA29" i="7" a="1"/>
  <c r="CA29" i="7" s="1"/>
  <c r="CI32" i="7" s="1"/>
  <c r="BV29" i="7"/>
  <c r="BS29" i="7"/>
  <c r="BJ29" i="7" a="1"/>
  <c r="BJ29" i="7" s="1"/>
  <c r="BP32" i="7" s="1"/>
  <c r="BC29" i="7"/>
  <c r="BB29" i="7"/>
  <c r="AO29" i="7"/>
  <c r="AL29" i="7"/>
  <c r="P29" i="7"/>
  <c r="P29" i="7" a="1"/>
  <c r="DZ28" i="7"/>
  <c r="CC26" i="7" a="1"/>
  <c r="CC26" i="7" s="1"/>
  <c r="P26" i="7" a="1"/>
  <c r="P26" i="7" s="1"/>
  <c r="P25" i="7" a="1"/>
  <c r="P25" i="7" s="1"/>
  <c r="Q24" i="7" a="1"/>
  <c r="Q24" i="7" s="1"/>
  <c r="P24" i="7" a="1"/>
  <c r="P24" i="7" s="1"/>
  <c r="P23" i="7" a="1"/>
  <c r="P23" i="7" s="1"/>
  <c r="EB22" i="7"/>
  <c r="EN19" i="7" s="1"/>
  <c r="DI22" i="7"/>
  <c r="P22" i="7" a="1"/>
  <c r="P22" i="7" s="1"/>
  <c r="DI21" i="7"/>
  <c r="DU18" i="7" s="1"/>
  <c r="Q21" i="7" a="1"/>
  <c r="Q21" i="7" s="1"/>
  <c r="P21" i="7"/>
  <c r="P21" i="7" a="1"/>
  <c r="C21" i="7"/>
  <c r="Q26" i="7" s="1" a="1"/>
  <c r="Q26" i="7" s="1"/>
  <c r="EH20" i="7"/>
  <c r="DI20" i="7"/>
  <c r="DU17" i="7" s="1"/>
  <c r="BP20" i="7"/>
  <c r="AI20" i="7"/>
  <c r="EY19" i="7"/>
  <c r="EV19" i="7"/>
  <c r="ES19" i="7"/>
  <c r="EK19" i="7"/>
  <c r="EH19" i="7"/>
  <c r="EB19" i="7"/>
  <c r="EN16" i="7" s="1"/>
  <c r="DU19" i="7"/>
  <c r="DR19" i="7"/>
  <c r="DI19" i="7"/>
  <c r="DA19" i="7"/>
  <c r="CV19" i="7"/>
  <c r="CR19" i="7"/>
  <c r="CK19" i="7"/>
  <c r="BV19" i="7"/>
  <c r="BS19" i="7"/>
  <c r="BP19" i="7"/>
  <c r="BC19" i="7"/>
  <c r="BB19" i="7"/>
  <c r="AL19" i="7"/>
  <c r="AI19" i="7"/>
  <c r="AE19" i="7"/>
  <c r="P19" i="7"/>
  <c r="P19" i="7" a="1"/>
  <c r="EY18" i="7"/>
  <c r="EV18" i="7"/>
  <c r="ES18" i="7"/>
  <c r="EK18" i="7"/>
  <c r="EH18" i="7"/>
  <c r="EE18" i="7"/>
  <c r="EA18" i="7"/>
  <c r="DR18" i="7"/>
  <c r="DO18" i="7"/>
  <c r="DL18" i="7"/>
  <c r="DH18" i="7"/>
  <c r="DA18" i="7"/>
  <c r="CY18" i="7"/>
  <c r="CV18" i="7"/>
  <c r="CR18" i="7"/>
  <c r="CK18" i="7"/>
  <c r="CI18" i="7"/>
  <c r="BV18" i="7"/>
  <c r="BS18" i="7"/>
  <c r="BP18" i="7"/>
  <c r="BC18" i="7"/>
  <c r="BB18" i="7"/>
  <c r="AZ18" i="7"/>
  <c r="AW18" i="7"/>
  <c r="AU18" i="7"/>
  <c r="AL18" i="7"/>
  <c r="AI18" i="7"/>
  <c r="AE18" i="7"/>
  <c r="P18" i="7" a="1"/>
  <c r="P18" i="7" s="1"/>
  <c r="EY17" i="7"/>
  <c r="EV17" i="7"/>
  <c r="EK17" i="7"/>
  <c r="EE17" i="7"/>
  <c r="EA17" i="7"/>
  <c r="DR17" i="7"/>
  <c r="DO17" i="7"/>
  <c r="DL17" i="7"/>
  <c r="DH17" i="7"/>
  <c r="DU14" i="7" s="1"/>
  <c r="DA17" i="7"/>
  <c r="CY17" i="7"/>
  <c r="CV17" i="7"/>
  <c r="CR17" i="7"/>
  <c r="DB14" i="7" s="1"/>
  <c r="CK17" i="7"/>
  <c r="CI17" i="7"/>
  <c r="BV17" i="7"/>
  <c r="BS17" i="7"/>
  <c r="BC17" i="7"/>
  <c r="BB17" i="7"/>
  <c r="AZ17" i="7"/>
  <c r="AW17" i="7"/>
  <c r="AU17" i="7"/>
  <c r="BC14" i="7" s="1"/>
  <c r="AL17" i="7"/>
  <c r="AI17" i="7"/>
  <c r="AE17" i="7"/>
  <c r="Q17" i="7" a="1"/>
  <c r="Q17" i="7" s="1"/>
  <c r="P17" i="7" a="1"/>
  <c r="P17" i="7" s="1"/>
  <c r="H17" i="7"/>
  <c r="EY16" i="7"/>
  <c r="EV16" i="7"/>
  <c r="EK16" i="7"/>
  <c r="EH16" i="7"/>
  <c r="EE16" i="7"/>
  <c r="EA16" i="7"/>
  <c r="DU16" i="7"/>
  <c r="DR16" i="7"/>
  <c r="DL16" i="7"/>
  <c r="DH16" i="7"/>
  <c r="DB16" i="7"/>
  <c r="DA16" i="7"/>
  <c r="CV16" i="7"/>
  <c r="CR16" i="7"/>
  <c r="CK16" i="7"/>
  <c r="BV16" i="7"/>
  <c r="BS16" i="7"/>
  <c r="BC16" i="7"/>
  <c r="BB16" i="7"/>
  <c r="AW16" i="7"/>
  <c r="AU16" i="7"/>
  <c r="AL16" i="7"/>
  <c r="AE16" i="7"/>
  <c r="AA16" i="7"/>
  <c r="Q16" i="7" a="1"/>
  <c r="Q16" i="7" s="1"/>
  <c r="P16" i="7" a="1"/>
  <c r="P16" i="7" s="1"/>
  <c r="EY15" i="7"/>
  <c r="EV15" i="7"/>
  <c r="EN15" i="7"/>
  <c r="EK15" i="7"/>
  <c r="EE15" i="7"/>
  <c r="EA15" i="7"/>
  <c r="DU15" i="7"/>
  <c r="DR15" i="7"/>
  <c r="DL15" i="7"/>
  <c r="DH15" i="7"/>
  <c r="DB15" i="7"/>
  <c r="DA15" i="7"/>
  <c r="CV15" i="7"/>
  <c r="CR15" i="7"/>
  <c r="CK15" i="7"/>
  <c r="CI15" i="7"/>
  <c r="BV15" i="7"/>
  <c r="BS15" i="7"/>
  <c r="BC15" i="7"/>
  <c r="BB15" i="7"/>
  <c r="AW15" i="7"/>
  <c r="AU15" i="7"/>
  <c r="BC12" i="7" s="1"/>
  <c r="AL15" i="7"/>
  <c r="AE15" i="7"/>
  <c r="AA15" i="7"/>
  <c r="Q15" i="7" a="1"/>
  <c r="Q15" i="7" s="1"/>
  <c r="P15" i="7" a="1"/>
  <c r="P15" i="7" s="1"/>
  <c r="EY14" i="7"/>
  <c r="EV14" i="7"/>
  <c r="ES14" i="7"/>
  <c r="EN14" i="7"/>
  <c r="EK14" i="7"/>
  <c r="EY11" i="7" s="1"/>
  <c r="EE14" i="7"/>
  <c r="EA14" i="7"/>
  <c r="DR14" i="7"/>
  <c r="DL14" i="7"/>
  <c r="DH14" i="7"/>
  <c r="DU11" i="7" s="1"/>
  <c r="DA14" i="7"/>
  <c r="CY14" i="7"/>
  <c r="CV14" i="7"/>
  <c r="CR14" i="7"/>
  <c r="DB11" i="7" s="1"/>
  <c r="CK14" i="7"/>
  <c r="CI14" i="7"/>
  <c r="BV14" i="7"/>
  <c r="BS14" i="7"/>
  <c r="BP14" i="7"/>
  <c r="BB14" i="7"/>
  <c r="AW14" i="7"/>
  <c r="AU14" i="7"/>
  <c r="AL14" i="7"/>
  <c r="AE14" i="7"/>
  <c r="AA14" i="7"/>
  <c r="Q14" i="7" a="1"/>
  <c r="Q14" i="7" s="1"/>
  <c r="P14" i="7" a="1"/>
  <c r="P14" i="7" s="1"/>
  <c r="C14" i="7"/>
  <c r="P28" i="7" s="1" a="1"/>
  <c r="P28" i="7" s="1"/>
  <c r="EY13" i="7"/>
  <c r="EV13" i="7"/>
  <c r="EN13" i="7"/>
  <c r="EK13" i="7"/>
  <c r="EE13" i="7"/>
  <c r="EA13" i="7"/>
  <c r="DU13" i="7"/>
  <c r="DR13" i="7"/>
  <c r="DO13" i="7"/>
  <c r="DL13" i="7"/>
  <c r="DH13" i="7"/>
  <c r="DU10" i="7" s="1"/>
  <c r="DB13" i="7"/>
  <c r="DA13" i="7"/>
  <c r="CV13" i="7"/>
  <c r="CR13" i="7"/>
  <c r="CL13" i="7"/>
  <c r="CK13" i="7"/>
  <c r="CI13" i="7"/>
  <c r="BV13" i="7"/>
  <c r="BS13" i="7"/>
  <c r="BP13" i="7"/>
  <c r="BC13" i="7"/>
  <c r="BB13" i="7"/>
  <c r="AW13" i="7"/>
  <c r="AU13" i="7"/>
  <c r="BC10" i="7" s="1"/>
  <c r="AO13" i="7"/>
  <c r="AL13" i="7"/>
  <c r="AE13" i="7"/>
  <c r="AA13" i="7"/>
  <c r="Q13" i="7"/>
  <c r="Q13" i="7" a="1"/>
  <c r="P13" i="7" a="1"/>
  <c r="P13" i="7" s="1"/>
  <c r="EY12" i="7"/>
  <c r="EN12" i="7"/>
  <c r="EK12" i="7"/>
  <c r="DU12" i="7"/>
  <c r="DR12" i="7"/>
  <c r="DB12" i="7"/>
  <c r="DA12" i="7"/>
  <c r="CL12" i="7"/>
  <c r="CK12" i="7"/>
  <c r="BV12" i="7"/>
  <c r="BS12" i="7"/>
  <c r="BP12" i="7"/>
  <c r="BB12" i="7"/>
  <c r="AZ12" i="7"/>
  <c r="AO12" i="7"/>
  <c r="AL12" i="7"/>
  <c r="Q12" i="7" a="1"/>
  <c r="Q12" i="7" s="1"/>
  <c r="P12" i="7"/>
  <c r="P12" i="7" a="1"/>
  <c r="ES11" i="7"/>
  <c r="EN11" i="7"/>
  <c r="EK11" i="7"/>
  <c r="ES20" i="7" s="1"/>
  <c r="EH11" i="7"/>
  <c r="ES12" i="7" s="1"/>
  <c r="ED11" i="7"/>
  <c r="DZ11" i="7" a="1"/>
  <c r="DZ11" i="7" s="1"/>
  <c r="EH14" i="7" s="1"/>
  <c r="EV12" i="7" s="1"/>
  <c r="DR11" i="7"/>
  <c r="DK11" i="7"/>
  <c r="DG11" i="7"/>
  <c r="DO15" i="7" s="1"/>
  <c r="DG11" i="7" a="1"/>
  <c r="DA11" i="7"/>
  <c r="CU11" i="7"/>
  <c r="CQ11" i="7"/>
  <c r="CY15" i="7" s="1"/>
  <c r="CQ11" i="7" a="1"/>
  <c r="CL11" i="7"/>
  <c r="CK11" i="7"/>
  <c r="CE11" i="7"/>
  <c r="BV11" i="7"/>
  <c r="BS11" i="7"/>
  <c r="BC11" i="7"/>
  <c r="BB11" i="7"/>
  <c r="AZ11" i="7"/>
  <c r="AT11" i="7"/>
  <c r="AZ15" i="7" s="1"/>
  <c r="AT11" i="7" a="1"/>
  <c r="AO11" i="7"/>
  <c r="AL11" i="7"/>
  <c r="AD11" i="7"/>
  <c r="P11" i="7"/>
  <c r="P11" i="7" a="1"/>
  <c r="EY10" i="7"/>
  <c r="ES10" i="7"/>
  <c r="EN10" i="7"/>
  <c r="EK10" i="7"/>
  <c r="ES13" i="7" s="1"/>
  <c r="EH10" i="7"/>
  <c r="ES16" i="7" s="1"/>
  <c r="DZ10" i="7" a="1"/>
  <c r="DZ10" i="7" s="1"/>
  <c r="DR10" i="7"/>
  <c r="DI10" i="7" a="1"/>
  <c r="DI10" i="7" s="1"/>
  <c r="DG10" i="7" a="1"/>
  <c r="DG10" i="7" s="1"/>
  <c r="DB10" i="7"/>
  <c r="DA10" i="7"/>
  <c r="CS10" i="7" a="1"/>
  <c r="CS10" i="7" s="1"/>
  <c r="CL10" i="7"/>
  <c r="CK10" i="7"/>
  <c r="BV10" i="7"/>
  <c r="BS10" i="7"/>
  <c r="BB10" i="7"/>
  <c r="AZ10" i="7"/>
  <c r="AV10" i="7" a="1"/>
  <c r="AV10" i="7" s="1"/>
  <c r="AZ14" i="7" s="1"/>
  <c r="AT10" i="7"/>
  <c r="AZ13" i="7" s="1"/>
  <c r="AT10" i="7" a="1"/>
  <c r="AO10" i="7"/>
  <c r="AL10" i="7"/>
  <c r="AB10" i="7" a="1"/>
  <c r="AB10" i="7" s="1"/>
  <c r="AI13" i="7" s="1"/>
  <c r="Z10" i="7" a="1"/>
  <c r="Z10" i="7" s="1"/>
  <c r="AB7" i="7" s="1" a="1"/>
  <c r="AB7" i="7" s="1"/>
  <c r="Q10" i="7"/>
  <c r="Q10" i="7" a="1"/>
  <c r="P10" i="7" a="1"/>
  <c r="P10" i="7" s="1"/>
  <c r="AZ9" i="7"/>
  <c r="Q9" i="7" a="1"/>
  <c r="Q9" i="7" s="1"/>
  <c r="P9" i="7"/>
  <c r="P9" i="7" a="1"/>
  <c r="T8" i="7"/>
  <c r="Q8" i="7"/>
  <c r="Q8" i="7" a="1"/>
  <c r="P8" i="7" a="1"/>
  <c r="P8" i="7" s="1"/>
  <c r="V7" i="7"/>
  <c r="W7" i="7" s="1"/>
  <c r="T7" i="7"/>
  <c r="S7" i="7"/>
  <c r="S8" i="7" s="1"/>
  <c r="Q7" i="7" a="1"/>
  <c r="Q7" i="7" s="1"/>
  <c r="P7" i="7"/>
  <c r="P7" i="7" a="1"/>
  <c r="C7" i="7"/>
  <c r="BJ68" i="7" s="1" a="1"/>
  <c r="BJ68" i="7" s="1"/>
  <c r="BP71" i="7" s="1"/>
  <c r="W6" i="7"/>
  <c r="V6" i="7"/>
  <c r="T6" i="7"/>
  <c r="Q6" i="7" a="1"/>
  <c r="Q6" i="7" s="1"/>
  <c r="P6" i="7"/>
  <c r="P6" i="7" a="1"/>
  <c r="H6" i="7"/>
  <c r="V5" i="7"/>
  <c r="W5" i="7" s="1"/>
  <c r="T5" i="7"/>
  <c r="S5" i="7"/>
  <c r="S6" i="7" s="1"/>
  <c r="P5" i="7"/>
  <c r="P5" i="7" a="1"/>
  <c r="G298" i="4"/>
  <c r="G254" i="4"/>
  <c r="IF74" i="4"/>
  <c r="HE74" i="4"/>
  <c r="GM74" i="4"/>
  <c r="EJ74" i="4"/>
  <c r="DG74" i="4"/>
  <c r="CO74" i="4"/>
  <c r="BP74" i="4"/>
  <c r="IF73" i="4"/>
  <c r="HE73" i="4"/>
  <c r="GM73" i="4"/>
  <c r="EJ73" i="4"/>
  <c r="DG73" i="4"/>
  <c r="CO73" i="4"/>
  <c r="BP73" i="4"/>
  <c r="IF72" i="4"/>
  <c r="HE72" i="4"/>
  <c r="GM72" i="4"/>
  <c r="EJ72" i="4"/>
  <c r="DG72" i="4"/>
  <c r="CO72" i="4"/>
  <c r="BP72" i="4"/>
  <c r="IF71" i="4"/>
  <c r="HE71" i="4"/>
  <c r="GM71" i="4"/>
  <c r="EJ71" i="4"/>
  <c r="DG71" i="4"/>
  <c r="CO71" i="4"/>
  <c r="BP71" i="4"/>
  <c r="IF70" i="4"/>
  <c r="HE70" i="4"/>
  <c r="GM70" i="4"/>
  <c r="EJ70" i="4"/>
  <c r="DG70" i="4"/>
  <c r="CO70" i="4"/>
  <c r="BP70" i="4"/>
  <c r="IF69" i="4"/>
  <c r="HE69" i="4"/>
  <c r="GM69" i="4"/>
  <c r="EJ69" i="4"/>
  <c r="DG69" i="4"/>
  <c r="CO69" i="4"/>
  <c r="BP69" i="4"/>
  <c r="IF68" i="4"/>
  <c r="HE68" i="4"/>
  <c r="GM68" i="4"/>
  <c r="EJ68" i="4"/>
  <c r="DG68" i="4"/>
  <c r="CO68" i="4"/>
  <c r="BP68" i="4"/>
  <c r="IF67" i="4"/>
  <c r="HE67" i="4"/>
  <c r="GM67" i="4"/>
  <c r="EJ67" i="4"/>
  <c r="DG67" i="4"/>
  <c r="CO67" i="4"/>
  <c r="BP67" i="4"/>
  <c r="MZ66" i="4"/>
  <c r="MY66" i="4"/>
  <c r="IF66" i="4"/>
  <c r="HE66" i="4"/>
  <c r="GM66" i="4"/>
  <c r="EJ66" i="4"/>
  <c r="DG66" i="4"/>
  <c r="CO66" i="4"/>
  <c r="BP66" i="4"/>
  <c r="IF65" i="4"/>
  <c r="HE65" i="4"/>
  <c r="GM65" i="4"/>
  <c r="EJ65" i="4"/>
  <c r="DG65" i="4"/>
  <c r="CO65" i="4"/>
  <c r="BP65" i="4"/>
  <c r="IF64" i="4"/>
  <c r="HE64" i="4"/>
  <c r="GM64" i="4"/>
  <c r="EJ64" i="4"/>
  <c r="DG64" i="4"/>
  <c r="CO64" i="4"/>
  <c r="BP64" i="4"/>
  <c r="BB64" i="4"/>
  <c r="AZ64" i="4"/>
  <c r="AY64" i="4"/>
  <c r="AX64" i="4"/>
  <c r="AW64" i="4"/>
  <c r="AV64" i="4"/>
  <c r="NI63" i="4"/>
  <c r="NH63" i="4"/>
  <c r="NG63" i="4"/>
  <c r="NF63" i="4"/>
  <c r="NE63" i="4"/>
  <c r="ND63" i="4"/>
  <c r="NC63" i="4"/>
  <c r="NB63" i="4"/>
  <c r="NA63" i="4"/>
  <c r="MZ63" i="4"/>
  <c r="MY63" i="4"/>
  <c r="BB63" i="4"/>
  <c r="AZ63" i="4"/>
  <c r="AY63" i="4"/>
  <c r="AX63" i="4"/>
  <c r="AW63" i="4"/>
  <c r="AV63" i="4"/>
  <c r="AI63" i="4"/>
  <c r="NI62" i="4"/>
  <c r="NH62" i="4"/>
  <c r="NG62" i="4"/>
  <c r="NF62" i="4"/>
  <c r="NE62" i="4"/>
  <c r="ND62" i="4"/>
  <c r="NC62" i="4"/>
  <c r="NB62" i="4"/>
  <c r="NA62" i="4"/>
  <c r="MZ62" i="4"/>
  <c r="MY62" i="4"/>
  <c r="BB62" i="4"/>
  <c r="AZ62" i="4"/>
  <c r="AY62" i="4"/>
  <c r="AX62" i="4"/>
  <c r="AW62" i="4"/>
  <c r="AV62" i="4"/>
  <c r="NI61" i="4"/>
  <c r="NH61" i="4"/>
  <c r="NG61" i="4"/>
  <c r="NF61" i="4"/>
  <c r="NE61" i="4"/>
  <c r="ND61" i="4"/>
  <c r="NC61" i="4"/>
  <c r="NB61" i="4"/>
  <c r="NA61" i="4"/>
  <c r="MZ61" i="4"/>
  <c r="MY61" i="4"/>
  <c r="BB61" i="4"/>
  <c r="AZ61" i="4"/>
  <c r="AY61" i="4"/>
  <c r="AX61" i="4"/>
  <c r="AW61" i="4"/>
  <c r="AV61" i="4"/>
  <c r="NI60" i="4"/>
  <c r="NH60" i="4"/>
  <c r="NG60" i="4"/>
  <c r="NF60" i="4"/>
  <c r="NE60" i="4"/>
  <c r="ND60" i="4"/>
  <c r="NC60" i="4"/>
  <c r="NB60" i="4"/>
  <c r="NA60" i="4"/>
  <c r="MZ60" i="4"/>
  <c r="MY60" i="4"/>
  <c r="GY60" i="4"/>
  <c r="EV60" i="4"/>
  <c r="DS60" i="4"/>
  <c r="DA60" i="4"/>
  <c r="BB60" i="4"/>
  <c r="AZ60" i="4"/>
  <c r="AY60" i="4"/>
  <c r="AX60" i="4"/>
  <c r="AW60" i="4"/>
  <c r="AV60" i="4"/>
  <c r="NI59" i="4"/>
  <c r="NH59" i="4"/>
  <c r="NG59" i="4"/>
  <c r="NF59" i="4"/>
  <c r="NE59" i="4"/>
  <c r="ND59" i="4"/>
  <c r="NC59" i="4"/>
  <c r="NB59" i="4"/>
  <c r="NA59" i="4"/>
  <c r="MZ59" i="4"/>
  <c r="MY59" i="4"/>
  <c r="GY59" i="4"/>
  <c r="EV59" i="4"/>
  <c r="DS59" i="4"/>
  <c r="DA59" i="4"/>
  <c r="BB59" i="4"/>
  <c r="AZ59" i="4"/>
  <c r="AY59" i="4"/>
  <c r="AX59" i="4"/>
  <c r="AW59" i="4"/>
  <c r="AV59" i="4"/>
  <c r="NI58" i="4"/>
  <c r="NH58" i="4"/>
  <c r="NG58" i="4"/>
  <c r="NF58" i="4"/>
  <c r="NE58" i="4"/>
  <c r="ND58" i="4"/>
  <c r="NC58" i="4"/>
  <c r="NB58" i="4"/>
  <c r="NA58" i="4"/>
  <c r="MZ58" i="4"/>
  <c r="MY58" i="4"/>
  <c r="GY58" i="4"/>
  <c r="EV58" i="4"/>
  <c r="DS58" i="4"/>
  <c r="DA58" i="4"/>
  <c r="BB58" i="4"/>
  <c r="AZ58" i="4"/>
  <c r="AY58" i="4"/>
  <c r="AX58" i="4"/>
  <c r="AW58" i="4"/>
  <c r="AV58" i="4"/>
  <c r="NI57" i="4"/>
  <c r="NH57" i="4"/>
  <c r="NG57" i="4"/>
  <c r="NF57" i="4"/>
  <c r="NE57" i="4"/>
  <c r="ND57" i="4"/>
  <c r="NC57" i="4"/>
  <c r="NB57" i="4"/>
  <c r="NA57" i="4"/>
  <c r="MZ57" i="4"/>
  <c r="MY57" i="4"/>
  <c r="GY57" i="4"/>
  <c r="EV57" i="4"/>
  <c r="DS57" i="4"/>
  <c r="DA57" i="4"/>
  <c r="GY56" i="4"/>
  <c r="EV56" i="4"/>
  <c r="DS56" i="4"/>
  <c r="DA56" i="4"/>
  <c r="GY55" i="4"/>
  <c r="EV55" i="4"/>
  <c r="DS55" i="4"/>
  <c r="DA55" i="4"/>
  <c r="GY54" i="4"/>
  <c r="EV54" i="4"/>
  <c r="DS54" i="4"/>
  <c r="DA54" i="4"/>
  <c r="GY53" i="4"/>
  <c r="EV53" i="4"/>
  <c r="DS53" i="4"/>
  <c r="DA53" i="4"/>
  <c r="GY52" i="4"/>
  <c r="EV52" i="4"/>
  <c r="DS52" i="4"/>
  <c r="DA52" i="4"/>
  <c r="GY51" i="4"/>
  <c r="EV51" i="4"/>
  <c r="DS51" i="4"/>
  <c r="DA51" i="4"/>
  <c r="GY50" i="4"/>
  <c r="EV50" i="4"/>
  <c r="DS50" i="4"/>
  <c r="DA50" i="4"/>
  <c r="GY49" i="4"/>
  <c r="EV49" i="4"/>
  <c r="DS49" i="4"/>
  <c r="DA49" i="4"/>
  <c r="NW48" i="4"/>
  <c r="GY48" i="4"/>
  <c r="EV48" i="4"/>
  <c r="DS48" i="4"/>
  <c r="DA48" i="4"/>
  <c r="NW47" i="4"/>
  <c r="GY47" i="4"/>
  <c r="EV47" i="4"/>
  <c r="DS47" i="4"/>
  <c r="DA47" i="4"/>
  <c r="NW46" i="4"/>
  <c r="GY46" i="4"/>
  <c r="EV46" i="4"/>
  <c r="DS46" i="4"/>
  <c r="DA46" i="4"/>
  <c r="BB46" i="4"/>
  <c r="BA46" i="4"/>
  <c r="AZ46" i="4"/>
  <c r="AY46" i="4"/>
  <c r="AX46" i="4"/>
  <c r="AW46" i="4"/>
  <c r="AV46" i="4"/>
  <c r="NW45" i="4"/>
  <c r="NI45" i="4"/>
  <c r="NH45" i="4"/>
  <c r="NG45" i="4"/>
  <c r="NF45" i="4"/>
  <c r="NE45" i="4"/>
  <c r="ND45" i="4"/>
  <c r="NC45" i="4"/>
  <c r="NB45" i="4"/>
  <c r="NA45" i="4"/>
  <c r="MZ45" i="4"/>
  <c r="MY45" i="4"/>
  <c r="GY45" i="4"/>
  <c r="EV45" i="4"/>
  <c r="DS45" i="4"/>
  <c r="DA45" i="4"/>
  <c r="BB45" i="4"/>
  <c r="BA45" i="4"/>
  <c r="AZ45" i="4"/>
  <c r="AY45" i="4"/>
  <c r="AX45" i="4"/>
  <c r="AW45" i="4"/>
  <c r="AV45" i="4"/>
  <c r="NW44" i="4"/>
  <c r="NI44" i="4"/>
  <c r="NH44" i="4"/>
  <c r="NG44" i="4"/>
  <c r="NF44" i="4"/>
  <c r="NE44" i="4"/>
  <c r="ND44" i="4"/>
  <c r="NC44" i="4"/>
  <c r="NB44" i="4"/>
  <c r="NA44" i="4"/>
  <c r="MZ44" i="4"/>
  <c r="MY44" i="4"/>
  <c r="GY44" i="4"/>
  <c r="EV44" i="4"/>
  <c r="DS44" i="4"/>
  <c r="DA44" i="4"/>
  <c r="BB44" i="4"/>
  <c r="BA44" i="4"/>
  <c r="AZ44" i="4"/>
  <c r="AY44" i="4"/>
  <c r="AX44" i="4"/>
  <c r="AW44" i="4"/>
  <c r="AV44" i="4"/>
  <c r="NW43" i="4"/>
  <c r="NI43" i="4"/>
  <c r="NH43" i="4"/>
  <c r="NG43" i="4"/>
  <c r="NF43" i="4"/>
  <c r="NE43" i="4"/>
  <c r="ND43" i="4"/>
  <c r="NC43" i="4"/>
  <c r="NB43" i="4"/>
  <c r="NA43" i="4"/>
  <c r="MZ43" i="4"/>
  <c r="MY43" i="4"/>
  <c r="GY43" i="4"/>
  <c r="EV43" i="4"/>
  <c r="DS43" i="4"/>
  <c r="DA43" i="4"/>
  <c r="BB43" i="4"/>
  <c r="BA43" i="4"/>
  <c r="AZ43" i="4"/>
  <c r="AY43" i="4"/>
  <c r="AX43" i="4"/>
  <c r="AW43" i="4"/>
  <c r="AV43" i="4"/>
  <c r="NW42" i="4"/>
  <c r="NI42" i="4"/>
  <c r="NH42" i="4"/>
  <c r="NG42" i="4"/>
  <c r="NF42" i="4"/>
  <c r="NE42" i="4"/>
  <c r="ND42" i="4"/>
  <c r="NC42" i="4"/>
  <c r="NB42" i="4"/>
  <c r="NA42" i="4"/>
  <c r="MZ42" i="4"/>
  <c r="MY42" i="4"/>
  <c r="GY42" i="4"/>
  <c r="EV42" i="4"/>
  <c r="DS42" i="4"/>
  <c r="DA42" i="4"/>
  <c r="BB42" i="4"/>
  <c r="BA42" i="4"/>
  <c r="AZ42" i="4"/>
  <c r="AY42" i="4"/>
  <c r="AX42" i="4"/>
  <c r="AW42" i="4"/>
  <c r="AV42" i="4"/>
  <c r="NW41" i="4"/>
  <c r="NI41" i="4"/>
  <c r="NH41" i="4"/>
  <c r="NG41" i="4"/>
  <c r="NF41" i="4"/>
  <c r="NE41" i="4"/>
  <c r="ND41" i="4"/>
  <c r="NC41" i="4"/>
  <c r="NB41" i="4"/>
  <c r="NA41" i="4"/>
  <c r="MZ41" i="4"/>
  <c r="MY41" i="4"/>
  <c r="GY41" i="4"/>
  <c r="EV41" i="4"/>
  <c r="DS41" i="4"/>
  <c r="DA41" i="4"/>
  <c r="NW40" i="4"/>
  <c r="GY40" i="4"/>
  <c r="EV40" i="4"/>
  <c r="DS40" i="4"/>
  <c r="DA40" i="4"/>
  <c r="BB40" i="4"/>
  <c r="BA40" i="4"/>
  <c r="AZ40" i="4"/>
  <c r="AY40" i="4"/>
  <c r="AX40" i="4"/>
  <c r="AW40" i="4"/>
  <c r="AV40" i="4"/>
  <c r="NW39" i="4"/>
  <c r="NI39" i="4"/>
  <c r="NH39" i="4"/>
  <c r="NG39" i="4"/>
  <c r="NF39" i="4"/>
  <c r="NE39" i="4"/>
  <c r="ND39" i="4"/>
  <c r="NC39" i="4"/>
  <c r="NB39" i="4"/>
  <c r="NA39" i="4"/>
  <c r="MZ39" i="4"/>
  <c r="MY39" i="4"/>
  <c r="IE39" i="4"/>
  <c r="IE40" i="4" s="1"/>
  <c r="IE41" i="4" s="1"/>
  <c r="IE42" i="4" s="1"/>
  <c r="IE43" i="4" s="1"/>
  <c r="IE44" i="4" s="1"/>
  <c r="IE45" i="4" s="1"/>
  <c r="IE46" i="4" s="1"/>
  <c r="IE47" i="4" s="1"/>
  <c r="IE48" i="4" s="1"/>
  <c r="IE49" i="4" s="1"/>
  <c r="IE50" i="4" s="1"/>
  <c r="IE51" i="4" s="1"/>
  <c r="IE52" i="4" s="1"/>
  <c r="IE53" i="4" s="1"/>
  <c r="IE54" i="4" s="1"/>
  <c r="IE55" i="4" s="1"/>
  <c r="IE56" i="4" s="1"/>
  <c r="IE57" i="4" s="1"/>
  <c r="IE58" i="4" s="1"/>
  <c r="IE59" i="4" s="1"/>
  <c r="GY39" i="4"/>
  <c r="EV39" i="4"/>
  <c r="DS39" i="4"/>
  <c r="DA39" i="4"/>
  <c r="BB39" i="4"/>
  <c r="BA39" i="4"/>
  <c r="AZ39" i="4"/>
  <c r="AY39" i="4"/>
  <c r="AX39" i="4"/>
  <c r="AW39" i="4"/>
  <c r="AV39" i="4"/>
  <c r="NW38" i="4"/>
  <c r="NI38" i="4"/>
  <c r="NH38" i="4"/>
  <c r="NG38" i="4"/>
  <c r="NF38" i="4"/>
  <c r="NE38" i="4"/>
  <c r="ND38" i="4"/>
  <c r="NC38" i="4"/>
  <c r="NB38" i="4"/>
  <c r="NA38" i="4"/>
  <c r="MZ38" i="4"/>
  <c r="MY38" i="4"/>
  <c r="GY38" i="4"/>
  <c r="EV38" i="4"/>
  <c r="DS38" i="4"/>
  <c r="DA38" i="4"/>
  <c r="BB38" i="4"/>
  <c r="BA38" i="4"/>
  <c r="AZ38" i="4"/>
  <c r="AY38" i="4"/>
  <c r="AX38" i="4"/>
  <c r="AW38" i="4"/>
  <c r="AV38" i="4"/>
  <c r="NI37" i="4"/>
  <c r="NH37" i="4"/>
  <c r="NG37" i="4"/>
  <c r="NF37" i="4"/>
  <c r="NE37" i="4"/>
  <c r="ND37" i="4"/>
  <c r="NC37" i="4"/>
  <c r="NB37" i="4"/>
  <c r="NA37" i="4"/>
  <c r="MZ37" i="4"/>
  <c r="MY37" i="4"/>
  <c r="IO37" i="4"/>
  <c r="IO38" i="4" s="1"/>
  <c r="IO39" i="4" s="1"/>
  <c r="IO40" i="4" s="1"/>
  <c r="IO41" i="4" s="1"/>
  <c r="IO42" i="4" s="1"/>
  <c r="IO43" i="4" s="1"/>
  <c r="IO44" i="4" s="1"/>
  <c r="IO45" i="4" s="1"/>
  <c r="IO46" i="4" s="1"/>
  <c r="IO47" i="4" s="1"/>
  <c r="IO48" i="4" s="1"/>
  <c r="IO49" i="4" s="1"/>
  <c r="IO50" i="4" s="1"/>
  <c r="IO51" i="4" s="1"/>
  <c r="IO52" i="4" s="1"/>
  <c r="IO53" i="4" s="1"/>
  <c r="IO54" i="4" s="1"/>
  <c r="IO55" i="4" s="1"/>
  <c r="IO56" i="4" s="1"/>
  <c r="IO57" i="4" s="1"/>
  <c r="IO58" i="4" s="1"/>
  <c r="IO59" i="4" s="1"/>
  <c r="GY37" i="4"/>
  <c r="EV37" i="4"/>
  <c r="DS37" i="4"/>
  <c r="DA37" i="4"/>
  <c r="BB37" i="4"/>
  <c r="BA37" i="4"/>
  <c r="AZ37" i="4"/>
  <c r="AY37" i="4"/>
  <c r="AX37" i="4"/>
  <c r="AW37" i="4"/>
  <c r="AV37" i="4"/>
  <c r="NI36" i="4"/>
  <c r="NH36" i="4"/>
  <c r="NG36" i="4"/>
  <c r="NF36" i="4"/>
  <c r="NE36" i="4"/>
  <c r="ND36" i="4"/>
  <c r="NC36" i="4"/>
  <c r="NB36" i="4"/>
  <c r="NA36" i="4"/>
  <c r="MZ36" i="4"/>
  <c r="MY36" i="4"/>
  <c r="IO36" i="4"/>
  <c r="IN36" i="4"/>
  <c r="IN37" i="4" s="1"/>
  <c r="IN38" i="4" s="1"/>
  <c r="IN39" i="4" s="1"/>
  <c r="IN40" i="4" s="1"/>
  <c r="IN41" i="4" s="1"/>
  <c r="IN42" i="4" s="1"/>
  <c r="IN43" i="4" s="1"/>
  <c r="IN44" i="4" s="1"/>
  <c r="IN45" i="4" s="1"/>
  <c r="IN46" i="4" s="1"/>
  <c r="IN47" i="4" s="1"/>
  <c r="IN48" i="4" s="1"/>
  <c r="IN49" i="4" s="1"/>
  <c r="IN50" i="4" s="1"/>
  <c r="IN51" i="4" s="1"/>
  <c r="IN52" i="4" s="1"/>
  <c r="IN53" i="4" s="1"/>
  <c r="IN54" i="4" s="1"/>
  <c r="IN55" i="4" s="1"/>
  <c r="IN56" i="4" s="1"/>
  <c r="IN57" i="4" s="1"/>
  <c r="IN58" i="4" s="1"/>
  <c r="IN59" i="4" s="1"/>
  <c r="IM36" i="4"/>
  <c r="IM37" i="4" s="1"/>
  <c r="IM38" i="4" s="1"/>
  <c r="IM39" i="4" s="1"/>
  <c r="IM40" i="4" s="1"/>
  <c r="IM41" i="4" s="1"/>
  <c r="IM42" i="4" s="1"/>
  <c r="IM43" i="4" s="1"/>
  <c r="IM44" i="4" s="1"/>
  <c r="IM45" i="4" s="1"/>
  <c r="IM46" i="4" s="1"/>
  <c r="IM47" i="4" s="1"/>
  <c r="IM48" i="4" s="1"/>
  <c r="IM49" i="4" s="1"/>
  <c r="IM50" i="4" s="1"/>
  <c r="IM51" i="4" s="1"/>
  <c r="IM52" i="4" s="1"/>
  <c r="IM53" i="4" s="1"/>
  <c r="IM54" i="4" s="1"/>
  <c r="IM55" i="4" s="1"/>
  <c r="IM56" i="4" s="1"/>
  <c r="IM57" i="4" s="1"/>
  <c r="IM58" i="4" s="1"/>
  <c r="IM59" i="4" s="1"/>
  <c r="IL36" i="4"/>
  <c r="IL37" i="4" s="1"/>
  <c r="IL38" i="4" s="1"/>
  <c r="IL39" i="4" s="1"/>
  <c r="IL40" i="4" s="1"/>
  <c r="IL41" i="4" s="1"/>
  <c r="IL42" i="4" s="1"/>
  <c r="IL43" i="4" s="1"/>
  <c r="IL44" i="4" s="1"/>
  <c r="IL45" i="4" s="1"/>
  <c r="IL46" i="4" s="1"/>
  <c r="IL47" i="4" s="1"/>
  <c r="IL48" i="4" s="1"/>
  <c r="IL49" i="4" s="1"/>
  <c r="IL50" i="4" s="1"/>
  <c r="IL51" i="4" s="1"/>
  <c r="IL52" i="4" s="1"/>
  <c r="IL53" i="4" s="1"/>
  <c r="IL54" i="4" s="1"/>
  <c r="IL55" i="4" s="1"/>
  <c r="IL56" i="4" s="1"/>
  <c r="IL57" i="4" s="1"/>
  <c r="IL58" i="4" s="1"/>
  <c r="IL59" i="4" s="1"/>
  <c r="IK36" i="4"/>
  <c r="IK37" i="4" s="1"/>
  <c r="IK38" i="4" s="1"/>
  <c r="IK39" i="4" s="1"/>
  <c r="IK40" i="4" s="1"/>
  <c r="IK41" i="4" s="1"/>
  <c r="IK42" i="4" s="1"/>
  <c r="IK43" i="4" s="1"/>
  <c r="IK44" i="4" s="1"/>
  <c r="IK45" i="4" s="1"/>
  <c r="IK46" i="4" s="1"/>
  <c r="IK47" i="4" s="1"/>
  <c r="IK48" i="4" s="1"/>
  <c r="IK49" i="4" s="1"/>
  <c r="IK50" i="4" s="1"/>
  <c r="IK51" i="4" s="1"/>
  <c r="IK52" i="4" s="1"/>
  <c r="IK53" i="4" s="1"/>
  <c r="IK54" i="4" s="1"/>
  <c r="IK55" i="4" s="1"/>
  <c r="IK56" i="4" s="1"/>
  <c r="IK57" i="4" s="1"/>
  <c r="IK58" i="4" s="1"/>
  <c r="IK59" i="4" s="1"/>
  <c r="IJ36" i="4"/>
  <c r="IJ37" i="4" s="1"/>
  <c r="IJ38" i="4" s="1"/>
  <c r="IJ39" i="4" s="1"/>
  <c r="IJ40" i="4" s="1"/>
  <c r="IJ41" i="4" s="1"/>
  <c r="IJ42" i="4" s="1"/>
  <c r="IJ43" i="4" s="1"/>
  <c r="IJ44" i="4" s="1"/>
  <c r="IJ45" i="4" s="1"/>
  <c r="IJ46" i="4" s="1"/>
  <c r="IJ47" i="4" s="1"/>
  <c r="IJ48" i="4" s="1"/>
  <c r="IJ49" i="4" s="1"/>
  <c r="IJ50" i="4" s="1"/>
  <c r="IJ51" i="4" s="1"/>
  <c r="IJ52" i="4" s="1"/>
  <c r="IJ53" i="4" s="1"/>
  <c r="IJ54" i="4" s="1"/>
  <c r="IJ55" i="4" s="1"/>
  <c r="IJ56" i="4" s="1"/>
  <c r="IJ57" i="4" s="1"/>
  <c r="IJ58" i="4" s="1"/>
  <c r="IJ59" i="4" s="1"/>
  <c r="II36" i="4"/>
  <c r="II37" i="4" s="1"/>
  <c r="II38" i="4" s="1"/>
  <c r="II39" i="4" s="1"/>
  <c r="II40" i="4" s="1"/>
  <c r="II41" i="4" s="1"/>
  <c r="II42" i="4" s="1"/>
  <c r="II43" i="4" s="1"/>
  <c r="II44" i="4" s="1"/>
  <c r="II45" i="4" s="1"/>
  <c r="II46" i="4" s="1"/>
  <c r="II47" i="4" s="1"/>
  <c r="II48" i="4" s="1"/>
  <c r="II49" i="4" s="1"/>
  <c r="II50" i="4" s="1"/>
  <c r="II51" i="4" s="1"/>
  <c r="II52" i="4" s="1"/>
  <c r="II53" i="4" s="1"/>
  <c r="II54" i="4" s="1"/>
  <c r="II55" i="4" s="1"/>
  <c r="II56" i="4" s="1"/>
  <c r="II57" i="4" s="1"/>
  <c r="II58" i="4" s="1"/>
  <c r="II59" i="4" s="1"/>
  <c r="IH36" i="4"/>
  <c r="IH37" i="4" s="1"/>
  <c r="IH38" i="4" s="1"/>
  <c r="IH39" i="4" s="1"/>
  <c r="IH40" i="4" s="1"/>
  <c r="IH41" i="4" s="1"/>
  <c r="IH42" i="4" s="1"/>
  <c r="IH43" i="4" s="1"/>
  <c r="IH44" i="4" s="1"/>
  <c r="IH45" i="4" s="1"/>
  <c r="IH46" i="4" s="1"/>
  <c r="IH47" i="4" s="1"/>
  <c r="IH48" i="4" s="1"/>
  <c r="IH49" i="4" s="1"/>
  <c r="IH50" i="4" s="1"/>
  <c r="IH51" i="4" s="1"/>
  <c r="IH52" i="4" s="1"/>
  <c r="IH53" i="4" s="1"/>
  <c r="IH54" i="4" s="1"/>
  <c r="IH55" i="4" s="1"/>
  <c r="IH56" i="4" s="1"/>
  <c r="IH57" i="4" s="1"/>
  <c r="IH58" i="4" s="1"/>
  <c r="IH59" i="4" s="1"/>
  <c r="IG36" i="4"/>
  <c r="IG37" i="4" s="1"/>
  <c r="IG38" i="4" s="1"/>
  <c r="IG39" i="4" s="1"/>
  <c r="IG40" i="4" s="1"/>
  <c r="IG41" i="4" s="1"/>
  <c r="IG42" i="4" s="1"/>
  <c r="IG43" i="4" s="1"/>
  <c r="IG44" i="4" s="1"/>
  <c r="IG45" i="4" s="1"/>
  <c r="IG46" i="4" s="1"/>
  <c r="IG47" i="4" s="1"/>
  <c r="IG48" i="4" s="1"/>
  <c r="IG49" i="4" s="1"/>
  <c r="IG50" i="4" s="1"/>
  <c r="IG51" i="4" s="1"/>
  <c r="IG52" i="4" s="1"/>
  <c r="IG53" i="4" s="1"/>
  <c r="IG54" i="4" s="1"/>
  <c r="IG55" i="4" s="1"/>
  <c r="IG56" i="4" s="1"/>
  <c r="IG57" i="4" s="1"/>
  <c r="IG58" i="4" s="1"/>
  <c r="IG59" i="4" s="1"/>
  <c r="IF36" i="4"/>
  <c r="IF37" i="4" s="1"/>
  <c r="IF38" i="4" s="1"/>
  <c r="IF39" i="4" s="1"/>
  <c r="IF40" i="4" s="1"/>
  <c r="IF41" i="4" s="1"/>
  <c r="IF42" i="4" s="1"/>
  <c r="IF43" i="4" s="1"/>
  <c r="IF44" i="4" s="1"/>
  <c r="IF45" i="4" s="1"/>
  <c r="IF46" i="4" s="1"/>
  <c r="IF47" i="4" s="1"/>
  <c r="IF48" i="4" s="1"/>
  <c r="IF49" i="4" s="1"/>
  <c r="IF50" i="4" s="1"/>
  <c r="IF51" i="4" s="1"/>
  <c r="IF52" i="4" s="1"/>
  <c r="IF53" i="4" s="1"/>
  <c r="IF54" i="4" s="1"/>
  <c r="IF55" i="4" s="1"/>
  <c r="IF56" i="4" s="1"/>
  <c r="IF57" i="4" s="1"/>
  <c r="IF58" i="4" s="1"/>
  <c r="IF59" i="4" s="1"/>
  <c r="IE36" i="4"/>
  <c r="IE37" i="4" s="1"/>
  <c r="IE38" i="4" s="1"/>
  <c r="GY36" i="4"/>
  <c r="EV36" i="4"/>
  <c r="DS36" i="4"/>
  <c r="DA36" i="4"/>
  <c r="BB36" i="4"/>
  <c r="BA36" i="4"/>
  <c r="AZ36" i="4"/>
  <c r="AY36" i="4"/>
  <c r="AX36" i="4"/>
  <c r="AW36" i="4"/>
  <c r="AV36" i="4"/>
  <c r="NI35" i="4"/>
  <c r="NH35" i="4"/>
  <c r="NG35" i="4"/>
  <c r="NF35" i="4"/>
  <c r="NE35" i="4"/>
  <c r="ND35" i="4"/>
  <c r="NC35" i="4"/>
  <c r="NB35" i="4"/>
  <c r="NA35" i="4"/>
  <c r="MZ35" i="4"/>
  <c r="MY35" i="4"/>
  <c r="GY35" i="4"/>
  <c r="EV35" i="4"/>
  <c r="DS35" i="4"/>
  <c r="DA35" i="4"/>
  <c r="BB35" i="4"/>
  <c r="BA35" i="4"/>
  <c r="AZ35" i="4"/>
  <c r="AY35" i="4"/>
  <c r="AX35" i="4"/>
  <c r="AW35" i="4"/>
  <c r="AV35" i="4"/>
  <c r="NI34" i="4"/>
  <c r="NH34" i="4"/>
  <c r="NG34" i="4"/>
  <c r="NF34" i="4"/>
  <c r="NE34" i="4"/>
  <c r="ND34" i="4"/>
  <c r="NC34" i="4"/>
  <c r="NB34" i="4"/>
  <c r="NA34" i="4"/>
  <c r="MZ34" i="4"/>
  <c r="MY34" i="4"/>
  <c r="HR34" i="4"/>
  <c r="GY34" i="4"/>
  <c r="EV34" i="4"/>
  <c r="DS34" i="4"/>
  <c r="DA34" i="4"/>
  <c r="HR33" i="4"/>
  <c r="GY33" i="4"/>
  <c r="EV33" i="4"/>
  <c r="DS33" i="4"/>
  <c r="DA33" i="4"/>
  <c r="HR32" i="4"/>
  <c r="GY32" i="4"/>
  <c r="EV32" i="4"/>
  <c r="DS32" i="4"/>
  <c r="DA32" i="4"/>
  <c r="HR31" i="4"/>
  <c r="GY31" i="4"/>
  <c r="EV31" i="4"/>
  <c r="DS31" i="4"/>
  <c r="DA31" i="4"/>
  <c r="HR30" i="4"/>
  <c r="GY30" i="4"/>
  <c r="EV30" i="4"/>
  <c r="DS30" i="4"/>
  <c r="DA30" i="4"/>
  <c r="HR29" i="4"/>
  <c r="GY29" i="4"/>
  <c r="EV29" i="4"/>
  <c r="DS29" i="4"/>
  <c r="DA29" i="4"/>
  <c r="HR28" i="4"/>
  <c r="GY28" i="4"/>
  <c r="EV28" i="4"/>
  <c r="DS28" i="4"/>
  <c r="DA28" i="4"/>
  <c r="HR27" i="4"/>
  <c r="GY27" i="4"/>
  <c r="EV27" i="4"/>
  <c r="DS27" i="4"/>
  <c r="DA27" i="4"/>
  <c r="HR26" i="4"/>
  <c r="GY26" i="4"/>
  <c r="EV26" i="4"/>
  <c r="DS26" i="4"/>
  <c r="DA26" i="4"/>
  <c r="HR25" i="4"/>
  <c r="GY25" i="4"/>
  <c r="EV25" i="4"/>
  <c r="DS25" i="4"/>
  <c r="DA25" i="4"/>
  <c r="HR24" i="4"/>
  <c r="GY24" i="4"/>
  <c r="EV24" i="4"/>
  <c r="DS24" i="4"/>
  <c r="DA24" i="4"/>
  <c r="HR23" i="4"/>
  <c r="GY23" i="4"/>
  <c r="EV23" i="4"/>
  <c r="DS23" i="4"/>
  <c r="DA23" i="4"/>
  <c r="NX22" i="4"/>
  <c r="NX23" i="4" s="1"/>
  <c r="NX24" i="4" s="1"/>
  <c r="NX25" i="4" s="1"/>
  <c r="NX26" i="4" s="1"/>
  <c r="NX27" i="4" s="1"/>
  <c r="NX28" i="4" s="1"/>
  <c r="NX29" i="4" s="1"/>
  <c r="NX30" i="4" s="1"/>
  <c r="NX31" i="4" s="1"/>
  <c r="NX32" i="4" s="1"/>
  <c r="NX33" i="4" s="1"/>
  <c r="HR22" i="4"/>
  <c r="GY22" i="4"/>
  <c r="EV22" i="4"/>
  <c r="DS22" i="4"/>
  <c r="DA22" i="4"/>
  <c r="HR21" i="4"/>
  <c r="GY21" i="4"/>
  <c r="EV21" i="4"/>
  <c r="DS21" i="4"/>
  <c r="DA21" i="4"/>
  <c r="HR20" i="4"/>
  <c r="GY20" i="4"/>
  <c r="EV20" i="4"/>
  <c r="DS20" i="4"/>
  <c r="DA20" i="4"/>
  <c r="AZ20" i="4"/>
  <c r="NH19" i="4"/>
  <c r="HR19" i="4"/>
  <c r="GY19" i="4"/>
  <c r="EV19" i="4"/>
  <c r="DS19" i="4"/>
  <c r="DA19" i="4"/>
  <c r="NT18" i="4"/>
  <c r="OS18" i="4" s="1"/>
  <c r="HR18" i="4"/>
  <c r="GY18" i="4"/>
  <c r="EV18" i="4"/>
  <c r="DS18" i="4"/>
  <c r="DA18" i="4"/>
  <c r="OS17" i="4"/>
  <c r="HR17" i="4"/>
  <c r="GY17" i="4"/>
  <c r="EV17" i="4"/>
  <c r="DS17" i="4"/>
  <c r="DA17" i="4"/>
  <c r="OS16" i="4"/>
  <c r="HR16" i="4"/>
  <c r="GY16" i="4"/>
  <c r="EV16" i="4"/>
  <c r="DS16" i="4"/>
  <c r="DA16" i="4"/>
  <c r="OS15" i="4"/>
  <c r="NZ15" i="4"/>
  <c r="NZ16" i="4" s="1"/>
  <c r="NZ17" i="4" s="1"/>
  <c r="NZ18" i="4" s="1"/>
  <c r="NZ19" i="4" s="1"/>
  <c r="NZ20" i="4" s="1"/>
  <c r="NZ21" i="4" s="1"/>
  <c r="NZ22" i="4" s="1"/>
  <c r="NZ23" i="4" s="1"/>
  <c r="NZ24" i="4" s="1"/>
  <c r="NZ25" i="4" s="1"/>
  <c r="NZ26" i="4" s="1"/>
  <c r="NZ27" i="4" s="1"/>
  <c r="NZ28" i="4" s="1"/>
  <c r="NZ29" i="4" s="1"/>
  <c r="NZ30" i="4" s="1"/>
  <c r="NZ31" i="4" s="1"/>
  <c r="NZ32" i="4" s="1"/>
  <c r="NZ33" i="4" s="1"/>
  <c r="HR15" i="4"/>
  <c r="GY15" i="4"/>
  <c r="EV15" i="4"/>
  <c r="DS15" i="4"/>
  <c r="DA15" i="4"/>
  <c r="OS14" i="4"/>
  <c r="HR14" i="4"/>
  <c r="GY14" i="4"/>
  <c r="EV14" i="4"/>
  <c r="DS14" i="4"/>
  <c r="DA14" i="4"/>
  <c r="OS13" i="4"/>
  <c r="HR13" i="4"/>
  <c r="GY13" i="4"/>
  <c r="EV13" i="4"/>
  <c r="DS13" i="4"/>
  <c r="DA13" i="4"/>
  <c r="OS12" i="4"/>
  <c r="HR12" i="4"/>
  <c r="GY12" i="4"/>
  <c r="EV12" i="4"/>
  <c r="DS12" i="4"/>
  <c r="DA12" i="4"/>
  <c r="OS11" i="4"/>
  <c r="HR11" i="4"/>
  <c r="GY11" i="4"/>
  <c r="EV11" i="4"/>
  <c r="DS11" i="4"/>
  <c r="DA11" i="4"/>
  <c r="OS10" i="4"/>
  <c r="HR10" i="4"/>
  <c r="GY10" i="4"/>
  <c r="EV10" i="4"/>
  <c r="DS10" i="4"/>
  <c r="DA10" i="4"/>
  <c r="OS9" i="4"/>
  <c r="NX9" i="4"/>
  <c r="NX10" i="4" s="1"/>
  <c r="NX11" i="4" s="1"/>
  <c r="NX12" i="4" s="1"/>
  <c r="NX13" i="4" s="1"/>
  <c r="NX14" i="4" s="1"/>
  <c r="NX15" i="4" s="1"/>
  <c r="NX16" i="4" s="1"/>
  <c r="NX17" i="4" s="1"/>
  <c r="NX18" i="4" s="1"/>
  <c r="NX19" i="4" s="1"/>
  <c r="NX20" i="4" s="1"/>
  <c r="NX21" i="4" s="1"/>
  <c r="NW9" i="4"/>
  <c r="NW10" i="4" s="1"/>
  <c r="NW11" i="4" s="1"/>
  <c r="NW12" i="4" s="1"/>
  <c r="NW13" i="4" s="1"/>
  <c r="NW14" i="4" s="1"/>
  <c r="NW15" i="4" s="1"/>
  <c r="NW16" i="4" s="1"/>
  <c r="NW17" i="4" s="1"/>
  <c r="NW18" i="4" s="1"/>
  <c r="NW19" i="4" s="1"/>
  <c r="NW20" i="4" s="1"/>
  <c r="NW21" i="4" s="1"/>
  <c r="NW22" i="4" s="1"/>
  <c r="NW23" i="4" s="1"/>
  <c r="NW24" i="4" s="1"/>
  <c r="NW25" i="4" s="1"/>
  <c r="NW26" i="4" s="1"/>
  <c r="NW27" i="4" s="1"/>
  <c r="NW28" i="4" s="1"/>
  <c r="NW29" i="4" s="1"/>
  <c r="NW30" i="4" s="1"/>
  <c r="NW31" i="4" s="1"/>
  <c r="NW32" i="4" s="1"/>
  <c r="NW33" i="4" s="1"/>
  <c r="NV9" i="4"/>
  <c r="NV10" i="4" s="1"/>
  <c r="NV11" i="4" s="1"/>
  <c r="NV12" i="4" s="1"/>
  <c r="NV13" i="4" s="1"/>
  <c r="NV14" i="4" s="1"/>
  <c r="NV15" i="4" s="1"/>
  <c r="NV16" i="4" s="1"/>
  <c r="NV17" i="4" s="1"/>
  <c r="NV18" i="4" s="1"/>
  <c r="NV19" i="4" s="1"/>
  <c r="NV20" i="4" s="1"/>
  <c r="NV21" i="4" s="1"/>
  <c r="NV22" i="4" s="1"/>
  <c r="NV23" i="4" s="1"/>
  <c r="NV24" i="4" s="1"/>
  <c r="NV25" i="4" s="1"/>
  <c r="NV26" i="4" s="1"/>
  <c r="NV27" i="4" s="1"/>
  <c r="NV28" i="4" s="1"/>
  <c r="NV29" i="4" s="1"/>
  <c r="NV30" i="4" s="1"/>
  <c r="NV31" i="4" s="1"/>
  <c r="NV32" i="4" s="1"/>
  <c r="NV33" i="4" s="1"/>
  <c r="LR9" i="4"/>
  <c r="LR10" i="4" s="1"/>
  <c r="IC9" i="4"/>
  <c r="IC10" i="4" s="1"/>
  <c r="IC11" i="4" s="1"/>
  <c r="IC12" i="4" s="1"/>
  <c r="IC13" i="4" s="1"/>
  <c r="IC14" i="4" s="1"/>
  <c r="IC15" i="4" s="1"/>
  <c r="IC16" i="4" s="1"/>
  <c r="IC17" i="4" s="1"/>
  <c r="IC18" i="4" s="1"/>
  <c r="IC19" i="4" s="1"/>
  <c r="IC20" i="4" s="1"/>
  <c r="IC21" i="4" s="1"/>
  <c r="IC22" i="4" s="1"/>
  <c r="IC23" i="4" s="1"/>
  <c r="IC24" i="4" s="1"/>
  <c r="IC25" i="4" s="1"/>
  <c r="IC26" i="4" s="1"/>
  <c r="IC27" i="4" s="1"/>
  <c r="IC28" i="4" s="1"/>
  <c r="IC29" i="4" s="1"/>
  <c r="IC30" i="4" s="1"/>
  <c r="IC31" i="4" s="1"/>
  <c r="IC32" i="4" s="1"/>
  <c r="IC33" i="4" s="1"/>
  <c r="IC34" i="4" s="1"/>
  <c r="IC35" i="4" s="1"/>
  <c r="IC36" i="4" s="1"/>
  <c r="IC37" i="4" s="1"/>
  <c r="IC38" i="4" s="1"/>
  <c r="IC39" i="4" s="1"/>
  <c r="IC40" i="4" s="1"/>
  <c r="IC41" i="4" s="1"/>
  <c r="IC42" i="4" s="1"/>
  <c r="IC43" i="4" s="1"/>
  <c r="IC44" i="4" s="1"/>
  <c r="IC45" i="4" s="1"/>
  <c r="IC46" i="4" s="1"/>
  <c r="IC47" i="4" s="1"/>
  <c r="IC48" i="4" s="1"/>
  <c r="IC49" i="4" s="1"/>
  <c r="IC50" i="4" s="1"/>
  <c r="IC51" i="4" s="1"/>
  <c r="IC52" i="4" s="1"/>
  <c r="IC53" i="4" s="1"/>
  <c r="IC54" i="4" s="1"/>
  <c r="IC55" i="4" s="1"/>
  <c r="IC56" i="4" s="1"/>
  <c r="IC57" i="4" s="1"/>
  <c r="IC58" i="4" s="1"/>
  <c r="IC59" i="4" s="1"/>
  <c r="HR9" i="4"/>
  <c r="GY9" i="4"/>
  <c r="GO9" i="4"/>
  <c r="GO10" i="4" s="1"/>
  <c r="GO11" i="4" s="1"/>
  <c r="GO12" i="4" s="1"/>
  <c r="GO13" i="4" s="1"/>
  <c r="GO14" i="4" s="1"/>
  <c r="GO15" i="4" s="1"/>
  <c r="GO16" i="4" s="1"/>
  <c r="GO17" i="4" s="1"/>
  <c r="GO18" i="4" s="1"/>
  <c r="GO19" i="4" s="1"/>
  <c r="GO20" i="4" s="1"/>
  <c r="GO21" i="4" s="1"/>
  <c r="GO22" i="4" s="1"/>
  <c r="GO23" i="4" s="1"/>
  <c r="GO24" i="4" s="1"/>
  <c r="GO25" i="4" s="1"/>
  <c r="GO26" i="4" s="1"/>
  <c r="GO27" i="4" s="1"/>
  <c r="GO28" i="4" s="1"/>
  <c r="GO29" i="4" s="1"/>
  <c r="GO30" i="4" s="1"/>
  <c r="GO31" i="4" s="1"/>
  <c r="GO32" i="4" s="1"/>
  <c r="GO33" i="4" s="1"/>
  <c r="GO34" i="4" s="1"/>
  <c r="GO35" i="4" s="1"/>
  <c r="GO36" i="4" s="1"/>
  <c r="GO37" i="4" s="1"/>
  <c r="GO38" i="4" s="1"/>
  <c r="GO39" i="4" s="1"/>
  <c r="GO40" i="4" s="1"/>
  <c r="GO41" i="4" s="1"/>
  <c r="GO42" i="4" s="1"/>
  <c r="GO43" i="4" s="1"/>
  <c r="GO44" i="4" s="1"/>
  <c r="GO45" i="4" s="1"/>
  <c r="GO46" i="4" s="1"/>
  <c r="GO47" i="4" s="1"/>
  <c r="GO48" i="4" s="1"/>
  <c r="GO49" i="4" s="1"/>
  <c r="GO50" i="4" s="1"/>
  <c r="GO51" i="4" s="1"/>
  <c r="GO52" i="4" s="1"/>
  <c r="GO53" i="4" s="1"/>
  <c r="GO54" i="4" s="1"/>
  <c r="GO55" i="4" s="1"/>
  <c r="GO56" i="4" s="1"/>
  <c r="GO57" i="4" s="1"/>
  <c r="GO58" i="4" s="1"/>
  <c r="GO59" i="4" s="1"/>
  <c r="EV9" i="4"/>
  <c r="DS9" i="4"/>
  <c r="DA9" i="4"/>
  <c r="CV9" i="4"/>
  <c r="CV10" i="4" s="1"/>
  <c r="CV11" i="4" s="1"/>
  <c r="CV12" i="4" s="1"/>
  <c r="CV13" i="4" s="1"/>
  <c r="CV14" i="4" s="1"/>
  <c r="CV15" i="4" s="1"/>
  <c r="CV16" i="4" s="1"/>
  <c r="CV17" i="4" s="1"/>
  <c r="CV18" i="4" s="1"/>
  <c r="CV19" i="4" s="1"/>
  <c r="CV20" i="4" s="1"/>
  <c r="CV21" i="4" s="1"/>
  <c r="CV22" i="4" s="1"/>
  <c r="CV23" i="4" s="1"/>
  <c r="CV24" i="4" s="1"/>
  <c r="CV25" i="4" s="1"/>
  <c r="CV26" i="4" s="1"/>
  <c r="CV27" i="4" s="1"/>
  <c r="CV28" i="4" s="1"/>
  <c r="CV29" i="4" s="1"/>
  <c r="CV30" i="4" s="1"/>
  <c r="CV31" i="4" s="1"/>
  <c r="CV32" i="4" s="1"/>
  <c r="CV33" i="4" s="1"/>
  <c r="CV34" i="4" s="1"/>
  <c r="CV35" i="4" s="1"/>
  <c r="CV36" i="4" s="1"/>
  <c r="CV37" i="4" s="1"/>
  <c r="CV38" i="4" s="1"/>
  <c r="CV39" i="4" s="1"/>
  <c r="CV40" i="4" s="1"/>
  <c r="CV41" i="4" s="1"/>
  <c r="CV42" i="4" s="1"/>
  <c r="CV43" i="4" s="1"/>
  <c r="CV44" i="4" s="1"/>
  <c r="CV45" i="4" s="1"/>
  <c r="CV46" i="4" s="1"/>
  <c r="CV47" i="4" s="1"/>
  <c r="CV48" i="4" s="1"/>
  <c r="CV49" i="4" s="1"/>
  <c r="CV50" i="4" s="1"/>
  <c r="CV51" i="4" s="1"/>
  <c r="CV52" i="4" s="1"/>
  <c r="CV53" i="4" s="1"/>
  <c r="CV54" i="4" s="1"/>
  <c r="CV55" i="4" s="1"/>
  <c r="CV56" i="4" s="1"/>
  <c r="CV57" i="4" s="1"/>
  <c r="CV58" i="4" s="1"/>
  <c r="CV59" i="4" s="1"/>
  <c r="CT9" i="4"/>
  <c r="CT10" i="4" s="1"/>
  <c r="CT11" i="4" s="1"/>
  <c r="CT12" i="4" s="1"/>
  <c r="CT13" i="4" s="1"/>
  <c r="CT14" i="4" s="1"/>
  <c r="CT15" i="4" s="1"/>
  <c r="CT16" i="4" s="1"/>
  <c r="CT17" i="4" s="1"/>
  <c r="CT18" i="4" s="1"/>
  <c r="CT19" i="4" s="1"/>
  <c r="CT20" i="4" s="1"/>
  <c r="CT21" i="4" s="1"/>
  <c r="CT22" i="4" s="1"/>
  <c r="CT23" i="4" s="1"/>
  <c r="CT24" i="4" s="1"/>
  <c r="CT25" i="4" s="1"/>
  <c r="CT26" i="4" s="1"/>
  <c r="CT27" i="4" s="1"/>
  <c r="CT28" i="4" s="1"/>
  <c r="CT29" i="4" s="1"/>
  <c r="CT30" i="4" s="1"/>
  <c r="CT31" i="4" s="1"/>
  <c r="CT32" i="4" s="1"/>
  <c r="CT33" i="4" s="1"/>
  <c r="CT34" i="4" s="1"/>
  <c r="CT35" i="4" s="1"/>
  <c r="CT36" i="4" s="1"/>
  <c r="CT37" i="4" s="1"/>
  <c r="CT38" i="4" s="1"/>
  <c r="CT39" i="4" s="1"/>
  <c r="CT40" i="4" s="1"/>
  <c r="CT41" i="4" s="1"/>
  <c r="CT42" i="4" s="1"/>
  <c r="CT43" i="4" s="1"/>
  <c r="CT44" i="4" s="1"/>
  <c r="CT45" i="4" s="1"/>
  <c r="CT46" i="4" s="1"/>
  <c r="CT47" i="4" s="1"/>
  <c r="CT48" i="4" s="1"/>
  <c r="CT49" i="4" s="1"/>
  <c r="CT50" i="4" s="1"/>
  <c r="CT51" i="4" s="1"/>
  <c r="CT52" i="4" s="1"/>
  <c r="CT53" i="4" s="1"/>
  <c r="CT54" i="4" s="1"/>
  <c r="CT55" i="4" s="1"/>
  <c r="CT56" i="4" s="1"/>
  <c r="CT57" i="4" s="1"/>
  <c r="CT58" i="4" s="1"/>
  <c r="CT59" i="4" s="1"/>
  <c r="CL9" i="4"/>
  <c r="CL10" i="4" s="1"/>
  <c r="CL11" i="4" s="1"/>
  <c r="CL12" i="4" s="1"/>
  <c r="CL13" i="4" s="1"/>
  <c r="CL14" i="4" s="1"/>
  <c r="CL15" i="4" s="1"/>
  <c r="CL16" i="4" s="1"/>
  <c r="CL17" i="4" s="1"/>
  <c r="CL18" i="4" s="1"/>
  <c r="CL19" i="4" s="1"/>
  <c r="CL20" i="4" s="1"/>
  <c r="CL21" i="4" s="1"/>
  <c r="CL22" i="4" s="1"/>
  <c r="CL23" i="4" s="1"/>
  <c r="CL24" i="4" s="1"/>
  <c r="CL25" i="4" s="1"/>
  <c r="CL26" i="4" s="1"/>
  <c r="CL27" i="4" s="1"/>
  <c r="CL28" i="4" s="1"/>
  <c r="CL29" i="4" s="1"/>
  <c r="CL30" i="4" s="1"/>
  <c r="CL31" i="4" s="1"/>
  <c r="CL32" i="4" s="1"/>
  <c r="CL33" i="4" s="1"/>
  <c r="CL34" i="4" s="1"/>
  <c r="CL35" i="4" s="1"/>
  <c r="CL36" i="4" s="1"/>
  <c r="CL37" i="4" s="1"/>
  <c r="CL38" i="4" s="1"/>
  <c r="CL39" i="4" s="1"/>
  <c r="CL40" i="4" s="1"/>
  <c r="CL41" i="4" s="1"/>
  <c r="CL42" i="4" s="1"/>
  <c r="CL43" i="4" s="1"/>
  <c r="CL44" i="4" s="1"/>
  <c r="CL45" i="4" s="1"/>
  <c r="CL46" i="4" s="1"/>
  <c r="CL47" i="4" s="1"/>
  <c r="CL48" i="4" s="1"/>
  <c r="CL49" i="4" s="1"/>
  <c r="CL50" i="4" s="1"/>
  <c r="CL51" i="4" s="1"/>
  <c r="CL52" i="4" s="1"/>
  <c r="CL53" i="4" s="1"/>
  <c r="CL54" i="4" s="1"/>
  <c r="CL55" i="4" s="1"/>
  <c r="CL56" i="4" s="1"/>
  <c r="CL57" i="4" s="1"/>
  <c r="CL58" i="4" s="1"/>
  <c r="CL59" i="4" s="1"/>
  <c r="S9" i="4"/>
  <c r="AF9" i="4" s="1"/>
  <c r="K9" i="4"/>
  <c r="AD9" i="4" s="1"/>
  <c r="OS8" i="4"/>
  <c r="OF8" i="4"/>
  <c r="OF9" i="4" s="1"/>
  <c r="OF10" i="4" s="1"/>
  <c r="OF11" i="4" s="1"/>
  <c r="OF12" i="4" s="1"/>
  <c r="OF13" i="4" s="1"/>
  <c r="OF14" i="4" s="1"/>
  <c r="OF15" i="4" s="1"/>
  <c r="OF16" i="4" s="1"/>
  <c r="OF17" i="4" s="1"/>
  <c r="OF18" i="4" s="1"/>
  <c r="OF19" i="4" s="1"/>
  <c r="OF20" i="4" s="1"/>
  <c r="OF21" i="4" s="1"/>
  <c r="OF22" i="4" s="1"/>
  <c r="OF23" i="4" s="1"/>
  <c r="OF24" i="4" s="1"/>
  <c r="OF25" i="4" s="1"/>
  <c r="OF26" i="4" s="1"/>
  <c r="OF27" i="4" s="1"/>
  <c r="OF28" i="4" s="1"/>
  <c r="OF29" i="4" s="1"/>
  <c r="OF30" i="4" s="1"/>
  <c r="OF31" i="4" s="1"/>
  <c r="OF32" i="4" s="1"/>
  <c r="OF33" i="4" s="1"/>
  <c r="OE8" i="4"/>
  <c r="OE9" i="4" s="1"/>
  <c r="OE10" i="4" s="1"/>
  <c r="OE11" i="4" s="1"/>
  <c r="OE12" i="4" s="1"/>
  <c r="OE13" i="4" s="1"/>
  <c r="OE14" i="4" s="1"/>
  <c r="OE15" i="4" s="1"/>
  <c r="OE16" i="4" s="1"/>
  <c r="OE17" i="4" s="1"/>
  <c r="OE18" i="4" s="1"/>
  <c r="OE19" i="4" s="1"/>
  <c r="OE20" i="4" s="1"/>
  <c r="OE21" i="4" s="1"/>
  <c r="OE22" i="4" s="1"/>
  <c r="OE23" i="4" s="1"/>
  <c r="OE24" i="4" s="1"/>
  <c r="OE25" i="4" s="1"/>
  <c r="OE26" i="4" s="1"/>
  <c r="OE27" i="4" s="1"/>
  <c r="OE28" i="4" s="1"/>
  <c r="OE29" i="4" s="1"/>
  <c r="OE30" i="4" s="1"/>
  <c r="OE31" i="4" s="1"/>
  <c r="OE32" i="4" s="1"/>
  <c r="OE33" i="4" s="1"/>
  <c r="OD8" i="4"/>
  <c r="OD9" i="4" s="1"/>
  <c r="OD10" i="4" s="1"/>
  <c r="OD11" i="4" s="1"/>
  <c r="OD12" i="4" s="1"/>
  <c r="OD13" i="4" s="1"/>
  <c r="OD14" i="4" s="1"/>
  <c r="OD15" i="4" s="1"/>
  <c r="OD16" i="4" s="1"/>
  <c r="OD17" i="4" s="1"/>
  <c r="OD18" i="4" s="1"/>
  <c r="OD19" i="4" s="1"/>
  <c r="OD20" i="4" s="1"/>
  <c r="OD21" i="4" s="1"/>
  <c r="OD22" i="4" s="1"/>
  <c r="OD23" i="4" s="1"/>
  <c r="OD24" i="4" s="1"/>
  <c r="OD25" i="4" s="1"/>
  <c r="OD26" i="4" s="1"/>
  <c r="OD27" i="4" s="1"/>
  <c r="OD28" i="4" s="1"/>
  <c r="OD29" i="4" s="1"/>
  <c r="OD30" i="4" s="1"/>
  <c r="OD31" i="4" s="1"/>
  <c r="OD32" i="4" s="1"/>
  <c r="OD33" i="4" s="1"/>
  <c r="OC8" i="4"/>
  <c r="OC9" i="4" s="1"/>
  <c r="OC10" i="4" s="1"/>
  <c r="OC11" i="4" s="1"/>
  <c r="OC12" i="4" s="1"/>
  <c r="OC13" i="4" s="1"/>
  <c r="OC14" i="4" s="1"/>
  <c r="OC15" i="4" s="1"/>
  <c r="OC16" i="4" s="1"/>
  <c r="OC17" i="4" s="1"/>
  <c r="OC18" i="4" s="1"/>
  <c r="OC19" i="4" s="1"/>
  <c r="OC20" i="4" s="1"/>
  <c r="OC21" i="4" s="1"/>
  <c r="OC22" i="4" s="1"/>
  <c r="OC23" i="4" s="1"/>
  <c r="OC24" i="4" s="1"/>
  <c r="OC25" i="4" s="1"/>
  <c r="OC26" i="4" s="1"/>
  <c r="OC27" i="4" s="1"/>
  <c r="OC28" i="4" s="1"/>
  <c r="OC29" i="4" s="1"/>
  <c r="OC30" i="4" s="1"/>
  <c r="OC31" i="4" s="1"/>
  <c r="OC32" i="4" s="1"/>
  <c r="OC33" i="4" s="1"/>
  <c r="OB8" i="4"/>
  <c r="OB9" i="4" s="1"/>
  <c r="OB10" i="4" s="1"/>
  <c r="OB11" i="4" s="1"/>
  <c r="OB12" i="4" s="1"/>
  <c r="OB13" i="4" s="1"/>
  <c r="OB14" i="4" s="1"/>
  <c r="OB15" i="4" s="1"/>
  <c r="OB16" i="4" s="1"/>
  <c r="OB17" i="4" s="1"/>
  <c r="OB18" i="4" s="1"/>
  <c r="OB19" i="4" s="1"/>
  <c r="OB20" i="4" s="1"/>
  <c r="OB21" i="4" s="1"/>
  <c r="OB22" i="4" s="1"/>
  <c r="OB23" i="4" s="1"/>
  <c r="OB24" i="4" s="1"/>
  <c r="OB25" i="4" s="1"/>
  <c r="OB26" i="4" s="1"/>
  <c r="OB27" i="4" s="1"/>
  <c r="OB28" i="4" s="1"/>
  <c r="OB29" i="4" s="1"/>
  <c r="OB30" i="4" s="1"/>
  <c r="OB31" i="4" s="1"/>
  <c r="OB32" i="4" s="1"/>
  <c r="OB33" i="4" s="1"/>
  <c r="OA8" i="4"/>
  <c r="OA9" i="4" s="1"/>
  <c r="OA10" i="4" s="1"/>
  <c r="OA11" i="4" s="1"/>
  <c r="OA12" i="4" s="1"/>
  <c r="OA13" i="4" s="1"/>
  <c r="OA14" i="4" s="1"/>
  <c r="OA15" i="4" s="1"/>
  <c r="OA16" i="4" s="1"/>
  <c r="OA17" i="4" s="1"/>
  <c r="OA18" i="4" s="1"/>
  <c r="OA19" i="4" s="1"/>
  <c r="OA20" i="4" s="1"/>
  <c r="OA21" i="4" s="1"/>
  <c r="OA22" i="4" s="1"/>
  <c r="OA23" i="4" s="1"/>
  <c r="OA24" i="4" s="1"/>
  <c r="OA25" i="4" s="1"/>
  <c r="OA26" i="4" s="1"/>
  <c r="OA27" i="4" s="1"/>
  <c r="OA28" i="4" s="1"/>
  <c r="OA29" i="4" s="1"/>
  <c r="OA30" i="4" s="1"/>
  <c r="OA31" i="4" s="1"/>
  <c r="OA32" i="4" s="1"/>
  <c r="OA33" i="4" s="1"/>
  <c r="NZ8" i="4"/>
  <c r="NZ9" i="4" s="1"/>
  <c r="NZ10" i="4" s="1"/>
  <c r="NZ11" i="4" s="1"/>
  <c r="NZ12" i="4" s="1"/>
  <c r="NZ13" i="4" s="1"/>
  <c r="NZ14" i="4" s="1"/>
  <c r="NY8" i="4"/>
  <c r="NY9" i="4" s="1"/>
  <c r="NY10" i="4" s="1"/>
  <c r="NY11" i="4" s="1"/>
  <c r="NY12" i="4" s="1"/>
  <c r="NY13" i="4" s="1"/>
  <c r="NY14" i="4" s="1"/>
  <c r="NY15" i="4" s="1"/>
  <c r="NY16" i="4" s="1"/>
  <c r="NY17" i="4" s="1"/>
  <c r="NY18" i="4" s="1"/>
  <c r="NY19" i="4" s="1"/>
  <c r="NY20" i="4" s="1"/>
  <c r="NY21" i="4" s="1"/>
  <c r="NY22" i="4" s="1"/>
  <c r="NY23" i="4" s="1"/>
  <c r="NY24" i="4" s="1"/>
  <c r="NY25" i="4" s="1"/>
  <c r="NY26" i="4" s="1"/>
  <c r="NY27" i="4" s="1"/>
  <c r="NY28" i="4" s="1"/>
  <c r="NY29" i="4" s="1"/>
  <c r="NY30" i="4" s="1"/>
  <c r="NY31" i="4" s="1"/>
  <c r="NY32" i="4" s="1"/>
  <c r="NY33" i="4" s="1"/>
  <c r="NX8" i="4"/>
  <c r="NW8" i="4"/>
  <c r="NV8" i="4"/>
  <c r="ML8" i="4"/>
  <c r="NU8" i="4" s="1"/>
  <c r="OT8" i="4" s="1"/>
  <c r="MK8" i="4"/>
  <c r="MJ8" i="4"/>
  <c r="MG8" i="4"/>
  <c r="MF8" i="4"/>
  <c r="LZ8" i="4"/>
  <c r="LV8" i="4"/>
  <c r="LV9" i="4" s="1"/>
  <c r="LV10" i="4" s="1"/>
  <c r="LR8" i="4"/>
  <c r="LN8" i="4"/>
  <c r="LN9" i="4" s="1"/>
  <c r="LJ8" i="4"/>
  <c r="MH8" i="4" s="1"/>
  <c r="LF8" i="4"/>
  <c r="LF9" i="4" s="1"/>
  <c r="LB8" i="4"/>
  <c r="KX8" i="4"/>
  <c r="KX9" i="4" s="1"/>
  <c r="KT8" i="4"/>
  <c r="KT9" i="4" s="1"/>
  <c r="KP8" i="4"/>
  <c r="JZ8" i="4"/>
  <c r="HR8" i="4"/>
  <c r="HN8" i="4"/>
  <c r="HN9" i="4" s="1"/>
  <c r="HN10" i="4" s="1"/>
  <c r="HN11" i="4" s="1"/>
  <c r="HN12" i="4" s="1"/>
  <c r="HN13" i="4" s="1"/>
  <c r="HN14" i="4" s="1"/>
  <c r="HN15" i="4" s="1"/>
  <c r="HN16" i="4" s="1"/>
  <c r="HN17" i="4" s="1"/>
  <c r="HN18" i="4" s="1"/>
  <c r="HN19" i="4" s="1"/>
  <c r="HN20" i="4" s="1"/>
  <c r="HN21" i="4" s="1"/>
  <c r="HN22" i="4" s="1"/>
  <c r="HN23" i="4" s="1"/>
  <c r="HN24" i="4" s="1"/>
  <c r="HN25" i="4" s="1"/>
  <c r="HN26" i="4" s="1"/>
  <c r="HN27" i="4" s="1"/>
  <c r="HN28" i="4" s="1"/>
  <c r="HN29" i="4" s="1"/>
  <c r="HN30" i="4" s="1"/>
  <c r="HN31" i="4" s="1"/>
  <c r="HN32" i="4" s="1"/>
  <c r="HN33" i="4" s="1"/>
  <c r="HN34" i="4" s="1"/>
  <c r="HM8" i="4"/>
  <c r="HM9" i="4" s="1"/>
  <c r="HM10" i="4" s="1"/>
  <c r="HM11" i="4" s="1"/>
  <c r="HM12" i="4" s="1"/>
  <c r="HM13" i="4" s="1"/>
  <c r="HM14" i="4" s="1"/>
  <c r="HM15" i="4" s="1"/>
  <c r="HM16" i="4" s="1"/>
  <c r="HM17" i="4" s="1"/>
  <c r="HM18" i="4" s="1"/>
  <c r="HM19" i="4" s="1"/>
  <c r="HM20" i="4" s="1"/>
  <c r="HM21" i="4" s="1"/>
  <c r="HM22" i="4" s="1"/>
  <c r="HM23" i="4" s="1"/>
  <c r="HM24" i="4" s="1"/>
  <c r="HM25" i="4" s="1"/>
  <c r="HM26" i="4" s="1"/>
  <c r="HM27" i="4" s="1"/>
  <c r="HM28" i="4" s="1"/>
  <c r="HM29" i="4" s="1"/>
  <c r="HM30" i="4" s="1"/>
  <c r="HM31" i="4" s="1"/>
  <c r="HM32" i="4" s="1"/>
  <c r="HM33" i="4" s="1"/>
  <c r="HM34" i="4" s="1"/>
  <c r="HL8" i="4"/>
  <c r="HL9" i="4" s="1"/>
  <c r="HL10" i="4" s="1"/>
  <c r="HL11" i="4" s="1"/>
  <c r="HL12" i="4" s="1"/>
  <c r="HL13" i="4" s="1"/>
  <c r="HL14" i="4" s="1"/>
  <c r="HL15" i="4" s="1"/>
  <c r="HL16" i="4" s="1"/>
  <c r="HL17" i="4" s="1"/>
  <c r="HL18" i="4" s="1"/>
  <c r="HL19" i="4" s="1"/>
  <c r="HL20" i="4" s="1"/>
  <c r="HL21" i="4" s="1"/>
  <c r="HL22" i="4" s="1"/>
  <c r="HL23" i="4" s="1"/>
  <c r="HL24" i="4" s="1"/>
  <c r="HL25" i="4" s="1"/>
  <c r="HL26" i="4" s="1"/>
  <c r="HL27" i="4" s="1"/>
  <c r="HL28" i="4" s="1"/>
  <c r="HL29" i="4" s="1"/>
  <c r="HL30" i="4" s="1"/>
  <c r="HL31" i="4" s="1"/>
  <c r="HL32" i="4" s="1"/>
  <c r="HL33" i="4" s="1"/>
  <c r="HL34" i="4" s="1"/>
  <c r="HK8" i="4"/>
  <c r="HK9" i="4" s="1"/>
  <c r="HK10" i="4" s="1"/>
  <c r="HK11" i="4" s="1"/>
  <c r="HK12" i="4" s="1"/>
  <c r="HK13" i="4" s="1"/>
  <c r="HK14" i="4" s="1"/>
  <c r="HK15" i="4" s="1"/>
  <c r="HK16" i="4" s="1"/>
  <c r="HK17" i="4" s="1"/>
  <c r="HK18" i="4" s="1"/>
  <c r="HK19" i="4" s="1"/>
  <c r="HK20" i="4" s="1"/>
  <c r="HK21" i="4" s="1"/>
  <c r="HK22" i="4" s="1"/>
  <c r="HK23" i="4" s="1"/>
  <c r="HK24" i="4" s="1"/>
  <c r="HK25" i="4" s="1"/>
  <c r="HK26" i="4" s="1"/>
  <c r="HK27" i="4" s="1"/>
  <c r="HK28" i="4" s="1"/>
  <c r="HK29" i="4" s="1"/>
  <c r="HK30" i="4" s="1"/>
  <c r="HK31" i="4" s="1"/>
  <c r="HK32" i="4" s="1"/>
  <c r="HK33" i="4" s="1"/>
  <c r="HK34" i="4" s="1"/>
  <c r="HJ8" i="4"/>
  <c r="HJ9" i="4" s="1"/>
  <c r="HJ10" i="4" s="1"/>
  <c r="HJ11" i="4" s="1"/>
  <c r="HJ12" i="4" s="1"/>
  <c r="HJ13" i="4" s="1"/>
  <c r="HJ14" i="4" s="1"/>
  <c r="HJ15" i="4" s="1"/>
  <c r="HJ16" i="4" s="1"/>
  <c r="HJ17" i="4" s="1"/>
  <c r="HJ18" i="4" s="1"/>
  <c r="HJ19" i="4" s="1"/>
  <c r="HJ20" i="4" s="1"/>
  <c r="HJ21" i="4" s="1"/>
  <c r="HJ22" i="4" s="1"/>
  <c r="HJ23" i="4" s="1"/>
  <c r="HJ24" i="4" s="1"/>
  <c r="HJ25" i="4" s="1"/>
  <c r="HJ26" i="4" s="1"/>
  <c r="HJ27" i="4" s="1"/>
  <c r="HJ28" i="4" s="1"/>
  <c r="HJ29" i="4" s="1"/>
  <c r="HJ30" i="4" s="1"/>
  <c r="HJ31" i="4" s="1"/>
  <c r="HJ32" i="4" s="1"/>
  <c r="HJ33" i="4" s="1"/>
  <c r="HJ34" i="4" s="1"/>
  <c r="HI8" i="4"/>
  <c r="HI9" i="4" s="1"/>
  <c r="HI10" i="4" s="1"/>
  <c r="HI11" i="4" s="1"/>
  <c r="HI12" i="4" s="1"/>
  <c r="HI13" i="4" s="1"/>
  <c r="HI14" i="4" s="1"/>
  <c r="HI15" i="4" s="1"/>
  <c r="HI16" i="4" s="1"/>
  <c r="HI17" i="4" s="1"/>
  <c r="HI18" i="4" s="1"/>
  <c r="HI19" i="4" s="1"/>
  <c r="HI20" i="4" s="1"/>
  <c r="HI21" i="4" s="1"/>
  <c r="HI22" i="4" s="1"/>
  <c r="HI23" i="4" s="1"/>
  <c r="HI24" i="4" s="1"/>
  <c r="HI25" i="4" s="1"/>
  <c r="HI26" i="4" s="1"/>
  <c r="HI27" i="4" s="1"/>
  <c r="HI28" i="4" s="1"/>
  <c r="HI29" i="4" s="1"/>
  <c r="HI30" i="4" s="1"/>
  <c r="HI31" i="4" s="1"/>
  <c r="HI32" i="4" s="1"/>
  <c r="HI33" i="4" s="1"/>
  <c r="HI34" i="4" s="1"/>
  <c r="HH8" i="4"/>
  <c r="HH9" i="4" s="1"/>
  <c r="HH10" i="4" s="1"/>
  <c r="HH11" i="4" s="1"/>
  <c r="HH12" i="4" s="1"/>
  <c r="HH13" i="4" s="1"/>
  <c r="HH14" i="4" s="1"/>
  <c r="HH15" i="4" s="1"/>
  <c r="HH16" i="4" s="1"/>
  <c r="HH17" i="4" s="1"/>
  <c r="HH18" i="4" s="1"/>
  <c r="HH19" i="4" s="1"/>
  <c r="HH20" i="4" s="1"/>
  <c r="HH21" i="4" s="1"/>
  <c r="HH22" i="4" s="1"/>
  <c r="HH23" i="4" s="1"/>
  <c r="HH24" i="4" s="1"/>
  <c r="HH25" i="4" s="1"/>
  <c r="HH26" i="4" s="1"/>
  <c r="HH27" i="4" s="1"/>
  <c r="HH28" i="4" s="1"/>
  <c r="HH29" i="4" s="1"/>
  <c r="HH30" i="4" s="1"/>
  <c r="HH31" i="4" s="1"/>
  <c r="HH32" i="4" s="1"/>
  <c r="HH33" i="4" s="1"/>
  <c r="HH34" i="4" s="1"/>
  <c r="HG8" i="4"/>
  <c r="HG9" i="4" s="1"/>
  <c r="HG10" i="4" s="1"/>
  <c r="HG11" i="4" s="1"/>
  <c r="HG12" i="4" s="1"/>
  <c r="HG13" i="4" s="1"/>
  <c r="HG14" i="4" s="1"/>
  <c r="HG15" i="4" s="1"/>
  <c r="HG16" i="4" s="1"/>
  <c r="HG17" i="4" s="1"/>
  <c r="HG18" i="4" s="1"/>
  <c r="HG19" i="4" s="1"/>
  <c r="HG20" i="4" s="1"/>
  <c r="HG21" i="4" s="1"/>
  <c r="HG22" i="4" s="1"/>
  <c r="HG23" i="4" s="1"/>
  <c r="HG24" i="4" s="1"/>
  <c r="HG25" i="4" s="1"/>
  <c r="HG26" i="4" s="1"/>
  <c r="HG27" i="4" s="1"/>
  <c r="HG28" i="4" s="1"/>
  <c r="HG29" i="4" s="1"/>
  <c r="HG30" i="4" s="1"/>
  <c r="HG31" i="4" s="1"/>
  <c r="HG32" i="4" s="1"/>
  <c r="HG33" i="4" s="1"/>
  <c r="HG34" i="4" s="1"/>
  <c r="HF8" i="4"/>
  <c r="HF9" i="4" s="1"/>
  <c r="HF10" i="4" s="1"/>
  <c r="HF11" i="4" s="1"/>
  <c r="HF12" i="4" s="1"/>
  <c r="HF13" i="4" s="1"/>
  <c r="HF14" i="4" s="1"/>
  <c r="HF15" i="4" s="1"/>
  <c r="HF16" i="4" s="1"/>
  <c r="HF17" i="4" s="1"/>
  <c r="HF18" i="4" s="1"/>
  <c r="HF19" i="4" s="1"/>
  <c r="HF20" i="4" s="1"/>
  <c r="HF21" i="4" s="1"/>
  <c r="HF22" i="4" s="1"/>
  <c r="HF23" i="4" s="1"/>
  <c r="HF24" i="4" s="1"/>
  <c r="HF25" i="4" s="1"/>
  <c r="HF26" i="4" s="1"/>
  <c r="HF27" i="4" s="1"/>
  <c r="HF28" i="4" s="1"/>
  <c r="HF29" i="4" s="1"/>
  <c r="HF30" i="4" s="1"/>
  <c r="HF31" i="4" s="1"/>
  <c r="HF32" i="4" s="1"/>
  <c r="HF33" i="4" s="1"/>
  <c r="HF34" i="4" s="1"/>
  <c r="HE8" i="4"/>
  <c r="HE9" i="4" s="1"/>
  <c r="HE10" i="4" s="1"/>
  <c r="HE11" i="4" s="1"/>
  <c r="HE12" i="4" s="1"/>
  <c r="HE13" i="4" s="1"/>
  <c r="HE14" i="4" s="1"/>
  <c r="HE15" i="4" s="1"/>
  <c r="HE16" i="4" s="1"/>
  <c r="HE17" i="4" s="1"/>
  <c r="HE18" i="4" s="1"/>
  <c r="HE19" i="4" s="1"/>
  <c r="HE20" i="4" s="1"/>
  <c r="HE21" i="4" s="1"/>
  <c r="HE22" i="4" s="1"/>
  <c r="HE23" i="4" s="1"/>
  <c r="HE24" i="4" s="1"/>
  <c r="HE25" i="4" s="1"/>
  <c r="HE26" i="4" s="1"/>
  <c r="HE27" i="4" s="1"/>
  <c r="HE28" i="4" s="1"/>
  <c r="HE29" i="4" s="1"/>
  <c r="HE30" i="4" s="1"/>
  <c r="HE31" i="4" s="1"/>
  <c r="HE32" i="4" s="1"/>
  <c r="HE33" i="4" s="1"/>
  <c r="HE34" i="4" s="1"/>
  <c r="HD8" i="4"/>
  <c r="HD9" i="4" s="1"/>
  <c r="HD10" i="4" s="1"/>
  <c r="HD11" i="4" s="1"/>
  <c r="HD12" i="4" s="1"/>
  <c r="HD13" i="4" s="1"/>
  <c r="HD14" i="4" s="1"/>
  <c r="HD15" i="4" s="1"/>
  <c r="HD16" i="4" s="1"/>
  <c r="HD17" i="4" s="1"/>
  <c r="HD18" i="4" s="1"/>
  <c r="HD19" i="4" s="1"/>
  <c r="HD20" i="4" s="1"/>
  <c r="HD21" i="4" s="1"/>
  <c r="HD22" i="4" s="1"/>
  <c r="HD23" i="4" s="1"/>
  <c r="HD24" i="4" s="1"/>
  <c r="HD25" i="4" s="1"/>
  <c r="HD26" i="4" s="1"/>
  <c r="HD27" i="4" s="1"/>
  <c r="HD28" i="4" s="1"/>
  <c r="HD29" i="4" s="1"/>
  <c r="HD30" i="4" s="1"/>
  <c r="HD31" i="4" s="1"/>
  <c r="HD32" i="4" s="1"/>
  <c r="HD33" i="4" s="1"/>
  <c r="HD34" i="4" s="1"/>
  <c r="GY8" i="4"/>
  <c r="GV8" i="4"/>
  <c r="GV9" i="4" s="1"/>
  <c r="GV10" i="4" s="1"/>
  <c r="GV11" i="4" s="1"/>
  <c r="GV12" i="4" s="1"/>
  <c r="GV13" i="4" s="1"/>
  <c r="GV14" i="4" s="1"/>
  <c r="GV15" i="4" s="1"/>
  <c r="GV16" i="4" s="1"/>
  <c r="GV17" i="4" s="1"/>
  <c r="GV18" i="4" s="1"/>
  <c r="GV19" i="4" s="1"/>
  <c r="GV20" i="4" s="1"/>
  <c r="GV21" i="4" s="1"/>
  <c r="GV22" i="4" s="1"/>
  <c r="GV23" i="4" s="1"/>
  <c r="GV24" i="4" s="1"/>
  <c r="GV25" i="4" s="1"/>
  <c r="GV26" i="4" s="1"/>
  <c r="GV27" i="4" s="1"/>
  <c r="GV28" i="4" s="1"/>
  <c r="GV29" i="4" s="1"/>
  <c r="GV30" i="4" s="1"/>
  <c r="GV31" i="4" s="1"/>
  <c r="GV32" i="4" s="1"/>
  <c r="GV33" i="4" s="1"/>
  <c r="GV34" i="4" s="1"/>
  <c r="GV35" i="4" s="1"/>
  <c r="GV36" i="4" s="1"/>
  <c r="GV37" i="4" s="1"/>
  <c r="GV38" i="4" s="1"/>
  <c r="GV39" i="4" s="1"/>
  <c r="GV40" i="4" s="1"/>
  <c r="GV41" i="4" s="1"/>
  <c r="GV42" i="4" s="1"/>
  <c r="GV43" i="4" s="1"/>
  <c r="GV44" i="4" s="1"/>
  <c r="GV45" i="4" s="1"/>
  <c r="GV46" i="4" s="1"/>
  <c r="GV47" i="4" s="1"/>
  <c r="GV48" i="4" s="1"/>
  <c r="GV49" i="4" s="1"/>
  <c r="GV50" i="4" s="1"/>
  <c r="GV51" i="4" s="1"/>
  <c r="GV52" i="4" s="1"/>
  <c r="GV53" i="4" s="1"/>
  <c r="GV54" i="4" s="1"/>
  <c r="GV55" i="4" s="1"/>
  <c r="GV56" i="4" s="1"/>
  <c r="GV57" i="4" s="1"/>
  <c r="GV58" i="4" s="1"/>
  <c r="GV59" i="4" s="1"/>
  <c r="GU8" i="4"/>
  <c r="GU9" i="4" s="1"/>
  <c r="GU10" i="4" s="1"/>
  <c r="GU11" i="4" s="1"/>
  <c r="GU12" i="4" s="1"/>
  <c r="GU13" i="4" s="1"/>
  <c r="GU14" i="4" s="1"/>
  <c r="GU15" i="4" s="1"/>
  <c r="GU16" i="4" s="1"/>
  <c r="GU17" i="4" s="1"/>
  <c r="GU18" i="4" s="1"/>
  <c r="GU19" i="4" s="1"/>
  <c r="GU20" i="4" s="1"/>
  <c r="GU21" i="4" s="1"/>
  <c r="GU22" i="4" s="1"/>
  <c r="GU23" i="4" s="1"/>
  <c r="GU24" i="4" s="1"/>
  <c r="GU25" i="4" s="1"/>
  <c r="GU26" i="4" s="1"/>
  <c r="GU27" i="4" s="1"/>
  <c r="GU28" i="4" s="1"/>
  <c r="GU29" i="4" s="1"/>
  <c r="GU30" i="4" s="1"/>
  <c r="GU31" i="4" s="1"/>
  <c r="GU32" i="4" s="1"/>
  <c r="GU33" i="4" s="1"/>
  <c r="GU34" i="4" s="1"/>
  <c r="GU35" i="4" s="1"/>
  <c r="GU36" i="4" s="1"/>
  <c r="GU37" i="4" s="1"/>
  <c r="GU38" i="4" s="1"/>
  <c r="GU39" i="4" s="1"/>
  <c r="GU40" i="4" s="1"/>
  <c r="GU41" i="4" s="1"/>
  <c r="GU42" i="4" s="1"/>
  <c r="GU43" i="4" s="1"/>
  <c r="GU44" i="4" s="1"/>
  <c r="GU45" i="4" s="1"/>
  <c r="GU46" i="4" s="1"/>
  <c r="GU47" i="4" s="1"/>
  <c r="GU48" i="4" s="1"/>
  <c r="GU49" i="4" s="1"/>
  <c r="GU50" i="4" s="1"/>
  <c r="GU51" i="4" s="1"/>
  <c r="GU52" i="4" s="1"/>
  <c r="GU53" i="4" s="1"/>
  <c r="GU54" i="4" s="1"/>
  <c r="GU55" i="4" s="1"/>
  <c r="GU56" i="4" s="1"/>
  <c r="GU57" i="4" s="1"/>
  <c r="GU58" i="4" s="1"/>
  <c r="GU59" i="4" s="1"/>
  <c r="GT8" i="4"/>
  <c r="GT9" i="4" s="1"/>
  <c r="GT10" i="4" s="1"/>
  <c r="GT11" i="4" s="1"/>
  <c r="GT12" i="4" s="1"/>
  <c r="GT13" i="4" s="1"/>
  <c r="GT14" i="4" s="1"/>
  <c r="GT15" i="4" s="1"/>
  <c r="GT16" i="4" s="1"/>
  <c r="GT17" i="4" s="1"/>
  <c r="GT18" i="4" s="1"/>
  <c r="GT19" i="4" s="1"/>
  <c r="GT20" i="4" s="1"/>
  <c r="GT21" i="4" s="1"/>
  <c r="GT22" i="4" s="1"/>
  <c r="GT23" i="4" s="1"/>
  <c r="GT24" i="4" s="1"/>
  <c r="GT25" i="4" s="1"/>
  <c r="GT26" i="4" s="1"/>
  <c r="GT27" i="4" s="1"/>
  <c r="GT28" i="4" s="1"/>
  <c r="GT29" i="4" s="1"/>
  <c r="GT30" i="4" s="1"/>
  <c r="GT31" i="4" s="1"/>
  <c r="GT32" i="4" s="1"/>
  <c r="GT33" i="4" s="1"/>
  <c r="GT34" i="4" s="1"/>
  <c r="GT35" i="4" s="1"/>
  <c r="GT36" i="4" s="1"/>
  <c r="GT37" i="4" s="1"/>
  <c r="GT38" i="4" s="1"/>
  <c r="GT39" i="4" s="1"/>
  <c r="GT40" i="4" s="1"/>
  <c r="GT41" i="4" s="1"/>
  <c r="GT42" i="4" s="1"/>
  <c r="GT43" i="4" s="1"/>
  <c r="GT44" i="4" s="1"/>
  <c r="GT45" i="4" s="1"/>
  <c r="GT46" i="4" s="1"/>
  <c r="GT47" i="4" s="1"/>
  <c r="GT48" i="4" s="1"/>
  <c r="GT49" i="4" s="1"/>
  <c r="GT50" i="4" s="1"/>
  <c r="GT51" i="4" s="1"/>
  <c r="GT52" i="4" s="1"/>
  <c r="GT53" i="4" s="1"/>
  <c r="GT54" i="4" s="1"/>
  <c r="GT55" i="4" s="1"/>
  <c r="GT56" i="4" s="1"/>
  <c r="GT57" i="4" s="1"/>
  <c r="GT58" i="4" s="1"/>
  <c r="GT59" i="4" s="1"/>
  <c r="GS8" i="4"/>
  <c r="GS9" i="4" s="1"/>
  <c r="GS10" i="4" s="1"/>
  <c r="GS11" i="4" s="1"/>
  <c r="GS12" i="4" s="1"/>
  <c r="GS13" i="4" s="1"/>
  <c r="GS14" i="4" s="1"/>
  <c r="GS15" i="4" s="1"/>
  <c r="GS16" i="4" s="1"/>
  <c r="GS17" i="4" s="1"/>
  <c r="GS18" i="4" s="1"/>
  <c r="GS19" i="4" s="1"/>
  <c r="GS20" i="4" s="1"/>
  <c r="GS21" i="4" s="1"/>
  <c r="GS22" i="4" s="1"/>
  <c r="GS23" i="4" s="1"/>
  <c r="GS24" i="4" s="1"/>
  <c r="GS25" i="4" s="1"/>
  <c r="GS26" i="4" s="1"/>
  <c r="GS27" i="4" s="1"/>
  <c r="GS28" i="4" s="1"/>
  <c r="GS29" i="4" s="1"/>
  <c r="GS30" i="4" s="1"/>
  <c r="GS31" i="4" s="1"/>
  <c r="GS32" i="4" s="1"/>
  <c r="GS33" i="4" s="1"/>
  <c r="GS34" i="4" s="1"/>
  <c r="GS35" i="4" s="1"/>
  <c r="GS36" i="4" s="1"/>
  <c r="GS37" i="4" s="1"/>
  <c r="GS38" i="4" s="1"/>
  <c r="GS39" i="4" s="1"/>
  <c r="GS40" i="4" s="1"/>
  <c r="GS41" i="4" s="1"/>
  <c r="GS42" i="4" s="1"/>
  <c r="GS43" i="4" s="1"/>
  <c r="GS44" i="4" s="1"/>
  <c r="GS45" i="4" s="1"/>
  <c r="GS46" i="4" s="1"/>
  <c r="GS47" i="4" s="1"/>
  <c r="GS48" i="4" s="1"/>
  <c r="GS49" i="4" s="1"/>
  <c r="GS50" i="4" s="1"/>
  <c r="GS51" i="4" s="1"/>
  <c r="GS52" i="4" s="1"/>
  <c r="GS53" i="4" s="1"/>
  <c r="GS54" i="4" s="1"/>
  <c r="GS55" i="4" s="1"/>
  <c r="GS56" i="4" s="1"/>
  <c r="GS57" i="4" s="1"/>
  <c r="GS58" i="4" s="1"/>
  <c r="GS59" i="4" s="1"/>
  <c r="GR8" i="4"/>
  <c r="GR9" i="4" s="1"/>
  <c r="GR10" i="4" s="1"/>
  <c r="GR11" i="4" s="1"/>
  <c r="GR12" i="4" s="1"/>
  <c r="GR13" i="4" s="1"/>
  <c r="GR14" i="4" s="1"/>
  <c r="GR15" i="4" s="1"/>
  <c r="GR16" i="4" s="1"/>
  <c r="GR17" i="4" s="1"/>
  <c r="GR18" i="4" s="1"/>
  <c r="GR19" i="4" s="1"/>
  <c r="GR20" i="4" s="1"/>
  <c r="GR21" i="4" s="1"/>
  <c r="GR22" i="4" s="1"/>
  <c r="GR23" i="4" s="1"/>
  <c r="GR24" i="4" s="1"/>
  <c r="GR25" i="4" s="1"/>
  <c r="GR26" i="4" s="1"/>
  <c r="GR27" i="4" s="1"/>
  <c r="GR28" i="4" s="1"/>
  <c r="GR29" i="4" s="1"/>
  <c r="GR30" i="4" s="1"/>
  <c r="GR31" i="4" s="1"/>
  <c r="GR32" i="4" s="1"/>
  <c r="GR33" i="4" s="1"/>
  <c r="GR34" i="4" s="1"/>
  <c r="GR35" i="4" s="1"/>
  <c r="GR36" i="4" s="1"/>
  <c r="GR37" i="4" s="1"/>
  <c r="GR38" i="4" s="1"/>
  <c r="GR39" i="4" s="1"/>
  <c r="GR40" i="4" s="1"/>
  <c r="GR41" i="4" s="1"/>
  <c r="GR42" i="4" s="1"/>
  <c r="GR43" i="4" s="1"/>
  <c r="GR44" i="4" s="1"/>
  <c r="GR45" i="4" s="1"/>
  <c r="GR46" i="4" s="1"/>
  <c r="GR47" i="4" s="1"/>
  <c r="GR48" i="4" s="1"/>
  <c r="GR49" i="4" s="1"/>
  <c r="GR50" i="4" s="1"/>
  <c r="GR51" i="4" s="1"/>
  <c r="GR52" i="4" s="1"/>
  <c r="GR53" i="4" s="1"/>
  <c r="GR54" i="4" s="1"/>
  <c r="GR55" i="4" s="1"/>
  <c r="GR56" i="4" s="1"/>
  <c r="GR57" i="4" s="1"/>
  <c r="GR58" i="4" s="1"/>
  <c r="GR59" i="4" s="1"/>
  <c r="GQ8" i="4"/>
  <c r="GQ9" i="4" s="1"/>
  <c r="GQ10" i="4" s="1"/>
  <c r="GQ11" i="4" s="1"/>
  <c r="GQ12" i="4" s="1"/>
  <c r="GQ13" i="4" s="1"/>
  <c r="GQ14" i="4" s="1"/>
  <c r="GQ15" i="4" s="1"/>
  <c r="GQ16" i="4" s="1"/>
  <c r="GQ17" i="4" s="1"/>
  <c r="GQ18" i="4" s="1"/>
  <c r="GQ19" i="4" s="1"/>
  <c r="GQ20" i="4" s="1"/>
  <c r="GQ21" i="4" s="1"/>
  <c r="GQ22" i="4" s="1"/>
  <c r="GQ23" i="4" s="1"/>
  <c r="GQ24" i="4" s="1"/>
  <c r="GQ25" i="4" s="1"/>
  <c r="GQ26" i="4" s="1"/>
  <c r="GQ27" i="4" s="1"/>
  <c r="GQ28" i="4" s="1"/>
  <c r="GQ29" i="4" s="1"/>
  <c r="GQ30" i="4" s="1"/>
  <c r="GQ31" i="4" s="1"/>
  <c r="GQ32" i="4" s="1"/>
  <c r="GQ33" i="4" s="1"/>
  <c r="GQ34" i="4" s="1"/>
  <c r="GQ35" i="4" s="1"/>
  <c r="GQ36" i="4" s="1"/>
  <c r="GQ37" i="4" s="1"/>
  <c r="GQ38" i="4" s="1"/>
  <c r="GQ39" i="4" s="1"/>
  <c r="GQ40" i="4" s="1"/>
  <c r="GQ41" i="4" s="1"/>
  <c r="GQ42" i="4" s="1"/>
  <c r="GQ43" i="4" s="1"/>
  <c r="GQ44" i="4" s="1"/>
  <c r="GQ45" i="4" s="1"/>
  <c r="GQ46" i="4" s="1"/>
  <c r="GQ47" i="4" s="1"/>
  <c r="GQ48" i="4" s="1"/>
  <c r="GQ49" i="4" s="1"/>
  <c r="GQ50" i="4" s="1"/>
  <c r="GQ51" i="4" s="1"/>
  <c r="GQ52" i="4" s="1"/>
  <c r="GQ53" i="4" s="1"/>
  <c r="GQ54" i="4" s="1"/>
  <c r="GQ55" i="4" s="1"/>
  <c r="GQ56" i="4" s="1"/>
  <c r="GQ57" i="4" s="1"/>
  <c r="GQ58" i="4" s="1"/>
  <c r="GQ59" i="4" s="1"/>
  <c r="GS61" i="4" s="1"/>
  <c r="GP8" i="4"/>
  <c r="GP9" i="4" s="1"/>
  <c r="GP10" i="4" s="1"/>
  <c r="GP11" i="4" s="1"/>
  <c r="GP12" i="4" s="1"/>
  <c r="GP13" i="4" s="1"/>
  <c r="GP14" i="4" s="1"/>
  <c r="GP15" i="4" s="1"/>
  <c r="GP16" i="4" s="1"/>
  <c r="GP17" i="4" s="1"/>
  <c r="GP18" i="4" s="1"/>
  <c r="GP19" i="4" s="1"/>
  <c r="GP20" i="4" s="1"/>
  <c r="GP21" i="4" s="1"/>
  <c r="GP22" i="4" s="1"/>
  <c r="GP23" i="4" s="1"/>
  <c r="GP24" i="4" s="1"/>
  <c r="GP25" i="4" s="1"/>
  <c r="GP26" i="4" s="1"/>
  <c r="GP27" i="4" s="1"/>
  <c r="GP28" i="4" s="1"/>
  <c r="GP29" i="4" s="1"/>
  <c r="GP30" i="4" s="1"/>
  <c r="GP31" i="4" s="1"/>
  <c r="GP32" i="4" s="1"/>
  <c r="GP33" i="4" s="1"/>
  <c r="GP34" i="4" s="1"/>
  <c r="GP35" i="4" s="1"/>
  <c r="GP36" i="4" s="1"/>
  <c r="GP37" i="4" s="1"/>
  <c r="GP38" i="4" s="1"/>
  <c r="GP39" i="4" s="1"/>
  <c r="GP40" i="4" s="1"/>
  <c r="GP41" i="4" s="1"/>
  <c r="GP42" i="4" s="1"/>
  <c r="GP43" i="4" s="1"/>
  <c r="GP44" i="4" s="1"/>
  <c r="GP45" i="4" s="1"/>
  <c r="GP46" i="4" s="1"/>
  <c r="GP47" i="4" s="1"/>
  <c r="GP48" i="4" s="1"/>
  <c r="GP49" i="4" s="1"/>
  <c r="GP50" i="4" s="1"/>
  <c r="GP51" i="4" s="1"/>
  <c r="GP52" i="4" s="1"/>
  <c r="GP53" i="4" s="1"/>
  <c r="GP54" i="4" s="1"/>
  <c r="GP55" i="4" s="1"/>
  <c r="GP56" i="4" s="1"/>
  <c r="GP57" i="4" s="1"/>
  <c r="GP58" i="4" s="1"/>
  <c r="GP59" i="4" s="1"/>
  <c r="GO8" i="4"/>
  <c r="GN8" i="4"/>
  <c r="GN9" i="4" s="1"/>
  <c r="GN10" i="4" s="1"/>
  <c r="GN11" i="4" s="1"/>
  <c r="GN12" i="4" s="1"/>
  <c r="GN13" i="4" s="1"/>
  <c r="GN14" i="4" s="1"/>
  <c r="GN15" i="4" s="1"/>
  <c r="GN16" i="4" s="1"/>
  <c r="GN17" i="4" s="1"/>
  <c r="GN18" i="4" s="1"/>
  <c r="GN19" i="4" s="1"/>
  <c r="GN20" i="4" s="1"/>
  <c r="GN21" i="4" s="1"/>
  <c r="GN22" i="4" s="1"/>
  <c r="GN23" i="4" s="1"/>
  <c r="GN24" i="4" s="1"/>
  <c r="GN25" i="4" s="1"/>
  <c r="GN26" i="4" s="1"/>
  <c r="GN27" i="4" s="1"/>
  <c r="GN28" i="4" s="1"/>
  <c r="GN29" i="4" s="1"/>
  <c r="GN30" i="4" s="1"/>
  <c r="GN31" i="4" s="1"/>
  <c r="GN32" i="4" s="1"/>
  <c r="GN33" i="4" s="1"/>
  <c r="GN34" i="4" s="1"/>
  <c r="GN35" i="4" s="1"/>
  <c r="GN36" i="4" s="1"/>
  <c r="GN37" i="4" s="1"/>
  <c r="GN38" i="4" s="1"/>
  <c r="GN39" i="4" s="1"/>
  <c r="GN40" i="4" s="1"/>
  <c r="GN41" i="4" s="1"/>
  <c r="GN42" i="4" s="1"/>
  <c r="GN43" i="4" s="1"/>
  <c r="GN44" i="4" s="1"/>
  <c r="GN45" i="4" s="1"/>
  <c r="GN46" i="4" s="1"/>
  <c r="GN47" i="4" s="1"/>
  <c r="GN48" i="4" s="1"/>
  <c r="GN49" i="4" s="1"/>
  <c r="GN50" i="4" s="1"/>
  <c r="GN51" i="4" s="1"/>
  <c r="GN52" i="4" s="1"/>
  <c r="GN53" i="4" s="1"/>
  <c r="GN54" i="4" s="1"/>
  <c r="GN55" i="4" s="1"/>
  <c r="GN56" i="4" s="1"/>
  <c r="GN57" i="4" s="1"/>
  <c r="GN58" i="4" s="1"/>
  <c r="GN59" i="4" s="1"/>
  <c r="GM8" i="4"/>
  <c r="GM9" i="4" s="1"/>
  <c r="GM10" i="4" s="1"/>
  <c r="GM11" i="4" s="1"/>
  <c r="GM12" i="4" s="1"/>
  <c r="GM13" i="4" s="1"/>
  <c r="GM14" i="4" s="1"/>
  <c r="GM15" i="4" s="1"/>
  <c r="GM16" i="4" s="1"/>
  <c r="GM17" i="4" s="1"/>
  <c r="GM18" i="4" s="1"/>
  <c r="GM19" i="4" s="1"/>
  <c r="GM20" i="4" s="1"/>
  <c r="GM21" i="4" s="1"/>
  <c r="GM22" i="4" s="1"/>
  <c r="GM23" i="4" s="1"/>
  <c r="GM24" i="4" s="1"/>
  <c r="GM25" i="4" s="1"/>
  <c r="GM26" i="4" s="1"/>
  <c r="GM27" i="4" s="1"/>
  <c r="GM28" i="4" s="1"/>
  <c r="GM29" i="4" s="1"/>
  <c r="GM30" i="4" s="1"/>
  <c r="GM31" i="4" s="1"/>
  <c r="GM32" i="4" s="1"/>
  <c r="GM33" i="4" s="1"/>
  <c r="GM34" i="4" s="1"/>
  <c r="GM35" i="4" s="1"/>
  <c r="GM36" i="4" s="1"/>
  <c r="GM37" i="4" s="1"/>
  <c r="GM38" i="4" s="1"/>
  <c r="GM39" i="4" s="1"/>
  <c r="GM40" i="4" s="1"/>
  <c r="GM41" i="4" s="1"/>
  <c r="GM42" i="4" s="1"/>
  <c r="GM43" i="4" s="1"/>
  <c r="GM44" i="4" s="1"/>
  <c r="GM45" i="4" s="1"/>
  <c r="GM46" i="4" s="1"/>
  <c r="GM47" i="4" s="1"/>
  <c r="GM48" i="4" s="1"/>
  <c r="GM49" i="4" s="1"/>
  <c r="GM50" i="4" s="1"/>
  <c r="GM51" i="4" s="1"/>
  <c r="GM52" i="4" s="1"/>
  <c r="GM53" i="4" s="1"/>
  <c r="GM54" i="4" s="1"/>
  <c r="GM55" i="4" s="1"/>
  <c r="GM56" i="4" s="1"/>
  <c r="GM57" i="4" s="1"/>
  <c r="GM58" i="4" s="1"/>
  <c r="GM59" i="4" s="1"/>
  <c r="GL8" i="4"/>
  <c r="GL9" i="4" s="1"/>
  <c r="GL10" i="4" s="1"/>
  <c r="GL11" i="4" s="1"/>
  <c r="GL12" i="4" s="1"/>
  <c r="GL13" i="4" s="1"/>
  <c r="GL14" i="4" s="1"/>
  <c r="GL15" i="4" s="1"/>
  <c r="GL16" i="4" s="1"/>
  <c r="GL17" i="4" s="1"/>
  <c r="GL18" i="4" s="1"/>
  <c r="GL19" i="4" s="1"/>
  <c r="GL20" i="4" s="1"/>
  <c r="GL21" i="4" s="1"/>
  <c r="GL22" i="4" s="1"/>
  <c r="GL23" i="4" s="1"/>
  <c r="GL24" i="4" s="1"/>
  <c r="GL25" i="4" s="1"/>
  <c r="GL26" i="4" s="1"/>
  <c r="GL27" i="4" s="1"/>
  <c r="GL28" i="4" s="1"/>
  <c r="GL29" i="4" s="1"/>
  <c r="GL30" i="4" s="1"/>
  <c r="GL31" i="4" s="1"/>
  <c r="GL32" i="4" s="1"/>
  <c r="GL33" i="4" s="1"/>
  <c r="GL34" i="4" s="1"/>
  <c r="GL35" i="4" s="1"/>
  <c r="GL36" i="4" s="1"/>
  <c r="GL37" i="4" s="1"/>
  <c r="GL38" i="4" s="1"/>
  <c r="GL39" i="4" s="1"/>
  <c r="GL40" i="4" s="1"/>
  <c r="GL41" i="4" s="1"/>
  <c r="GL42" i="4" s="1"/>
  <c r="GL43" i="4" s="1"/>
  <c r="GL44" i="4" s="1"/>
  <c r="GL45" i="4" s="1"/>
  <c r="GL46" i="4" s="1"/>
  <c r="GL47" i="4" s="1"/>
  <c r="GL48" i="4" s="1"/>
  <c r="GL49" i="4" s="1"/>
  <c r="GL50" i="4" s="1"/>
  <c r="GL51" i="4" s="1"/>
  <c r="GL52" i="4" s="1"/>
  <c r="GL53" i="4" s="1"/>
  <c r="GL54" i="4" s="1"/>
  <c r="GL55" i="4" s="1"/>
  <c r="GL56" i="4" s="1"/>
  <c r="GL57" i="4" s="1"/>
  <c r="GL58" i="4" s="1"/>
  <c r="GL59" i="4" s="1"/>
  <c r="EV8" i="4"/>
  <c r="ES8" i="4"/>
  <c r="ES9" i="4" s="1"/>
  <c r="ES10" i="4" s="1"/>
  <c r="ES11" i="4" s="1"/>
  <c r="ES12" i="4" s="1"/>
  <c r="ES13" i="4" s="1"/>
  <c r="ES14" i="4" s="1"/>
  <c r="ES15" i="4" s="1"/>
  <c r="ES16" i="4" s="1"/>
  <c r="ES17" i="4" s="1"/>
  <c r="ES18" i="4" s="1"/>
  <c r="ES19" i="4" s="1"/>
  <c r="ES20" i="4" s="1"/>
  <c r="ES21" i="4" s="1"/>
  <c r="ES22" i="4" s="1"/>
  <c r="ES23" i="4" s="1"/>
  <c r="ES24" i="4" s="1"/>
  <c r="ES25" i="4" s="1"/>
  <c r="ES26" i="4" s="1"/>
  <c r="ES27" i="4" s="1"/>
  <c r="ES28" i="4" s="1"/>
  <c r="ES29" i="4" s="1"/>
  <c r="ES30" i="4" s="1"/>
  <c r="ES31" i="4" s="1"/>
  <c r="ES32" i="4" s="1"/>
  <c r="ES33" i="4" s="1"/>
  <c r="ES34" i="4" s="1"/>
  <c r="ES35" i="4" s="1"/>
  <c r="ES36" i="4" s="1"/>
  <c r="ES37" i="4" s="1"/>
  <c r="ES38" i="4" s="1"/>
  <c r="ES39" i="4" s="1"/>
  <c r="ES40" i="4" s="1"/>
  <c r="ES41" i="4" s="1"/>
  <c r="ES42" i="4" s="1"/>
  <c r="ES43" i="4" s="1"/>
  <c r="ES44" i="4" s="1"/>
  <c r="ES45" i="4" s="1"/>
  <c r="ES46" i="4" s="1"/>
  <c r="ES47" i="4" s="1"/>
  <c r="ES48" i="4" s="1"/>
  <c r="ES49" i="4" s="1"/>
  <c r="ES50" i="4" s="1"/>
  <c r="ES51" i="4" s="1"/>
  <c r="ES52" i="4" s="1"/>
  <c r="ES53" i="4" s="1"/>
  <c r="ES54" i="4" s="1"/>
  <c r="ES55" i="4" s="1"/>
  <c r="ES56" i="4" s="1"/>
  <c r="ES57" i="4" s="1"/>
  <c r="ES58" i="4" s="1"/>
  <c r="ES59" i="4" s="1"/>
  <c r="ER8" i="4"/>
  <c r="ER9" i="4" s="1"/>
  <c r="ER10" i="4" s="1"/>
  <c r="ER11" i="4" s="1"/>
  <c r="ER12" i="4" s="1"/>
  <c r="ER13" i="4" s="1"/>
  <c r="ER14" i="4" s="1"/>
  <c r="ER15" i="4" s="1"/>
  <c r="ER16" i="4" s="1"/>
  <c r="ER17" i="4" s="1"/>
  <c r="ER18" i="4" s="1"/>
  <c r="ER19" i="4" s="1"/>
  <c r="ER20" i="4" s="1"/>
  <c r="ER21" i="4" s="1"/>
  <c r="ER22" i="4" s="1"/>
  <c r="ER23" i="4" s="1"/>
  <c r="ER24" i="4" s="1"/>
  <c r="ER25" i="4" s="1"/>
  <c r="ER26" i="4" s="1"/>
  <c r="ER27" i="4" s="1"/>
  <c r="ER28" i="4" s="1"/>
  <c r="ER29" i="4" s="1"/>
  <c r="ER30" i="4" s="1"/>
  <c r="ER31" i="4" s="1"/>
  <c r="ER32" i="4" s="1"/>
  <c r="ER33" i="4" s="1"/>
  <c r="ER34" i="4" s="1"/>
  <c r="ER35" i="4" s="1"/>
  <c r="ER36" i="4" s="1"/>
  <c r="ER37" i="4" s="1"/>
  <c r="ER38" i="4" s="1"/>
  <c r="ER39" i="4" s="1"/>
  <c r="ER40" i="4" s="1"/>
  <c r="ER41" i="4" s="1"/>
  <c r="ER42" i="4" s="1"/>
  <c r="ER43" i="4" s="1"/>
  <c r="ER44" i="4" s="1"/>
  <c r="ER45" i="4" s="1"/>
  <c r="ER46" i="4" s="1"/>
  <c r="ER47" i="4" s="1"/>
  <c r="ER48" i="4" s="1"/>
  <c r="ER49" i="4" s="1"/>
  <c r="ER50" i="4" s="1"/>
  <c r="ER51" i="4" s="1"/>
  <c r="ER52" i="4" s="1"/>
  <c r="ER53" i="4" s="1"/>
  <c r="ER54" i="4" s="1"/>
  <c r="ER55" i="4" s="1"/>
  <c r="ER56" i="4" s="1"/>
  <c r="ER57" i="4" s="1"/>
  <c r="ER58" i="4" s="1"/>
  <c r="ER59" i="4" s="1"/>
  <c r="EQ8" i="4"/>
  <c r="EQ9" i="4" s="1"/>
  <c r="EQ10" i="4" s="1"/>
  <c r="EQ11" i="4" s="1"/>
  <c r="EQ12" i="4" s="1"/>
  <c r="EQ13" i="4" s="1"/>
  <c r="EQ14" i="4" s="1"/>
  <c r="EQ15" i="4" s="1"/>
  <c r="EQ16" i="4" s="1"/>
  <c r="EQ17" i="4" s="1"/>
  <c r="EQ18" i="4" s="1"/>
  <c r="EQ19" i="4" s="1"/>
  <c r="EQ20" i="4" s="1"/>
  <c r="EQ21" i="4" s="1"/>
  <c r="EQ22" i="4" s="1"/>
  <c r="EQ23" i="4" s="1"/>
  <c r="EQ24" i="4" s="1"/>
  <c r="EQ25" i="4" s="1"/>
  <c r="EQ26" i="4" s="1"/>
  <c r="EQ27" i="4" s="1"/>
  <c r="EQ28" i="4" s="1"/>
  <c r="EQ29" i="4" s="1"/>
  <c r="EQ30" i="4" s="1"/>
  <c r="EQ31" i="4" s="1"/>
  <c r="EQ32" i="4" s="1"/>
  <c r="EQ33" i="4" s="1"/>
  <c r="EQ34" i="4" s="1"/>
  <c r="EQ35" i="4" s="1"/>
  <c r="EQ36" i="4" s="1"/>
  <c r="EQ37" i="4" s="1"/>
  <c r="EQ38" i="4" s="1"/>
  <c r="EQ39" i="4" s="1"/>
  <c r="EQ40" i="4" s="1"/>
  <c r="EQ41" i="4" s="1"/>
  <c r="EQ42" i="4" s="1"/>
  <c r="EQ43" i="4" s="1"/>
  <c r="EQ44" i="4" s="1"/>
  <c r="EQ45" i="4" s="1"/>
  <c r="EQ46" i="4" s="1"/>
  <c r="EQ47" i="4" s="1"/>
  <c r="EQ48" i="4" s="1"/>
  <c r="EQ49" i="4" s="1"/>
  <c r="EQ50" i="4" s="1"/>
  <c r="EQ51" i="4" s="1"/>
  <c r="EQ52" i="4" s="1"/>
  <c r="EQ53" i="4" s="1"/>
  <c r="EQ54" i="4" s="1"/>
  <c r="EQ55" i="4" s="1"/>
  <c r="EQ56" i="4" s="1"/>
  <c r="EQ57" i="4" s="1"/>
  <c r="EQ58" i="4" s="1"/>
  <c r="EQ59" i="4" s="1"/>
  <c r="EP8" i="4"/>
  <c r="EP9" i="4" s="1"/>
  <c r="EP10" i="4" s="1"/>
  <c r="EP11" i="4" s="1"/>
  <c r="EP12" i="4" s="1"/>
  <c r="EP13" i="4" s="1"/>
  <c r="EP14" i="4" s="1"/>
  <c r="EP15" i="4" s="1"/>
  <c r="EP16" i="4" s="1"/>
  <c r="EP17" i="4" s="1"/>
  <c r="EP18" i="4" s="1"/>
  <c r="EP19" i="4" s="1"/>
  <c r="EP20" i="4" s="1"/>
  <c r="EP21" i="4" s="1"/>
  <c r="EP22" i="4" s="1"/>
  <c r="EP23" i="4" s="1"/>
  <c r="EP24" i="4" s="1"/>
  <c r="EP25" i="4" s="1"/>
  <c r="EP26" i="4" s="1"/>
  <c r="EP27" i="4" s="1"/>
  <c r="EP28" i="4" s="1"/>
  <c r="EP29" i="4" s="1"/>
  <c r="EP30" i="4" s="1"/>
  <c r="EP31" i="4" s="1"/>
  <c r="EP32" i="4" s="1"/>
  <c r="EP33" i="4" s="1"/>
  <c r="EP34" i="4" s="1"/>
  <c r="EP35" i="4" s="1"/>
  <c r="EP36" i="4" s="1"/>
  <c r="EP37" i="4" s="1"/>
  <c r="EP38" i="4" s="1"/>
  <c r="EP39" i="4" s="1"/>
  <c r="EP40" i="4" s="1"/>
  <c r="EP41" i="4" s="1"/>
  <c r="EP42" i="4" s="1"/>
  <c r="EP43" i="4" s="1"/>
  <c r="EP44" i="4" s="1"/>
  <c r="EP45" i="4" s="1"/>
  <c r="EP46" i="4" s="1"/>
  <c r="EP47" i="4" s="1"/>
  <c r="EP48" i="4" s="1"/>
  <c r="EP49" i="4" s="1"/>
  <c r="EP50" i="4" s="1"/>
  <c r="EP51" i="4" s="1"/>
  <c r="EP52" i="4" s="1"/>
  <c r="EP53" i="4" s="1"/>
  <c r="EP54" i="4" s="1"/>
  <c r="EP55" i="4" s="1"/>
  <c r="EP56" i="4" s="1"/>
  <c r="EP57" i="4" s="1"/>
  <c r="EP58" i="4" s="1"/>
  <c r="EP59" i="4" s="1"/>
  <c r="EO8" i="4"/>
  <c r="EO9" i="4" s="1"/>
  <c r="EO10" i="4" s="1"/>
  <c r="EO11" i="4" s="1"/>
  <c r="EO12" i="4" s="1"/>
  <c r="EO13" i="4" s="1"/>
  <c r="EO14" i="4" s="1"/>
  <c r="EO15" i="4" s="1"/>
  <c r="EO16" i="4" s="1"/>
  <c r="EO17" i="4" s="1"/>
  <c r="EO18" i="4" s="1"/>
  <c r="EO19" i="4" s="1"/>
  <c r="EO20" i="4" s="1"/>
  <c r="EO21" i="4" s="1"/>
  <c r="EO22" i="4" s="1"/>
  <c r="EO23" i="4" s="1"/>
  <c r="EO24" i="4" s="1"/>
  <c r="EO25" i="4" s="1"/>
  <c r="EO26" i="4" s="1"/>
  <c r="EO27" i="4" s="1"/>
  <c r="EO28" i="4" s="1"/>
  <c r="EO29" i="4" s="1"/>
  <c r="EO30" i="4" s="1"/>
  <c r="EO31" i="4" s="1"/>
  <c r="EO32" i="4" s="1"/>
  <c r="EO33" i="4" s="1"/>
  <c r="EO34" i="4" s="1"/>
  <c r="EO35" i="4" s="1"/>
  <c r="EO36" i="4" s="1"/>
  <c r="EO37" i="4" s="1"/>
  <c r="EO38" i="4" s="1"/>
  <c r="EO39" i="4" s="1"/>
  <c r="EO40" i="4" s="1"/>
  <c r="EO41" i="4" s="1"/>
  <c r="EO42" i="4" s="1"/>
  <c r="EO43" i="4" s="1"/>
  <c r="EO44" i="4" s="1"/>
  <c r="EO45" i="4" s="1"/>
  <c r="EO46" i="4" s="1"/>
  <c r="EO47" i="4" s="1"/>
  <c r="EO48" i="4" s="1"/>
  <c r="EO49" i="4" s="1"/>
  <c r="EO50" i="4" s="1"/>
  <c r="EO51" i="4" s="1"/>
  <c r="EO52" i="4" s="1"/>
  <c r="EO53" i="4" s="1"/>
  <c r="EO54" i="4" s="1"/>
  <c r="EO55" i="4" s="1"/>
  <c r="EO56" i="4" s="1"/>
  <c r="EO57" i="4" s="1"/>
  <c r="EO58" i="4" s="1"/>
  <c r="EO59" i="4" s="1"/>
  <c r="EN8" i="4"/>
  <c r="EN9" i="4" s="1"/>
  <c r="EN10" i="4" s="1"/>
  <c r="EN11" i="4" s="1"/>
  <c r="EN12" i="4" s="1"/>
  <c r="EN13" i="4" s="1"/>
  <c r="EN14" i="4" s="1"/>
  <c r="EN15" i="4" s="1"/>
  <c r="EN16" i="4" s="1"/>
  <c r="EN17" i="4" s="1"/>
  <c r="EN18" i="4" s="1"/>
  <c r="EN19" i="4" s="1"/>
  <c r="EN20" i="4" s="1"/>
  <c r="EN21" i="4" s="1"/>
  <c r="EN22" i="4" s="1"/>
  <c r="EN23" i="4" s="1"/>
  <c r="EN24" i="4" s="1"/>
  <c r="EN25" i="4" s="1"/>
  <c r="EN26" i="4" s="1"/>
  <c r="EN27" i="4" s="1"/>
  <c r="EN28" i="4" s="1"/>
  <c r="EN29" i="4" s="1"/>
  <c r="EN30" i="4" s="1"/>
  <c r="EN31" i="4" s="1"/>
  <c r="EN32" i="4" s="1"/>
  <c r="EN33" i="4" s="1"/>
  <c r="EN34" i="4" s="1"/>
  <c r="EN35" i="4" s="1"/>
  <c r="EN36" i="4" s="1"/>
  <c r="EN37" i="4" s="1"/>
  <c r="EN38" i="4" s="1"/>
  <c r="EN39" i="4" s="1"/>
  <c r="EN40" i="4" s="1"/>
  <c r="EN41" i="4" s="1"/>
  <c r="EN42" i="4" s="1"/>
  <c r="EN43" i="4" s="1"/>
  <c r="EN44" i="4" s="1"/>
  <c r="EN45" i="4" s="1"/>
  <c r="EN46" i="4" s="1"/>
  <c r="EN47" i="4" s="1"/>
  <c r="EN48" i="4" s="1"/>
  <c r="EN49" i="4" s="1"/>
  <c r="EN50" i="4" s="1"/>
  <c r="EN51" i="4" s="1"/>
  <c r="EN52" i="4" s="1"/>
  <c r="EN53" i="4" s="1"/>
  <c r="EN54" i="4" s="1"/>
  <c r="EN55" i="4" s="1"/>
  <c r="EN56" i="4" s="1"/>
  <c r="EN57" i="4" s="1"/>
  <c r="EN58" i="4" s="1"/>
  <c r="EN59" i="4" s="1"/>
  <c r="EP61" i="4" s="1"/>
  <c r="EM8" i="4"/>
  <c r="EM9" i="4" s="1"/>
  <c r="EM10" i="4" s="1"/>
  <c r="EM11" i="4" s="1"/>
  <c r="EM12" i="4" s="1"/>
  <c r="EM13" i="4" s="1"/>
  <c r="EM14" i="4" s="1"/>
  <c r="EM15" i="4" s="1"/>
  <c r="EM16" i="4" s="1"/>
  <c r="EM17" i="4" s="1"/>
  <c r="EM18" i="4" s="1"/>
  <c r="EM19" i="4" s="1"/>
  <c r="EM20" i="4" s="1"/>
  <c r="EM21" i="4" s="1"/>
  <c r="EM22" i="4" s="1"/>
  <c r="EM23" i="4" s="1"/>
  <c r="EM24" i="4" s="1"/>
  <c r="EM25" i="4" s="1"/>
  <c r="EM26" i="4" s="1"/>
  <c r="EM27" i="4" s="1"/>
  <c r="EM28" i="4" s="1"/>
  <c r="EM29" i="4" s="1"/>
  <c r="EM30" i="4" s="1"/>
  <c r="EM31" i="4" s="1"/>
  <c r="EM32" i="4" s="1"/>
  <c r="EM33" i="4" s="1"/>
  <c r="EM34" i="4" s="1"/>
  <c r="EM35" i="4" s="1"/>
  <c r="EM36" i="4" s="1"/>
  <c r="EM37" i="4" s="1"/>
  <c r="EM38" i="4" s="1"/>
  <c r="EM39" i="4" s="1"/>
  <c r="EM40" i="4" s="1"/>
  <c r="EM41" i="4" s="1"/>
  <c r="EM42" i="4" s="1"/>
  <c r="EM43" i="4" s="1"/>
  <c r="EM44" i="4" s="1"/>
  <c r="EM45" i="4" s="1"/>
  <c r="EM46" i="4" s="1"/>
  <c r="EM47" i="4" s="1"/>
  <c r="EM48" i="4" s="1"/>
  <c r="EM49" i="4" s="1"/>
  <c r="EM50" i="4" s="1"/>
  <c r="EM51" i="4" s="1"/>
  <c r="EM52" i="4" s="1"/>
  <c r="EM53" i="4" s="1"/>
  <c r="EM54" i="4" s="1"/>
  <c r="EM55" i="4" s="1"/>
  <c r="EM56" i="4" s="1"/>
  <c r="EM57" i="4" s="1"/>
  <c r="EM58" i="4" s="1"/>
  <c r="EM59" i="4" s="1"/>
  <c r="EL8" i="4"/>
  <c r="EL9" i="4" s="1"/>
  <c r="EL10" i="4" s="1"/>
  <c r="EL11" i="4" s="1"/>
  <c r="EL12" i="4" s="1"/>
  <c r="EL13" i="4" s="1"/>
  <c r="EL14" i="4" s="1"/>
  <c r="EL15" i="4" s="1"/>
  <c r="EL16" i="4" s="1"/>
  <c r="EL17" i="4" s="1"/>
  <c r="EL18" i="4" s="1"/>
  <c r="EL19" i="4" s="1"/>
  <c r="EL20" i="4" s="1"/>
  <c r="EL21" i="4" s="1"/>
  <c r="EL22" i="4" s="1"/>
  <c r="EL23" i="4" s="1"/>
  <c r="EL24" i="4" s="1"/>
  <c r="EL25" i="4" s="1"/>
  <c r="EL26" i="4" s="1"/>
  <c r="EL27" i="4" s="1"/>
  <c r="EL28" i="4" s="1"/>
  <c r="EL29" i="4" s="1"/>
  <c r="EL30" i="4" s="1"/>
  <c r="EL31" i="4" s="1"/>
  <c r="EL32" i="4" s="1"/>
  <c r="EL33" i="4" s="1"/>
  <c r="EL34" i="4" s="1"/>
  <c r="EL35" i="4" s="1"/>
  <c r="EL36" i="4" s="1"/>
  <c r="EL37" i="4" s="1"/>
  <c r="EL38" i="4" s="1"/>
  <c r="EL39" i="4" s="1"/>
  <c r="EL40" i="4" s="1"/>
  <c r="EL41" i="4" s="1"/>
  <c r="EL42" i="4" s="1"/>
  <c r="EL43" i="4" s="1"/>
  <c r="EL44" i="4" s="1"/>
  <c r="EL45" i="4" s="1"/>
  <c r="EL46" i="4" s="1"/>
  <c r="EL47" i="4" s="1"/>
  <c r="EL48" i="4" s="1"/>
  <c r="EL49" i="4" s="1"/>
  <c r="EL50" i="4" s="1"/>
  <c r="EL51" i="4" s="1"/>
  <c r="EL52" i="4" s="1"/>
  <c r="EL53" i="4" s="1"/>
  <c r="EL54" i="4" s="1"/>
  <c r="EL55" i="4" s="1"/>
  <c r="EL56" i="4" s="1"/>
  <c r="EL57" i="4" s="1"/>
  <c r="EL58" i="4" s="1"/>
  <c r="EL59" i="4" s="1"/>
  <c r="EK8" i="4"/>
  <c r="EK9" i="4" s="1"/>
  <c r="EK10" i="4" s="1"/>
  <c r="EK11" i="4" s="1"/>
  <c r="EK12" i="4" s="1"/>
  <c r="EK13" i="4" s="1"/>
  <c r="EK14" i="4" s="1"/>
  <c r="EK15" i="4" s="1"/>
  <c r="EK16" i="4" s="1"/>
  <c r="EK17" i="4" s="1"/>
  <c r="EK18" i="4" s="1"/>
  <c r="EK19" i="4" s="1"/>
  <c r="EK20" i="4" s="1"/>
  <c r="EK21" i="4" s="1"/>
  <c r="EK22" i="4" s="1"/>
  <c r="EK23" i="4" s="1"/>
  <c r="EK24" i="4" s="1"/>
  <c r="EK25" i="4" s="1"/>
  <c r="EK26" i="4" s="1"/>
  <c r="EK27" i="4" s="1"/>
  <c r="EK28" i="4" s="1"/>
  <c r="EK29" i="4" s="1"/>
  <c r="EK30" i="4" s="1"/>
  <c r="EK31" i="4" s="1"/>
  <c r="EK32" i="4" s="1"/>
  <c r="EK33" i="4" s="1"/>
  <c r="EK34" i="4" s="1"/>
  <c r="EK35" i="4" s="1"/>
  <c r="EK36" i="4" s="1"/>
  <c r="EK37" i="4" s="1"/>
  <c r="EK38" i="4" s="1"/>
  <c r="EK39" i="4" s="1"/>
  <c r="EK40" i="4" s="1"/>
  <c r="EK41" i="4" s="1"/>
  <c r="EK42" i="4" s="1"/>
  <c r="EK43" i="4" s="1"/>
  <c r="EK44" i="4" s="1"/>
  <c r="EK45" i="4" s="1"/>
  <c r="EK46" i="4" s="1"/>
  <c r="EK47" i="4" s="1"/>
  <c r="EK48" i="4" s="1"/>
  <c r="EK49" i="4" s="1"/>
  <c r="EK50" i="4" s="1"/>
  <c r="EK51" i="4" s="1"/>
  <c r="EK52" i="4" s="1"/>
  <c r="EK53" i="4" s="1"/>
  <c r="EK54" i="4" s="1"/>
  <c r="EK55" i="4" s="1"/>
  <c r="EK56" i="4" s="1"/>
  <c r="EK57" i="4" s="1"/>
  <c r="EK58" i="4" s="1"/>
  <c r="EK59" i="4" s="1"/>
  <c r="EJ8" i="4"/>
  <c r="EJ9" i="4" s="1"/>
  <c r="EJ10" i="4" s="1"/>
  <c r="EJ11" i="4" s="1"/>
  <c r="EJ12" i="4" s="1"/>
  <c r="EJ13" i="4" s="1"/>
  <c r="EJ14" i="4" s="1"/>
  <c r="EJ15" i="4" s="1"/>
  <c r="EJ16" i="4" s="1"/>
  <c r="EJ17" i="4" s="1"/>
  <c r="EJ18" i="4" s="1"/>
  <c r="EJ19" i="4" s="1"/>
  <c r="EJ20" i="4" s="1"/>
  <c r="EJ21" i="4" s="1"/>
  <c r="EJ22" i="4" s="1"/>
  <c r="EJ23" i="4" s="1"/>
  <c r="EJ24" i="4" s="1"/>
  <c r="EJ25" i="4" s="1"/>
  <c r="EJ26" i="4" s="1"/>
  <c r="EJ27" i="4" s="1"/>
  <c r="EJ28" i="4" s="1"/>
  <c r="EJ29" i="4" s="1"/>
  <c r="EJ30" i="4" s="1"/>
  <c r="EJ31" i="4" s="1"/>
  <c r="EJ32" i="4" s="1"/>
  <c r="EJ33" i="4" s="1"/>
  <c r="EJ34" i="4" s="1"/>
  <c r="EJ35" i="4" s="1"/>
  <c r="EJ36" i="4" s="1"/>
  <c r="EJ37" i="4" s="1"/>
  <c r="EJ38" i="4" s="1"/>
  <c r="EJ39" i="4" s="1"/>
  <c r="EJ40" i="4" s="1"/>
  <c r="EJ41" i="4" s="1"/>
  <c r="EJ42" i="4" s="1"/>
  <c r="EJ43" i="4" s="1"/>
  <c r="EJ44" i="4" s="1"/>
  <c r="EJ45" i="4" s="1"/>
  <c r="EJ46" i="4" s="1"/>
  <c r="EJ47" i="4" s="1"/>
  <c r="EJ48" i="4" s="1"/>
  <c r="EJ49" i="4" s="1"/>
  <c r="EJ50" i="4" s="1"/>
  <c r="EJ51" i="4" s="1"/>
  <c r="EJ52" i="4" s="1"/>
  <c r="EJ53" i="4" s="1"/>
  <c r="EJ54" i="4" s="1"/>
  <c r="EJ55" i="4" s="1"/>
  <c r="EJ56" i="4" s="1"/>
  <c r="EJ57" i="4" s="1"/>
  <c r="EJ58" i="4" s="1"/>
  <c r="EJ59" i="4" s="1"/>
  <c r="EI8" i="4"/>
  <c r="EI9" i="4" s="1"/>
  <c r="EI10" i="4" s="1"/>
  <c r="EI11" i="4" s="1"/>
  <c r="EI12" i="4" s="1"/>
  <c r="EI13" i="4" s="1"/>
  <c r="EI14" i="4" s="1"/>
  <c r="EI15" i="4" s="1"/>
  <c r="EI16" i="4" s="1"/>
  <c r="EI17" i="4" s="1"/>
  <c r="EI18" i="4" s="1"/>
  <c r="EI19" i="4" s="1"/>
  <c r="EI20" i="4" s="1"/>
  <c r="EI21" i="4" s="1"/>
  <c r="EI22" i="4" s="1"/>
  <c r="EI23" i="4" s="1"/>
  <c r="EI24" i="4" s="1"/>
  <c r="EI25" i="4" s="1"/>
  <c r="EI26" i="4" s="1"/>
  <c r="EI27" i="4" s="1"/>
  <c r="EI28" i="4" s="1"/>
  <c r="EI29" i="4" s="1"/>
  <c r="EI30" i="4" s="1"/>
  <c r="EI31" i="4" s="1"/>
  <c r="EI32" i="4" s="1"/>
  <c r="EI33" i="4" s="1"/>
  <c r="EI34" i="4" s="1"/>
  <c r="EI35" i="4" s="1"/>
  <c r="EI36" i="4" s="1"/>
  <c r="EI37" i="4" s="1"/>
  <c r="EI38" i="4" s="1"/>
  <c r="EI39" i="4" s="1"/>
  <c r="EI40" i="4" s="1"/>
  <c r="EI41" i="4" s="1"/>
  <c r="EI42" i="4" s="1"/>
  <c r="EI43" i="4" s="1"/>
  <c r="EI44" i="4" s="1"/>
  <c r="EI45" i="4" s="1"/>
  <c r="EI46" i="4" s="1"/>
  <c r="EI47" i="4" s="1"/>
  <c r="EI48" i="4" s="1"/>
  <c r="EI49" i="4" s="1"/>
  <c r="EI50" i="4" s="1"/>
  <c r="EI51" i="4" s="1"/>
  <c r="EI52" i="4" s="1"/>
  <c r="EI53" i="4" s="1"/>
  <c r="EI54" i="4" s="1"/>
  <c r="EI55" i="4" s="1"/>
  <c r="EI56" i="4" s="1"/>
  <c r="EI57" i="4" s="1"/>
  <c r="EI58" i="4" s="1"/>
  <c r="EI59" i="4" s="1"/>
  <c r="DS8" i="4"/>
  <c r="DP8" i="4"/>
  <c r="DP9" i="4" s="1"/>
  <c r="DP10" i="4" s="1"/>
  <c r="DP11" i="4" s="1"/>
  <c r="DP12" i="4" s="1"/>
  <c r="DP13" i="4" s="1"/>
  <c r="DP14" i="4" s="1"/>
  <c r="DP15" i="4" s="1"/>
  <c r="DP16" i="4" s="1"/>
  <c r="DP17" i="4" s="1"/>
  <c r="DP18" i="4" s="1"/>
  <c r="DP19" i="4" s="1"/>
  <c r="DP20" i="4" s="1"/>
  <c r="DP21" i="4" s="1"/>
  <c r="DP22" i="4" s="1"/>
  <c r="DP23" i="4" s="1"/>
  <c r="DP24" i="4" s="1"/>
  <c r="DP25" i="4" s="1"/>
  <c r="DP26" i="4" s="1"/>
  <c r="DP27" i="4" s="1"/>
  <c r="DP28" i="4" s="1"/>
  <c r="DP29" i="4" s="1"/>
  <c r="DP30" i="4" s="1"/>
  <c r="DP31" i="4" s="1"/>
  <c r="DP32" i="4" s="1"/>
  <c r="DP33" i="4" s="1"/>
  <c r="DP34" i="4" s="1"/>
  <c r="DP35" i="4" s="1"/>
  <c r="DP36" i="4" s="1"/>
  <c r="DP37" i="4" s="1"/>
  <c r="DP38" i="4" s="1"/>
  <c r="DP39" i="4" s="1"/>
  <c r="DP40" i="4" s="1"/>
  <c r="DP41" i="4" s="1"/>
  <c r="DP42" i="4" s="1"/>
  <c r="DP43" i="4" s="1"/>
  <c r="DP44" i="4" s="1"/>
  <c r="DP45" i="4" s="1"/>
  <c r="DP46" i="4" s="1"/>
  <c r="DP47" i="4" s="1"/>
  <c r="DP48" i="4" s="1"/>
  <c r="DP49" i="4" s="1"/>
  <c r="DP50" i="4" s="1"/>
  <c r="DP51" i="4" s="1"/>
  <c r="DP52" i="4" s="1"/>
  <c r="DP53" i="4" s="1"/>
  <c r="DP54" i="4" s="1"/>
  <c r="DP55" i="4" s="1"/>
  <c r="DP56" i="4" s="1"/>
  <c r="DP57" i="4" s="1"/>
  <c r="DP58" i="4" s="1"/>
  <c r="DP59" i="4" s="1"/>
  <c r="DO8" i="4"/>
  <c r="DO9" i="4" s="1"/>
  <c r="DO10" i="4" s="1"/>
  <c r="DO11" i="4" s="1"/>
  <c r="DO12" i="4" s="1"/>
  <c r="DO13" i="4" s="1"/>
  <c r="DO14" i="4" s="1"/>
  <c r="DO15" i="4" s="1"/>
  <c r="DO16" i="4" s="1"/>
  <c r="DO17" i="4" s="1"/>
  <c r="DO18" i="4" s="1"/>
  <c r="DO19" i="4" s="1"/>
  <c r="DO20" i="4" s="1"/>
  <c r="DO21" i="4" s="1"/>
  <c r="DO22" i="4" s="1"/>
  <c r="DO23" i="4" s="1"/>
  <c r="DO24" i="4" s="1"/>
  <c r="DO25" i="4" s="1"/>
  <c r="DO26" i="4" s="1"/>
  <c r="DO27" i="4" s="1"/>
  <c r="DO28" i="4" s="1"/>
  <c r="DO29" i="4" s="1"/>
  <c r="DO30" i="4" s="1"/>
  <c r="DO31" i="4" s="1"/>
  <c r="DO32" i="4" s="1"/>
  <c r="DO33" i="4" s="1"/>
  <c r="DO34" i="4" s="1"/>
  <c r="DO35" i="4" s="1"/>
  <c r="DO36" i="4" s="1"/>
  <c r="DO37" i="4" s="1"/>
  <c r="DO38" i="4" s="1"/>
  <c r="DO39" i="4" s="1"/>
  <c r="DO40" i="4" s="1"/>
  <c r="DO41" i="4" s="1"/>
  <c r="DO42" i="4" s="1"/>
  <c r="DO43" i="4" s="1"/>
  <c r="DO44" i="4" s="1"/>
  <c r="DO45" i="4" s="1"/>
  <c r="DO46" i="4" s="1"/>
  <c r="DO47" i="4" s="1"/>
  <c r="DO48" i="4" s="1"/>
  <c r="DO49" i="4" s="1"/>
  <c r="DO50" i="4" s="1"/>
  <c r="DO51" i="4" s="1"/>
  <c r="DO52" i="4" s="1"/>
  <c r="DO53" i="4" s="1"/>
  <c r="DO54" i="4" s="1"/>
  <c r="DO55" i="4" s="1"/>
  <c r="DO56" i="4" s="1"/>
  <c r="DO57" i="4" s="1"/>
  <c r="DO58" i="4" s="1"/>
  <c r="DO59" i="4" s="1"/>
  <c r="DN8" i="4"/>
  <c r="DN9" i="4" s="1"/>
  <c r="DN10" i="4" s="1"/>
  <c r="DN11" i="4" s="1"/>
  <c r="DN12" i="4" s="1"/>
  <c r="DN13" i="4" s="1"/>
  <c r="DN14" i="4" s="1"/>
  <c r="DN15" i="4" s="1"/>
  <c r="DN16" i="4" s="1"/>
  <c r="DN17" i="4" s="1"/>
  <c r="DN18" i="4" s="1"/>
  <c r="DN19" i="4" s="1"/>
  <c r="DN20" i="4" s="1"/>
  <c r="DN21" i="4" s="1"/>
  <c r="DN22" i="4" s="1"/>
  <c r="DN23" i="4" s="1"/>
  <c r="DN24" i="4" s="1"/>
  <c r="DN25" i="4" s="1"/>
  <c r="DN26" i="4" s="1"/>
  <c r="DN27" i="4" s="1"/>
  <c r="DN28" i="4" s="1"/>
  <c r="DN29" i="4" s="1"/>
  <c r="DN30" i="4" s="1"/>
  <c r="DN31" i="4" s="1"/>
  <c r="DN32" i="4" s="1"/>
  <c r="DN33" i="4" s="1"/>
  <c r="DN34" i="4" s="1"/>
  <c r="DN35" i="4" s="1"/>
  <c r="DN36" i="4" s="1"/>
  <c r="DN37" i="4" s="1"/>
  <c r="DN38" i="4" s="1"/>
  <c r="DN39" i="4" s="1"/>
  <c r="DN40" i="4" s="1"/>
  <c r="DN41" i="4" s="1"/>
  <c r="DN42" i="4" s="1"/>
  <c r="DN43" i="4" s="1"/>
  <c r="DN44" i="4" s="1"/>
  <c r="DN45" i="4" s="1"/>
  <c r="DN46" i="4" s="1"/>
  <c r="DN47" i="4" s="1"/>
  <c r="DN48" i="4" s="1"/>
  <c r="DN49" i="4" s="1"/>
  <c r="DN50" i="4" s="1"/>
  <c r="DN51" i="4" s="1"/>
  <c r="DN52" i="4" s="1"/>
  <c r="DN53" i="4" s="1"/>
  <c r="DN54" i="4" s="1"/>
  <c r="DN55" i="4" s="1"/>
  <c r="DN56" i="4" s="1"/>
  <c r="DN57" i="4" s="1"/>
  <c r="DN58" i="4" s="1"/>
  <c r="DN59" i="4" s="1"/>
  <c r="DM8" i="4"/>
  <c r="DM9" i="4" s="1"/>
  <c r="DM10" i="4" s="1"/>
  <c r="DM11" i="4" s="1"/>
  <c r="DM12" i="4" s="1"/>
  <c r="DM13" i="4" s="1"/>
  <c r="DM14" i="4" s="1"/>
  <c r="DM15" i="4" s="1"/>
  <c r="DM16" i="4" s="1"/>
  <c r="DM17" i="4" s="1"/>
  <c r="DM18" i="4" s="1"/>
  <c r="DM19" i="4" s="1"/>
  <c r="DM20" i="4" s="1"/>
  <c r="DM21" i="4" s="1"/>
  <c r="DM22" i="4" s="1"/>
  <c r="DM23" i="4" s="1"/>
  <c r="DM24" i="4" s="1"/>
  <c r="DM25" i="4" s="1"/>
  <c r="DM26" i="4" s="1"/>
  <c r="DM27" i="4" s="1"/>
  <c r="DM28" i="4" s="1"/>
  <c r="DM29" i="4" s="1"/>
  <c r="DM30" i="4" s="1"/>
  <c r="DM31" i="4" s="1"/>
  <c r="DM32" i="4" s="1"/>
  <c r="DM33" i="4" s="1"/>
  <c r="DM34" i="4" s="1"/>
  <c r="DM35" i="4" s="1"/>
  <c r="DM36" i="4" s="1"/>
  <c r="DM37" i="4" s="1"/>
  <c r="DM38" i="4" s="1"/>
  <c r="DM39" i="4" s="1"/>
  <c r="DM40" i="4" s="1"/>
  <c r="DM41" i="4" s="1"/>
  <c r="DM42" i="4" s="1"/>
  <c r="DM43" i="4" s="1"/>
  <c r="DM44" i="4" s="1"/>
  <c r="DM45" i="4" s="1"/>
  <c r="DM46" i="4" s="1"/>
  <c r="DM47" i="4" s="1"/>
  <c r="DM48" i="4" s="1"/>
  <c r="DM49" i="4" s="1"/>
  <c r="DM50" i="4" s="1"/>
  <c r="DM51" i="4" s="1"/>
  <c r="DM52" i="4" s="1"/>
  <c r="DM53" i="4" s="1"/>
  <c r="DM54" i="4" s="1"/>
  <c r="DM55" i="4" s="1"/>
  <c r="DM56" i="4" s="1"/>
  <c r="DM57" i="4" s="1"/>
  <c r="DM58" i="4" s="1"/>
  <c r="DM59" i="4" s="1"/>
  <c r="DL8" i="4"/>
  <c r="DL9" i="4" s="1"/>
  <c r="DL10" i="4" s="1"/>
  <c r="DL11" i="4" s="1"/>
  <c r="DL12" i="4" s="1"/>
  <c r="DL13" i="4" s="1"/>
  <c r="DL14" i="4" s="1"/>
  <c r="DL15" i="4" s="1"/>
  <c r="DL16" i="4" s="1"/>
  <c r="DL17" i="4" s="1"/>
  <c r="DL18" i="4" s="1"/>
  <c r="DL19" i="4" s="1"/>
  <c r="DL20" i="4" s="1"/>
  <c r="DL21" i="4" s="1"/>
  <c r="DL22" i="4" s="1"/>
  <c r="DL23" i="4" s="1"/>
  <c r="DL24" i="4" s="1"/>
  <c r="DL25" i="4" s="1"/>
  <c r="DL26" i="4" s="1"/>
  <c r="DL27" i="4" s="1"/>
  <c r="DL28" i="4" s="1"/>
  <c r="DL29" i="4" s="1"/>
  <c r="DL30" i="4" s="1"/>
  <c r="DL31" i="4" s="1"/>
  <c r="DL32" i="4" s="1"/>
  <c r="DL33" i="4" s="1"/>
  <c r="DL34" i="4" s="1"/>
  <c r="DL35" i="4" s="1"/>
  <c r="DL36" i="4" s="1"/>
  <c r="DL37" i="4" s="1"/>
  <c r="DL38" i="4" s="1"/>
  <c r="DL39" i="4" s="1"/>
  <c r="DL40" i="4" s="1"/>
  <c r="DL41" i="4" s="1"/>
  <c r="DL42" i="4" s="1"/>
  <c r="DL43" i="4" s="1"/>
  <c r="DL44" i="4" s="1"/>
  <c r="DL45" i="4" s="1"/>
  <c r="DL46" i="4" s="1"/>
  <c r="DL47" i="4" s="1"/>
  <c r="DL48" i="4" s="1"/>
  <c r="DL49" i="4" s="1"/>
  <c r="DL50" i="4" s="1"/>
  <c r="DL51" i="4" s="1"/>
  <c r="DL52" i="4" s="1"/>
  <c r="DL53" i="4" s="1"/>
  <c r="DL54" i="4" s="1"/>
  <c r="DL55" i="4" s="1"/>
  <c r="DL56" i="4" s="1"/>
  <c r="DL57" i="4" s="1"/>
  <c r="DL58" i="4" s="1"/>
  <c r="DL59" i="4" s="1"/>
  <c r="DK8" i="4"/>
  <c r="DK9" i="4" s="1"/>
  <c r="DK10" i="4" s="1"/>
  <c r="DK11" i="4" s="1"/>
  <c r="DK12" i="4" s="1"/>
  <c r="DK13" i="4" s="1"/>
  <c r="DK14" i="4" s="1"/>
  <c r="DK15" i="4" s="1"/>
  <c r="DK16" i="4" s="1"/>
  <c r="DK17" i="4" s="1"/>
  <c r="DK18" i="4" s="1"/>
  <c r="DK19" i="4" s="1"/>
  <c r="DK20" i="4" s="1"/>
  <c r="DK21" i="4" s="1"/>
  <c r="DK22" i="4" s="1"/>
  <c r="DK23" i="4" s="1"/>
  <c r="DK24" i="4" s="1"/>
  <c r="DK25" i="4" s="1"/>
  <c r="DK26" i="4" s="1"/>
  <c r="DK27" i="4" s="1"/>
  <c r="DK28" i="4" s="1"/>
  <c r="DK29" i="4" s="1"/>
  <c r="DK30" i="4" s="1"/>
  <c r="DK31" i="4" s="1"/>
  <c r="DK32" i="4" s="1"/>
  <c r="DK33" i="4" s="1"/>
  <c r="DK34" i="4" s="1"/>
  <c r="DK35" i="4" s="1"/>
  <c r="DK36" i="4" s="1"/>
  <c r="DK37" i="4" s="1"/>
  <c r="DK38" i="4" s="1"/>
  <c r="DK39" i="4" s="1"/>
  <c r="DK40" i="4" s="1"/>
  <c r="DK41" i="4" s="1"/>
  <c r="DK42" i="4" s="1"/>
  <c r="DK43" i="4" s="1"/>
  <c r="DK44" i="4" s="1"/>
  <c r="DK45" i="4" s="1"/>
  <c r="DK46" i="4" s="1"/>
  <c r="DK47" i="4" s="1"/>
  <c r="DK48" i="4" s="1"/>
  <c r="DK49" i="4" s="1"/>
  <c r="DK50" i="4" s="1"/>
  <c r="DK51" i="4" s="1"/>
  <c r="DK52" i="4" s="1"/>
  <c r="DK53" i="4" s="1"/>
  <c r="DK54" i="4" s="1"/>
  <c r="DK55" i="4" s="1"/>
  <c r="DK56" i="4" s="1"/>
  <c r="DK57" i="4" s="1"/>
  <c r="DK58" i="4" s="1"/>
  <c r="DK59" i="4" s="1"/>
  <c r="DM61" i="4" s="1"/>
  <c r="DJ8" i="4"/>
  <c r="DJ9" i="4" s="1"/>
  <c r="DJ10" i="4" s="1"/>
  <c r="DJ11" i="4" s="1"/>
  <c r="DJ12" i="4" s="1"/>
  <c r="DJ13" i="4" s="1"/>
  <c r="DJ14" i="4" s="1"/>
  <c r="DJ15" i="4" s="1"/>
  <c r="DJ16" i="4" s="1"/>
  <c r="DJ17" i="4" s="1"/>
  <c r="DJ18" i="4" s="1"/>
  <c r="DJ19" i="4" s="1"/>
  <c r="DJ20" i="4" s="1"/>
  <c r="DJ21" i="4" s="1"/>
  <c r="DJ22" i="4" s="1"/>
  <c r="DJ23" i="4" s="1"/>
  <c r="DJ24" i="4" s="1"/>
  <c r="DJ25" i="4" s="1"/>
  <c r="DJ26" i="4" s="1"/>
  <c r="DJ27" i="4" s="1"/>
  <c r="DJ28" i="4" s="1"/>
  <c r="DJ29" i="4" s="1"/>
  <c r="DJ30" i="4" s="1"/>
  <c r="DJ31" i="4" s="1"/>
  <c r="DJ32" i="4" s="1"/>
  <c r="DJ33" i="4" s="1"/>
  <c r="DJ34" i="4" s="1"/>
  <c r="DJ35" i="4" s="1"/>
  <c r="DJ36" i="4" s="1"/>
  <c r="DJ37" i="4" s="1"/>
  <c r="DJ38" i="4" s="1"/>
  <c r="DJ39" i="4" s="1"/>
  <c r="DJ40" i="4" s="1"/>
  <c r="DJ41" i="4" s="1"/>
  <c r="DJ42" i="4" s="1"/>
  <c r="DJ43" i="4" s="1"/>
  <c r="DJ44" i="4" s="1"/>
  <c r="DJ45" i="4" s="1"/>
  <c r="DJ46" i="4" s="1"/>
  <c r="DJ47" i="4" s="1"/>
  <c r="DJ48" i="4" s="1"/>
  <c r="DJ49" i="4" s="1"/>
  <c r="DJ50" i="4" s="1"/>
  <c r="DJ51" i="4" s="1"/>
  <c r="DJ52" i="4" s="1"/>
  <c r="DJ53" i="4" s="1"/>
  <c r="DJ54" i="4" s="1"/>
  <c r="DJ55" i="4" s="1"/>
  <c r="DJ56" i="4" s="1"/>
  <c r="DJ57" i="4" s="1"/>
  <c r="DJ58" i="4" s="1"/>
  <c r="DJ59" i="4" s="1"/>
  <c r="DI8" i="4"/>
  <c r="DI9" i="4" s="1"/>
  <c r="DI10" i="4" s="1"/>
  <c r="DI11" i="4" s="1"/>
  <c r="DI12" i="4" s="1"/>
  <c r="DI13" i="4" s="1"/>
  <c r="DI14" i="4" s="1"/>
  <c r="DI15" i="4" s="1"/>
  <c r="DI16" i="4" s="1"/>
  <c r="DI17" i="4" s="1"/>
  <c r="DI18" i="4" s="1"/>
  <c r="DI19" i="4" s="1"/>
  <c r="DI20" i="4" s="1"/>
  <c r="DI21" i="4" s="1"/>
  <c r="DI22" i="4" s="1"/>
  <c r="DI23" i="4" s="1"/>
  <c r="DI24" i="4" s="1"/>
  <c r="DI25" i="4" s="1"/>
  <c r="DI26" i="4" s="1"/>
  <c r="DI27" i="4" s="1"/>
  <c r="DI28" i="4" s="1"/>
  <c r="DI29" i="4" s="1"/>
  <c r="DI30" i="4" s="1"/>
  <c r="DI31" i="4" s="1"/>
  <c r="DI32" i="4" s="1"/>
  <c r="DI33" i="4" s="1"/>
  <c r="DI34" i="4" s="1"/>
  <c r="DI35" i="4" s="1"/>
  <c r="DI36" i="4" s="1"/>
  <c r="DI37" i="4" s="1"/>
  <c r="DI38" i="4" s="1"/>
  <c r="DI39" i="4" s="1"/>
  <c r="DI40" i="4" s="1"/>
  <c r="DI41" i="4" s="1"/>
  <c r="DI42" i="4" s="1"/>
  <c r="DI43" i="4" s="1"/>
  <c r="DI44" i="4" s="1"/>
  <c r="DI45" i="4" s="1"/>
  <c r="DI46" i="4" s="1"/>
  <c r="DI47" i="4" s="1"/>
  <c r="DI48" i="4" s="1"/>
  <c r="DI49" i="4" s="1"/>
  <c r="DI50" i="4" s="1"/>
  <c r="DI51" i="4" s="1"/>
  <c r="DI52" i="4" s="1"/>
  <c r="DI53" i="4" s="1"/>
  <c r="DI54" i="4" s="1"/>
  <c r="DI55" i="4" s="1"/>
  <c r="DI56" i="4" s="1"/>
  <c r="DI57" i="4" s="1"/>
  <c r="DI58" i="4" s="1"/>
  <c r="DI59" i="4" s="1"/>
  <c r="DH8" i="4"/>
  <c r="DH9" i="4" s="1"/>
  <c r="DH10" i="4" s="1"/>
  <c r="DH11" i="4" s="1"/>
  <c r="DH12" i="4" s="1"/>
  <c r="DH13" i="4" s="1"/>
  <c r="DH14" i="4" s="1"/>
  <c r="DH15" i="4" s="1"/>
  <c r="DH16" i="4" s="1"/>
  <c r="DH17" i="4" s="1"/>
  <c r="DH18" i="4" s="1"/>
  <c r="DH19" i="4" s="1"/>
  <c r="DH20" i="4" s="1"/>
  <c r="DH21" i="4" s="1"/>
  <c r="DH22" i="4" s="1"/>
  <c r="DH23" i="4" s="1"/>
  <c r="DH24" i="4" s="1"/>
  <c r="DH25" i="4" s="1"/>
  <c r="DH26" i="4" s="1"/>
  <c r="DH27" i="4" s="1"/>
  <c r="DH28" i="4" s="1"/>
  <c r="DH29" i="4" s="1"/>
  <c r="DH30" i="4" s="1"/>
  <c r="DH31" i="4" s="1"/>
  <c r="DH32" i="4" s="1"/>
  <c r="DH33" i="4" s="1"/>
  <c r="DH34" i="4" s="1"/>
  <c r="DH35" i="4" s="1"/>
  <c r="DH36" i="4" s="1"/>
  <c r="DH37" i="4" s="1"/>
  <c r="DH38" i="4" s="1"/>
  <c r="DH39" i="4" s="1"/>
  <c r="DH40" i="4" s="1"/>
  <c r="DH41" i="4" s="1"/>
  <c r="DH42" i="4" s="1"/>
  <c r="DH43" i="4" s="1"/>
  <c r="DH44" i="4" s="1"/>
  <c r="DH45" i="4" s="1"/>
  <c r="DH46" i="4" s="1"/>
  <c r="DH47" i="4" s="1"/>
  <c r="DH48" i="4" s="1"/>
  <c r="DH49" i="4" s="1"/>
  <c r="DH50" i="4" s="1"/>
  <c r="DH51" i="4" s="1"/>
  <c r="DH52" i="4" s="1"/>
  <c r="DH53" i="4" s="1"/>
  <c r="DH54" i="4" s="1"/>
  <c r="DH55" i="4" s="1"/>
  <c r="DH56" i="4" s="1"/>
  <c r="DH57" i="4" s="1"/>
  <c r="DH58" i="4" s="1"/>
  <c r="DH59" i="4" s="1"/>
  <c r="DG8" i="4"/>
  <c r="DG9" i="4" s="1"/>
  <c r="DG10" i="4" s="1"/>
  <c r="DG11" i="4" s="1"/>
  <c r="DG12" i="4" s="1"/>
  <c r="DG13" i="4" s="1"/>
  <c r="DG14" i="4" s="1"/>
  <c r="DG15" i="4" s="1"/>
  <c r="DG16" i="4" s="1"/>
  <c r="DG17" i="4" s="1"/>
  <c r="DG18" i="4" s="1"/>
  <c r="DG19" i="4" s="1"/>
  <c r="DG20" i="4" s="1"/>
  <c r="DG21" i="4" s="1"/>
  <c r="DG22" i="4" s="1"/>
  <c r="DG23" i="4" s="1"/>
  <c r="DG24" i="4" s="1"/>
  <c r="DG25" i="4" s="1"/>
  <c r="DG26" i="4" s="1"/>
  <c r="DG27" i="4" s="1"/>
  <c r="DG28" i="4" s="1"/>
  <c r="DG29" i="4" s="1"/>
  <c r="DG30" i="4" s="1"/>
  <c r="DG31" i="4" s="1"/>
  <c r="DG32" i="4" s="1"/>
  <c r="DG33" i="4" s="1"/>
  <c r="DG34" i="4" s="1"/>
  <c r="DG35" i="4" s="1"/>
  <c r="DG36" i="4" s="1"/>
  <c r="DG37" i="4" s="1"/>
  <c r="DG38" i="4" s="1"/>
  <c r="DG39" i="4" s="1"/>
  <c r="DG40" i="4" s="1"/>
  <c r="DG41" i="4" s="1"/>
  <c r="DG42" i="4" s="1"/>
  <c r="DG43" i="4" s="1"/>
  <c r="DG44" i="4" s="1"/>
  <c r="DG45" i="4" s="1"/>
  <c r="DG46" i="4" s="1"/>
  <c r="DG47" i="4" s="1"/>
  <c r="DG48" i="4" s="1"/>
  <c r="DG49" i="4" s="1"/>
  <c r="DG50" i="4" s="1"/>
  <c r="DG51" i="4" s="1"/>
  <c r="DG52" i="4" s="1"/>
  <c r="DG53" i="4" s="1"/>
  <c r="DG54" i="4" s="1"/>
  <c r="DG55" i="4" s="1"/>
  <c r="DG56" i="4" s="1"/>
  <c r="DG57" i="4" s="1"/>
  <c r="DG58" i="4" s="1"/>
  <c r="DG59" i="4" s="1"/>
  <c r="DF8" i="4"/>
  <c r="DF9" i="4" s="1"/>
  <c r="DF10" i="4" s="1"/>
  <c r="DF11" i="4" s="1"/>
  <c r="DF12" i="4" s="1"/>
  <c r="DF13" i="4" s="1"/>
  <c r="DF14" i="4" s="1"/>
  <c r="DF15" i="4" s="1"/>
  <c r="DF16" i="4" s="1"/>
  <c r="DF17" i="4" s="1"/>
  <c r="DF18" i="4" s="1"/>
  <c r="DF19" i="4" s="1"/>
  <c r="DF20" i="4" s="1"/>
  <c r="DF21" i="4" s="1"/>
  <c r="DF22" i="4" s="1"/>
  <c r="DF23" i="4" s="1"/>
  <c r="DF24" i="4" s="1"/>
  <c r="DF25" i="4" s="1"/>
  <c r="DF26" i="4" s="1"/>
  <c r="DF27" i="4" s="1"/>
  <c r="DF28" i="4" s="1"/>
  <c r="DF29" i="4" s="1"/>
  <c r="DF30" i="4" s="1"/>
  <c r="DF31" i="4" s="1"/>
  <c r="DF32" i="4" s="1"/>
  <c r="DF33" i="4" s="1"/>
  <c r="DF34" i="4" s="1"/>
  <c r="DF35" i="4" s="1"/>
  <c r="DF36" i="4" s="1"/>
  <c r="DF37" i="4" s="1"/>
  <c r="DF38" i="4" s="1"/>
  <c r="DF39" i="4" s="1"/>
  <c r="DF40" i="4" s="1"/>
  <c r="DF41" i="4" s="1"/>
  <c r="DF42" i="4" s="1"/>
  <c r="DF43" i="4" s="1"/>
  <c r="DF44" i="4" s="1"/>
  <c r="DF45" i="4" s="1"/>
  <c r="DF46" i="4" s="1"/>
  <c r="DF47" i="4" s="1"/>
  <c r="DF48" i="4" s="1"/>
  <c r="DF49" i="4" s="1"/>
  <c r="DF50" i="4" s="1"/>
  <c r="DF51" i="4" s="1"/>
  <c r="DF52" i="4" s="1"/>
  <c r="DF53" i="4" s="1"/>
  <c r="DF54" i="4" s="1"/>
  <c r="DF55" i="4" s="1"/>
  <c r="DF56" i="4" s="1"/>
  <c r="DF57" i="4" s="1"/>
  <c r="DF58" i="4" s="1"/>
  <c r="DF59" i="4" s="1"/>
  <c r="DA8" i="4"/>
  <c r="CX8" i="4"/>
  <c r="CX9" i="4" s="1"/>
  <c r="CX10" i="4" s="1"/>
  <c r="CX11" i="4" s="1"/>
  <c r="CX12" i="4" s="1"/>
  <c r="CX13" i="4" s="1"/>
  <c r="CX14" i="4" s="1"/>
  <c r="CX15" i="4" s="1"/>
  <c r="CX16" i="4" s="1"/>
  <c r="CX17" i="4" s="1"/>
  <c r="CX18" i="4" s="1"/>
  <c r="CX19" i="4" s="1"/>
  <c r="CX20" i="4" s="1"/>
  <c r="CX21" i="4" s="1"/>
  <c r="CX22" i="4" s="1"/>
  <c r="CX23" i="4" s="1"/>
  <c r="CX24" i="4" s="1"/>
  <c r="CX25" i="4" s="1"/>
  <c r="CX26" i="4" s="1"/>
  <c r="CX27" i="4" s="1"/>
  <c r="CX28" i="4" s="1"/>
  <c r="CX29" i="4" s="1"/>
  <c r="CX30" i="4" s="1"/>
  <c r="CX31" i="4" s="1"/>
  <c r="CX32" i="4" s="1"/>
  <c r="CX33" i="4" s="1"/>
  <c r="CX34" i="4" s="1"/>
  <c r="CX35" i="4" s="1"/>
  <c r="CX36" i="4" s="1"/>
  <c r="CX37" i="4" s="1"/>
  <c r="CX38" i="4" s="1"/>
  <c r="CX39" i="4" s="1"/>
  <c r="CX40" i="4" s="1"/>
  <c r="CX41" i="4" s="1"/>
  <c r="CX42" i="4" s="1"/>
  <c r="CX43" i="4" s="1"/>
  <c r="CX44" i="4" s="1"/>
  <c r="CX45" i="4" s="1"/>
  <c r="CX46" i="4" s="1"/>
  <c r="CX47" i="4" s="1"/>
  <c r="CX48" i="4" s="1"/>
  <c r="CX49" i="4" s="1"/>
  <c r="CX50" i="4" s="1"/>
  <c r="CX51" i="4" s="1"/>
  <c r="CX52" i="4" s="1"/>
  <c r="CX53" i="4" s="1"/>
  <c r="CX54" i="4" s="1"/>
  <c r="CX55" i="4" s="1"/>
  <c r="CX56" i="4" s="1"/>
  <c r="CX57" i="4" s="1"/>
  <c r="CX58" i="4" s="1"/>
  <c r="CX59" i="4" s="1"/>
  <c r="CW8" i="4"/>
  <c r="CW9" i="4" s="1"/>
  <c r="CW10" i="4" s="1"/>
  <c r="CW11" i="4" s="1"/>
  <c r="CW12" i="4" s="1"/>
  <c r="CW13" i="4" s="1"/>
  <c r="CW14" i="4" s="1"/>
  <c r="CW15" i="4" s="1"/>
  <c r="CW16" i="4" s="1"/>
  <c r="CW17" i="4" s="1"/>
  <c r="CW18" i="4" s="1"/>
  <c r="CW19" i="4" s="1"/>
  <c r="CW20" i="4" s="1"/>
  <c r="CW21" i="4" s="1"/>
  <c r="CW22" i="4" s="1"/>
  <c r="CW23" i="4" s="1"/>
  <c r="CW24" i="4" s="1"/>
  <c r="CW25" i="4" s="1"/>
  <c r="CW26" i="4" s="1"/>
  <c r="CW27" i="4" s="1"/>
  <c r="CW28" i="4" s="1"/>
  <c r="CW29" i="4" s="1"/>
  <c r="CW30" i="4" s="1"/>
  <c r="CW31" i="4" s="1"/>
  <c r="CW32" i="4" s="1"/>
  <c r="CW33" i="4" s="1"/>
  <c r="CW34" i="4" s="1"/>
  <c r="CW35" i="4" s="1"/>
  <c r="CW36" i="4" s="1"/>
  <c r="CW37" i="4" s="1"/>
  <c r="CW38" i="4" s="1"/>
  <c r="CW39" i="4" s="1"/>
  <c r="CW40" i="4" s="1"/>
  <c r="CW41" i="4" s="1"/>
  <c r="CW42" i="4" s="1"/>
  <c r="CW43" i="4" s="1"/>
  <c r="CW44" i="4" s="1"/>
  <c r="CW45" i="4" s="1"/>
  <c r="CW46" i="4" s="1"/>
  <c r="CW47" i="4" s="1"/>
  <c r="CW48" i="4" s="1"/>
  <c r="CW49" i="4" s="1"/>
  <c r="CW50" i="4" s="1"/>
  <c r="CW51" i="4" s="1"/>
  <c r="CW52" i="4" s="1"/>
  <c r="CW53" i="4" s="1"/>
  <c r="CW54" i="4" s="1"/>
  <c r="CW55" i="4" s="1"/>
  <c r="CW56" i="4" s="1"/>
  <c r="CW57" i="4" s="1"/>
  <c r="CW58" i="4" s="1"/>
  <c r="CW59" i="4" s="1"/>
  <c r="CV8" i="4"/>
  <c r="CU8" i="4"/>
  <c r="CU9" i="4" s="1"/>
  <c r="CU10" i="4" s="1"/>
  <c r="CU11" i="4" s="1"/>
  <c r="CU12" i="4" s="1"/>
  <c r="CU13" i="4" s="1"/>
  <c r="CU14" i="4" s="1"/>
  <c r="CU15" i="4" s="1"/>
  <c r="CU16" i="4" s="1"/>
  <c r="CU17" i="4" s="1"/>
  <c r="CU18" i="4" s="1"/>
  <c r="CU19" i="4" s="1"/>
  <c r="CU20" i="4" s="1"/>
  <c r="CU21" i="4" s="1"/>
  <c r="CU22" i="4" s="1"/>
  <c r="CU23" i="4" s="1"/>
  <c r="CU24" i="4" s="1"/>
  <c r="CU25" i="4" s="1"/>
  <c r="CU26" i="4" s="1"/>
  <c r="CU27" i="4" s="1"/>
  <c r="CU28" i="4" s="1"/>
  <c r="CU29" i="4" s="1"/>
  <c r="CU30" i="4" s="1"/>
  <c r="CU31" i="4" s="1"/>
  <c r="CU32" i="4" s="1"/>
  <c r="CU33" i="4" s="1"/>
  <c r="CU34" i="4" s="1"/>
  <c r="CU35" i="4" s="1"/>
  <c r="CU36" i="4" s="1"/>
  <c r="CU37" i="4" s="1"/>
  <c r="CU38" i="4" s="1"/>
  <c r="CU39" i="4" s="1"/>
  <c r="CU40" i="4" s="1"/>
  <c r="CU41" i="4" s="1"/>
  <c r="CU42" i="4" s="1"/>
  <c r="CU43" i="4" s="1"/>
  <c r="CU44" i="4" s="1"/>
  <c r="CU45" i="4" s="1"/>
  <c r="CU46" i="4" s="1"/>
  <c r="CU47" i="4" s="1"/>
  <c r="CU48" i="4" s="1"/>
  <c r="CU49" i="4" s="1"/>
  <c r="CU50" i="4" s="1"/>
  <c r="CU51" i="4" s="1"/>
  <c r="CU52" i="4" s="1"/>
  <c r="CU53" i="4" s="1"/>
  <c r="CU54" i="4" s="1"/>
  <c r="CU55" i="4" s="1"/>
  <c r="CU56" i="4" s="1"/>
  <c r="CU57" i="4" s="1"/>
  <c r="CU58" i="4" s="1"/>
  <c r="CU59" i="4" s="1"/>
  <c r="CT8" i="4"/>
  <c r="CS8" i="4"/>
  <c r="CS9" i="4" s="1"/>
  <c r="CS10" i="4" s="1"/>
  <c r="CS11" i="4" s="1"/>
  <c r="CS12" i="4" s="1"/>
  <c r="CS13" i="4" s="1"/>
  <c r="CS14" i="4" s="1"/>
  <c r="CS15" i="4" s="1"/>
  <c r="CS16" i="4" s="1"/>
  <c r="CS17" i="4" s="1"/>
  <c r="CS18" i="4" s="1"/>
  <c r="CS19" i="4" s="1"/>
  <c r="CS20" i="4" s="1"/>
  <c r="CS21" i="4" s="1"/>
  <c r="CS22" i="4" s="1"/>
  <c r="CS23" i="4" s="1"/>
  <c r="CS24" i="4" s="1"/>
  <c r="CS25" i="4" s="1"/>
  <c r="CS26" i="4" s="1"/>
  <c r="CS27" i="4" s="1"/>
  <c r="CS28" i="4" s="1"/>
  <c r="CS29" i="4" s="1"/>
  <c r="CS30" i="4" s="1"/>
  <c r="CS31" i="4" s="1"/>
  <c r="CS32" i="4" s="1"/>
  <c r="CS33" i="4" s="1"/>
  <c r="CS34" i="4" s="1"/>
  <c r="CS35" i="4" s="1"/>
  <c r="CS36" i="4" s="1"/>
  <c r="CS37" i="4" s="1"/>
  <c r="CS38" i="4" s="1"/>
  <c r="CS39" i="4" s="1"/>
  <c r="CS40" i="4" s="1"/>
  <c r="CS41" i="4" s="1"/>
  <c r="CS42" i="4" s="1"/>
  <c r="CS43" i="4" s="1"/>
  <c r="CS44" i="4" s="1"/>
  <c r="CS45" i="4" s="1"/>
  <c r="CS46" i="4" s="1"/>
  <c r="CS47" i="4" s="1"/>
  <c r="CS48" i="4" s="1"/>
  <c r="CS49" i="4" s="1"/>
  <c r="CS50" i="4" s="1"/>
  <c r="CS51" i="4" s="1"/>
  <c r="CS52" i="4" s="1"/>
  <c r="CS53" i="4" s="1"/>
  <c r="CS54" i="4" s="1"/>
  <c r="CS55" i="4" s="1"/>
  <c r="CS56" i="4" s="1"/>
  <c r="CS57" i="4" s="1"/>
  <c r="CS58" i="4" s="1"/>
  <c r="CS59" i="4" s="1"/>
  <c r="CU61" i="4" s="1"/>
  <c r="CR8" i="4"/>
  <c r="CR9" i="4" s="1"/>
  <c r="CR10" i="4" s="1"/>
  <c r="CR11" i="4" s="1"/>
  <c r="CR12" i="4" s="1"/>
  <c r="CR13" i="4" s="1"/>
  <c r="CR14" i="4" s="1"/>
  <c r="CR15" i="4" s="1"/>
  <c r="CR16" i="4" s="1"/>
  <c r="CR17" i="4" s="1"/>
  <c r="CR18" i="4" s="1"/>
  <c r="CR19" i="4" s="1"/>
  <c r="CR20" i="4" s="1"/>
  <c r="CR21" i="4" s="1"/>
  <c r="CR22" i="4" s="1"/>
  <c r="CR23" i="4" s="1"/>
  <c r="CR24" i="4" s="1"/>
  <c r="CR25" i="4" s="1"/>
  <c r="CR26" i="4" s="1"/>
  <c r="CR27" i="4" s="1"/>
  <c r="CR28" i="4" s="1"/>
  <c r="CR29" i="4" s="1"/>
  <c r="CR30" i="4" s="1"/>
  <c r="CR31" i="4" s="1"/>
  <c r="CR32" i="4" s="1"/>
  <c r="CR33" i="4" s="1"/>
  <c r="CR34" i="4" s="1"/>
  <c r="CR35" i="4" s="1"/>
  <c r="CR36" i="4" s="1"/>
  <c r="CR37" i="4" s="1"/>
  <c r="CR38" i="4" s="1"/>
  <c r="CR39" i="4" s="1"/>
  <c r="CR40" i="4" s="1"/>
  <c r="CR41" i="4" s="1"/>
  <c r="CR42" i="4" s="1"/>
  <c r="CR43" i="4" s="1"/>
  <c r="CR44" i="4" s="1"/>
  <c r="CR45" i="4" s="1"/>
  <c r="CR46" i="4" s="1"/>
  <c r="CR47" i="4" s="1"/>
  <c r="CR48" i="4" s="1"/>
  <c r="CR49" i="4" s="1"/>
  <c r="CR50" i="4" s="1"/>
  <c r="CR51" i="4" s="1"/>
  <c r="CR52" i="4" s="1"/>
  <c r="CR53" i="4" s="1"/>
  <c r="CR54" i="4" s="1"/>
  <c r="CR55" i="4" s="1"/>
  <c r="CR56" i="4" s="1"/>
  <c r="CR57" i="4" s="1"/>
  <c r="CR58" i="4" s="1"/>
  <c r="CR59" i="4" s="1"/>
  <c r="CQ8" i="4"/>
  <c r="CQ9" i="4" s="1"/>
  <c r="CQ10" i="4" s="1"/>
  <c r="CQ11" i="4" s="1"/>
  <c r="CQ12" i="4" s="1"/>
  <c r="CQ13" i="4" s="1"/>
  <c r="CQ14" i="4" s="1"/>
  <c r="CQ15" i="4" s="1"/>
  <c r="CQ16" i="4" s="1"/>
  <c r="CQ17" i="4" s="1"/>
  <c r="CQ18" i="4" s="1"/>
  <c r="CQ19" i="4" s="1"/>
  <c r="CQ20" i="4" s="1"/>
  <c r="CQ21" i="4" s="1"/>
  <c r="CQ22" i="4" s="1"/>
  <c r="CQ23" i="4" s="1"/>
  <c r="CQ24" i="4" s="1"/>
  <c r="CQ25" i="4" s="1"/>
  <c r="CQ26" i="4" s="1"/>
  <c r="CQ27" i="4" s="1"/>
  <c r="CQ28" i="4" s="1"/>
  <c r="CQ29" i="4" s="1"/>
  <c r="CQ30" i="4" s="1"/>
  <c r="CQ31" i="4" s="1"/>
  <c r="CQ32" i="4" s="1"/>
  <c r="CQ33" i="4" s="1"/>
  <c r="CQ34" i="4" s="1"/>
  <c r="CQ35" i="4" s="1"/>
  <c r="CQ36" i="4" s="1"/>
  <c r="CQ37" i="4" s="1"/>
  <c r="CQ38" i="4" s="1"/>
  <c r="CQ39" i="4" s="1"/>
  <c r="CQ40" i="4" s="1"/>
  <c r="CQ41" i="4" s="1"/>
  <c r="CQ42" i="4" s="1"/>
  <c r="CQ43" i="4" s="1"/>
  <c r="CQ44" i="4" s="1"/>
  <c r="CQ45" i="4" s="1"/>
  <c r="CQ46" i="4" s="1"/>
  <c r="CQ47" i="4" s="1"/>
  <c r="CQ48" i="4" s="1"/>
  <c r="CQ49" i="4" s="1"/>
  <c r="CQ50" i="4" s="1"/>
  <c r="CQ51" i="4" s="1"/>
  <c r="CQ52" i="4" s="1"/>
  <c r="CQ53" i="4" s="1"/>
  <c r="CQ54" i="4" s="1"/>
  <c r="CQ55" i="4" s="1"/>
  <c r="CQ56" i="4" s="1"/>
  <c r="CQ57" i="4" s="1"/>
  <c r="CQ58" i="4" s="1"/>
  <c r="CQ59" i="4" s="1"/>
  <c r="CP8" i="4"/>
  <c r="CP9" i="4" s="1"/>
  <c r="CP10" i="4" s="1"/>
  <c r="CP11" i="4" s="1"/>
  <c r="CP12" i="4" s="1"/>
  <c r="CP13" i="4" s="1"/>
  <c r="CP14" i="4" s="1"/>
  <c r="CP15" i="4" s="1"/>
  <c r="CP16" i="4" s="1"/>
  <c r="CP17" i="4" s="1"/>
  <c r="CP18" i="4" s="1"/>
  <c r="CP19" i="4" s="1"/>
  <c r="CP20" i="4" s="1"/>
  <c r="CP21" i="4" s="1"/>
  <c r="CP22" i="4" s="1"/>
  <c r="CP23" i="4" s="1"/>
  <c r="CP24" i="4" s="1"/>
  <c r="CP25" i="4" s="1"/>
  <c r="CP26" i="4" s="1"/>
  <c r="CP27" i="4" s="1"/>
  <c r="CP28" i="4" s="1"/>
  <c r="CP29" i="4" s="1"/>
  <c r="CP30" i="4" s="1"/>
  <c r="CP31" i="4" s="1"/>
  <c r="CP32" i="4" s="1"/>
  <c r="CP33" i="4" s="1"/>
  <c r="CP34" i="4" s="1"/>
  <c r="CP35" i="4" s="1"/>
  <c r="CP36" i="4" s="1"/>
  <c r="CP37" i="4" s="1"/>
  <c r="CP38" i="4" s="1"/>
  <c r="CP39" i="4" s="1"/>
  <c r="CP40" i="4" s="1"/>
  <c r="CP41" i="4" s="1"/>
  <c r="CP42" i="4" s="1"/>
  <c r="CP43" i="4" s="1"/>
  <c r="CP44" i="4" s="1"/>
  <c r="CP45" i="4" s="1"/>
  <c r="CP46" i="4" s="1"/>
  <c r="CP47" i="4" s="1"/>
  <c r="CP48" i="4" s="1"/>
  <c r="CP49" i="4" s="1"/>
  <c r="CP50" i="4" s="1"/>
  <c r="CP51" i="4" s="1"/>
  <c r="CP52" i="4" s="1"/>
  <c r="CP53" i="4" s="1"/>
  <c r="CP54" i="4" s="1"/>
  <c r="CP55" i="4" s="1"/>
  <c r="CP56" i="4" s="1"/>
  <c r="CP57" i="4" s="1"/>
  <c r="CP58" i="4" s="1"/>
  <c r="CP59" i="4" s="1"/>
  <c r="CO8" i="4"/>
  <c r="CO9" i="4" s="1"/>
  <c r="CO10" i="4" s="1"/>
  <c r="CO11" i="4" s="1"/>
  <c r="CO12" i="4" s="1"/>
  <c r="CO13" i="4" s="1"/>
  <c r="CO14" i="4" s="1"/>
  <c r="CO15" i="4" s="1"/>
  <c r="CO16" i="4" s="1"/>
  <c r="CO17" i="4" s="1"/>
  <c r="CO18" i="4" s="1"/>
  <c r="CO19" i="4" s="1"/>
  <c r="CO20" i="4" s="1"/>
  <c r="CO21" i="4" s="1"/>
  <c r="CO22" i="4" s="1"/>
  <c r="CO23" i="4" s="1"/>
  <c r="CO24" i="4" s="1"/>
  <c r="CO25" i="4" s="1"/>
  <c r="CO26" i="4" s="1"/>
  <c r="CO27" i="4" s="1"/>
  <c r="CO28" i="4" s="1"/>
  <c r="CO29" i="4" s="1"/>
  <c r="CO30" i="4" s="1"/>
  <c r="CO31" i="4" s="1"/>
  <c r="CO32" i="4" s="1"/>
  <c r="CO33" i="4" s="1"/>
  <c r="CO34" i="4" s="1"/>
  <c r="CO35" i="4" s="1"/>
  <c r="CO36" i="4" s="1"/>
  <c r="CO37" i="4" s="1"/>
  <c r="CO38" i="4" s="1"/>
  <c r="CO39" i="4" s="1"/>
  <c r="CO40" i="4" s="1"/>
  <c r="CO41" i="4" s="1"/>
  <c r="CO42" i="4" s="1"/>
  <c r="CO43" i="4" s="1"/>
  <c r="CO44" i="4" s="1"/>
  <c r="CO45" i="4" s="1"/>
  <c r="CO46" i="4" s="1"/>
  <c r="CO47" i="4" s="1"/>
  <c r="CO48" i="4" s="1"/>
  <c r="CO49" i="4" s="1"/>
  <c r="CO50" i="4" s="1"/>
  <c r="CO51" i="4" s="1"/>
  <c r="CO52" i="4" s="1"/>
  <c r="CO53" i="4" s="1"/>
  <c r="CO54" i="4" s="1"/>
  <c r="CO55" i="4" s="1"/>
  <c r="CO56" i="4" s="1"/>
  <c r="CO57" i="4" s="1"/>
  <c r="CO58" i="4" s="1"/>
  <c r="CO59" i="4" s="1"/>
  <c r="CN8" i="4"/>
  <c r="CN9" i="4" s="1"/>
  <c r="CN10" i="4" s="1"/>
  <c r="CN11" i="4" s="1"/>
  <c r="CN12" i="4" s="1"/>
  <c r="CN13" i="4" s="1"/>
  <c r="CN14" i="4" s="1"/>
  <c r="CN15" i="4" s="1"/>
  <c r="CN16" i="4" s="1"/>
  <c r="CN17" i="4" s="1"/>
  <c r="CN18" i="4" s="1"/>
  <c r="CN19" i="4" s="1"/>
  <c r="CN20" i="4" s="1"/>
  <c r="CN21" i="4" s="1"/>
  <c r="CN22" i="4" s="1"/>
  <c r="CN23" i="4" s="1"/>
  <c r="CN24" i="4" s="1"/>
  <c r="CN25" i="4" s="1"/>
  <c r="CN26" i="4" s="1"/>
  <c r="CN27" i="4" s="1"/>
  <c r="CN28" i="4" s="1"/>
  <c r="CN29" i="4" s="1"/>
  <c r="CN30" i="4" s="1"/>
  <c r="CN31" i="4" s="1"/>
  <c r="CN32" i="4" s="1"/>
  <c r="CN33" i="4" s="1"/>
  <c r="CN34" i="4" s="1"/>
  <c r="CN35" i="4" s="1"/>
  <c r="CN36" i="4" s="1"/>
  <c r="CN37" i="4" s="1"/>
  <c r="CN38" i="4" s="1"/>
  <c r="CN39" i="4" s="1"/>
  <c r="CN40" i="4" s="1"/>
  <c r="CN41" i="4" s="1"/>
  <c r="CN42" i="4" s="1"/>
  <c r="CN43" i="4" s="1"/>
  <c r="CN44" i="4" s="1"/>
  <c r="CN45" i="4" s="1"/>
  <c r="CN46" i="4" s="1"/>
  <c r="CN47" i="4" s="1"/>
  <c r="CN48" i="4" s="1"/>
  <c r="CN49" i="4" s="1"/>
  <c r="CN50" i="4" s="1"/>
  <c r="CN51" i="4" s="1"/>
  <c r="CN52" i="4" s="1"/>
  <c r="CN53" i="4" s="1"/>
  <c r="CN54" i="4" s="1"/>
  <c r="CN55" i="4" s="1"/>
  <c r="CN56" i="4" s="1"/>
  <c r="CN57" i="4" s="1"/>
  <c r="CN58" i="4" s="1"/>
  <c r="CN59" i="4" s="1"/>
  <c r="BY8" i="4"/>
  <c r="BY9" i="4" s="1"/>
  <c r="BY10" i="4" s="1"/>
  <c r="BY11" i="4" s="1"/>
  <c r="BY12" i="4" s="1"/>
  <c r="BY13" i="4" s="1"/>
  <c r="BY14" i="4" s="1"/>
  <c r="BY15" i="4" s="1"/>
  <c r="BY16" i="4" s="1"/>
  <c r="BY17" i="4" s="1"/>
  <c r="BY18" i="4" s="1"/>
  <c r="BY19" i="4" s="1"/>
  <c r="BY20" i="4" s="1"/>
  <c r="BY21" i="4" s="1"/>
  <c r="BY22" i="4" s="1"/>
  <c r="BY23" i="4" s="1"/>
  <c r="BY24" i="4" s="1"/>
  <c r="BY25" i="4" s="1"/>
  <c r="BY26" i="4" s="1"/>
  <c r="BY27" i="4" s="1"/>
  <c r="BY28" i="4" s="1"/>
  <c r="BY29" i="4" s="1"/>
  <c r="BY30" i="4" s="1"/>
  <c r="BY31" i="4" s="1"/>
  <c r="BY32" i="4" s="1"/>
  <c r="BY33" i="4" s="1"/>
  <c r="BY34" i="4" s="1"/>
  <c r="BY35" i="4" s="1"/>
  <c r="BY36" i="4" s="1"/>
  <c r="BY37" i="4" s="1"/>
  <c r="BY38" i="4" s="1"/>
  <c r="BY39" i="4" s="1"/>
  <c r="BY40" i="4" s="1"/>
  <c r="BY41" i="4" s="1"/>
  <c r="BY42" i="4" s="1"/>
  <c r="BY43" i="4" s="1"/>
  <c r="BY44" i="4" s="1"/>
  <c r="BY45" i="4" s="1"/>
  <c r="BY46" i="4" s="1"/>
  <c r="BY47" i="4" s="1"/>
  <c r="BY48" i="4" s="1"/>
  <c r="BY49" i="4" s="1"/>
  <c r="BY50" i="4" s="1"/>
  <c r="BY51" i="4" s="1"/>
  <c r="BY52" i="4" s="1"/>
  <c r="BY53" i="4" s="1"/>
  <c r="BY54" i="4" s="1"/>
  <c r="BY55" i="4" s="1"/>
  <c r="BY56" i="4" s="1"/>
  <c r="BY57" i="4" s="1"/>
  <c r="BY58" i="4" s="1"/>
  <c r="BY59" i="4" s="1"/>
  <c r="BX8" i="4"/>
  <c r="BX9" i="4" s="1"/>
  <c r="BX10" i="4" s="1"/>
  <c r="BX11" i="4" s="1"/>
  <c r="BX12" i="4" s="1"/>
  <c r="BX13" i="4" s="1"/>
  <c r="BX14" i="4" s="1"/>
  <c r="BX15" i="4" s="1"/>
  <c r="BX16" i="4" s="1"/>
  <c r="BX17" i="4" s="1"/>
  <c r="BX18" i="4" s="1"/>
  <c r="BX19" i="4" s="1"/>
  <c r="BX20" i="4" s="1"/>
  <c r="BX21" i="4" s="1"/>
  <c r="BX22" i="4" s="1"/>
  <c r="BX23" i="4" s="1"/>
  <c r="BX24" i="4" s="1"/>
  <c r="BX25" i="4" s="1"/>
  <c r="BX26" i="4" s="1"/>
  <c r="BX27" i="4" s="1"/>
  <c r="BX28" i="4" s="1"/>
  <c r="BX29" i="4" s="1"/>
  <c r="BX30" i="4" s="1"/>
  <c r="BX31" i="4" s="1"/>
  <c r="BX32" i="4" s="1"/>
  <c r="BX33" i="4" s="1"/>
  <c r="BX34" i="4" s="1"/>
  <c r="BX35" i="4" s="1"/>
  <c r="BX36" i="4" s="1"/>
  <c r="BX37" i="4" s="1"/>
  <c r="BX38" i="4" s="1"/>
  <c r="BX39" i="4" s="1"/>
  <c r="BX40" i="4" s="1"/>
  <c r="BX41" i="4" s="1"/>
  <c r="BX42" i="4" s="1"/>
  <c r="BX43" i="4" s="1"/>
  <c r="BX44" i="4" s="1"/>
  <c r="BX45" i="4" s="1"/>
  <c r="BX46" i="4" s="1"/>
  <c r="BX47" i="4" s="1"/>
  <c r="BX48" i="4" s="1"/>
  <c r="BX49" i="4" s="1"/>
  <c r="BX50" i="4" s="1"/>
  <c r="BX51" i="4" s="1"/>
  <c r="BX52" i="4" s="1"/>
  <c r="BX53" i="4" s="1"/>
  <c r="BX54" i="4" s="1"/>
  <c r="BX55" i="4" s="1"/>
  <c r="BX56" i="4" s="1"/>
  <c r="BX57" i="4" s="1"/>
  <c r="BX58" i="4" s="1"/>
  <c r="BX59" i="4" s="1"/>
  <c r="BW8" i="4"/>
  <c r="BW9" i="4" s="1"/>
  <c r="BW10" i="4" s="1"/>
  <c r="BW11" i="4" s="1"/>
  <c r="BW12" i="4" s="1"/>
  <c r="BW13" i="4" s="1"/>
  <c r="BW14" i="4" s="1"/>
  <c r="BW15" i="4" s="1"/>
  <c r="BW16" i="4" s="1"/>
  <c r="BW17" i="4" s="1"/>
  <c r="BW18" i="4" s="1"/>
  <c r="BW19" i="4" s="1"/>
  <c r="BW20" i="4" s="1"/>
  <c r="BW21" i="4" s="1"/>
  <c r="BW22" i="4" s="1"/>
  <c r="BW23" i="4" s="1"/>
  <c r="BW24" i="4" s="1"/>
  <c r="BW25" i="4" s="1"/>
  <c r="BW26" i="4" s="1"/>
  <c r="BW27" i="4" s="1"/>
  <c r="BW28" i="4" s="1"/>
  <c r="BW29" i="4" s="1"/>
  <c r="BW30" i="4" s="1"/>
  <c r="BW31" i="4" s="1"/>
  <c r="BW32" i="4" s="1"/>
  <c r="BW33" i="4" s="1"/>
  <c r="BW34" i="4" s="1"/>
  <c r="BW35" i="4" s="1"/>
  <c r="BW36" i="4" s="1"/>
  <c r="BW37" i="4" s="1"/>
  <c r="BW38" i="4" s="1"/>
  <c r="BW39" i="4" s="1"/>
  <c r="BW40" i="4" s="1"/>
  <c r="BW41" i="4" s="1"/>
  <c r="BW42" i="4" s="1"/>
  <c r="BW43" i="4" s="1"/>
  <c r="BW44" i="4" s="1"/>
  <c r="BW45" i="4" s="1"/>
  <c r="BW46" i="4" s="1"/>
  <c r="BW47" i="4" s="1"/>
  <c r="BW48" i="4" s="1"/>
  <c r="BW49" i="4" s="1"/>
  <c r="BW50" i="4" s="1"/>
  <c r="BW51" i="4" s="1"/>
  <c r="BW52" i="4" s="1"/>
  <c r="BW53" i="4" s="1"/>
  <c r="BW54" i="4" s="1"/>
  <c r="BW55" i="4" s="1"/>
  <c r="BW56" i="4" s="1"/>
  <c r="BW57" i="4" s="1"/>
  <c r="BW58" i="4" s="1"/>
  <c r="BW59" i="4" s="1"/>
  <c r="BV8" i="4"/>
  <c r="BV9" i="4" s="1"/>
  <c r="BV10" i="4" s="1"/>
  <c r="BV11" i="4" s="1"/>
  <c r="BV12" i="4" s="1"/>
  <c r="BV13" i="4" s="1"/>
  <c r="BV14" i="4" s="1"/>
  <c r="BV15" i="4" s="1"/>
  <c r="BV16" i="4" s="1"/>
  <c r="BV17" i="4" s="1"/>
  <c r="BV18" i="4" s="1"/>
  <c r="BV19" i="4" s="1"/>
  <c r="BV20" i="4" s="1"/>
  <c r="BV21" i="4" s="1"/>
  <c r="BV22" i="4" s="1"/>
  <c r="BV23" i="4" s="1"/>
  <c r="BV24" i="4" s="1"/>
  <c r="BV25" i="4" s="1"/>
  <c r="BV26" i="4" s="1"/>
  <c r="BV27" i="4" s="1"/>
  <c r="BV28" i="4" s="1"/>
  <c r="BV29" i="4" s="1"/>
  <c r="BV30" i="4" s="1"/>
  <c r="BV31" i="4" s="1"/>
  <c r="BV32" i="4" s="1"/>
  <c r="BV33" i="4" s="1"/>
  <c r="BV34" i="4" s="1"/>
  <c r="BV35" i="4" s="1"/>
  <c r="BV36" i="4" s="1"/>
  <c r="BV37" i="4" s="1"/>
  <c r="BV38" i="4" s="1"/>
  <c r="BV39" i="4" s="1"/>
  <c r="BV40" i="4" s="1"/>
  <c r="BV41" i="4" s="1"/>
  <c r="BV42" i="4" s="1"/>
  <c r="BV43" i="4" s="1"/>
  <c r="BV44" i="4" s="1"/>
  <c r="BV45" i="4" s="1"/>
  <c r="BV46" i="4" s="1"/>
  <c r="BV47" i="4" s="1"/>
  <c r="BV48" i="4" s="1"/>
  <c r="BV49" i="4" s="1"/>
  <c r="BV50" i="4" s="1"/>
  <c r="BV51" i="4" s="1"/>
  <c r="BV52" i="4" s="1"/>
  <c r="BV53" i="4" s="1"/>
  <c r="BV54" i="4" s="1"/>
  <c r="BV55" i="4" s="1"/>
  <c r="BV56" i="4" s="1"/>
  <c r="BV57" i="4" s="1"/>
  <c r="BV58" i="4" s="1"/>
  <c r="BV59" i="4" s="1"/>
  <c r="BU8" i="4"/>
  <c r="BU9" i="4" s="1"/>
  <c r="BU10" i="4" s="1"/>
  <c r="BU11" i="4" s="1"/>
  <c r="BU12" i="4" s="1"/>
  <c r="BU13" i="4" s="1"/>
  <c r="BU14" i="4" s="1"/>
  <c r="BU15" i="4" s="1"/>
  <c r="BU16" i="4" s="1"/>
  <c r="BU17" i="4" s="1"/>
  <c r="BU18" i="4" s="1"/>
  <c r="BU19" i="4" s="1"/>
  <c r="BU20" i="4" s="1"/>
  <c r="BU21" i="4" s="1"/>
  <c r="BU22" i="4" s="1"/>
  <c r="BU23" i="4" s="1"/>
  <c r="BU24" i="4" s="1"/>
  <c r="BU25" i="4" s="1"/>
  <c r="BU26" i="4" s="1"/>
  <c r="BU27" i="4" s="1"/>
  <c r="BU28" i="4" s="1"/>
  <c r="BU29" i="4" s="1"/>
  <c r="BU30" i="4" s="1"/>
  <c r="BU31" i="4" s="1"/>
  <c r="BU32" i="4" s="1"/>
  <c r="BU33" i="4" s="1"/>
  <c r="BU34" i="4" s="1"/>
  <c r="BU35" i="4" s="1"/>
  <c r="BU36" i="4" s="1"/>
  <c r="BU37" i="4" s="1"/>
  <c r="BU38" i="4" s="1"/>
  <c r="BU39" i="4" s="1"/>
  <c r="BU40" i="4" s="1"/>
  <c r="BU41" i="4" s="1"/>
  <c r="BU42" i="4" s="1"/>
  <c r="BU43" i="4" s="1"/>
  <c r="BU44" i="4" s="1"/>
  <c r="BU45" i="4" s="1"/>
  <c r="BU46" i="4" s="1"/>
  <c r="BU47" i="4" s="1"/>
  <c r="BU48" i="4" s="1"/>
  <c r="BU49" i="4" s="1"/>
  <c r="BU50" i="4" s="1"/>
  <c r="BU51" i="4" s="1"/>
  <c r="BU52" i="4" s="1"/>
  <c r="BU53" i="4" s="1"/>
  <c r="BU54" i="4" s="1"/>
  <c r="BU55" i="4" s="1"/>
  <c r="BU56" i="4" s="1"/>
  <c r="BU57" i="4" s="1"/>
  <c r="BU58" i="4" s="1"/>
  <c r="BU59" i="4" s="1"/>
  <c r="BT8" i="4"/>
  <c r="BT9" i="4" s="1"/>
  <c r="BT10" i="4" s="1"/>
  <c r="BT11" i="4" s="1"/>
  <c r="BT12" i="4" s="1"/>
  <c r="BT13" i="4" s="1"/>
  <c r="BT14" i="4" s="1"/>
  <c r="BT15" i="4" s="1"/>
  <c r="BT16" i="4" s="1"/>
  <c r="BT17" i="4" s="1"/>
  <c r="BT18" i="4" s="1"/>
  <c r="BT19" i="4" s="1"/>
  <c r="BT20" i="4" s="1"/>
  <c r="BT21" i="4" s="1"/>
  <c r="BT22" i="4" s="1"/>
  <c r="BT23" i="4" s="1"/>
  <c r="BT24" i="4" s="1"/>
  <c r="BT25" i="4" s="1"/>
  <c r="BT26" i="4" s="1"/>
  <c r="BT27" i="4" s="1"/>
  <c r="BT28" i="4" s="1"/>
  <c r="BT29" i="4" s="1"/>
  <c r="BT30" i="4" s="1"/>
  <c r="BT31" i="4" s="1"/>
  <c r="BT32" i="4" s="1"/>
  <c r="BT33" i="4" s="1"/>
  <c r="BT34" i="4" s="1"/>
  <c r="BT35" i="4" s="1"/>
  <c r="BT36" i="4" s="1"/>
  <c r="BT37" i="4" s="1"/>
  <c r="BT38" i="4" s="1"/>
  <c r="BT39" i="4" s="1"/>
  <c r="BT40" i="4" s="1"/>
  <c r="BT41" i="4" s="1"/>
  <c r="BT42" i="4" s="1"/>
  <c r="BT43" i="4" s="1"/>
  <c r="BT44" i="4" s="1"/>
  <c r="BT45" i="4" s="1"/>
  <c r="BT46" i="4" s="1"/>
  <c r="BT47" i="4" s="1"/>
  <c r="BT48" i="4" s="1"/>
  <c r="BT49" i="4" s="1"/>
  <c r="BT50" i="4" s="1"/>
  <c r="BT51" i="4" s="1"/>
  <c r="BT52" i="4" s="1"/>
  <c r="BT53" i="4" s="1"/>
  <c r="BT54" i="4" s="1"/>
  <c r="BT55" i="4" s="1"/>
  <c r="BT56" i="4" s="1"/>
  <c r="BT57" i="4" s="1"/>
  <c r="BT58" i="4" s="1"/>
  <c r="BT59" i="4" s="1"/>
  <c r="BS8" i="4"/>
  <c r="BS9" i="4" s="1"/>
  <c r="BS10" i="4" s="1"/>
  <c r="BS11" i="4" s="1"/>
  <c r="BS12" i="4" s="1"/>
  <c r="BS13" i="4" s="1"/>
  <c r="BS14" i="4" s="1"/>
  <c r="BS15" i="4" s="1"/>
  <c r="BS16" i="4" s="1"/>
  <c r="BS17" i="4" s="1"/>
  <c r="BS18" i="4" s="1"/>
  <c r="BS19" i="4" s="1"/>
  <c r="BS20" i="4" s="1"/>
  <c r="BS21" i="4" s="1"/>
  <c r="BS22" i="4" s="1"/>
  <c r="BS23" i="4" s="1"/>
  <c r="BS24" i="4" s="1"/>
  <c r="BS25" i="4" s="1"/>
  <c r="BS26" i="4" s="1"/>
  <c r="BS27" i="4" s="1"/>
  <c r="BS28" i="4" s="1"/>
  <c r="BS29" i="4" s="1"/>
  <c r="BS30" i="4" s="1"/>
  <c r="BS31" i="4" s="1"/>
  <c r="BS32" i="4" s="1"/>
  <c r="BS33" i="4" s="1"/>
  <c r="BS34" i="4" s="1"/>
  <c r="BS35" i="4" s="1"/>
  <c r="BS36" i="4" s="1"/>
  <c r="BS37" i="4" s="1"/>
  <c r="BS38" i="4" s="1"/>
  <c r="BS39" i="4" s="1"/>
  <c r="BS40" i="4" s="1"/>
  <c r="BS41" i="4" s="1"/>
  <c r="BS42" i="4" s="1"/>
  <c r="BS43" i="4" s="1"/>
  <c r="BS44" i="4" s="1"/>
  <c r="BS45" i="4" s="1"/>
  <c r="BS46" i="4" s="1"/>
  <c r="BS47" i="4" s="1"/>
  <c r="BS48" i="4" s="1"/>
  <c r="BS49" i="4" s="1"/>
  <c r="BS50" i="4" s="1"/>
  <c r="BS51" i="4" s="1"/>
  <c r="BS52" i="4" s="1"/>
  <c r="BS53" i="4" s="1"/>
  <c r="BS54" i="4" s="1"/>
  <c r="BS55" i="4" s="1"/>
  <c r="BS56" i="4" s="1"/>
  <c r="BS57" i="4" s="1"/>
  <c r="BS58" i="4" s="1"/>
  <c r="BS59" i="4" s="1"/>
  <c r="BR8" i="4"/>
  <c r="BR9" i="4" s="1"/>
  <c r="BR10" i="4" s="1"/>
  <c r="BR11" i="4" s="1"/>
  <c r="BR12" i="4" s="1"/>
  <c r="BR13" i="4" s="1"/>
  <c r="BR14" i="4" s="1"/>
  <c r="BR15" i="4" s="1"/>
  <c r="BR16" i="4" s="1"/>
  <c r="BR17" i="4" s="1"/>
  <c r="BR18" i="4" s="1"/>
  <c r="BR19" i="4" s="1"/>
  <c r="BR20" i="4" s="1"/>
  <c r="BR21" i="4" s="1"/>
  <c r="BR22" i="4" s="1"/>
  <c r="BR23" i="4" s="1"/>
  <c r="BR24" i="4" s="1"/>
  <c r="BR25" i="4" s="1"/>
  <c r="BR26" i="4" s="1"/>
  <c r="BR27" i="4" s="1"/>
  <c r="BR28" i="4" s="1"/>
  <c r="BR29" i="4" s="1"/>
  <c r="BR30" i="4" s="1"/>
  <c r="BR31" i="4" s="1"/>
  <c r="BR32" i="4" s="1"/>
  <c r="BR33" i="4" s="1"/>
  <c r="BR34" i="4" s="1"/>
  <c r="BR35" i="4" s="1"/>
  <c r="BR36" i="4" s="1"/>
  <c r="BR37" i="4" s="1"/>
  <c r="BR38" i="4" s="1"/>
  <c r="BR39" i="4" s="1"/>
  <c r="BR40" i="4" s="1"/>
  <c r="BR41" i="4" s="1"/>
  <c r="BR42" i="4" s="1"/>
  <c r="BR43" i="4" s="1"/>
  <c r="BR44" i="4" s="1"/>
  <c r="BR45" i="4" s="1"/>
  <c r="BR46" i="4" s="1"/>
  <c r="BR47" i="4" s="1"/>
  <c r="BR48" i="4" s="1"/>
  <c r="BR49" i="4" s="1"/>
  <c r="BR50" i="4" s="1"/>
  <c r="BR51" i="4" s="1"/>
  <c r="BR52" i="4" s="1"/>
  <c r="BR53" i="4" s="1"/>
  <c r="BR54" i="4" s="1"/>
  <c r="BR55" i="4" s="1"/>
  <c r="BR56" i="4" s="1"/>
  <c r="BR57" i="4" s="1"/>
  <c r="BR58" i="4" s="1"/>
  <c r="BR59" i="4" s="1"/>
  <c r="BQ8" i="4"/>
  <c r="BQ9" i="4" s="1"/>
  <c r="BQ10" i="4" s="1"/>
  <c r="BQ11" i="4" s="1"/>
  <c r="BQ12" i="4" s="1"/>
  <c r="BQ13" i="4" s="1"/>
  <c r="BQ14" i="4" s="1"/>
  <c r="BQ15" i="4" s="1"/>
  <c r="BQ16" i="4" s="1"/>
  <c r="BQ17" i="4" s="1"/>
  <c r="BQ18" i="4" s="1"/>
  <c r="BQ19" i="4" s="1"/>
  <c r="BQ20" i="4" s="1"/>
  <c r="BQ21" i="4" s="1"/>
  <c r="BQ22" i="4" s="1"/>
  <c r="BQ23" i="4" s="1"/>
  <c r="BQ24" i="4" s="1"/>
  <c r="BQ25" i="4" s="1"/>
  <c r="BQ26" i="4" s="1"/>
  <c r="BQ27" i="4" s="1"/>
  <c r="BQ28" i="4" s="1"/>
  <c r="BQ29" i="4" s="1"/>
  <c r="BQ30" i="4" s="1"/>
  <c r="BQ31" i="4" s="1"/>
  <c r="BQ32" i="4" s="1"/>
  <c r="BQ33" i="4" s="1"/>
  <c r="BQ34" i="4" s="1"/>
  <c r="BQ35" i="4" s="1"/>
  <c r="BQ36" i="4" s="1"/>
  <c r="BQ37" i="4" s="1"/>
  <c r="BQ38" i="4" s="1"/>
  <c r="BQ39" i="4" s="1"/>
  <c r="BQ40" i="4" s="1"/>
  <c r="BQ41" i="4" s="1"/>
  <c r="BQ42" i="4" s="1"/>
  <c r="BQ43" i="4" s="1"/>
  <c r="BQ44" i="4" s="1"/>
  <c r="BQ45" i="4" s="1"/>
  <c r="BQ46" i="4" s="1"/>
  <c r="BQ47" i="4" s="1"/>
  <c r="BQ48" i="4" s="1"/>
  <c r="BQ49" i="4" s="1"/>
  <c r="BQ50" i="4" s="1"/>
  <c r="BQ51" i="4" s="1"/>
  <c r="BQ52" i="4" s="1"/>
  <c r="BQ53" i="4" s="1"/>
  <c r="BQ54" i="4" s="1"/>
  <c r="BQ55" i="4" s="1"/>
  <c r="BQ56" i="4" s="1"/>
  <c r="BQ57" i="4" s="1"/>
  <c r="BQ58" i="4" s="1"/>
  <c r="BQ59" i="4" s="1"/>
  <c r="BP8" i="4"/>
  <c r="BP9" i="4" s="1"/>
  <c r="BP10" i="4" s="1"/>
  <c r="BP11" i="4" s="1"/>
  <c r="BP12" i="4" s="1"/>
  <c r="BP13" i="4" s="1"/>
  <c r="BP14" i="4" s="1"/>
  <c r="BP15" i="4" s="1"/>
  <c r="BP16" i="4" s="1"/>
  <c r="BP17" i="4" s="1"/>
  <c r="BP18" i="4" s="1"/>
  <c r="BP19" i="4" s="1"/>
  <c r="BP20" i="4" s="1"/>
  <c r="BP21" i="4" s="1"/>
  <c r="BP22" i="4" s="1"/>
  <c r="BP23" i="4" s="1"/>
  <c r="BP24" i="4" s="1"/>
  <c r="BP25" i="4" s="1"/>
  <c r="BP26" i="4" s="1"/>
  <c r="BP27" i="4" s="1"/>
  <c r="BP28" i="4" s="1"/>
  <c r="BP29" i="4" s="1"/>
  <c r="BP30" i="4" s="1"/>
  <c r="BP31" i="4" s="1"/>
  <c r="BP32" i="4" s="1"/>
  <c r="BP33" i="4" s="1"/>
  <c r="BP34" i="4" s="1"/>
  <c r="BP35" i="4" s="1"/>
  <c r="BP36" i="4" s="1"/>
  <c r="BP37" i="4" s="1"/>
  <c r="BP38" i="4" s="1"/>
  <c r="BP39" i="4" s="1"/>
  <c r="BP40" i="4" s="1"/>
  <c r="BP41" i="4" s="1"/>
  <c r="BP42" i="4" s="1"/>
  <c r="BP43" i="4" s="1"/>
  <c r="BP44" i="4" s="1"/>
  <c r="BP45" i="4" s="1"/>
  <c r="BP46" i="4" s="1"/>
  <c r="BP47" i="4" s="1"/>
  <c r="BP48" i="4" s="1"/>
  <c r="BP49" i="4" s="1"/>
  <c r="BP50" i="4" s="1"/>
  <c r="BP51" i="4" s="1"/>
  <c r="BP52" i="4" s="1"/>
  <c r="BP53" i="4" s="1"/>
  <c r="BP54" i="4" s="1"/>
  <c r="BP55" i="4" s="1"/>
  <c r="BP56" i="4" s="1"/>
  <c r="BP57" i="4" s="1"/>
  <c r="BP58" i="4" s="1"/>
  <c r="BP59" i="4" s="1"/>
  <c r="BO8" i="4"/>
  <c r="BO9" i="4" s="1"/>
  <c r="BO10" i="4" s="1"/>
  <c r="BO11" i="4" s="1"/>
  <c r="BO12" i="4" s="1"/>
  <c r="BO13" i="4" s="1"/>
  <c r="BO14" i="4" s="1"/>
  <c r="BO15" i="4" s="1"/>
  <c r="BO16" i="4" s="1"/>
  <c r="BO17" i="4" s="1"/>
  <c r="BO18" i="4" s="1"/>
  <c r="BO19" i="4" s="1"/>
  <c r="BO20" i="4" s="1"/>
  <c r="BO21" i="4" s="1"/>
  <c r="BO22" i="4" s="1"/>
  <c r="BO23" i="4" s="1"/>
  <c r="BO24" i="4" s="1"/>
  <c r="BO25" i="4" s="1"/>
  <c r="BO26" i="4" s="1"/>
  <c r="BO27" i="4" s="1"/>
  <c r="BO28" i="4" s="1"/>
  <c r="BO29" i="4" s="1"/>
  <c r="BO30" i="4" s="1"/>
  <c r="BO31" i="4" s="1"/>
  <c r="BO32" i="4" s="1"/>
  <c r="BO33" i="4" s="1"/>
  <c r="BO34" i="4" s="1"/>
  <c r="BO35" i="4" s="1"/>
  <c r="BO36" i="4" s="1"/>
  <c r="BO37" i="4" s="1"/>
  <c r="BO38" i="4" s="1"/>
  <c r="BO39" i="4" s="1"/>
  <c r="BO40" i="4" s="1"/>
  <c r="BO41" i="4" s="1"/>
  <c r="BO42" i="4" s="1"/>
  <c r="BO43" i="4" s="1"/>
  <c r="BO44" i="4" s="1"/>
  <c r="BO45" i="4" s="1"/>
  <c r="BO46" i="4" s="1"/>
  <c r="BO47" i="4" s="1"/>
  <c r="BO48" i="4" s="1"/>
  <c r="BO49" i="4" s="1"/>
  <c r="BO50" i="4" s="1"/>
  <c r="BO51" i="4" s="1"/>
  <c r="BO52" i="4" s="1"/>
  <c r="BO53" i="4" s="1"/>
  <c r="BO54" i="4" s="1"/>
  <c r="BO55" i="4" s="1"/>
  <c r="BO56" i="4" s="1"/>
  <c r="BO57" i="4" s="1"/>
  <c r="BO58" i="4" s="1"/>
  <c r="BO59" i="4" s="1"/>
  <c r="BM8" i="4"/>
  <c r="JB8" i="4" s="1"/>
  <c r="AI8" i="4"/>
  <c r="AI9" i="4" s="1"/>
  <c r="AI10" i="4" s="1"/>
  <c r="AI11" i="4" s="1"/>
  <c r="AI12" i="4" s="1"/>
  <c r="AI13" i="4" s="1"/>
  <c r="AI14" i="4" s="1"/>
  <c r="AI15" i="4" s="1"/>
  <c r="AI16" i="4" s="1"/>
  <c r="AI17" i="4" s="1"/>
  <c r="AI18" i="4" s="1"/>
  <c r="AI19" i="4" s="1"/>
  <c r="AI20" i="4" s="1"/>
  <c r="AI21" i="4" s="1"/>
  <c r="AD8" i="4"/>
  <c r="AA8" i="4"/>
  <c r="AA9" i="4" s="1"/>
  <c r="W8" i="4"/>
  <c r="AG8" i="4" s="1"/>
  <c r="S8" i="4"/>
  <c r="AF8" i="4" s="1"/>
  <c r="O8" i="4"/>
  <c r="O9" i="4" s="1"/>
  <c r="K8" i="4"/>
  <c r="AL3" i="4"/>
  <c r="AK3" i="4"/>
  <c r="AJ3" i="4"/>
  <c r="IP2" i="4"/>
  <c r="HO2" i="4"/>
  <c r="GW2" i="4"/>
  <c r="ET2" i="4"/>
  <c r="DQ2" i="4"/>
  <c r="CY2" i="4"/>
  <c r="BZ2" i="4"/>
  <c r="JO2" i="4" s="1"/>
  <c r="DU267" i="2"/>
  <c r="DX266" i="2"/>
  <c r="DU266" i="2"/>
  <c r="DX265" i="2"/>
  <c r="DU265" i="2"/>
  <c r="DR265" i="2"/>
  <c r="DN265" i="2"/>
  <c r="DX264" i="2"/>
  <c r="DR264" i="2"/>
  <c r="DN264" i="2"/>
  <c r="DX263" i="2"/>
  <c r="DU263" i="2"/>
  <c r="DR263" i="2"/>
  <c r="DN263" i="2"/>
  <c r="EA260" i="2" s="1"/>
  <c r="DX262" i="2"/>
  <c r="DR262" i="2"/>
  <c r="DN262" i="2"/>
  <c r="EA259" i="2" s="1"/>
  <c r="DX261" i="2"/>
  <c r="DR261" i="2"/>
  <c r="DN261" i="2"/>
  <c r="DX260" i="2"/>
  <c r="DR260" i="2"/>
  <c r="DN260" i="2"/>
  <c r="EA257" i="2" s="1"/>
  <c r="DX259" i="2"/>
  <c r="EA258" i="2"/>
  <c r="DX258" i="2"/>
  <c r="DU258" i="2"/>
  <c r="DQ258" i="2"/>
  <c r="DO267" i="2" s="1"/>
  <c r="EA264" i="2" s="1"/>
  <c r="DX257" i="2"/>
  <c r="DU257" i="2"/>
  <c r="DO250" i="2"/>
  <c r="EA247" i="2" s="1"/>
  <c r="DO249" i="2"/>
  <c r="EA246" i="2" s="1"/>
  <c r="DU248" i="2"/>
  <c r="DO248" i="2"/>
  <c r="EA245" i="2" s="1"/>
  <c r="DX247" i="2"/>
  <c r="DU247" i="2"/>
  <c r="DR247" i="2"/>
  <c r="DN247" i="2"/>
  <c r="EA244" i="2" s="1"/>
  <c r="DX246" i="2"/>
  <c r="DU246" i="2"/>
  <c r="DR246" i="2"/>
  <c r="DN246" i="2"/>
  <c r="DX245" i="2"/>
  <c r="DR245" i="2"/>
  <c r="DN245" i="2"/>
  <c r="EA242" i="2" s="1"/>
  <c r="DX244" i="2"/>
  <c r="DR244" i="2"/>
  <c r="DN244" i="2"/>
  <c r="EA241" i="2" s="1"/>
  <c r="EA243" i="2"/>
  <c r="DX243" i="2"/>
  <c r="DR243" i="2"/>
  <c r="DN243" i="2"/>
  <c r="EA240" i="2" s="1"/>
  <c r="DX242" i="2"/>
  <c r="DR242" i="2"/>
  <c r="DN242" i="2"/>
  <c r="EA239" i="2" s="1"/>
  <c r="DX241" i="2"/>
  <c r="DR241" i="2"/>
  <c r="DN241" i="2"/>
  <c r="EA238" i="2" s="1"/>
  <c r="DX240" i="2"/>
  <c r="DX239" i="2"/>
  <c r="DU239" i="2"/>
  <c r="DQ239" i="2"/>
  <c r="DO247" i="2" s="1"/>
  <c r="DX238" i="2"/>
  <c r="DU238" i="2"/>
  <c r="AY233" i="2"/>
  <c r="AW233" i="2"/>
  <c r="AD233" i="2"/>
  <c r="AY232" i="2"/>
  <c r="AW232" i="2"/>
  <c r="BE229" i="2" s="1"/>
  <c r="AD232" i="2"/>
  <c r="AY231" i="2"/>
  <c r="AW231" i="2"/>
  <c r="BE228" i="2" s="1"/>
  <c r="AD231" i="2"/>
  <c r="BE230" i="2"/>
  <c r="BD230" i="2"/>
  <c r="AY230" i="2"/>
  <c r="AW230" i="2"/>
  <c r="BE227" i="2" s="1"/>
  <c r="AD230" i="2"/>
  <c r="BD229" i="2"/>
  <c r="BB229" i="2"/>
  <c r="AY229" i="2"/>
  <c r="AW229" i="2"/>
  <c r="AD229" i="2"/>
  <c r="DX228" i="2"/>
  <c r="DR228" i="2"/>
  <c r="DN228" i="2"/>
  <c r="BD228" i="2"/>
  <c r="BB228" i="2"/>
  <c r="AY228" i="2"/>
  <c r="AW228" i="2"/>
  <c r="AE228" i="2"/>
  <c r="AD228" i="2"/>
  <c r="AA228" i="2"/>
  <c r="DX227" i="2"/>
  <c r="DU227" i="2"/>
  <c r="DR227" i="2"/>
  <c r="DN227" i="2"/>
  <c r="BD227" i="2"/>
  <c r="AY227" i="2"/>
  <c r="AW227" i="2"/>
  <c r="AE227" i="2"/>
  <c r="AA227" i="2"/>
  <c r="AD227" i="2" s="1"/>
  <c r="DX226" i="2"/>
  <c r="DU226" i="2"/>
  <c r="DR226" i="2"/>
  <c r="DN226" i="2"/>
  <c r="EA223" i="2" s="1"/>
  <c r="BE226" i="2"/>
  <c r="BD226" i="2"/>
  <c r="AY226" i="2"/>
  <c r="AW226" i="2"/>
  <c r="BE223" i="2" s="1"/>
  <c r="AE226" i="2"/>
  <c r="AA226" i="2"/>
  <c r="AD226" i="2" s="1"/>
  <c r="EA225" i="2"/>
  <c r="DX225" i="2"/>
  <c r="DR225" i="2"/>
  <c r="DN225" i="2"/>
  <c r="BE225" i="2"/>
  <c r="BD225" i="2"/>
  <c r="AY225" i="2"/>
  <c r="AW225" i="2"/>
  <c r="BE222" i="2" s="1"/>
  <c r="AE225" i="2"/>
  <c r="AA225" i="2"/>
  <c r="AD225" i="2" s="1"/>
  <c r="EA224" i="2"/>
  <c r="DX224" i="2"/>
  <c r="DR224" i="2"/>
  <c r="DN224" i="2"/>
  <c r="EA221" i="2" s="1"/>
  <c r="BE224" i="2"/>
  <c r="BD224" i="2"/>
  <c r="BB224" i="2"/>
  <c r="AY224" i="2"/>
  <c r="AW224" i="2"/>
  <c r="BE221" i="2" s="1"/>
  <c r="AE224" i="2"/>
  <c r="AA224" i="2"/>
  <c r="AD224" i="2" s="1"/>
  <c r="DX223" i="2"/>
  <c r="DR223" i="2"/>
  <c r="DN223" i="2"/>
  <c r="BD223" i="2"/>
  <c r="BB223" i="2"/>
  <c r="EA222" i="2"/>
  <c r="DX222" i="2"/>
  <c r="DR222" i="2"/>
  <c r="DN222" i="2"/>
  <c r="BD222" i="2"/>
  <c r="BB222" i="2"/>
  <c r="DX221" i="2"/>
  <c r="BD221" i="2"/>
  <c r="EA220" i="2"/>
  <c r="DX220" i="2"/>
  <c r="DQ220" i="2"/>
  <c r="DO231" i="2" s="1"/>
  <c r="EA228" i="2" s="1"/>
  <c r="EA219" i="2"/>
  <c r="DX219" i="2"/>
  <c r="AE217" i="2"/>
  <c r="AD217" i="2"/>
  <c r="AA217" i="2"/>
  <c r="AE216" i="2"/>
  <c r="AD216" i="2"/>
  <c r="AA216" i="2"/>
  <c r="AE215" i="2"/>
  <c r="AD215" i="2"/>
  <c r="AA215" i="2"/>
  <c r="AW214" i="2"/>
  <c r="BE211" i="2" s="1"/>
  <c r="AE214" i="2"/>
  <c r="AD214" i="2"/>
  <c r="AA214" i="2"/>
  <c r="AW213" i="2"/>
  <c r="AE213" i="2"/>
  <c r="AD213" i="2"/>
  <c r="AA213" i="2"/>
  <c r="AY212" i="2"/>
  <c r="AW212" i="2"/>
  <c r="BE209" i="2" s="1"/>
  <c r="AE212" i="2"/>
  <c r="AD212" i="2"/>
  <c r="AA212" i="2"/>
  <c r="BD211" i="2"/>
  <c r="AY211" i="2"/>
  <c r="AW211" i="2"/>
  <c r="BE208" i="2" s="1"/>
  <c r="AE211" i="2"/>
  <c r="AA211" i="2"/>
  <c r="AD211" i="2" s="1"/>
  <c r="DO210" i="2"/>
  <c r="EA207" i="2" s="1"/>
  <c r="BE210" i="2"/>
  <c r="BD210" i="2"/>
  <c r="BB210" i="2"/>
  <c r="AY210" i="2"/>
  <c r="AW210" i="2"/>
  <c r="AE210" i="2"/>
  <c r="AA210" i="2"/>
  <c r="AD210" i="2" s="1"/>
  <c r="DX209" i="2"/>
  <c r="DR209" i="2"/>
  <c r="DN209" i="2"/>
  <c r="BD209" i="2"/>
  <c r="BB209" i="2"/>
  <c r="AY209" i="2"/>
  <c r="AW209" i="2"/>
  <c r="BE206" i="2" s="1"/>
  <c r="AE209" i="2"/>
  <c r="AA209" i="2"/>
  <c r="AD209" i="2" s="1"/>
  <c r="DX208" i="2"/>
  <c r="DU208" i="2"/>
  <c r="DR208" i="2"/>
  <c r="DN208" i="2"/>
  <c r="BD208" i="2"/>
  <c r="AY208" i="2"/>
  <c r="AW208" i="2"/>
  <c r="AE208" i="2"/>
  <c r="AA208" i="2"/>
  <c r="AD208" i="2" s="1"/>
  <c r="DX207" i="2"/>
  <c r="DU207" i="2"/>
  <c r="DR207" i="2"/>
  <c r="DN207" i="2"/>
  <c r="BE207" i="2"/>
  <c r="BD207" i="2"/>
  <c r="AY207" i="2"/>
  <c r="AW207" i="2"/>
  <c r="BE204" i="2" s="1"/>
  <c r="EA206" i="2"/>
  <c r="DX206" i="2"/>
  <c r="DR206" i="2"/>
  <c r="DN206" i="2"/>
  <c r="BD206" i="2"/>
  <c r="AY206" i="2"/>
  <c r="AW206" i="2"/>
  <c r="EA205" i="2"/>
  <c r="DX205" i="2"/>
  <c r="DR205" i="2"/>
  <c r="DN205" i="2"/>
  <c r="BE205" i="2"/>
  <c r="BD205" i="2"/>
  <c r="BB205" i="2"/>
  <c r="AY205" i="2"/>
  <c r="AW205" i="2"/>
  <c r="BE202" i="2" s="1"/>
  <c r="EA204" i="2"/>
  <c r="DX204" i="2"/>
  <c r="DR204" i="2"/>
  <c r="DN204" i="2"/>
  <c r="BD204" i="2"/>
  <c r="BB204" i="2"/>
  <c r="EA203" i="2"/>
  <c r="DX203" i="2"/>
  <c r="DR203" i="2"/>
  <c r="DN203" i="2"/>
  <c r="EA200" i="2" s="1"/>
  <c r="BE203" i="2"/>
  <c r="BD203" i="2"/>
  <c r="BB203" i="2"/>
  <c r="EA202" i="2"/>
  <c r="DX202" i="2"/>
  <c r="BD202" i="2"/>
  <c r="EA201" i="2"/>
  <c r="DX201" i="2"/>
  <c r="DQ201" i="2"/>
  <c r="DO212" i="2" s="1"/>
  <c r="EA209" i="2" s="1"/>
  <c r="DX200" i="2"/>
  <c r="AX195" i="2"/>
  <c r="BE192" i="2" s="1"/>
  <c r="AX194" i="2"/>
  <c r="AX193" i="2"/>
  <c r="BD192" i="2"/>
  <c r="AJ192" i="2"/>
  <c r="AH192" i="2"/>
  <c r="AG192" i="2"/>
  <c r="AF192" i="2"/>
  <c r="BE191" i="2"/>
  <c r="BD191" i="2"/>
  <c r="BB191" i="2"/>
  <c r="AY191" i="2"/>
  <c r="AF191" i="2"/>
  <c r="AG191" i="2" s="1"/>
  <c r="DX190" i="2"/>
  <c r="BE190" i="2"/>
  <c r="BD190" i="2"/>
  <c r="BB190" i="2"/>
  <c r="AY190" i="2"/>
  <c r="AW190" i="2"/>
  <c r="AF190" i="2"/>
  <c r="AJ190" i="2" s="1"/>
  <c r="DX189" i="2"/>
  <c r="DU189" i="2"/>
  <c r="DR189" i="2"/>
  <c r="DN189" i="2"/>
  <c r="BD189" i="2"/>
  <c r="AY189" i="2"/>
  <c r="AW189" i="2"/>
  <c r="AF189" i="2"/>
  <c r="AJ189" i="2" s="1"/>
  <c r="DX188" i="2"/>
  <c r="DU188" i="2"/>
  <c r="DR188" i="2"/>
  <c r="DN188" i="2"/>
  <c r="BD188" i="2"/>
  <c r="AY188" i="2"/>
  <c r="AJ188" i="2"/>
  <c r="AH188" i="2"/>
  <c r="AG188" i="2"/>
  <c r="AF188" i="2"/>
  <c r="DX187" i="2"/>
  <c r="DR187" i="2"/>
  <c r="DN187" i="2"/>
  <c r="BE187" i="2"/>
  <c r="BD187" i="2"/>
  <c r="AY187" i="2"/>
  <c r="AF187" i="2"/>
  <c r="AJ187" i="2" s="1"/>
  <c r="EA186" i="2"/>
  <c r="DX186" i="2"/>
  <c r="DR186" i="2"/>
  <c r="DN186" i="2"/>
  <c r="BE186" i="2"/>
  <c r="BD186" i="2"/>
  <c r="BB186" i="2"/>
  <c r="AY186" i="2"/>
  <c r="AW186" i="2"/>
  <c r="AJ186" i="2"/>
  <c r="AH186" i="2"/>
  <c r="AG186" i="2"/>
  <c r="AF186" i="2"/>
  <c r="EA185" i="2"/>
  <c r="DX185" i="2"/>
  <c r="DR185" i="2"/>
  <c r="DN185" i="2"/>
  <c r="BD185" i="2"/>
  <c r="BB185" i="2"/>
  <c r="AF185" i="2"/>
  <c r="AJ185" i="2" s="1"/>
  <c r="EA184" i="2"/>
  <c r="DX184" i="2"/>
  <c r="DR184" i="2"/>
  <c r="DN184" i="2"/>
  <c r="BD184" i="2"/>
  <c r="BB184" i="2"/>
  <c r="AX184" i="2"/>
  <c r="AX192" i="2" s="1"/>
  <c r="BE189" i="2" s="1"/>
  <c r="AG184" i="2"/>
  <c r="AF184" i="2"/>
  <c r="AJ184" i="2" s="1"/>
  <c r="EA183" i="2"/>
  <c r="DX183" i="2"/>
  <c r="BE183" i="2"/>
  <c r="BD183" i="2"/>
  <c r="AJ183" i="2"/>
  <c r="AH183" i="2"/>
  <c r="AG183" i="2"/>
  <c r="AF183" i="2"/>
  <c r="EA182" i="2"/>
  <c r="DX182" i="2"/>
  <c r="DQ182" i="2"/>
  <c r="DO193" i="2" s="1"/>
  <c r="EA190" i="2" s="1"/>
  <c r="AF182" i="2"/>
  <c r="AJ182" i="2" s="1"/>
  <c r="AE182" i="2"/>
  <c r="EA181" i="2"/>
  <c r="DX181" i="2"/>
  <c r="AF181" i="2"/>
  <c r="AJ181" i="2" s="1"/>
  <c r="AE181" i="2"/>
  <c r="AJ180" i="2"/>
  <c r="AG180" i="2"/>
  <c r="AF180" i="2"/>
  <c r="AH180" i="2" s="1"/>
  <c r="AE180" i="2"/>
  <c r="AJ179" i="2"/>
  <c r="AH179" i="2"/>
  <c r="AG179" i="2"/>
  <c r="AF179" i="2"/>
  <c r="AE179" i="2"/>
  <c r="AJ178" i="2"/>
  <c r="AH178" i="2"/>
  <c r="AG178" i="2"/>
  <c r="AF178" i="2"/>
  <c r="AE178" i="2"/>
  <c r="AH177" i="2"/>
  <c r="AF177" i="2"/>
  <c r="AG177" i="2" s="1"/>
  <c r="AE177" i="2"/>
  <c r="AD177" i="2"/>
  <c r="AA177" i="2"/>
  <c r="AJ176" i="2"/>
  <c r="AG176" i="2"/>
  <c r="AF176" i="2"/>
  <c r="AH176" i="2" s="1"/>
  <c r="AE176" i="2"/>
  <c r="AD176" i="2"/>
  <c r="AA176" i="2"/>
  <c r="AE175" i="2"/>
  <c r="AA175" i="2"/>
  <c r="AF175" i="2" s="1"/>
  <c r="AE174" i="2"/>
  <c r="AD174" i="2"/>
  <c r="AA174" i="2"/>
  <c r="AF174" i="2" s="1"/>
  <c r="AE173" i="2"/>
  <c r="AA173" i="2"/>
  <c r="AF173" i="2" s="1"/>
  <c r="DB172" i="2"/>
  <c r="BD172" i="2"/>
  <c r="AY172" i="2"/>
  <c r="AJ172" i="2"/>
  <c r="AH172" i="2"/>
  <c r="AG172" i="2"/>
  <c r="AF172" i="2"/>
  <c r="AE172" i="2"/>
  <c r="AA172" i="2"/>
  <c r="AD172" i="2" s="1"/>
  <c r="DX171" i="2"/>
  <c r="DE171" i="2"/>
  <c r="CX171" i="2"/>
  <c r="CT171" i="2"/>
  <c r="BE171" i="2"/>
  <c r="BD171" i="2"/>
  <c r="BB171" i="2"/>
  <c r="AY171" i="2"/>
  <c r="AW171" i="2"/>
  <c r="AJ171" i="2"/>
  <c r="AF171" i="2"/>
  <c r="AH171" i="2" s="1"/>
  <c r="AE171" i="2"/>
  <c r="AD171" i="2"/>
  <c r="AA171" i="2"/>
  <c r="DX170" i="2"/>
  <c r="DU170" i="2"/>
  <c r="DR170" i="2"/>
  <c r="DN170" i="2"/>
  <c r="EA167" i="2" s="1"/>
  <c r="DE170" i="2"/>
  <c r="DB170" i="2"/>
  <c r="CX170" i="2"/>
  <c r="CT170" i="2"/>
  <c r="DH167" i="2" s="1"/>
  <c r="BD170" i="2"/>
  <c r="BB170" i="2"/>
  <c r="AY170" i="2"/>
  <c r="AF170" i="2"/>
  <c r="AJ170" i="2" s="1"/>
  <c r="AE170" i="2"/>
  <c r="AD170" i="2"/>
  <c r="AA170" i="2"/>
  <c r="DX169" i="2"/>
  <c r="DU169" i="2"/>
  <c r="DR169" i="2"/>
  <c r="DN169" i="2"/>
  <c r="EA166" i="2" s="1"/>
  <c r="DE169" i="2"/>
  <c r="DB169" i="2"/>
  <c r="CX169" i="2"/>
  <c r="CT169" i="2"/>
  <c r="BD169" i="2"/>
  <c r="AY169" i="2"/>
  <c r="AE169" i="2"/>
  <c r="AA169" i="2"/>
  <c r="DX168" i="2"/>
  <c r="DR168" i="2"/>
  <c r="DN168" i="2"/>
  <c r="EA165" i="2" s="1"/>
  <c r="DH168" i="2"/>
  <c r="DE168" i="2"/>
  <c r="CX168" i="2"/>
  <c r="CT168" i="2"/>
  <c r="BE168" i="2"/>
  <c r="BD168" i="2"/>
  <c r="AY168" i="2"/>
  <c r="AW168" i="2"/>
  <c r="BE165" i="2" s="1"/>
  <c r="AH168" i="2"/>
  <c r="AF168" i="2"/>
  <c r="AE168" i="2"/>
  <c r="AD168" i="2"/>
  <c r="AA168" i="2"/>
  <c r="DX167" i="2"/>
  <c r="DR167" i="2"/>
  <c r="DN167" i="2"/>
  <c r="DE167" i="2"/>
  <c r="CX167" i="2"/>
  <c r="CT167" i="2"/>
  <c r="DH164" i="2" s="1"/>
  <c r="BD167" i="2"/>
  <c r="AY167" i="2"/>
  <c r="AJ167" i="2"/>
  <c r="AE167" i="2"/>
  <c r="AA167" i="2"/>
  <c r="AF167" i="2" s="1"/>
  <c r="AG167" i="2" s="1"/>
  <c r="DX166" i="2"/>
  <c r="DR166" i="2"/>
  <c r="DN166" i="2"/>
  <c r="DH166" i="2"/>
  <c r="DE166" i="2"/>
  <c r="CX166" i="2"/>
  <c r="CT166" i="2"/>
  <c r="DH163" i="2" s="1"/>
  <c r="BD166" i="2"/>
  <c r="BB166" i="2"/>
  <c r="AY166" i="2"/>
  <c r="AE166" i="2"/>
  <c r="AA166" i="2"/>
  <c r="AF166" i="2" s="1"/>
  <c r="DX165" i="2"/>
  <c r="DR165" i="2"/>
  <c r="DN165" i="2"/>
  <c r="EA162" i="2" s="1"/>
  <c r="DH165" i="2"/>
  <c r="DE165" i="2"/>
  <c r="CX165" i="2"/>
  <c r="CT165" i="2"/>
  <c r="BD165" i="2"/>
  <c r="BB165" i="2"/>
  <c r="AE165" i="2"/>
  <c r="AD165" i="2"/>
  <c r="AA165" i="2"/>
  <c r="AF165" i="2" s="1"/>
  <c r="EA164" i="2"/>
  <c r="DX164" i="2"/>
  <c r="DE164" i="2"/>
  <c r="BD164" i="2"/>
  <c r="BB164" i="2"/>
  <c r="AX164" i="2"/>
  <c r="AX174" i="2" s="1"/>
  <c r="AE164" i="2"/>
  <c r="AD164" i="2"/>
  <c r="AA164" i="2"/>
  <c r="AF164" i="2" s="1"/>
  <c r="EA163" i="2"/>
  <c r="DX163" i="2"/>
  <c r="DQ163" i="2"/>
  <c r="DE163" i="2"/>
  <c r="CW163" i="2"/>
  <c r="CU163" i="2"/>
  <c r="DB171" i="2" s="1"/>
  <c r="BD163" i="2"/>
  <c r="AF163" i="2"/>
  <c r="AH163" i="2" s="1"/>
  <c r="AE163" i="2"/>
  <c r="AD163" i="2"/>
  <c r="AA163" i="2"/>
  <c r="DX162" i="2"/>
  <c r="DH162" i="2"/>
  <c r="DE162" i="2"/>
  <c r="AB155" i="2"/>
  <c r="CU154" i="2"/>
  <c r="DH151" i="2" s="1"/>
  <c r="BR154" i="2"/>
  <c r="AK154" i="2"/>
  <c r="DB153" i="2"/>
  <c r="BU153" i="2"/>
  <c r="BR153" i="2"/>
  <c r="BD153" i="2"/>
  <c r="AN153" i="2"/>
  <c r="AK153" i="2"/>
  <c r="DX152" i="2"/>
  <c r="DE152" i="2"/>
  <c r="DB152" i="2"/>
  <c r="CX152" i="2"/>
  <c r="CT152" i="2"/>
  <c r="BU152" i="2"/>
  <c r="BR152" i="2"/>
  <c r="BO152" i="2"/>
  <c r="BK152" i="2"/>
  <c r="BD152" i="2"/>
  <c r="BB152" i="2"/>
  <c r="AQ152" i="2"/>
  <c r="AN152" i="2"/>
  <c r="AK152" i="2"/>
  <c r="AE152" i="2"/>
  <c r="AA152" i="2"/>
  <c r="AQ149" i="2" s="1"/>
  <c r="DX151" i="2"/>
  <c r="DU151" i="2"/>
  <c r="DE151" i="2"/>
  <c r="DB151" i="2"/>
  <c r="CX151" i="2"/>
  <c r="CT151" i="2"/>
  <c r="BU151" i="2"/>
  <c r="BO151" i="2"/>
  <c r="BK151" i="2"/>
  <c r="BX148" i="2" s="1"/>
  <c r="BD151" i="2"/>
  <c r="BB151" i="2"/>
  <c r="AN151" i="2"/>
  <c r="AE151" i="2"/>
  <c r="AA151" i="2"/>
  <c r="DX150" i="2"/>
  <c r="DU150" i="2"/>
  <c r="DR150" i="2"/>
  <c r="DN150" i="2"/>
  <c r="DE150" i="2"/>
  <c r="DB150" i="2"/>
  <c r="CX150" i="2"/>
  <c r="CT150" i="2"/>
  <c r="DH147" i="2" s="1"/>
  <c r="BU150" i="2"/>
  <c r="BO150" i="2"/>
  <c r="BK150" i="2"/>
  <c r="BX147" i="2" s="1"/>
  <c r="BD150" i="2"/>
  <c r="AN150" i="2"/>
  <c r="AE150" i="2"/>
  <c r="AA150" i="2"/>
  <c r="DX149" i="2"/>
  <c r="DR149" i="2"/>
  <c r="DN149" i="2"/>
  <c r="DE149" i="2"/>
  <c r="CX149" i="2"/>
  <c r="CT149" i="2"/>
  <c r="DH146" i="2" s="1"/>
  <c r="BX149" i="2"/>
  <c r="BU149" i="2"/>
  <c r="BO149" i="2"/>
  <c r="BK149" i="2"/>
  <c r="BD149" i="2"/>
  <c r="BB149" i="2"/>
  <c r="AN149" i="2"/>
  <c r="AE149" i="2"/>
  <c r="AA149" i="2"/>
  <c r="DX148" i="2"/>
  <c r="DR148" i="2"/>
  <c r="DN148" i="2"/>
  <c r="EA145" i="2" s="1"/>
  <c r="DH148" i="2"/>
  <c r="DE148" i="2"/>
  <c r="CX148" i="2"/>
  <c r="CT148" i="2"/>
  <c r="DH145" i="2" s="1"/>
  <c r="BU148" i="2"/>
  <c r="BO148" i="2"/>
  <c r="BK148" i="2"/>
  <c r="BD148" i="2"/>
  <c r="BB148" i="2"/>
  <c r="AQ148" i="2"/>
  <c r="AN148" i="2"/>
  <c r="AK148" i="2"/>
  <c r="AE148" i="2"/>
  <c r="AA148" i="2"/>
  <c r="EA147" i="2"/>
  <c r="DX147" i="2"/>
  <c r="DR147" i="2"/>
  <c r="DN147" i="2"/>
  <c r="DE147" i="2"/>
  <c r="CX147" i="2"/>
  <c r="CT147" i="2"/>
  <c r="DH144" i="2" s="1"/>
  <c r="BU147" i="2"/>
  <c r="BO147" i="2"/>
  <c r="BK147" i="2"/>
  <c r="BD147" i="2"/>
  <c r="BB147" i="2"/>
  <c r="AQ147" i="2"/>
  <c r="AN147" i="2"/>
  <c r="AE147" i="2"/>
  <c r="AA147" i="2"/>
  <c r="AQ144" i="2" s="1"/>
  <c r="EA146" i="2"/>
  <c r="DX146" i="2"/>
  <c r="DR146" i="2"/>
  <c r="DN146" i="2"/>
  <c r="EA143" i="2" s="1"/>
  <c r="DE146" i="2"/>
  <c r="CX146" i="2"/>
  <c r="CT146" i="2"/>
  <c r="BX146" i="2"/>
  <c r="BU146" i="2"/>
  <c r="BD146" i="2"/>
  <c r="BB146" i="2"/>
  <c r="AQ146" i="2"/>
  <c r="AN146" i="2"/>
  <c r="DX145" i="2"/>
  <c r="DE145" i="2"/>
  <c r="BX145" i="2"/>
  <c r="BU145" i="2"/>
  <c r="BN145" i="2"/>
  <c r="BD145" i="2"/>
  <c r="BB145" i="2"/>
  <c r="AX145" i="2"/>
  <c r="AQ145" i="2"/>
  <c r="AN145" i="2"/>
  <c r="AD145" i="2"/>
  <c r="AB154" i="2" s="1"/>
  <c r="AQ151" i="2" s="1"/>
  <c r="EA144" i="2"/>
  <c r="DX144" i="2"/>
  <c r="DQ144" i="2"/>
  <c r="DO153" i="2" s="1"/>
  <c r="EA150" i="2" s="1"/>
  <c r="DE144" i="2"/>
  <c r="CW144" i="2"/>
  <c r="CU152" i="2" s="1"/>
  <c r="DH149" i="2" s="1"/>
  <c r="CU144" i="2"/>
  <c r="BX144" i="2"/>
  <c r="BU144" i="2"/>
  <c r="BD144" i="2"/>
  <c r="AN144" i="2"/>
  <c r="DX143" i="2"/>
  <c r="DH143" i="2"/>
  <c r="DE143" i="2"/>
  <c r="AB137" i="2"/>
  <c r="AQ134" i="2" s="1"/>
  <c r="CU136" i="2"/>
  <c r="CU135" i="2"/>
  <c r="DH132" i="2" s="1"/>
  <c r="BR135" i="2"/>
  <c r="AB135" i="2"/>
  <c r="AQ132" i="2" s="1"/>
  <c r="DB134" i="2"/>
  <c r="BX134" i="2"/>
  <c r="BU134" i="2"/>
  <c r="BR134" i="2"/>
  <c r="BO134" i="2"/>
  <c r="BD134" i="2"/>
  <c r="AN134" i="2"/>
  <c r="AK134" i="2"/>
  <c r="AB134" i="2"/>
  <c r="AQ131" i="2" s="1"/>
  <c r="DX133" i="2"/>
  <c r="DR133" i="2"/>
  <c r="DN133" i="2"/>
  <c r="DH133" i="2"/>
  <c r="DE133" i="2"/>
  <c r="CU133" i="2"/>
  <c r="BX133" i="2"/>
  <c r="BU133" i="2"/>
  <c r="BR133" i="2"/>
  <c r="BO133" i="2"/>
  <c r="BK133" i="2"/>
  <c r="BD133" i="2"/>
  <c r="BB133" i="2"/>
  <c r="AY133" i="2"/>
  <c r="AN133" i="2"/>
  <c r="AK133" i="2"/>
  <c r="AE133" i="2"/>
  <c r="DX132" i="2"/>
  <c r="DU132" i="2"/>
  <c r="DR132" i="2"/>
  <c r="DN132" i="2"/>
  <c r="DE132" i="2"/>
  <c r="DB132" i="2"/>
  <c r="CU132" i="2"/>
  <c r="DH129" i="2" s="1"/>
  <c r="BX132" i="2"/>
  <c r="BU132" i="2"/>
  <c r="BO132" i="2"/>
  <c r="BK132" i="2"/>
  <c r="BD132" i="2"/>
  <c r="BB132" i="2"/>
  <c r="AY132" i="2"/>
  <c r="AN132" i="2"/>
  <c r="AE132" i="2"/>
  <c r="DX131" i="2"/>
  <c r="DU131" i="2"/>
  <c r="DR131" i="2"/>
  <c r="DN131" i="2"/>
  <c r="EA128" i="2" s="1"/>
  <c r="DH131" i="2"/>
  <c r="DE131" i="2"/>
  <c r="DB131" i="2"/>
  <c r="CX131" i="2"/>
  <c r="CT131" i="2"/>
  <c r="DH128" i="2" s="1"/>
  <c r="BX131" i="2"/>
  <c r="BU131" i="2"/>
  <c r="BO131" i="2"/>
  <c r="BK131" i="2"/>
  <c r="BD131" i="2"/>
  <c r="AY131" i="2"/>
  <c r="AN131" i="2"/>
  <c r="AE131" i="2"/>
  <c r="EA130" i="2"/>
  <c r="DX130" i="2"/>
  <c r="DR130" i="2"/>
  <c r="DN130" i="2"/>
  <c r="EA127" i="2" s="1"/>
  <c r="DH130" i="2"/>
  <c r="DE130" i="2"/>
  <c r="CX130" i="2"/>
  <c r="CT130" i="2"/>
  <c r="DH127" i="2" s="1"/>
  <c r="BX130" i="2"/>
  <c r="BU130" i="2"/>
  <c r="BO130" i="2"/>
  <c r="BK130" i="2"/>
  <c r="BD130" i="2"/>
  <c r="AY130" i="2"/>
  <c r="AW130" i="2"/>
  <c r="AN130" i="2"/>
  <c r="AE130" i="2"/>
  <c r="AA130" i="2"/>
  <c r="AQ127" i="2" s="1"/>
  <c r="EA129" i="2"/>
  <c r="DX129" i="2"/>
  <c r="DR129" i="2"/>
  <c r="DN129" i="2"/>
  <c r="EA126" i="2" s="1"/>
  <c r="DE129" i="2"/>
  <c r="CX129" i="2"/>
  <c r="CT129" i="2"/>
  <c r="BX129" i="2"/>
  <c r="BU129" i="2"/>
  <c r="BO129" i="2"/>
  <c r="BK129" i="2"/>
  <c r="BD129" i="2"/>
  <c r="AY129" i="2"/>
  <c r="AW129" i="2"/>
  <c r="BE126" i="2" s="1"/>
  <c r="AN129" i="2"/>
  <c r="AK129" i="2"/>
  <c r="AE129" i="2"/>
  <c r="DX128" i="2"/>
  <c r="DR128" i="2"/>
  <c r="DN128" i="2"/>
  <c r="DE128" i="2"/>
  <c r="CX128" i="2"/>
  <c r="CT128" i="2"/>
  <c r="BX128" i="2"/>
  <c r="BU128" i="2"/>
  <c r="BO128" i="2"/>
  <c r="BK128" i="2"/>
  <c r="BX125" i="2" s="1"/>
  <c r="BE128" i="2"/>
  <c r="BD128" i="2"/>
  <c r="BB128" i="2"/>
  <c r="AY128" i="2"/>
  <c r="AN128" i="2"/>
  <c r="AE128" i="2"/>
  <c r="AA128" i="2"/>
  <c r="AQ125" i="2" s="1"/>
  <c r="DX127" i="2"/>
  <c r="DR127" i="2"/>
  <c r="DN127" i="2"/>
  <c r="DE127" i="2"/>
  <c r="CX127" i="2"/>
  <c r="CT127" i="2"/>
  <c r="DH124" i="2" s="1"/>
  <c r="BX127" i="2"/>
  <c r="BU127" i="2"/>
  <c r="BE127" i="2"/>
  <c r="BD127" i="2"/>
  <c r="BB127" i="2"/>
  <c r="AN127" i="2"/>
  <c r="DX126" i="2"/>
  <c r="DH126" i="2"/>
  <c r="DE126" i="2"/>
  <c r="BX126" i="2"/>
  <c r="BU126" i="2"/>
  <c r="BD126" i="2"/>
  <c r="BB126" i="2"/>
  <c r="AX126" i="2"/>
  <c r="AW131" i="2" s="1"/>
  <c r="AQ126" i="2"/>
  <c r="AN126" i="2"/>
  <c r="AD126" i="2"/>
  <c r="AB126" i="2"/>
  <c r="AA129" i="2" s="1"/>
  <c r="EA125" i="2"/>
  <c r="DX125" i="2"/>
  <c r="DQ125" i="2"/>
  <c r="DO135" i="2" s="1"/>
  <c r="EA132" i="2" s="1"/>
  <c r="DH125" i="2"/>
  <c r="DE125" i="2"/>
  <c r="CW125" i="2"/>
  <c r="CU134" i="2" s="1"/>
  <c r="CU125" i="2"/>
  <c r="DB133" i="2" s="1"/>
  <c r="BU125" i="2"/>
  <c r="BD125" i="2"/>
  <c r="AN125" i="2"/>
  <c r="EA124" i="2"/>
  <c r="DX124" i="2"/>
  <c r="DE124" i="2"/>
  <c r="DR116" i="2"/>
  <c r="DN116" i="2"/>
  <c r="EA113" i="2" s="1"/>
  <c r="BR116" i="2"/>
  <c r="DR115" i="2"/>
  <c r="DN115" i="2"/>
  <c r="DB115" i="2"/>
  <c r="CU115" i="2"/>
  <c r="DH112" i="2" s="1"/>
  <c r="BX115" i="2"/>
  <c r="BU115" i="2"/>
  <c r="BR115" i="2"/>
  <c r="BD115" i="2"/>
  <c r="AY115" i="2"/>
  <c r="DX114" i="2"/>
  <c r="DR114" i="2"/>
  <c r="DN114" i="2"/>
  <c r="DE114" i="2"/>
  <c r="CU114" i="2"/>
  <c r="DH111" i="2" s="1"/>
  <c r="BX114" i="2"/>
  <c r="BU114" i="2"/>
  <c r="BR114" i="2"/>
  <c r="BO114" i="2"/>
  <c r="BD114" i="2"/>
  <c r="BB114" i="2"/>
  <c r="AY114" i="2"/>
  <c r="AN114" i="2"/>
  <c r="AK114" i="2"/>
  <c r="DX113" i="2"/>
  <c r="DU113" i="2"/>
  <c r="DR113" i="2"/>
  <c r="DN113" i="2"/>
  <c r="DE113" i="2"/>
  <c r="DB113" i="2"/>
  <c r="CX113" i="2"/>
  <c r="CT113" i="2"/>
  <c r="BX113" i="2"/>
  <c r="BU113" i="2"/>
  <c r="BO113" i="2"/>
  <c r="BD113" i="2"/>
  <c r="BB113" i="2"/>
  <c r="AY113" i="2"/>
  <c r="AN113" i="2"/>
  <c r="AK113" i="2"/>
  <c r="AE113" i="2"/>
  <c r="EA112" i="2"/>
  <c r="DX112" i="2"/>
  <c r="DU112" i="2"/>
  <c r="DR112" i="2"/>
  <c r="DN112" i="2"/>
  <c r="DE112" i="2"/>
  <c r="DB112" i="2"/>
  <c r="CX112" i="2"/>
  <c r="CT112" i="2"/>
  <c r="BX112" i="2"/>
  <c r="BU112" i="2"/>
  <c r="BO112" i="2"/>
  <c r="BD112" i="2"/>
  <c r="AY112" i="2"/>
  <c r="AN112" i="2"/>
  <c r="AE112" i="2"/>
  <c r="AA112" i="2"/>
  <c r="EA111" i="2"/>
  <c r="DX111" i="2"/>
  <c r="DR111" i="2"/>
  <c r="DN111" i="2"/>
  <c r="DE111" i="2"/>
  <c r="CX111" i="2"/>
  <c r="CT111" i="2"/>
  <c r="BX111" i="2"/>
  <c r="BU111" i="2"/>
  <c r="BO111" i="2"/>
  <c r="BK111" i="2"/>
  <c r="BD111" i="2"/>
  <c r="AY111" i="2"/>
  <c r="AN111" i="2"/>
  <c r="AE111" i="2"/>
  <c r="EA110" i="2"/>
  <c r="DX110" i="2"/>
  <c r="DR110" i="2"/>
  <c r="DN110" i="2"/>
  <c r="DH110" i="2"/>
  <c r="DE110" i="2"/>
  <c r="CX110" i="2"/>
  <c r="CT110" i="2"/>
  <c r="BX110" i="2"/>
  <c r="BU110" i="2"/>
  <c r="BO110" i="2"/>
  <c r="BK110" i="2"/>
  <c r="BX107" i="2" s="1"/>
  <c r="BD110" i="2"/>
  <c r="AY110" i="2"/>
  <c r="AN110" i="2"/>
  <c r="AE110" i="2"/>
  <c r="AA110" i="2"/>
  <c r="AQ107" i="2" s="1"/>
  <c r="EA109" i="2"/>
  <c r="DX109" i="2"/>
  <c r="DR109" i="2"/>
  <c r="DN109" i="2"/>
  <c r="DH109" i="2"/>
  <c r="DE109" i="2"/>
  <c r="CX109" i="2"/>
  <c r="CT109" i="2"/>
  <c r="BX109" i="2"/>
  <c r="BU109" i="2"/>
  <c r="BO109" i="2"/>
  <c r="BK109" i="2"/>
  <c r="BD109" i="2"/>
  <c r="BB109" i="2"/>
  <c r="AY109" i="2"/>
  <c r="AW109" i="2"/>
  <c r="AQ109" i="2"/>
  <c r="AN109" i="2"/>
  <c r="AK109" i="2"/>
  <c r="AE109" i="2"/>
  <c r="EA108" i="2"/>
  <c r="DX108" i="2"/>
  <c r="DR108" i="2"/>
  <c r="DN108" i="2"/>
  <c r="DH108" i="2"/>
  <c r="DE108" i="2"/>
  <c r="CX108" i="2"/>
  <c r="CT108" i="2"/>
  <c r="DH105" i="2" s="1"/>
  <c r="BX108" i="2"/>
  <c r="BU108" i="2"/>
  <c r="BD108" i="2"/>
  <c r="BB108" i="2"/>
  <c r="AN108" i="2"/>
  <c r="AE108" i="2"/>
  <c r="AA108" i="2"/>
  <c r="AQ105" i="2" s="1"/>
  <c r="EA107" i="2"/>
  <c r="DX107" i="2"/>
  <c r="DH107" i="2"/>
  <c r="DE107" i="2"/>
  <c r="BU107" i="2"/>
  <c r="BD107" i="2"/>
  <c r="BB107" i="2"/>
  <c r="AX107" i="2"/>
  <c r="AW112" i="2" s="1"/>
  <c r="BE109" i="2" s="1"/>
  <c r="AN107" i="2"/>
  <c r="EA106" i="2"/>
  <c r="DX106" i="2"/>
  <c r="DQ106" i="2"/>
  <c r="DO117" i="2" s="1"/>
  <c r="EA114" i="2" s="1"/>
  <c r="DH106" i="2"/>
  <c r="DE106" i="2"/>
  <c r="CW106" i="2"/>
  <c r="CU117" i="2" s="1"/>
  <c r="DH114" i="2" s="1"/>
  <c r="CU106" i="2"/>
  <c r="DB114" i="2" s="1"/>
  <c r="BX106" i="2"/>
  <c r="BU106" i="2"/>
  <c r="BE106" i="2"/>
  <c r="BD106" i="2"/>
  <c r="AN106" i="2"/>
  <c r="AD106" i="2"/>
  <c r="AB117" i="2" s="1"/>
  <c r="AQ114" i="2" s="1"/>
  <c r="AB106" i="2"/>
  <c r="AA113" i="2" s="1"/>
  <c r="AQ110" i="2" s="1"/>
  <c r="EA105" i="2"/>
  <c r="DX105" i="2"/>
  <c r="DO105" i="2"/>
  <c r="DU109" i="2" s="1"/>
  <c r="DE105" i="2"/>
  <c r="AN105" i="2"/>
  <c r="AX99" i="2"/>
  <c r="AX156" i="2" s="1"/>
  <c r="BE153" i="2" s="1"/>
  <c r="CU98" i="2"/>
  <c r="DH95" i="2" s="1"/>
  <c r="DR97" i="2"/>
  <c r="DN97" i="2"/>
  <c r="EA94" i="2" s="1"/>
  <c r="CX97" i="2"/>
  <c r="CU97" i="2"/>
  <c r="BR97" i="2"/>
  <c r="DR96" i="2"/>
  <c r="DN96" i="2"/>
  <c r="DB96" i="2"/>
  <c r="CX96" i="2"/>
  <c r="CT96" i="2"/>
  <c r="DH93" i="2" s="1"/>
  <c r="BX96" i="2"/>
  <c r="BU96" i="2"/>
  <c r="BR96" i="2"/>
  <c r="BO96" i="2"/>
  <c r="BD96" i="2"/>
  <c r="DX95" i="2"/>
  <c r="DR95" i="2"/>
  <c r="DN95" i="2"/>
  <c r="DE95" i="2"/>
  <c r="CX95" i="2"/>
  <c r="CT95" i="2"/>
  <c r="DH92" i="2" s="1"/>
  <c r="BX95" i="2"/>
  <c r="BU95" i="2"/>
  <c r="BR95" i="2"/>
  <c r="BO95" i="2"/>
  <c r="BK95" i="2"/>
  <c r="BX92" i="2" s="1"/>
  <c r="BD95" i="2"/>
  <c r="BB95" i="2"/>
  <c r="AN95" i="2"/>
  <c r="AK95" i="2"/>
  <c r="DX94" i="2"/>
  <c r="DU94" i="2"/>
  <c r="DR94" i="2"/>
  <c r="DN94" i="2"/>
  <c r="EA91" i="2" s="1"/>
  <c r="DH94" i="2"/>
  <c r="DE94" i="2"/>
  <c r="DB94" i="2"/>
  <c r="CX94" i="2"/>
  <c r="CT94" i="2"/>
  <c r="DH91" i="2" s="1"/>
  <c r="BX94" i="2"/>
  <c r="BU94" i="2"/>
  <c r="BO94" i="2"/>
  <c r="BK94" i="2"/>
  <c r="BX91" i="2" s="1"/>
  <c r="BD94" i="2"/>
  <c r="BB94" i="2"/>
  <c r="AN94" i="2"/>
  <c r="AK94" i="2"/>
  <c r="AE94" i="2"/>
  <c r="EA93" i="2"/>
  <c r="DX93" i="2"/>
  <c r="DU93" i="2"/>
  <c r="DR93" i="2"/>
  <c r="DN93" i="2"/>
  <c r="EA90" i="2" s="1"/>
  <c r="DE93" i="2"/>
  <c r="DB93" i="2"/>
  <c r="CX93" i="2"/>
  <c r="CT93" i="2"/>
  <c r="DH90" i="2" s="1"/>
  <c r="BX93" i="2"/>
  <c r="BU93" i="2"/>
  <c r="BO93" i="2"/>
  <c r="BK93" i="2"/>
  <c r="BX90" i="2" s="1"/>
  <c r="BD93" i="2"/>
  <c r="AN93" i="2"/>
  <c r="AE93" i="2"/>
  <c r="EA92" i="2"/>
  <c r="DX92" i="2"/>
  <c r="DR92" i="2"/>
  <c r="DN92" i="2"/>
  <c r="DE92" i="2"/>
  <c r="CX92" i="2"/>
  <c r="CT92" i="2"/>
  <c r="BU92" i="2"/>
  <c r="BO92" i="2"/>
  <c r="BK92" i="2"/>
  <c r="BD92" i="2"/>
  <c r="BB92" i="2"/>
  <c r="AW92" i="2"/>
  <c r="AW149" i="2" s="1"/>
  <c r="BE146" i="2" s="1"/>
  <c r="AN92" i="2"/>
  <c r="AE92" i="2"/>
  <c r="AA92" i="2"/>
  <c r="DX91" i="2"/>
  <c r="DR91" i="2"/>
  <c r="DN91" i="2"/>
  <c r="DE91" i="2"/>
  <c r="CX91" i="2"/>
  <c r="CT91" i="2"/>
  <c r="DH88" i="2" s="1"/>
  <c r="BU91" i="2"/>
  <c r="BO91" i="2"/>
  <c r="BK91" i="2"/>
  <c r="BD91" i="2"/>
  <c r="BB91" i="2"/>
  <c r="AW91" i="2"/>
  <c r="AW148" i="2" s="1"/>
  <c r="BE145" i="2" s="1"/>
  <c r="AN91" i="2"/>
  <c r="AE91" i="2"/>
  <c r="AA91" i="2"/>
  <c r="DX90" i="2"/>
  <c r="DR90" i="2"/>
  <c r="DN90" i="2"/>
  <c r="DE90" i="2"/>
  <c r="CX90" i="2"/>
  <c r="CT90" i="2"/>
  <c r="BU90" i="2"/>
  <c r="BO90" i="2"/>
  <c r="BK90" i="2"/>
  <c r="BX87" i="2" s="1"/>
  <c r="BD90" i="2"/>
  <c r="BB90" i="2"/>
  <c r="AW90" i="2"/>
  <c r="AN90" i="2"/>
  <c r="AK90" i="2"/>
  <c r="AE90" i="2"/>
  <c r="AA90" i="2"/>
  <c r="AQ87" i="2" s="1"/>
  <c r="EA89" i="2"/>
  <c r="DX89" i="2"/>
  <c r="DR89" i="2"/>
  <c r="DN89" i="2"/>
  <c r="EA86" i="2" s="1"/>
  <c r="DH89" i="2"/>
  <c r="DE89" i="2"/>
  <c r="CX89" i="2"/>
  <c r="CT89" i="2"/>
  <c r="BX89" i="2"/>
  <c r="BU89" i="2"/>
  <c r="BD89" i="2"/>
  <c r="BB89" i="2"/>
  <c r="AQ89" i="2"/>
  <c r="AN89" i="2"/>
  <c r="AE89" i="2"/>
  <c r="EA88" i="2"/>
  <c r="DX88" i="2"/>
  <c r="DE88" i="2"/>
  <c r="BX88" i="2"/>
  <c r="BU88" i="2"/>
  <c r="BE88" i="2"/>
  <c r="BD88" i="2"/>
  <c r="BB88" i="2"/>
  <c r="AX88" i="2"/>
  <c r="AW93" i="2" s="1"/>
  <c r="AQ88" i="2"/>
  <c r="AN88" i="2"/>
  <c r="EA87" i="2"/>
  <c r="DX87" i="2"/>
  <c r="DQ87" i="2"/>
  <c r="DO98" i="2" s="1"/>
  <c r="EA95" i="2" s="1"/>
  <c r="DH87" i="2"/>
  <c r="DE87" i="2"/>
  <c r="CW87" i="2"/>
  <c r="BU87" i="2"/>
  <c r="BD87" i="2"/>
  <c r="AN87" i="2"/>
  <c r="AD87" i="2"/>
  <c r="AB87" i="2"/>
  <c r="AA94" i="2" s="1"/>
  <c r="AQ91" i="2" s="1"/>
  <c r="DX86" i="2"/>
  <c r="DH86" i="2"/>
  <c r="DE86" i="2"/>
  <c r="CU86" i="2"/>
  <c r="DB89" i="2" s="1"/>
  <c r="AN86" i="2"/>
  <c r="AB79" i="2"/>
  <c r="AA79" i="2"/>
  <c r="DR78" i="2"/>
  <c r="DN78" i="2"/>
  <c r="EA75" i="2" s="1"/>
  <c r="CX78" i="2"/>
  <c r="CU78" i="2"/>
  <c r="DH75" i="2" s="1"/>
  <c r="BR78" i="2"/>
  <c r="AA78" i="2"/>
  <c r="DR77" i="2"/>
  <c r="DN77" i="2"/>
  <c r="DB77" i="2"/>
  <c r="CX77" i="2"/>
  <c r="CU77" i="2"/>
  <c r="BX77" i="2"/>
  <c r="BU77" i="2"/>
  <c r="BR77" i="2"/>
  <c r="BE77" i="2"/>
  <c r="BD77" i="2"/>
  <c r="AK77" i="2"/>
  <c r="AA77" i="2"/>
  <c r="DX76" i="2"/>
  <c r="DR76" i="2"/>
  <c r="DN76" i="2"/>
  <c r="DE76" i="2"/>
  <c r="CX76" i="2"/>
  <c r="CT76" i="2"/>
  <c r="DH73" i="2" s="1"/>
  <c r="BX76" i="2"/>
  <c r="BU76" i="2"/>
  <c r="BR76" i="2"/>
  <c r="BO76" i="2"/>
  <c r="BK76" i="2"/>
  <c r="BX73" i="2" s="1"/>
  <c r="BE76" i="2"/>
  <c r="BD76" i="2"/>
  <c r="BB76" i="2"/>
  <c r="AY76" i="2"/>
  <c r="AW76" i="2"/>
  <c r="BE73" i="2" s="1"/>
  <c r="AQ76" i="2"/>
  <c r="AN76" i="2"/>
  <c r="AK76" i="2"/>
  <c r="AE76" i="2"/>
  <c r="AA76" i="2"/>
  <c r="AQ73" i="2" s="1"/>
  <c r="DX75" i="2"/>
  <c r="DU75" i="2"/>
  <c r="DR75" i="2"/>
  <c r="DN75" i="2"/>
  <c r="DE75" i="2"/>
  <c r="DB75" i="2"/>
  <c r="CX75" i="2"/>
  <c r="CT75" i="2"/>
  <c r="BX75" i="2"/>
  <c r="BU75" i="2"/>
  <c r="BO75" i="2"/>
  <c r="BK75" i="2"/>
  <c r="BX72" i="2" s="1"/>
  <c r="BE75" i="2"/>
  <c r="BD75" i="2"/>
  <c r="BB75" i="2"/>
  <c r="AY75" i="2"/>
  <c r="AW75" i="2"/>
  <c r="BE72" i="2" s="1"/>
  <c r="AQ75" i="2"/>
  <c r="AN75" i="2"/>
  <c r="AK75" i="2"/>
  <c r="AE75" i="2"/>
  <c r="AA75" i="2"/>
  <c r="EA74" i="2"/>
  <c r="DX74" i="2"/>
  <c r="DU74" i="2"/>
  <c r="DR74" i="2"/>
  <c r="DN74" i="2"/>
  <c r="DH74" i="2"/>
  <c r="DE74" i="2"/>
  <c r="DB74" i="2"/>
  <c r="CX74" i="2"/>
  <c r="CT74" i="2"/>
  <c r="BX74" i="2"/>
  <c r="BU74" i="2"/>
  <c r="BO74" i="2"/>
  <c r="BK74" i="2"/>
  <c r="BE74" i="2"/>
  <c r="BD74" i="2"/>
  <c r="AY74" i="2"/>
  <c r="AW74" i="2"/>
  <c r="BE71" i="2" s="1"/>
  <c r="AQ74" i="2"/>
  <c r="AN74" i="2"/>
  <c r="AK74" i="2"/>
  <c r="AE74" i="2"/>
  <c r="AA74" i="2"/>
  <c r="AQ71" i="2" s="1"/>
  <c r="EA73" i="2"/>
  <c r="DX73" i="2"/>
  <c r="DR73" i="2"/>
  <c r="DN73" i="2"/>
  <c r="DE73" i="2"/>
  <c r="CX73" i="2"/>
  <c r="CT73" i="2"/>
  <c r="BU73" i="2"/>
  <c r="BO73" i="2"/>
  <c r="BK73" i="2"/>
  <c r="BD73" i="2"/>
  <c r="AY73" i="2"/>
  <c r="AW73" i="2"/>
  <c r="BE70" i="2" s="1"/>
  <c r="AN73" i="2"/>
  <c r="AE73" i="2"/>
  <c r="AA73" i="2"/>
  <c r="AQ70" i="2" s="1"/>
  <c r="EA72" i="2"/>
  <c r="DX72" i="2"/>
  <c r="DR72" i="2"/>
  <c r="DN72" i="2"/>
  <c r="DH72" i="2"/>
  <c r="DE72" i="2"/>
  <c r="CX72" i="2"/>
  <c r="CT72" i="2"/>
  <c r="BU72" i="2"/>
  <c r="BO72" i="2"/>
  <c r="BK72" i="2"/>
  <c r="BX69" i="2" s="1"/>
  <c r="BD72" i="2"/>
  <c r="AY72" i="2"/>
  <c r="AW72" i="2"/>
  <c r="BE69" i="2" s="1"/>
  <c r="AQ72" i="2"/>
  <c r="AN72" i="2"/>
  <c r="AE72" i="2"/>
  <c r="AA72" i="2"/>
  <c r="AQ69" i="2" s="1"/>
  <c r="EA71" i="2"/>
  <c r="DX71" i="2"/>
  <c r="DR71" i="2"/>
  <c r="DN71" i="2"/>
  <c r="DH71" i="2"/>
  <c r="DE71" i="2"/>
  <c r="CX71" i="2"/>
  <c r="CT71" i="2"/>
  <c r="BX71" i="2"/>
  <c r="BU71" i="2"/>
  <c r="BO71" i="2"/>
  <c r="BK71" i="2"/>
  <c r="BD71" i="2"/>
  <c r="AY71" i="2"/>
  <c r="AW71" i="2"/>
  <c r="BE68" i="2" s="1"/>
  <c r="AN71" i="2"/>
  <c r="AE71" i="2"/>
  <c r="AA71" i="2"/>
  <c r="EA70" i="2"/>
  <c r="DX70" i="2"/>
  <c r="DR70" i="2"/>
  <c r="DN70" i="2"/>
  <c r="EA67" i="2" s="1"/>
  <c r="DH70" i="2"/>
  <c r="DE70" i="2"/>
  <c r="DB70" i="2"/>
  <c r="CX70" i="2"/>
  <c r="CT70" i="2"/>
  <c r="BX70" i="2"/>
  <c r="BU70" i="2"/>
  <c r="BD70" i="2"/>
  <c r="BB70" i="2"/>
  <c r="AN70" i="2"/>
  <c r="AK70" i="2"/>
  <c r="AE70" i="2"/>
  <c r="AA70" i="2"/>
  <c r="AQ67" i="2" s="1"/>
  <c r="EA69" i="2"/>
  <c r="DX69" i="2"/>
  <c r="DH69" i="2"/>
  <c r="DE69" i="2"/>
  <c r="BU69" i="2"/>
  <c r="BJ69" i="2" a="1"/>
  <c r="BJ69" i="2" s="1"/>
  <c r="BR72" i="2" s="1"/>
  <c r="BD69" i="2"/>
  <c r="BB69" i="2"/>
  <c r="AV69" i="2" a="1"/>
  <c r="AV69" i="2" s="1"/>
  <c r="BB73" i="2" s="1"/>
  <c r="AN69" i="2"/>
  <c r="AK69" i="2"/>
  <c r="EA68" i="2"/>
  <c r="DX68" i="2"/>
  <c r="DQ68" i="2"/>
  <c r="DO79" i="2" s="1"/>
  <c r="EA76" i="2" s="1"/>
  <c r="DH68" i="2"/>
  <c r="DE68" i="2"/>
  <c r="CW68" i="2"/>
  <c r="CU79" i="2" s="1"/>
  <c r="DH76" i="2" s="1"/>
  <c r="BX68" i="2"/>
  <c r="BU68" i="2"/>
  <c r="BD68" i="2"/>
  <c r="AQ68" i="2"/>
  <c r="AN68" i="2"/>
  <c r="AD68" i="2"/>
  <c r="Z68" i="2" a="1"/>
  <c r="Z68" i="2" s="1"/>
  <c r="AK71" i="2" s="1"/>
  <c r="DX67" i="2"/>
  <c r="DH67" i="2"/>
  <c r="DE67" i="2"/>
  <c r="CU67" i="2"/>
  <c r="AN67" i="2"/>
  <c r="EH60" i="2"/>
  <c r="ET57" i="2" s="1"/>
  <c r="DO60" i="2"/>
  <c r="EA57" i="2" s="1"/>
  <c r="EK59" i="2"/>
  <c r="EG59" i="2"/>
  <c r="DO59" i="2"/>
  <c r="EA56" i="2" s="1"/>
  <c r="CX59" i="2"/>
  <c r="CT59" i="2"/>
  <c r="DH56" i="2" s="1"/>
  <c r="BR59" i="2"/>
  <c r="AB59" i="2"/>
  <c r="AQ56" i="2" s="1"/>
  <c r="EN58" i="2"/>
  <c r="EK58" i="2"/>
  <c r="EH58" i="2"/>
  <c r="EG58" i="2"/>
  <c r="DB58" i="2"/>
  <c r="CX58" i="2"/>
  <c r="CT58" i="2"/>
  <c r="BX58" i="2"/>
  <c r="BU58" i="2"/>
  <c r="BR58" i="2"/>
  <c r="AK58" i="2"/>
  <c r="AB58" i="2"/>
  <c r="AQ55" i="2" s="1"/>
  <c r="EQ57" i="2"/>
  <c r="EN57" i="2"/>
  <c r="EK57" i="2"/>
  <c r="EG57" i="2"/>
  <c r="DX57" i="2"/>
  <c r="DR57" i="2"/>
  <c r="DN57" i="2"/>
  <c r="DE57" i="2"/>
  <c r="CX57" i="2"/>
  <c r="CT57" i="2"/>
  <c r="DH54" i="2" s="1"/>
  <c r="BX57" i="2"/>
  <c r="BU57" i="2"/>
  <c r="BR57" i="2"/>
  <c r="BE57" i="2"/>
  <c r="BD57" i="2"/>
  <c r="AY57" i="2"/>
  <c r="AN57" i="2"/>
  <c r="AK57" i="2"/>
  <c r="AE57" i="2"/>
  <c r="AB57" i="2"/>
  <c r="EQ56" i="2"/>
  <c r="EN56" i="2"/>
  <c r="EK56" i="2"/>
  <c r="EG56" i="2"/>
  <c r="DX56" i="2"/>
  <c r="DU56" i="2"/>
  <c r="DR56" i="2"/>
  <c r="DN56" i="2"/>
  <c r="EA53" i="2" s="1"/>
  <c r="DE56" i="2"/>
  <c r="DB56" i="2"/>
  <c r="CX56" i="2"/>
  <c r="CT56" i="2"/>
  <c r="DH53" i="2" s="1"/>
  <c r="BX56" i="2"/>
  <c r="BU56" i="2"/>
  <c r="BO56" i="2"/>
  <c r="BK56" i="2"/>
  <c r="BE56" i="2"/>
  <c r="BD56" i="2"/>
  <c r="BB56" i="2"/>
  <c r="AY56" i="2"/>
  <c r="AW56" i="2"/>
  <c r="AN56" i="2"/>
  <c r="AK56" i="2"/>
  <c r="AE56" i="2"/>
  <c r="AB56" i="2"/>
  <c r="ET55" i="2"/>
  <c r="EQ55" i="2"/>
  <c r="EK55" i="2"/>
  <c r="EG55" i="2"/>
  <c r="ET52" i="2" s="1"/>
  <c r="DX55" i="2"/>
  <c r="DU55" i="2"/>
  <c r="DR55" i="2"/>
  <c r="DN55" i="2"/>
  <c r="DH55" i="2"/>
  <c r="DE55" i="2"/>
  <c r="DB55" i="2"/>
  <c r="CX55" i="2"/>
  <c r="CT55" i="2"/>
  <c r="BX55" i="2"/>
  <c r="BU55" i="2"/>
  <c r="BO55" i="2"/>
  <c r="BK55" i="2"/>
  <c r="BE55" i="2"/>
  <c r="BD55" i="2"/>
  <c r="BB55" i="2"/>
  <c r="AY55" i="2"/>
  <c r="AW55" i="2"/>
  <c r="AN55" i="2"/>
  <c r="AK55" i="2"/>
  <c r="AE55" i="2"/>
  <c r="AB55" i="2"/>
  <c r="AQ52" i="2" s="1"/>
  <c r="ET54" i="2"/>
  <c r="EQ54" i="2"/>
  <c r="EN54" i="2"/>
  <c r="EK54" i="2"/>
  <c r="EG54" i="2"/>
  <c r="ET51" i="2" s="1"/>
  <c r="EA54" i="2"/>
  <c r="DX54" i="2"/>
  <c r="DR54" i="2"/>
  <c r="DN54" i="2"/>
  <c r="DE54" i="2"/>
  <c r="CX54" i="2"/>
  <c r="CT54" i="2"/>
  <c r="BX54" i="2"/>
  <c r="BU54" i="2"/>
  <c r="BO54" i="2"/>
  <c r="BK54" i="2"/>
  <c r="BX51" i="2" s="1"/>
  <c r="BE54" i="2"/>
  <c r="BD54" i="2"/>
  <c r="AY54" i="2"/>
  <c r="AW54" i="2"/>
  <c r="AQ54" i="2"/>
  <c r="AN54" i="2"/>
  <c r="AE54" i="2"/>
  <c r="AA54" i="2"/>
  <c r="AQ51" i="2" s="1"/>
  <c r="ET53" i="2"/>
  <c r="EQ53" i="2"/>
  <c r="EK53" i="2"/>
  <c r="EG53" i="2"/>
  <c r="ET50" i="2" s="1"/>
  <c r="DX53" i="2"/>
  <c r="DR53" i="2"/>
  <c r="DN53" i="2"/>
  <c r="DE53" i="2"/>
  <c r="CX53" i="2"/>
  <c r="CT53" i="2"/>
  <c r="DH50" i="2" s="1"/>
  <c r="BX53" i="2"/>
  <c r="BU53" i="2"/>
  <c r="BO53" i="2"/>
  <c r="BK53" i="2"/>
  <c r="BX50" i="2" s="1"/>
  <c r="BE53" i="2"/>
  <c r="BD53" i="2"/>
  <c r="AY53" i="2"/>
  <c r="AW53" i="2"/>
  <c r="AQ53" i="2"/>
  <c r="AN53" i="2"/>
  <c r="AE53" i="2"/>
  <c r="AA53" i="2"/>
  <c r="Q53" i="2" a="1"/>
  <c r="Q53" i="2" s="1"/>
  <c r="EQ52" i="2"/>
  <c r="EK52" i="2"/>
  <c r="EG52" i="2"/>
  <c r="EA52" i="2"/>
  <c r="DX52" i="2"/>
  <c r="DR52" i="2"/>
  <c r="DN52" i="2"/>
  <c r="DH52" i="2"/>
  <c r="DE52" i="2"/>
  <c r="CX52" i="2"/>
  <c r="CT52" i="2"/>
  <c r="DH49" i="2" s="1"/>
  <c r="BX52" i="2"/>
  <c r="BU52" i="2"/>
  <c r="BO52" i="2"/>
  <c r="BK52" i="2"/>
  <c r="BE52" i="2"/>
  <c r="BD52" i="2"/>
  <c r="AY52" i="2"/>
  <c r="AW52" i="2"/>
  <c r="AN52" i="2"/>
  <c r="AE52" i="2"/>
  <c r="AA52" i="2"/>
  <c r="AQ49" i="2" s="1"/>
  <c r="Q52" i="2" a="1"/>
  <c r="Q52" i="2" s="1"/>
  <c r="EQ51" i="2"/>
  <c r="EK51" i="2"/>
  <c r="EG51" i="2"/>
  <c r="EA51" i="2"/>
  <c r="DX51" i="2"/>
  <c r="DR51" i="2"/>
  <c r="DN51" i="2"/>
  <c r="EA48" i="2" s="1"/>
  <c r="DH51" i="2"/>
  <c r="DE51" i="2"/>
  <c r="CX51" i="2"/>
  <c r="CT51" i="2"/>
  <c r="BU51" i="2"/>
  <c r="BE51" i="2"/>
  <c r="BD51" i="2"/>
  <c r="AY51" i="2"/>
  <c r="AW51" i="2"/>
  <c r="AN51" i="2"/>
  <c r="AK51" i="2"/>
  <c r="AE51" i="2"/>
  <c r="AA51" i="2"/>
  <c r="EQ50" i="2"/>
  <c r="EA50" i="2"/>
  <c r="DX50" i="2"/>
  <c r="DE50" i="2"/>
  <c r="BU50" i="2"/>
  <c r="BN50" i="2"/>
  <c r="BE50" i="2"/>
  <c r="BD50" i="2"/>
  <c r="BB50" i="2"/>
  <c r="AQ50" i="2"/>
  <c r="AN50" i="2"/>
  <c r="AK50" i="2"/>
  <c r="Q50" i="2" a="1"/>
  <c r="Q50" i="2" s="1"/>
  <c r="ET49" i="2"/>
  <c r="EQ49" i="2"/>
  <c r="EN49" i="2"/>
  <c r="EJ49" i="2"/>
  <c r="EH59" i="2" s="1"/>
  <c r="ET56" i="2" s="1"/>
  <c r="EF49" i="2"/>
  <c r="EN52" i="2" s="1"/>
  <c r="EF49" i="2" a="1"/>
  <c r="EA49" i="2"/>
  <c r="DX49" i="2"/>
  <c r="DQ49" i="2"/>
  <c r="DO58" i="2" s="1"/>
  <c r="EA55" i="2" s="1"/>
  <c r="DM49" i="2" a="1"/>
  <c r="DM49" i="2" s="1"/>
  <c r="DU53" i="2" s="1"/>
  <c r="DE49" i="2"/>
  <c r="CW49" i="2"/>
  <c r="CU60" i="2" s="1"/>
  <c r="DH57" i="2" s="1"/>
  <c r="BX49" i="2"/>
  <c r="BU49" i="2"/>
  <c r="BE49" i="2"/>
  <c r="BD49" i="2"/>
  <c r="BB49" i="2"/>
  <c r="AV49" i="2" a="1"/>
  <c r="AV49" i="2" s="1"/>
  <c r="BB53" i="2" s="1"/>
  <c r="AN49" i="2"/>
  <c r="AD49" i="2"/>
  <c r="AB60" i="2" s="1"/>
  <c r="AQ57" i="2" s="1"/>
  <c r="Z49" i="2" a="1"/>
  <c r="Z49" i="2" s="1"/>
  <c r="AK52" i="2" s="1"/>
  <c r="ET48" i="2"/>
  <c r="EQ48" i="2"/>
  <c r="EN48" i="2"/>
  <c r="DX48" i="2"/>
  <c r="DH48" i="2"/>
  <c r="DE48" i="2"/>
  <c r="BE48" i="2"/>
  <c r="BD48" i="2"/>
  <c r="AQ48" i="2"/>
  <c r="AN48" i="2"/>
  <c r="Q47" i="2" a="1"/>
  <c r="Q47" i="2" s="1"/>
  <c r="Q45" i="2" a="1"/>
  <c r="Q45" i="2" s="1"/>
  <c r="Q43" i="2"/>
  <c r="Q43" i="2" a="1"/>
  <c r="BL41" i="2"/>
  <c r="BX38" i="2" s="1"/>
  <c r="H41" i="2"/>
  <c r="CE40" i="2"/>
  <c r="CN37" i="2" s="1"/>
  <c r="EN39" i="2"/>
  <c r="CU39" i="2"/>
  <c r="DH36" i="2" s="1"/>
  <c r="BR39" i="2"/>
  <c r="AK39" i="2"/>
  <c r="Q39" i="2"/>
  <c r="Q39" i="2" a="1"/>
  <c r="EQ38" i="2"/>
  <c r="EN38" i="2"/>
  <c r="EK38" i="2"/>
  <c r="EG38" i="2"/>
  <c r="ET35" i="2" s="1"/>
  <c r="DX38" i="2"/>
  <c r="DE38" i="2"/>
  <c r="CX38" i="2"/>
  <c r="CT38" i="2"/>
  <c r="CM38" i="2"/>
  <c r="CH38" i="2"/>
  <c r="BU38" i="2"/>
  <c r="BR38" i="2"/>
  <c r="BO38" i="2"/>
  <c r="BE38" i="2"/>
  <c r="BD38" i="2"/>
  <c r="AN38" i="2"/>
  <c r="AK38" i="2"/>
  <c r="AE38" i="2"/>
  <c r="AB38" i="2"/>
  <c r="AQ35" i="2" s="1"/>
  <c r="Q38" i="2" a="1"/>
  <c r="Q38" i="2" s="1"/>
  <c r="EQ37" i="2"/>
  <c r="EN37" i="2"/>
  <c r="EK37" i="2"/>
  <c r="EG37" i="2"/>
  <c r="ET34" i="2" s="1"/>
  <c r="DX37" i="2"/>
  <c r="DU37" i="2"/>
  <c r="DR37" i="2"/>
  <c r="DN37" i="2"/>
  <c r="EA34" i="2" s="1"/>
  <c r="DH37" i="2"/>
  <c r="DE37" i="2"/>
  <c r="DB37" i="2"/>
  <c r="CX37" i="2"/>
  <c r="CT37" i="2"/>
  <c r="DH34" i="2" s="1"/>
  <c r="CM37" i="2"/>
  <c r="CK37" i="2"/>
  <c r="CH37" i="2"/>
  <c r="CD37" i="2"/>
  <c r="BU37" i="2"/>
  <c r="BR37" i="2"/>
  <c r="BO37" i="2"/>
  <c r="BK37" i="2"/>
  <c r="BE37" i="2"/>
  <c r="BD37" i="2"/>
  <c r="BB37" i="2"/>
  <c r="AN37" i="2"/>
  <c r="AK37" i="2"/>
  <c r="AE37" i="2"/>
  <c r="AA37" i="2"/>
  <c r="H37" i="2"/>
  <c r="EQ36" i="2"/>
  <c r="EK36" i="2"/>
  <c r="EG36" i="2"/>
  <c r="DX36" i="2"/>
  <c r="DU36" i="2"/>
  <c r="DR36" i="2"/>
  <c r="DN36" i="2"/>
  <c r="DE36" i="2"/>
  <c r="DB36" i="2"/>
  <c r="CX36" i="2"/>
  <c r="CT36" i="2"/>
  <c r="CM36" i="2"/>
  <c r="CK36" i="2"/>
  <c r="CH36" i="2"/>
  <c r="CD36" i="2"/>
  <c r="BU36" i="2"/>
  <c r="BO36" i="2"/>
  <c r="BK36" i="2"/>
  <c r="BX33" i="2" s="1"/>
  <c r="BE36" i="2"/>
  <c r="BD36" i="2"/>
  <c r="BB36" i="2"/>
  <c r="AN36" i="2"/>
  <c r="AK36" i="2"/>
  <c r="AE36" i="2"/>
  <c r="AA36" i="2"/>
  <c r="Q36" i="2" a="1"/>
  <c r="Q36" i="2" s="1"/>
  <c r="EQ35" i="2"/>
  <c r="EK35" i="2"/>
  <c r="EG35" i="2"/>
  <c r="DX35" i="2"/>
  <c r="DR35" i="2"/>
  <c r="DN35" i="2"/>
  <c r="DH35" i="2"/>
  <c r="DE35" i="2"/>
  <c r="CX35" i="2"/>
  <c r="CT35" i="2"/>
  <c r="CN35" i="2"/>
  <c r="CM35" i="2"/>
  <c r="CH35" i="2"/>
  <c r="CD35" i="2"/>
  <c r="BX35" i="2"/>
  <c r="BU35" i="2"/>
  <c r="BO35" i="2"/>
  <c r="BK35" i="2"/>
  <c r="BE35" i="2"/>
  <c r="BD35" i="2"/>
  <c r="AN35" i="2"/>
  <c r="AE35" i="2"/>
  <c r="AA35" i="2"/>
  <c r="Q35" i="2"/>
  <c r="Q35" i="2" a="1"/>
  <c r="EQ34" i="2"/>
  <c r="EK34" i="2"/>
  <c r="EG34" i="2"/>
  <c r="DX34" i="2"/>
  <c r="DR34" i="2"/>
  <c r="DN34" i="2"/>
  <c r="DE34" i="2"/>
  <c r="CX34" i="2"/>
  <c r="CT34" i="2"/>
  <c r="DH31" i="2" s="1"/>
  <c r="CN34" i="2"/>
  <c r="CM34" i="2"/>
  <c r="CH34" i="2"/>
  <c r="CD34" i="2"/>
  <c r="CN31" i="2" s="1"/>
  <c r="BX34" i="2"/>
  <c r="BU34" i="2"/>
  <c r="BO34" i="2"/>
  <c r="BK34" i="2"/>
  <c r="BE34" i="2"/>
  <c r="BD34" i="2"/>
  <c r="BB34" i="2"/>
  <c r="AQ34" i="2"/>
  <c r="AN34" i="2"/>
  <c r="AE34" i="2"/>
  <c r="AA34" i="2"/>
  <c r="AQ31" i="2" s="1"/>
  <c r="ET33" i="2"/>
  <c r="EQ33" i="2"/>
  <c r="EK33" i="2"/>
  <c r="EG33" i="2"/>
  <c r="EA33" i="2"/>
  <c r="DX33" i="2"/>
  <c r="DR33" i="2"/>
  <c r="DN33" i="2"/>
  <c r="DH33" i="2"/>
  <c r="DE33" i="2"/>
  <c r="CX33" i="2"/>
  <c r="CT33" i="2"/>
  <c r="DH30" i="2" s="1"/>
  <c r="CN33" i="2"/>
  <c r="CM33" i="2"/>
  <c r="CH33" i="2"/>
  <c r="CD33" i="2"/>
  <c r="CN30" i="2" s="1"/>
  <c r="BU33" i="2"/>
  <c r="BO33" i="2"/>
  <c r="BK33" i="2"/>
  <c r="BE33" i="2"/>
  <c r="BD33" i="2"/>
  <c r="BB33" i="2"/>
  <c r="AQ33" i="2"/>
  <c r="AN33" i="2"/>
  <c r="AE33" i="2"/>
  <c r="AA33" i="2"/>
  <c r="AQ30" i="2" s="1"/>
  <c r="Q33" i="2"/>
  <c r="Q33" i="2" a="1"/>
  <c r="ET32" i="2"/>
  <c r="EQ32" i="2"/>
  <c r="EK32" i="2"/>
  <c r="EG32" i="2"/>
  <c r="ET29" i="2" s="1"/>
  <c r="EA32" i="2"/>
  <c r="DX32" i="2"/>
  <c r="DR32" i="2"/>
  <c r="DN32" i="2"/>
  <c r="DH32" i="2"/>
  <c r="DE32" i="2"/>
  <c r="CX32" i="2"/>
  <c r="CT32" i="2"/>
  <c r="CN32" i="2"/>
  <c r="CM32" i="2"/>
  <c r="CH32" i="2"/>
  <c r="CD32" i="2"/>
  <c r="BX32" i="2"/>
  <c r="BU32" i="2"/>
  <c r="BO32" i="2"/>
  <c r="BK32" i="2"/>
  <c r="BE32" i="2"/>
  <c r="BD32" i="2"/>
  <c r="BB32" i="2"/>
  <c r="AQ32" i="2"/>
  <c r="AN32" i="2"/>
  <c r="AE32" i="2"/>
  <c r="AA32" i="2"/>
  <c r="ET31" i="2"/>
  <c r="EQ31" i="2"/>
  <c r="EA31" i="2"/>
  <c r="DX31" i="2"/>
  <c r="DE31" i="2"/>
  <c r="CM31" i="2"/>
  <c r="BX31" i="2"/>
  <c r="BU31" i="2"/>
  <c r="BE31" i="2"/>
  <c r="BD31" i="2"/>
  <c r="BB31" i="2"/>
  <c r="AN31" i="2"/>
  <c r="Q31" i="2" a="1"/>
  <c r="Q31" i="2" s="1"/>
  <c r="ET30" i="2"/>
  <c r="EQ30" i="2"/>
  <c r="EN30" i="2"/>
  <c r="EJ30" i="2"/>
  <c r="EH41" i="2" s="1"/>
  <c r="ET38" i="2" s="1"/>
  <c r="EA30" i="2"/>
  <c r="DX30" i="2"/>
  <c r="DQ30" i="2"/>
  <c r="DO41" i="2" s="1"/>
  <c r="EA38" i="2" s="1"/>
  <c r="DM30" i="2"/>
  <c r="DU34" i="2" s="1"/>
  <c r="DM30" i="2" a="1"/>
  <c r="DE30" i="2"/>
  <c r="CW30" i="2"/>
  <c r="CU40" i="2" s="1"/>
  <c r="CS30" i="2" a="1"/>
  <c r="CS30" i="2" s="1"/>
  <c r="DB34" i="2" s="1"/>
  <c r="CM30" i="2"/>
  <c r="CG30" i="2"/>
  <c r="CC30" i="2" a="1"/>
  <c r="CC30" i="2" s="1"/>
  <c r="CK34" i="2" s="1"/>
  <c r="BX30" i="2"/>
  <c r="BU30" i="2"/>
  <c r="BN30" i="2"/>
  <c r="BL40" i="2" s="1"/>
  <c r="BX37" i="2" s="1"/>
  <c r="BJ30" i="2" a="1"/>
  <c r="BJ30" i="2" s="1"/>
  <c r="BR33" i="2" s="1"/>
  <c r="BE30" i="2"/>
  <c r="BD30" i="2"/>
  <c r="BB30" i="2"/>
  <c r="AN30" i="2"/>
  <c r="AD30" i="2"/>
  <c r="AB41" i="2" s="1"/>
  <c r="AQ38" i="2" s="1"/>
  <c r="Z30" i="2"/>
  <c r="AK33" i="2" s="1"/>
  <c r="Z30" i="2" a="1"/>
  <c r="EQ29" i="2"/>
  <c r="EN29" i="2"/>
  <c r="EH29" i="2" a="1"/>
  <c r="EH29" i="2" s="1"/>
  <c r="EN32" i="2" s="1"/>
  <c r="EA29" i="2"/>
  <c r="DX29" i="2"/>
  <c r="DH29" i="2"/>
  <c r="DE29" i="2"/>
  <c r="CN29" i="2"/>
  <c r="CM29" i="2"/>
  <c r="BX29" i="2"/>
  <c r="BU29" i="2"/>
  <c r="BE29" i="2"/>
  <c r="BD29" i="2"/>
  <c r="AQ29" i="2"/>
  <c r="AN29" i="2"/>
  <c r="Q29" i="2" a="1"/>
  <c r="Q29" i="2" s="1"/>
  <c r="EF28" i="2"/>
  <c r="EN35" i="2" s="1"/>
  <c r="Q28" i="2"/>
  <c r="Q28" i="2" a="1"/>
  <c r="Q27" i="2"/>
  <c r="Q27" i="2" a="1"/>
  <c r="Q26" i="2" a="1"/>
  <c r="Q26" i="2" s="1"/>
  <c r="Q25" i="2" a="1"/>
  <c r="Q25" i="2" s="1"/>
  <c r="Q24" i="2" a="1"/>
  <c r="Q24" i="2" s="1"/>
  <c r="Q22" i="2"/>
  <c r="Q22" i="2" a="1"/>
  <c r="Q21" i="2" a="1"/>
  <c r="Q21" i="2" s="1"/>
  <c r="C21" i="2"/>
  <c r="Q65" i="2" s="1" a="1"/>
  <c r="Q65" i="2" s="1"/>
  <c r="EN20" i="2"/>
  <c r="CU20" i="2"/>
  <c r="DH17" i="2" s="1"/>
  <c r="BR20" i="2"/>
  <c r="AK20" i="2"/>
  <c r="Q20" i="2"/>
  <c r="Q20" i="2" a="1"/>
  <c r="FE19" i="2"/>
  <c r="FB19" i="2"/>
  <c r="EY19" i="2"/>
  <c r="EQ19" i="2"/>
  <c r="FE16" i="2" s="1"/>
  <c r="EN19" i="2"/>
  <c r="FB15" i="2" s="1"/>
  <c r="DX19" i="2"/>
  <c r="DE19" i="2"/>
  <c r="CX19" i="2"/>
  <c r="CT19" i="2"/>
  <c r="DH16" i="2" s="1"/>
  <c r="CM19" i="2"/>
  <c r="CE19" i="2"/>
  <c r="CN16" i="2" s="1"/>
  <c r="BX19" i="2"/>
  <c r="BU19" i="2"/>
  <c r="BR19" i="2"/>
  <c r="BE19" i="2"/>
  <c r="BD19" i="2"/>
  <c r="AN19" i="2"/>
  <c r="AK19" i="2"/>
  <c r="AE19" i="2"/>
  <c r="Q19" i="2" a="1"/>
  <c r="Q19" i="2" s="1"/>
  <c r="FE18" i="2"/>
  <c r="FB18" i="2"/>
  <c r="EY18" i="2"/>
  <c r="EQ18" i="2"/>
  <c r="FE15" i="2" s="1"/>
  <c r="EN18" i="2"/>
  <c r="FB14" i="2" s="1"/>
  <c r="EK18" i="2"/>
  <c r="EG18" i="2"/>
  <c r="DX18" i="2"/>
  <c r="DU18" i="2"/>
  <c r="DR18" i="2"/>
  <c r="DN18" i="2"/>
  <c r="DE18" i="2"/>
  <c r="DB18" i="2"/>
  <c r="CX18" i="2"/>
  <c r="CT18" i="2"/>
  <c r="CM18" i="2"/>
  <c r="CK18" i="2"/>
  <c r="CE18" i="2"/>
  <c r="CN15" i="2" s="1"/>
  <c r="BX18" i="2"/>
  <c r="BU18" i="2"/>
  <c r="BR18" i="2"/>
  <c r="BE18" i="2"/>
  <c r="BD18" i="2"/>
  <c r="BB18" i="2"/>
  <c r="AY18" i="2"/>
  <c r="AW18" i="2"/>
  <c r="AN18" i="2"/>
  <c r="AK18" i="2"/>
  <c r="AE18" i="2"/>
  <c r="Q18" i="2" a="1"/>
  <c r="Q18" i="2" s="1"/>
  <c r="FE17" i="2"/>
  <c r="FB17" i="2"/>
  <c r="EQ17" i="2"/>
  <c r="FE14" i="2" s="1"/>
  <c r="EK17" i="2"/>
  <c r="EG17" i="2"/>
  <c r="ET14" i="2" s="1"/>
  <c r="DX17" i="2"/>
  <c r="DU17" i="2"/>
  <c r="DR17" i="2"/>
  <c r="DN17" i="2"/>
  <c r="DE17" i="2"/>
  <c r="DB17" i="2"/>
  <c r="CX17" i="2"/>
  <c r="CT17" i="2"/>
  <c r="CM17" i="2"/>
  <c r="CK17" i="2"/>
  <c r="CE17" i="2"/>
  <c r="CN14" i="2" s="1"/>
  <c r="BX17" i="2"/>
  <c r="BU17" i="2"/>
  <c r="BE17" i="2"/>
  <c r="BD17" i="2"/>
  <c r="BB17" i="2"/>
  <c r="AY17" i="2"/>
  <c r="AW17" i="2"/>
  <c r="AN17" i="2"/>
  <c r="AK17" i="2"/>
  <c r="AE17" i="2"/>
  <c r="Q17" i="2" a="1"/>
  <c r="Q17" i="2" s="1"/>
  <c r="H17" i="2"/>
  <c r="FB16" i="2"/>
  <c r="EY16" i="2"/>
  <c r="EQ16" i="2"/>
  <c r="FE13" i="2" s="1"/>
  <c r="EN16" i="2"/>
  <c r="EK16" i="2"/>
  <c r="EG16" i="2"/>
  <c r="DX16" i="2"/>
  <c r="DR16" i="2"/>
  <c r="DN16" i="2"/>
  <c r="DE16" i="2"/>
  <c r="CX16" i="2"/>
  <c r="CT16" i="2"/>
  <c r="CM16" i="2"/>
  <c r="BX16" i="2"/>
  <c r="BU16" i="2"/>
  <c r="BE16" i="2"/>
  <c r="BD16" i="2"/>
  <c r="AY16" i="2"/>
  <c r="AW16" i="2"/>
  <c r="AN16" i="2"/>
  <c r="AE16" i="2"/>
  <c r="AA16" i="2"/>
  <c r="Q16" i="2"/>
  <c r="Q16" i="2" a="1"/>
  <c r="ET15" i="2"/>
  <c r="EQ15" i="2"/>
  <c r="FE12" i="2" s="1"/>
  <c r="EK15" i="2"/>
  <c r="EG15" i="2"/>
  <c r="ET12" i="2" s="1"/>
  <c r="EA15" i="2"/>
  <c r="DX15" i="2"/>
  <c r="DR15" i="2"/>
  <c r="DN15" i="2"/>
  <c r="DH15" i="2"/>
  <c r="DE15" i="2"/>
  <c r="CX15" i="2"/>
  <c r="CT15" i="2"/>
  <c r="CM15" i="2"/>
  <c r="CK15" i="2"/>
  <c r="BX15" i="2"/>
  <c r="BU15" i="2"/>
  <c r="BE15" i="2"/>
  <c r="BD15" i="2"/>
  <c r="AY15" i="2"/>
  <c r="AW15" i="2"/>
  <c r="AN15" i="2"/>
  <c r="AE15" i="2"/>
  <c r="AA15" i="2"/>
  <c r="Q15" i="2" a="1"/>
  <c r="Q15" i="2" s="1"/>
  <c r="EY14" i="2"/>
  <c r="EQ14" i="2"/>
  <c r="EK14" i="2"/>
  <c r="EG14" i="2"/>
  <c r="ET11" i="2" s="1"/>
  <c r="EA14" i="2"/>
  <c r="DX14" i="2"/>
  <c r="DR14" i="2"/>
  <c r="DN14" i="2"/>
  <c r="EA11" i="2" s="1"/>
  <c r="DH14" i="2"/>
  <c r="DE14" i="2"/>
  <c r="CX14" i="2"/>
  <c r="CT14" i="2"/>
  <c r="CM14" i="2"/>
  <c r="CK14" i="2"/>
  <c r="BX14" i="2"/>
  <c r="BU14" i="2"/>
  <c r="BR14" i="2"/>
  <c r="BE14" i="2"/>
  <c r="BD14" i="2"/>
  <c r="AY14" i="2"/>
  <c r="AW14" i="2"/>
  <c r="BE11" i="2" s="1"/>
  <c r="AN14" i="2"/>
  <c r="AE14" i="2"/>
  <c r="AA14" i="2"/>
  <c r="AQ11" i="2" s="1"/>
  <c r="Q14" i="2" a="1"/>
  <c r="Q14" i="2" s="1"/>
  <c r="P14" i="2" a="1"/>
  <c r="P14" i="2" s="1"/>
  <c r="C14" i="2"/>
  <c r="FB13" i="2"/>
  <c r="ET13" i="2"/>
  <c r="EQ13" i="2"/>
  <c r="FE10" i="2" s="1"/>
  <c r="EK13" i="2"/>
  <c r="EG13" i="2"/>
  <c r="EA13" i="2"/>
  <c r="DX13" i="2"/>
  <c r="DR13" i="2"/>
  <c r="DN13" i="2"/>
  <c r="EA10" i="2" s="1"/>
  <c r="DH13" i="2"/>
  <c r="DE13" i="2"/>
  <c r="CX13" i="2"/>
  <c r="CT13" i="2"/>
  <c r="CN13" i="2"/>
  <c r="CM13" i="2"/>
  <c r="CK13" i="2"/>
  <c r="BX13" i="2"/>
  <c r="BU13" i="2"/>
  <c r="BR13" i="2"/>
  <c r="BE13" i="2"/>
  <c r="BD13" i="2"/>
  <c r="AY13" i="2"/>
  <c r="AW13" i="2"/>
  <c r="BE10" i="2" s="1"/>
  <c r="AQ13" i="2"/>
  <c r="AN13" i="2"/>
  <c r="AE13" i="2"/>
  <c r="AA13" i="2"/>
  <c r="Q13" i="2" a="1"/>
  <c r="Q13" i="2" s="1"/>
  <c r="EY12" i="2"/>
  <c r="EQ12" i="2"/>
  <c r="EA12" i="2"/>
  <c r="DX12" i="2"/>
  <c r="DH12" i="2"/>
  <c r="DE12" i="2"/>
  <c r="CN12" i="2"/>
  <c r="CM12" i="2"/>
  <c r="BX12" i="2"/>
  <c r="BU12" i="2"/>
  <c r="BR12" i="2"/>
  <c r="BE12" i="2"/>
  <c r="BD12" i="2"/>
  <c r="BB12" i="2"/>
  <c r="AQ12" i="2"/>
  <c r="AN12" i="2"/>
  <c r="Q12" i="2"/>
  <c r="Q12" i="2" a="1"/>
  <c r="FE11" i="2"/>
  <c r="EY11" i="2"/>
  <c r="EQ11" i="2"/>
  <c r="EY20" i="2" s="1"/>
  <c r="EN11" i="2"/>
  <c r="EJ11" i="2"/>
  <c r="EH20" i="2" s="1"/>
  <c r="ET17" i="2" s="1"/>
  <c r="EF11" i="2" a="1"/>
  <c r="EF11" i="2" s="1"/>
  <c r="EN14" i="2" s="1"/>
  <c r="FB12" i="2" s="1"/>
  <c r="DX11" i="2"/>
  <c r="DQ11" i="2"/>
  <c r="DO20" i="2" s="1"/>
  <c r="EA17" i="2" s="1"/>
  <c r="DM11" i="2" a="1"/>
  <c r="DM11" i="2" s="1"/>
  <c r="DU15" i="2" s="1"/>
  <c r="DH11" i="2"/>
  <c r="DE11" i="2"/>
  <c r="CW11" i="2"/>
  <c r="CU21" i="2" s="1"/>
  <c r="DH18" i="2" s="1"/>
  <c r="CS11" i="2" a="1"/>
  <c r="CS11" i="2" s="1"/>
  <c r="DB15" i="2" s="1"/>
  <c r="CN11" i="2"/>
  <c r="CM11" i="2"/>
  <c r="CG11" i="2"/>
  <c r="CE39" i="2" s="1"/>
  <c r="CN36" i="2" s="1"/>
  <c r="BX11" i="2"/>
  <c r="BU11" i="2"/>
  <c r="BD11" i="2"/>
  <c r="BB11" i="2"/>
  <c r="AV11" i="2" a="1"/>
  <c r="AV11" i="2" s="1"/>
  <c r="BB15" i="2" s="1"/>
  <c r="AN11" i="2"/>
  <c r="AD11" i="2"/>
  <c r="AB21" i="2" s="1"/>
  <c r="AQ18" i="2" s="1"/>
  <c r="Z11" i="2" a="1"/>
  <c r="Z11" i="2" s="1"/>
  <c r="AK14" i="2" s="1"/>
  <c r="Q11" i="2" a="1"/>
  <c r="Q11" i="2" s="1"/>
  <c r="P11" i="2" a="1"/>
  <c r="P11" i="2" s="1"/>
  <c r="EY10" i="2"/>
  <c r="ET10" i="2"/>
  <c r="EQ10" i="2"/>
  <c r="EY13" i="2" s="1"/>
  <c r="EN10" i="2"/>
  <c r="EF10" i="2" a="1"/>
  <c r="EF10" i="2" s="1"/>
  <c r="EN12" i="2" s="1"/>
  <c r="FB10" i="2" s="1"/>
  <c r="DX10" i="2"/>
  <c r="DH10" i="2"/>
  <c r="DE10" i="2"/>
  <c r="CN10" i="2"/>
  <c r="CM10" i="2"/>
  <c r="BX10" i="2"/>
  <c r="BU10" i="2"/>
  <c r="BD10" i="2"/>
  <c r="BB10" i="2"/>
  <c r="AV10" i="2" a="1"/>
  <c r="AV10" i="2" s="1"/>
  <c r="BB13" i="2" s="1"/>
  <c r="AQ10" i="2"/>
  <c r="AN10" i="2"/>
  <c r="AB10" i="2" a="1"/>
  <c r="AB10" i="2" s="1"/>
  <c r="AK13" i="2" s="1"/>
  <c r="Q10" i="2" a="1"/>
  <c r="Q10" i="2" s="1"/>
  <c r="BB9" i="2"/>
  <c r="Q9" i="2" a="1"/>
  <c r="Q9" i="2" s="1"/>
  <c r="Q8" i="2" a="1"/>
  <c r="Q8" i="2" s="1"/>
  <c r="P8" i="2" a="1"/>
  <c r="P8" i="2" s="1"/>
  <c r="Q7" i="2"/>
  <c r="Q7" i="2" a="1"/>
  <c r="C7" i="2"/>
  <c r="DO48" i="2" s="1" a="1"/>
  <c r="DO48" i="2" s="1"/>
  <c r="DU52" i="2" s="1"/>
  <c r="Q6" i="2" a="1"/>
  <c r="Q6" i="2" s="1"/>
  <c r="H6" i="2"/>
  <c r="V5" i="2"/>
  <c r="W5" i="2" s="1"/>
  <c r="S5" i="2"/>
  <c r="T5" i="2" s="1"/>
  <c r="Q5" i="2"/>
  <c r="Q5" i="2" a="1"/>
  <c r="D77" i="1"/>
  <c r="V74" i="1"/>
  <c r="E74" i="1"/>
  <c r="V73" i="1"/>
  <c r="E73" i="1"/>
  <c r="V72" i="1"/>
  <c r="E72" i="1"/>
  <c r="V71" i="1"/>
  <c r="E71" i="1"/>
  <c r="V70" i="1"/>
  <c r="E70" i="1"/>
  <c r="V69" i="1"/>
  <c r="E69" i="1"/>
  <c r="V68" i="1"/>
  <c r="E68" i="1"/>
  <c r="V67" i="1"/>
  <c r="E67" i="1"/>
  <c r="V66" i="1"/>
  <c r="E66" i="1"/>
  <c r="V65" i="1"/>
  <c r="E65" i="1"/>
  <c r="V64" i="1"/>
  <c r="E64" i="1"/>
  <c r="Q33" i="1"/>
  <c r="Q32" i="1"/>
  <c r="Q31" i="1"/>
  <c r="Q30" i="1"/>
  <c r="Q29" i="1"/>
  <c r="Q28" i="1"/>
  <c r="Q27" i="1"/>
  <c r="Q26" i="1"/>
  <c r="Q25" i="1"/>
  <c r="Q24" i="1"/>
  <c r="Q23" i="1"/>
  <c r="Q22" i="1"/>
  <c r="Q21" i="1"/>
  <c r="Q20" i="1"/>
  <c r="Q19" i="1"/>
  <c r="Q18" i="1"/>
  <c r="Q17" i="1"/>
  <c r="Q16" i="1"/>
  <c r="Q15" i="1"/>
  <c r="Q14" i="1"/>
  <c r="Q13" i="1"/>
  <c r="Q12" i="1"/>
  <c r="Q11" i="1"/>
  <c r="Q10" i="1"/>
  <c r="Q9" i="1"/>
  <c r="AE8" i="1"/>
  <c r="AE9" i="1" s="1"/>
  <c r="AE10" i="1" s="1"/>
  <c r="AE11" i="1" s="1"/>
  <c r="AE12" i="1" s="1"/>
  <c r="AE13" i="1" s="1"/>
  <c r="AE14" i="1" s="1"/>
  <c r="AE15" i="1" s="1"/>
  <c r="AE16" i="1" s="1"/>
  <c r="AE17" i="1" s="1"/>
  <c r="AE18" i="1" s="1"/>
  <c r="AE19" i="1" s="1"/>
  <c r="AE20" i="1" s="1"/>
  <c r="AE21" i="1" s="1"/>
  <c r="AE22" i="1" s="1"/>
  <c r="AE23" i="1" s="1"/>
  <c r="AE24" i="1" s="1"/>
  <c r="AE25" i="1" s="1"/>
  <c r="AE26" i="1" s="1"/>
  <c r="AE27" i="1" s="1"/>
  <c r="AE28" i="1" s="1"/>
  <c r="AE29" i="1" s="1"/>
  <c r="AE30" i="1" s="1"/>
  <c r="AE31" i="1" s="1"/>
  <c r="AE32" i="1" s="1"/>
  <c r="AE33" i="1" s="1"/>
  <c r="AE34" i="1" s="1"/>
  <c r="AE35" i="1" s="1"/>
  <c r="AE36" i="1" s="1"/>
  <c r="AE37" i="1" s="1"/>
  <c r="AE38" i="1" s="1"/>
  <c r="AE39" i="1" s="1"/>
  <c r="AE40" i="1" s="1"/>
  <c r="AE41" i="1" s="1"/>
  <c r="AE42" i="1" s="1"/>
  <c r="AE43" i="1" s="1"/>
  <c r="AE44" i="1" s="1"/>
  <c r="AE45" i="1" s="1"/>
  <c r="AE46" i="1" s="1"/>
  <c r="AE47" i="1" s="1"/>
  <c r="AE48" i="1" s="1"/>
  <c r="AE49" i="1" s="1"/>
  <c r="AE50" i="1" s="1"/>
  <c r="AE51" i="1" s="1"/>
  <c r="AE52" i="1" s="1"/>
  <c r="AE53" i="1" s="1"/>
  <c r="AE54" i="1" s="1"/>
  <c r="AE55" i="1" s="1"/>
  <c r="AE56" i="1" s="1"/>
  <c r="AE57" i="1" s="1"/>
  <c r="AE58" i="1" s="1"/>
  <c r="AE59" i="1" s="1"/>
  <c r="AD8" i="1"/>
  <c r="AD9" i="1" s="1"/>
  <c r="AD10" i="1" s="1"/>
  <c r="AD11" i="1" s="1"/>
  <c r="AD12" i="1" s="1"/>
  <c r="AD13" i="1" s="1"/>
  <c r="AD14" i="1" s="1"/>
  <c r="AD15" i="1" s="1"/>
  <c r="AD16" i="1" s="1"/>
  <c r="AD17" i="1" s="1"/>
  <c r="AD18" i="1" s="1"/>
  <c r="AD19" i="1" s="1"/>
  <c r="AD20" i="1" s="1"/>
  <c r="AD21" i="1" s="1"/>
  <c r="AD22" i="1" s="1"/>
  <c r="AD23" i="1" s="1"/>
  <c r="AD24" i="1" s="1"/>
  <c r="AD25" i="1" s="1"/>
  <c r="AD26" i="1" s="1"/>
  <c r="AD27" i="1" s="1"/>
  <c r="AD28" i="1" s="1"/>
  <c r="AD29" i="1" s="1"/>
  <c r="AD30" i="1" s="1"/>
  <c r="AD31" i="1" s="1"/>
  <c r="AD32" i="1" s="1"/>
  <c r="AD33" i="1" s="1"/>
  <c r="AD34" i="1" s="1"/>
  <c r="AD35" i="1" s="1"/>
  <c r="AD36" i="1" s="1"/>
  <c r="AD37" i="1" s="1"/>
  <c r="AD38" i="1" s="1"/>
  <c r="AD39" i="1" s="1"/>
  <c r="AD40" i="1" s="1"/>
  <c r="AD41" i="1" s="1"/>
  <c r="AD42" i="1" s="1"/>
  <c r="AD43" i="1" s="1"/>
  <c r="AD44" i="1" s="1"/>
  <c r="AD45" i="1" s="1"/>
  <c r="AD46" i="1" s="1"/>
  <c r="AD47" i="1" s="1"/>
  <c r="AD48" i="1" s="1"/>
  <c r="AD49" i="1" s="1"/>
  <c r="AD50" i="1" s="1"/>
  <c r="AD51" i="1" s="1"/>
  <c r="AD52" i="1" s="1"/>
  <c r="AD53" i="1" s="1"/>
  <c r="AD54" i="1" s="1"/>
  <c r="AD55" i="1" s="1"/>
  <c r="AD56" i="1" s="1"/>
  <c r="AD57" i="1" s="1"/>
  <c r="AD58" i="1" s="1"/>
  <c r="AD59" i="1" s="1"/>
  <c r="AC8" i="1"/>
  <c r="AC9" i="1" s="1"/>
  <c r="AC10" i="1" s="1"/>
  <c r="AC11" i="1" s="1"/>
  <c r="AC12" i="1" s="1"/>
  <c r="AC13" i="1" s="1"/>
  <c r="AC14" i="1" s="1"/>
  <c r="AC15" i="1" s="1"/>
  <c r="AC16" i="1" s="1"/>
  <c r="AC17" i="1" s="1"/>
  <c r="AC18" i="1" s="1"/>
  <c r="AC19" i="1" s="1"/>
  <c r="AC20" i="1" s="1"/>
  <c r="AC21" i="1" s="1"/>
  <c r="AC22" i="1" s="1"/>
  <c r="AC23" i="1" s="1"/>
  <c r="AC24" i="1" s="1"/>
  <c r="AC25" i="1" s="1"/>
  <c r="AC26" i="1" s="1"/>
  <c r="AC27" i="1" s="1"/>
  <c r="AC28" i="1" s="1"/>
  <c r="AC29" i="1" s="1"/>
  <c r="AC30" i="1" s="1"/>
  <c r="AC31" i="1" s="1"/>
  <c r="AC32" i="1" s="1"/>
  <c r="AC33" i="1" s="1"/>
  <c r="AC34" i="1" s="1"/>
  <c r="AC35" i="1" s="1"/>
  <c r="AC36" i="1" s="1"/>
  <c r="AC37" i="1" s="1"/>
  <c r="AC38" i="1" s="1"/>
  <c r="AC39" i="1" s="1"/>
  <c r="AC40" i="1" s="1"/>
  <c r="AC41" i="1" s="1"/>
  <c r="AC42" i="1" s="1"/>
  <c r="AC43" i="1" s="1"/>
  <c r="AC44" i="1" s="1"/>
  <c r="AC45" i="1" s="1"/>
  <c r="AC46" i="1" s="1"/>
  <c r="AC47" i="1" s="1"/>
  <c r="AC48" i="1" s="1"/>
  <c r="AC49" i="1" s="1"/>
  <c r="AC50" i="1" s="1"/>
  <c r="AC51" i="1" s="1"/>
  <c r="AC52" i="1" s="1"/>
  <c r="AC53" i="1" s="1"/>
  <c r="AC54" i="1" s="1"/>
  <c r="AC55" i="1" s="1"/>
  <c r="AC56" i="1" s="1"/>
  <c r="AC57" i="1" s="1"/>
  <c r="AC58" i="1" s="1"/>
  <c r="AC59" i="1" s="1"/>
  <c r="AB8" i="1"/>
  <c r="AB9" i="1" s="1"/>
  <c r="AB10" i="1" s="1"/>
  <c r="AB11" i="1" s="1"/>
  <c r="AB12" i="1" s="1"/>
  <c r="AB13" i="1" s="1"/>
  <c r="AB14" i="1" s="1"/>
  <c r="AB15" i="1" s="1"/>
  <c r="AB16" i="1" s="1"/>
  <c r="AB17" i="1" s="1"/>
  <c r="AB18" i="1" s="1"/>
  <c r="AB19" i="1" s="1"/>
  <c r="AB20" i="1" s="1"/>
  <c r="AB21" i="1" s="1"/>
  <c r="AB22" i="1" s="1"/>
  <c r="AB23" i="1" s="1"/>
  <c r="AB24" i="1" s="1"/>
  <c r="AB25" i="1" s="1"/>
  <c r="AB26" i="1" s="1"/>
  <c r="AB27" i="1" s="1"/>
  <c r="AB28" i="1" s="1"/>
  <c r="AB29" i="1" s="1"/>
  <c r="AB30" i="1" s="1"/>
  <c r="AB31" i="1" s="1"/>
  <c r="AB32" i="1" s="1"/>
  <c r="AB33" i="1" s="1"/>
  <c r="AB34" i="1" s="1"/>
  <c r="AB35" i="1" s="1"/>
  <c r="AB36" i="1" s="1"/>
  <c r="AB37" i="1" s="1"/>
  <c r="AB38" i="1" s="1"/>
  <c r="AB39" i="1" s="1"/>
  <c r="AB40" i="1" s="1"/>
  <c r="AB41" i="1" s="1"/>
  <c r="AB42" i="1" s="1"/>
  <c r="AB43" i="1" s="1"/>
  <c r="AB44" i="1" s="1"/>
  <c r="AB45" i="1" s="1"/>
  <c r="AB46" i="1" s="1"/>
  <c r="AB47" i="1" s="1"/>
  <c r="AB48" i="1" s="1"/>
  <c r="AB49" i="1" s="1"/>
  <c r="AB50" i="1" s="1"/>
  <c r="AB51" i="1" s="1"/>
  <c r="AB52" i="1" s="1"/>
  <c r="AB53" i="1" s="1"/>
  <c r="AB54" i="1" s="1"/>
  <c r="AB55" i="1" s="1"/>
  <c r="AB56" i="1" s="1"/>
  <c r="AB57" i="1" s="1"/>
  <c r="AB58" i="1" s="1"/>
  <c r="AB59" i="1" s="1"/>
  <c r="AA8" i="1"/>
  <c r="AA9" i="1" s="1"/>
  <c r="AA10" i="1" s="1"/>
  <c r="AA11" i="1" s="1"/>
  <c r="AA12" i="1" s="1"/>
  <c r="AA13" i="1" s="1"/>
  <c r="AA14" i="1" s="1"/>
  <c r="AA15" i="1" s="1"/>
  <c r="AA16" i="1" s="1"/>
  <c r="AA17" i="1" s="1"/>
  <c r="AA18" i="1" s="1"/>
  <c r="AA19" i="1" s="1"/>
  <c r="AA20" i="1" s="1"/>
  <c r="AA21" i="1" s="1"/>
  <c r="AA22" i="1" s="1"/>
  <c r="AA23" i="1" s="1"/>
  <c r="AA24" i="1" s="1"/>
  <c r="AA25" i="1" s="1"/>
  <c r="AA26" i="1" s="1"/>
  <c r="AA27" i="1" s="1"/>
  <c r="AA28" i="1" s="1"/>
  <c r="AA29" i="1" s="1"/>
  <c r="AA30" i="1" s="1"/>
  <c r="AA31" i="1" s="1"/>
  <c r="AA32" i="1" s="1"/>
  <c r="AA33" i="1" s="1"/>
  <c r="AA34" i="1" s="1"/>
  <c r="AA35" i="1" s="1"/>
  <c r="AA36" i="1" s="1"/>
  <c r="AA37" i="1" s="1"/>
  <c r="AA38" i="1" s="1"/>
  <c r="AA39" i="1" s="1"/>
  <c r="AA40" i="1" s="1"/>
  <c r="AA41" i="1" s="1"/>
  <c r="AA42" i="1" s="1"/>
  <c r="AA43" i="1" s="1"/>
  <c r="AA44" i="1" s="1"/>
  <c r="AA45" i="1" s="1"/>
  <c r="AA46" i="1" s="1"/>
  <c r="AA47" i="1" s="1"/>
  <c r="AA48" i="1" s="1"/>
  <c r="AA49" i="1" s="1"/>
  <c r="AA50" i="1" s="1"/>
  <c r="AA51" i="1" s="1"/>
  <c r="AA52" i="1" s="1"/>
  <c r="AA53" i="1" s="1"/>
  <c r="AA54" i="1" s="1"/>
  <c r="AA55" i="1" s="1"/>
  <c r="AA56" i="1" s="1"/>
  <c r="AA57" i="1" s="1"/>
  <c r="AA58" i="1" s="1"/>
  <c r="AA59" i="1" s="1"/>
  <c r="Z8" i="1"/>
  <c r="Z9" i="1" s="1"/>
  <c r="Z10" i="1" s="1"/>
  <c r="Z11" i="1" s="1"/>
  <c r="Z12" i="1" s="1"/>
  <c r="Z13" i="1" s="1"/>
  <c r="Z14" i="1" s="1"/>
  <c r="Z15" i="1" s="1"/>
  <c r="Z16" i="1" s="1"/>
  <c r="Z17" i="1" s="1"/>
  <c r="Z18" i="1" s="1"/>
  <c r="Z19" i="1" s="1"/>
  <c r="Z20" i="1" s="1"/>
  <c r="Z21" i="1" s="1"/>
  <c r="Z22" i="1" s="1"/>
  <c r="Z23" i="1" s="1"/>
  <c r="Z24" i="1" s="1"/>
  <c r="Z25" i="1" s="1"/>
  <c r="Z26" i="1" s="1"/>
  <c r="Z27" i="1" s="1"/>
  <c r="Z28" i="1" s="1"/>
  <c r="Z29" i="1" s="1"/>
  <c r="Z30" i="1" s="1"/>
  <c r="Z31" i="1" s="1"/>
  <c r="Z32" i="1" s="1"/>
  <c r="Z33" i="1" s="1"/>
  <c r="Z34" i="1" s="1"/>
  <c r="Z35" i="1" s="1"/>
  <c r="Z36" i="1" s="1"/>
  <c r="Z37" i="1" s="1"/>
  <c r="Z38" i="1" s="1"/>
  <c r="Z39" i="1" s="1"/>
  <c r="Z40" i="1" s="1"/>
  <c r="Z41" i="1" s="1"/>
  <c r="Z42" i="1" s="1"/>
  <c r="Z43" i="1" s="1"/>
  <c r="Z44" i="1" s="1"/>
  <c r="Z45" i="1" s="1"/>
  <c r="Z46" i="1" s="1"/>
  <c r="Z47" i="1" s="1"/>
  <c r="Z48" i="1" s="1"/>
  <c r="Z49" i="1" s="1"/>
  <c r="Z50" i="1" s="1"/>
  <c r="Z51" i="1" s="1"/>
  <c r="Z52" i="1" s="1"/>
  <c r="Z53" i="1" s="1"/>
  <c r="Z54" i="1" s="1"/>
  <c r="Z55" i="1" s="1"/>
  <c r="Z56" i="1" s="1"/>
  <c r="Z57" i="1" s="1"/>
  <c r="Z58" i="1" s="1"/>
  <c r="Z59" i="1" s="1"/>
  <c r="Y8" i="1"/>
  <c r="Y9" i="1" s="1"/>
  <c r="Y10" i="1" s="1"/>
  <c r="Y11" i="1" s="1"/>
  <c r="Y12" i="1" s="1"/>
  <c r="Y13" i="1" s="1"/>
  <c r="Y14" i="1" s="1"/>
  <c r="Y15" i="1" s="1"/>
  <c r="Y16" i="1" s="1"/>
  <c r="Y17" i="1" s="1"/>
  <c r="Y18" i="1" s="1"/>
  <c r="Y19" i="1" s="1"/>
  <c r="Y20" i="1" s="1"/>
  <c r="Y21" i="1" s="1"/>
  <c r="Y22" i="1" s="1"/>
  <c r="Y23" i="1" s="1"/>
  <c r="Y24" i="1" s="1"/>
  <c r="Y25" i="1" s="1"/>
  <c r="Y26" i="1" s="1"/>
  <c r="Y27" i="1" s="1"/>
  <c r="Y28" i="1" s="1"/>
  <c r="Y29" i="1" s="1"/>
  <c r="Y30" i="1" s="1"/>
  <c r="Y31" i="1" s="1"/>
  <c r="Y32" i="1" s="1"/>
  <c r="Y33" i="1" s="1"/>
  <c r="Y34" i="1" s="1"/>
  <c r="Y35" i="1" s="1"/>
  <c r="Y36" i="1" s="1"/>
  <c r="Y37" i="1" s="1"/>
  <c r="Y38" i="1" s="1"/>
  <c r="Y39" i="1" s="1"/>
  <c r="Y40" i="1" s="1"/>
  <c r="Y41" i="1" s="1"/>
  <c r="Y42" i="1" s="1"/>
  <c r="Y43" i="1" s="1"/>
  <c r="Y44" i="1" s="1"/>
  <c r="Y45" i="1" s="1"/>
  <c r="Y46" i="1" s="1"/>
  <c r="Y47" i="1" s="1"/>
  <c r="Y48" i="1" s="1"/>
  <c r="Y49" i="1" s="1"/>
  <c r="Y50" i="1" s="1"/>
  <c r="Y51" i="1" s="1"/>
  <c r="Y52" i="1" s="1"/>
  <c r="Y53" i="1" s="1"/>
  <c r="Y54" i="1" s="1"/>
  <c r="Y55" i="1" s="1"/>
  <c r="Y56" i="1" s="1"/>
  <c r="Y57" i="1" s="1"/>
  <c r="Y58" i="1" s="1"/>
  <c r="Y59" i="1" s="1"/>
  <c r="X8" i="1"/>
  <c r="X9" i="1" s="1"/>
  <c r="X10" i="1" s="1"/>
  <c r="X11" i="1" s="1"/>
  <c r="X12" i="1" s="1"/>
  <c r="X13" i="1" s="1"/>
  <c r="X14" i="1" s="1"/>
  <c r="X15" i="1" s="1"/>
  <c r="X16" i="1" s="1"/>
  <c r="X17" i="1" s="1"/>
  <c r="X18" i="1" s="1"/>
  <c r="X19" i="1" s="1"/>
  <c r="X20" i="1" s="1"/>
  <c r="X21" i="1" s="1"/>
  <c r="X22" i="1" s="1"/>
  <c r="X23" i="1" s="1"/>
  <c r="X24" i="1" s="1"/>
  <c r="X25" i="1" s="1"/>
  <c r="X26" i="1" s="1"/>
  <c r="X27" i="1" s="1"/>
  <c r="X28" i="1" s="1"/>
  <c r="X29" i="1" s="1"/>
  <c r="X30" i="1" s="1"/>
  <c r="X31" i="1" s="1"/>
  <c r="X32" i="1" s="1"/>
  <c r="X33" i="1" s="1"/>
  <c r="X34" i="1" s="1"/>
  <c r="X35" i="1" s="1"/>
  <c r="X36" i="1" s="1"/>
  <c r="X37" i="1" s="1"/>
  <c r="X38" i="1" s="1"/>
  <c r="X39" i="1" s="1"/>
  <c r="X40" i="1" s="1"/>
  <c r="X41" i="1" s="1"/>
  <c r="X42" i="1" s="1"/>
  <c r="X43" i="1" s="1"/>
  <c r="X44" i="1" s="1"/>
  <c r="X45" i="1" s="1"/>
  <c r="X46" i="1" s="1"/>
  <c r="X47" i="1" s="1"/>
  <c r="X48" i="1" s="1"/>
  <c r="X49" i="1" s="1"/>
  <c r="X50" i="1" s="1"/>
  <c r="X51" i="1" s="1"/>
  <c r="X52" i="1" s="1"/>
  <c r="X53" i="1" s="1"/>
  <c r="X54" i="1" s="1"/>
  <c r="X55" i="1" s="1"/>
  <c r="X56" i="1" s="1"/>
  <c r="X57" i="1" s="1"/>
  <c r="X58" i="1" s="1"/>
  <c r="X59" i="1" s="1"/>
  <c r="W8" i="1"/>
  <c r="W9" i="1" s="1"/>
  <c r="W10" i="1" s="1"/>
  <c r="W11" i="1" s="1"/>
  <c r="W12" i="1" s="1"/>
  <c r="W13" i="1" s="1"/>
  <c r="W14" i="1" s="1"/>
  <c r="W15" i="1" s="1"/>
  <c r="W16" i="1" s="1"/>
  <c r="W17" i="1" s="1"/>
  <c r="W18" i="1" s="1"/>
  <c r="W19" i="1" s="1"/>
  <c r="W20" i="1" s="1"/>
  <c r="W21" i="1" s="1"/>
  <c r="W22" i="1" s="1"/>
  <c r="W23" i="1" s="1"/>
  <c r="W24" i="1" s="1"/>
  <c r="W25" i="1" s="1"/>
  <c r="W26" i="1" s="1"/>
  <c r="W27" i="1" s="1"/>
  <c r="W28" i="1" s="1"/>
  <c r="W29" i="1" s="1"/>
  <c r="W30" i="1" s="1"/>
  <c r="W31" i="1" s="1"/>
  <c r="W32" i="1" s="1"/>
  <c r="W33" i="1" s="1"/>
  <c r="W34" i="1" s="1"/>
  <c r="W35" i="1" s="1"/>
  <c r="W36" i="1" s="1"/>
  <c r="W37" i="1" s="1"/>
  <c r="W38" i="1" s="1"/>
  <c r="W39" i="1" s="1"/>
  <c r="W40" i="1" s="1"/>
  <c r="W41" i="1" s="1"/>
  <c r="W42" i="1" s="1"/>
  <c r="W43" i="1" s="1"/>
  <c r="W44" i="1" s="1"/>
  <c r="W45" i="1" s="1"/>
  <c r="W46" i="1" s="1"/>
  <c r="W47" i="1" s="1"/>
  <c r="W48" i="1" s="1"/>
  <c r="W49" i="1" s="1"/>
  <c r="W50" i="1" s="1"/>
  <c r="W51" i="1" s="1"/>
  <c r="W52" i="1" s="1"/>
  <c r="W53" i="1" s="1"/>
  <c r="W54" i="1" s="1"/>
  <c r="W55" i="1" s="1"/>
  <c r="W56" i="1" s="1"/>
  <c r="W57" i="1" s="1"/>
  <c r="W58" i="1" s="1"/>
  <c r="W59" i="1" s="1"/>
  <c r="V8" i="1"/>
  <c r="V9" i="1" s="1"/>
  <c r="V10" i="1" s="1"/>
  <c r="V11" i="1" s="1"/>
  <c r="V12" i="1" s="1"/>
  <c r="V13" i="1" s="1"/>
  <c r="V14" i="1" s="1"/>
  <c r="V15" i="1" s="1"/>
  <c r="V16" i="1" s="1"/>
  <c r="V17" i="1" s="1"/>
  <c r="V18" i="1" s="1"/>
  <c r="V19" i="1" s="1"/>
  <c r="V20" i="1" s="1"/>
  <c r="V21" i="1" s="1"/>
  <c r="V22" i="1" s="1"/>
  <c r="V23" i="1" s="1"/>
  <c r="V24" i="1" s="1"/>
  <c r="V25" i="1" s="1"/>
  <c r="V26" i="1" s="1"/>
  <c r="V27" i="1" s="1"/>
  <c r="V28" i="1" s="1"/>
  <c r="V29" i="1" s="1"/>
  <c r="V30" i="1" s="1"/>
  <c r="V31" i="1" s="1"/>
  <c r="V32" i="1" s="1"/>
  <c r="V33" i="1" s="1"/>
  <c r="V34" i="1" s="1"/>
  <c r="V35" i="1" s="1"/>
  <c r="V36" i="1" s="1"/>
  <c r="V37" i="1" s="1"/>
  <c r="V38" i="1" s="1"/>
  <c r="V39" i="1" s="1"/>
  <c r="V40" i="1" s="1"/>
  <c r="V41" i="1" s="1"/>
  <c r="V42" i="1" s="1"/>
  <c r="V43" i="1" s="1"/>
  <c r="V44" i="1" s="1"/>
  <c r="V45" i="1" s="1"/>
  <c r="V46" i="1" s="1"/>
  <c r="V47" i="1" s="1"/>
  <c r="V48" i="1" s="1"/>
  <c r="V49" i="1" s="1"/>
  <c r="V50" i="1" s="1"/>
  <c r="V51" i="1" s="1"/>
  <c r="V52" i="1" s="1"/>
  <c r="V53" i="1" s="1"/>
  <c r="V54" i="1" s="1"/>
  <c r="V55" i="1" s="1"/>
  <c r="V56" i="1" s="1"/>
  <c r="V57" i="1" s="1"/>
  <c r="V58" i="1" s="1"/>
  <c r="V59" i="1" s="1"/>
  <c r="U8" i="1"/>
  <c r="U9" i="1" s="1"/>
  <c r="U10" i="1" s="1"/>
  <c r="U11" i="1" s="1"/>
  <c r="U12" i="1" s="1"/>
  <c r="U13" i="1" s="1"/>
  <c r="U14" i="1" s="1"/>
  <c r="U15" i="1" s="1"/>
  <c r="U16" i="1" s="1"/>
  <c r="U17" i="1" s="1"/>
  <c r="U18" i="1" s="1"/>
  <c r="U19" i="1" s="1"/>
  <c r="U20" i="1" s="1"/>
  <c r="U21" i="1" s="1"/>
  <c r="U22" i="1" s="1"/>
  <c r="U23" i="1" s="1"/>
  <c r="U24" i="1" s="1"/>
  <c r="U25" i="1" s="1"/>
  <c r="U26" i="1" s="1"/>
  <c r="U27" i="1" s="1"/>
  <c r="U28" i="1" s="1"/>
  <c r="U29" i="1" s="1"/>
  <c r="U30" i="1" s="1"/>
  <c r="U31" i="1" s="1"/>
  <c r="U32" i="1" s="1"/>
  <c r="U33" i="1" s="1"/>
  <c r="U34" i="1" s="1"/>
  <c r="U35" i="1" s="1"/>
  <c r="U36" i="1" s="1"/>
  <c r="U37" i="1" s="1"/>
  <c r="U38" i="1" s="1"/>
  <c r="U39" i="1" s="1"/>
  <c r="U40" i="1" s="1"/>
  <c r="U41" i="1" s="1"/>
  <c r="U42" i="1" s="1"/>
  <c r="U43" i="1" s="1"/>
  <c r="U44" i="1" s="1"/>
  <c r="U45" i="1" s="1"/>
  <c r="U46" i="1" s="1"/>
  <c r="U47" i="1" s="1"/>
  <c r="U48" i="1" s="1"/>
  <c r="U49" i="1" s="1"/>
  <c r="U50" i="1" s="1"/>
  <c r="U51" i="1" s="1"/>
  <c r="U52" i="1" s="1"/>
  <c r="U53" i="1" s="1"/>
  <c r="U54" i="1" s="1"/>
  <c r="U55" i="1" s="1"/>
  <c r="U56" i="1" s="1"/>
  <c r="U57" i="1" s="1"/>
  <c r="U58" i="1" s="1"/>
  <c r="U59" i="1" s="1"/>
  <c r="Q8" i="1"/>
  <c r="N8" i="1"/>
  <c r="N9" i="1" s="1"/>
  <c r="N10" i="1" s="1"/>
  <c r="N11" i="1" s="1"/>
  <c r="N12" i="1" s="1"/>
  <c r="N13" i="1" s="1"/>
  <c r="N14" i="1" s="1"/>
  <c r="N15" i="1" s="1"/>
  <c r="N16" i="1" s="1"/>
  <c r="N17" i="1" s="1"/>
  <c r="N18" i="1" s="1"/>
  <c r="N19" i="1" s="1"/>
  <c r="N20" i="1" s="1"/>
  <c r="N21" i="1" s="1"/>
  <c r="N22" i="1" s="1"/>
  <c r="N23" i="1" s="1"/>
  <c r="N24" i="1" s="1"/>
  <c r="N25" i="1" s="1"/>
  <c r="N26" i="1" s="1"/>
  <c r="N27" i="1" s="1"/>
  <c r="N28" i="1" s="1"/>
  <c r="N29" i="1" s="1"/>
  <c r="N30" i="1" s="1"/>
  <c r="N31" i="1" s="1"/>
  <c r="N32" i="1" s="1"/>
  <c r="N33" i="1" s="1"/>
  <c r="M8" i="1"/>
  <c r="M9" i="1" s="1"/>
  <c r="M10" i="1" s="1"/>
  <c r="M11" i="1" s="1"/>
  <c r="M12" i="1" s="1"/>
  <c r="M13" i="1" s="1"/>
  <c r="M14" i="1" s="1"/>
  <c r="M15" i="1" s="1"/>
  <c r="M16" i="1" s="1"/>
  <c r="M17" i="1" s="1"/>
  <c r="M18" i="1" s="1"/>
  <c r="M19" i="1" s="1"/>
  <c r="M20" i="1" s="1"/>
  <c r="M21" i="1" s="1"/>
  <c r="M22" i="1" s="1"/>
  <c r="M23" i="1" s="1"/>
  <c r="M24" i="1" s="1"/>
  <c r="M25" i="1" s="1"/>
  <c r="M26" i="1" s="1"/>
  <c r="M27" i="1" s="1"/>
  <c r="M28" i="1" s="1"/>
  <c r="M29" i="1" s="1"/>
  <c r="M30" i="1" s="1"/>
  <c r="M31" i="1" s="1"/>
  <c r="M32" i="1" s="1"/>
  <c r="M33" i="1" s="1"/>
  <c r="L8" i="1"/>
  <c r="L9" i="1" s="1"/>
  <c r="L10" i="1" s="1"/>
  <c r="L11" i="1" s="1"/>
  <c r="L12" i="1" s="1"/>
  <c r="L13" i="1" s="1"/>
  <c r="L14" i="1" s="1"/>
  <c r="L15" i="1" s="1"/>
  <c r="L16" i="1" s="1"/>
  <c r="L17" i="1" s="1"/>
  <c r="L18" i="1" s="1"/>
  <c r="L19" i="1" s="1"/>
  <c r="L20" i="1" s="1"/>
  <c r="L21" i="1" s="1"/>
  <c r="L22" i="1" s="1"/>
  <c r="L23" i="1" s="1"/>
  <c r="L24" i="1" s="1"/>
  <c r="L25" i="1" s="1"/>
  <c r="L26" i="1" s="1"/>
  <c r="L27" i="1" s="1"/>
  <c r="L28" i="1" s="1"/>
  <c r="L29" i="1" s="1"/>
  <c r="L30" i="1" s="1"/>
  <c r="L31" i="1" s="1"/>
  <c r="L32" i="1" s="1"/>
  <c r="L33" i="1" s="1"/>
  <c r="K8" i="1"/>
  <c r="K9" i="1" s="1"/>
  <c r="K10" i="1" s="1"/>
  <c r="K11" i="1" s="1"/>
  <c r="K12" i="1" s="1"/>
  <c r="K13" i="1" s="1"/>
  <c r="K14" i="1" s="1"/>
  <c r="K15" i="1" s="1"/>
  <c r="K16" i="1" s="1"/>
  <c r="K17" i="1" s="1"/>
  <c r="K18" i="1" s="1"/>
  <c r="K19" i="1" s="1"/>
  <c r="K20" i="1" s="1"/>
  <c r="K21" i="1" s="1"/>
  <c r="K22" i="1" s="1"/>
  <c r="K23" i="1" s="1"/>
  <c r="K24" i="1" s="1"/>
  <c r="K25" i="1" s="1"/>
  <c r="K26" i="1" s="1"/>
  <c r="K27" i="1" s="1"/>
  <c r="K28" i="1" s="1"/>
  <c r="K29" i="1" s="1"/>
  <c r="K30" i="1" s="1"/>
  <c r="K31" i="1" s="1"/>
  <c r="K32" i="1" s="1"/>
  <c r="K33" i="1" s="1"/>
  <c r="J8" i="1"/>
  <c r="J9" i="1" s="1"/>
  <c r="J10" i="1" s="1"/>
  <c r="J11" i="1" s="1"/>
  <c r="J12" i="1" s="1"/>
  <c r="J13" i="1" s="1"/>
  <c r="J14" i="1" s="1"/>
  <c r="J15" i="1" s="1"/>
  <c r="J16" i="1" s="1"/>
  <c r="J17" i="1" s="1"/>
  <c r="J18" i="1" s="1"/>
  <c r="J19" i="1" s="1"/>
  <c r="J20" i="1" s="1"/>
  <c r="J21" i="1" s="1"/>
  <c r="J22" i="1" s="1"/>
  <c r="J23" i="1" s="1"/>
  <c r="J24" i="1" s="1"/>
  <c r="J25" i="1" s="1"/>
  <c r="J26" i="1" s="1"/>
  <c r="J27" i="1" s="1"/>
  <c r="J28" i="1" s="1"/>
  <c r="J29" i="1" s="1"/>
  <c r="J30" i="1" s="1"/>
  <c r="J31" i="1" s="1"/>
  <c r="J32" i="1" s="1"/>
  <c r="J33" i="1" s="1"/>
  <c r="I8" i="1"/>
  <c r="I9" i="1" s="1"/>
  <c r="I10" i="1" s="1"/>
  <c r="I11" i="1" s="1"/>
  <c r="I12" i="1" s="1"/>
  <c r="I13" i="1" s="1"/>
  <c r="I14" i="1" s="1"/>
  <c r="I15" i="1" s="1"/>
  <c r="I16" i="1" s="1"/>
  <c r="I17" i="1" s="1"/>
  <c r="I18" i="1" s="1"/>
  <c r="I19" i="1" s="1"/>
  <c r="I20" i="1" s="1"/>
  <c r="I21" i="1" s="1"/>
  <c r="I22" i="1" s="1"/>
  <c r="I23" i="1" s="1"/>
  <c r="I24" i="1" s="1"/>
  <c r="I25" i="1" s="1"/>
  <c r="I26" i="1" s="1"/>
  <c r="I27" i="1" s="1"/>
  <c r="I28" i="1" s="1"/>
  <c r="I29" i="1" s="1"/>
  <c r="I30" i="1" s="1"/>
  <c r="I31" i="1" s="1"/>
  <c r="I32" i="1" s="1"/>
  <c r="I33" i="1" s="1"/>
  <c r="H8" i="1"/>
  <c r="H9" i="1" s="1"/>
  <c r="H10" i="1" s="1"/>
  <c r="H11" i="1" s="1"/>
  <c r="H12" i="1" s="1"/>
  <c r="H13" i="1" s="1"/>
  <c r="H14" i="1" s="1"/>
  <c r="H15" i="1" s="1"/>
  <c r="H16" i="1" s="1"/>
  <c r="H17" i="1" s="1"/>
  <c r="H18" i="1" s="1"/>
  <c r="H19" i="1" s="1"/>
  <c r="H20" i="1" s="1"/>
  <c r="H21" i="1" s="1"/>
  <c r="H22" i="1" s="1"/>
  <c r="H23" i="1" s="1"/>
  <c r="H24" i="1" s="1"/>
  <c r="H25" i="1" s="1"/>
  <c r="H26" i="1" s="1"/>
  <c r="H27" i="1" s="1"/>
  <c r="H28" i="1" s="1"/>
  <c r="H29" i="1" s="1"/>
  <c r="H30" i="1" s="1"/>
  <c r="H31" i="1" s="1"/>
  <c r="H32" i="1" s="1"/>
  <c r="H33" i="1" s="1"/>
  <c r="G8" i="1"/>
  <c r="G9" i="1" s="1"/>
  <c r="G10" i="1" s="1"/>
  <c r="G11" i="1" s="1"/>
  <c r="G12" i="1" s="1"/>
  <c r="G13" i="1" s="1"/>
  <c r="G14" i="1" s="1"/>
  <c r="G15" i="1" s="1"/>
  <c r="G16" i="1" s="1"/>
  <c r="G17" i="1" s="1"/>
  <c r="G18" i="1" s="1"/>
  <c r="G19" i="1" s="1"/>
  <c r="G20" i="1" s="1"/>
  <c r="G21" i="1" s="1"/>
  <c r="G22" i="1" s="1"/>
  <c r="G23" i="1" s="1"/>
  <c r="G24" i="1" s="1"/>
  <c r="G25" i="1" s="1"/>
  <c r="G26" i="1" s="1"/>
  <c r="G27" i="1" s="1"/>
  <c r="G28" i="1" s="1"/>
  <c r="G29" i="1" s="1"/>
  <c r="G30" i="1" s="1"/>
  <c r="G31" i="1" s="1"/>
  <c r="G32" i="1" s="1"/>
  <c r="G33" i="1" s="1"/>
  <c r="F8" i="1"/>
  <c r="F9" i="1" s="1"/>
  <c r="F10" i="1" s="1"/>
  <c r="F11" i="1" s="1"/>
  <c r="F12" i="1" s="1"/>
  <c r="F13" i="1" s="1"/>
  <c r="F14" i="1" s="1"/>
  <c r="F15" i="1" s="1"/>
  <c r="F16" i="1" s="1"/>
  <c r="F17" i="1" s="1"/>
  <c r="F18" i="1" s="1"/>
  <c r="F19" i="1" s="1"/>
  <c r="F20" i="1" s="1"/>
  <c r="F21" i="1" s="1"/>
  <c r="F22" i="1" s="1"/>
  <c r="F23" i="1" s="1"/>
  <c r="F24" i="1" s="1"/>
  <c r="F25" i="1" s="1"/>
  <c r="F26" i="1" s="1"/>
  <c r="F27" i="1" s="1"/>
  <c r="F28" i="1" s="1"/>
  <c r="F29" i="1" s="1"/>
  <c r="F30" i="1" s="1"/>
  <c r="F31" i="1" s="1"/>
  <c r="F32" i="1" s="1"/>
  <c r="F33" i="1" s="1"/>
  <c r="E8" i="1"/>
  <c r="E9" i="1" s="1"/>
  <c r="E10" i="1" s="1"/>
  <c r="E11" i="1" s="1"/>
  <c r="E12" i="1" s="1"/>
  <c r="E13" i="1" s="1"/>
  <c r="E14" i="1" s="1"/>
  <c r="E15" i="1" s="1"/>
  <c r="E16" i="1" s="1"/>
  <c r="E17" i="1" s="1"/>
  <c r="E18" i="1" s="1"/>
  <c r="E19" i="1" s="1"/>
  <c r="E20" i="1" s="1"/>
  <c r="E21" i="1" s="1"/>
  <c r="E22" i="1" s="1"/>
  <c r="E23" i="1" s="1"/>
  <c r="E24" i="1" s="1"/>
  <c r="E25" i="1" s="1"/>
  <c r="E26" i="1" s="1"/>
  <c r="E27" i="1" s="1"/>
  <c r="E28" i="1" s="1"/>
  <c r="E29" i="1" s="1"/>
  <c r="E30" i="1" s="1"/>
  <c r="E31" i="1" s="1"/>
  <c r="E32" i="1" s="1"/>
  <c r="E33" i="1" s="1"/>
  <c r="D8" i="1"/>
  <c r="D9" i="1" s="1"/>
  <c r="D10" i="1" s="1"/>
  <c r="D11" i="1" s="1"/>
  <c r="D12" i="1" s="1"/>
  <c r="D13" i="1" s="1"/>
  <c r="D14" i="1" s="1"/>
  <c r="D15" i="1" s="1"/>
  <c r="D16" i="1" s="1"/>
  <c r="D17" i="1" s="1"/>
  <c r="D18" i="1" s="1"/>
  <c r="D19" i="1" s="1"/>
  <c r="D20" i="1" s="1"/>
  <c r="D21" i="1" s="1"/>
  <c r="D22" i="1" s="1"/>
  <c r="D23" i="1" s="1"/>
  <c r="D24" i="1" s="1"/>
  <c r="D25" i="1" s="1"/>
  <c r="D26" i="1" s="1"/>
  <c r="D27" i="1" s="1"/>
  <c r="D28" i="1" s="1"/>
  <c r="D29" i="1" s="1"/>
  <c r="D30" i="1" s="1"/>
  <c r="D31" i="1" s="1"/>
  <c r="D32" i="1" s="1"/>
  <c r="D33" i="1" s="1"/>
  <c r="AF2" i="1"/>
  <c r="O2" i="1"/>
  <c r="MI9" i="4" l="1"/>
  <c r="LN10" i="4"/>
  <c r="MI8" i="4"/>
  <c r="AE8" i="4"/>
  <c r="W9" i="4"/>
  <c r="BM9" i="4"/>
  <c r="AH8" i="4"/>
  <c r="K10" i="4"/>
  <c r="NT19" i="4"/>
  <c r="LJ9" i="4"/>
  <c r="MH9" i="4" s="1"/>
  <c r="EH21" i="2"/>
  <c r="ET18" i="2" s="1"/>
  <c r="AB22" i="2"/>
  <c r="AQ19" i="2" s="1"/>
  <c r="CE29" i="2" a="1"/>
  <c r="CE29" i="2" s="1"/>
  <c r="CK33" i="2" s="1"/>
  <c r="P41" i="2" a="1"/>
  <c r="P41" i="2" s="1"/>
  <c r="P42" i="2" a="1"/>
  <c r="P42" i="2" s="1"/>
  <c r="P52" i="2" a="1"/>
  <c r="P52" i="2" s="1"/>
  <c r="AB64" i="2" a="1"/>
  <c r="AB64" i="2" s="1"/>
  <c r="P19" i="2" a="1"/>
  <c r="P19" i="2" s="1"/>
  <c r="DO21" i="2"/>
  <c r="EA18" i="2" s="1"/>
  <c r="AB29" i="2" a="1"/>
  <c r="AB29" i="2" s="1"/>
  <c r="AK32" i="2" s="1"/>
  <c r="P16" i="2" a="1"/>
  <c r="P16" i="2" s="1"/>
  <c r="Z10" i="2" a="1"/>
  <c r="Z10" i="2" s="1"/>
  <c r="AK12" i="2" s="1"/>
  <c r="P13" i="2" a="1"/>
  <c r="P13" i="2" s="1"/>
  <c r="DO38" i="2"/>
  <c r="EA35" i="2" s="1"/>
  <c r="P49" i="2" a="1"/>
  <c r="P49" i="2" s="1"/>
  <c r="Q59" i="2" a="1"/>
  <c r="Q59" i="2" s="1"/>
  <c r="Q68" i="2" a="1"/>
  <c r="Q68" i="2" s="1"/>
  <c r="P73" i="2" a="1"/>
  <c r="P73" i="2" s="1"/>
  <c r="P75" i="2" a="1"/>
  <c r="P75" i="2" s="1"/>
  <c r="CE22" i="2"/>
  <c r="CN19" i="2" s="1"/>
  <c r="P33" i="2" a="1"/>
  <c r="P33" i="2" s="1"/>
  <c r="CU22" i="2"/>
  <c r="DH19" i="2" s="1"/>
  <c r="EF29" i="2" a="1"/>
  <c r="EF29" i="2" s="1"/>
  <c r="EN31" i="2" s="1"/>
  <c r="P32" i="2" a="1"/>
  <c r="P32" i="2" s="1"/>
  <c r="Q42" i="2" a="1"/>
  <c r="Q42" i="2" s="1"/>
  <c r="P45" i="2" a="1"/>
  <c r="P45" i="2" s="1"/>
  <c r="DM48" i="2" a="1"/>
  <c r="DM48" i="2" s="1"/>
  <c r="DU51" i="2" s="1"/>
  <c r="Q49" i="2" a="1"/>
  <c r="Q49" i="2" s="1"/>
  <c r="P66" i="2" a="1"/>
  <c r="P66" i="2" s="1"/>
  <c r="CS68" i="2" a="1"/>
  <c r="CS68" i="2" s="1"/>
  <c r="DB71" i="2" s="1"/>
  <c r="Q77" i="2" a="1"/>
  <c r="Q77" i="2" s="1"/>
  <c r="P21" i="2" a="1"/>
  <c r="P21" i="2" s="1"/>
  <c r="DO22" i="2"/>
  <c r="EA19" i="2" s="1"/>
  <c r="BJ49" i="2" a="1"/>
  <c r="BJ49" i="2" s="1"/>
  <c r="BR51" i="2" s="1"/>
  <c r="Q70" i="2" a="1"/>
  <c r="Q70" i="2" s="1"/>
  <c r="AB39" i="2"/>
  <c r="AQ36" i="2" s="1"/>
  <c r="P88" i="2" a="1"/>
  <c r="P88" i="2" s="1"/>
  <c r="P35" i="2" a="1"/>
  <c r="P35" i="2" s="1"/>
  <c r="AV48" i="2" a="1"/>
  <c r="AV48" i="2" s="1"/>
  <c r="BB51" i="2" s="1"/>
  <c r="P15" i="2" a="1"/>
  <c r="P15" i="2" s="1"/>
  <c r="AB20" i="2"/>
  <c r="AQ17" i="2" s="1"/>
  <c r="EH22" i="2"/>
  <c r="ET19" i="2" s="1"/>
  <c r="CE26" i="2" a="1"/>
  <c r="CE26" i="2" s="1"/>
  <c r="P29" i="2" a="1"/>
  <c r="P29" i="2" s="1"/>
  <c r="P31" i="2" a="1"/>
  <c r="P31" i="2" s="1"/>
  <c r="AX221" i="2" a="1"/>
  <c r="AX221" i="2" s="1"/>
  <c r="BB225" i="2" s="1"/>
  <c r="DO257" i="2" a="1"/>
  <c r="DO257" i="2" s="1"/>
  <c r="DU260" i="2" s="1"/>
  <c r="DO238" i="2" a="1"/>
  <c r="DO238" i="2" s="1"/>
  <c r="DU241" i="2" s="1"/>
  <c r="DO200" i="2" a="1"/>
  <c r="DO200" i="2" s="1"/>
  <c r="DU204" i="2" s="1"/>
  <c r="AX163" i="2" a="1"/>
  <c r="AX163" i="2" s="1"/>
  <c r="BB167" i="2" s="1"/>
  <c r="AX183" i="2" a="1"/>
  <c r="AX183" i="2" s="1"/>
  <c r="BB187" i="2" s="1"/>
  <c r="DO181" i="2" a="1"/>
  <c r="DO181" i="2" s="1"/>
  <c r="DU185" i="2" s="1"/>
  <c r="AX202" i="2" a="1"/>
  <c r="AX202" i="2" s="1"/>
  <c r="BB206" i="2" s="1"/>
  <c r="DO219" i="2" a="1"/>
  <c r="DO219" i="2" s="1"/>
  <c r="DU223" i="2" s="1"/>
  <c r="DO162" i="2" a="1"/>
  <c r="DO162" i="2" s="1"/>
  <c r="DU166" i="2" s="1"/>
  <c r="DO143" i="2" a="1"/>
  <c r="DO143" i="2" s="1"/>
  <c r="DU147" i="2" s="1"/>
  <c r="AB144" i="2" a="1"/>
  <c r="AB144" i="2" s="1"/>
  <c r="AK149" i="2" s="1"/>
  <c r="AB125" i="2" a="1"/>
  <c r="AB125" i="2" s="1"/>
  <c r="AK130" i="2" s="1"/>
  <c r="BL49" i="2" a="1"/>
  <c r="BL49" i="2" s="1"/>
  <c r="BR52" i="2" s="1"/>
  <c r="EH48" i="2" a="1"/>
  <c r="EH48" i="2" s="1"/>
  <c r="EN51" i="2" s="1"/>
  <c r="AX106" i="2" a="1"/>
  <c r="AX106" i="2" s="1"/>
  <c r="BB110" i="2" s="1"/>
  <c r="CU105" i="2" a="1"/>
  <c r="CU105" i="2" s="1"/>
  <c r="DB108" i="2" s="1"/>
  <c r="DO124" i="2" a="1"/>
  <c r="DO124" i="2" s="1"/>
  <c r="DU128" i="2" s="1"/>
  <c r="BL125" i="2" a="1"/>
  <c r="BL125" i="2" s="1"/>
  <c r="BR128" i="2" s="1"/>
  <c r="AB86" i="2" a="1"/>
  <c r="AB86" i="2" s="1"/>
  <c r="AK91" i="2" s="1"/>
  <c r="CU143" i="2" a="1"/>
  <c r="CU143" i="2" s="1"/>
  <c r="DB146" i="2" s="1"/>
  <c r="DO86" i="2" a="1"/>
  <c r="DO86" i="2" s="1"/>
  <c r="DU90" i="2" s="1"/>
  <c r="BL87" i="2" a="1"/>
  <c r="BL87" i="2" s="1"/>
  <c r="BR90" i="2" s="1"/>
  <c r="DO67" i="2" a="1"/>
  <c r="DO67" i="2" s="1"/>
  <c r="DU71" i="2" s="1"/>
  <c r="BL144" i="2" a="1"/>
  <c r="BL144" i="2" s="1"/>
  <c r="BR147" i="2" s="1"/>
  <c r="AX48" i="2" a="1"/>
  <c r="AX48" i="2" s="1"/>
  <c r="BB52" i="2" s="1"/>
  <c r="CU162" i="2" a="1"/>
  <c r="CU162" i="2" s="1"/>
  <c r="DB165" i="2" s="1"/>
  <c r="CU124" i="2" a="1"/>
  <c r="CU124" i="2" s="1"/>
  <c r="DB127" i="2" s="1"/>
  <c r="AX125" i="2" a="1"/>
  <c r="AX125" i="2" s="1"/>
  <c r="BB129" i="2" s="1"/>
  <c r="BL106" i="2" a="1"/>
  <c r="BL106" i="2" s="1"/>
  <c r="BR109" i="2" s="1"/>
  <c r="AB105" i="2" a="1"/>
  <c r="AB105" i="2" s="1"/>
  <c r="AK110" i="2" s="1"/>
  <c r="CS10" i="2" a="1"/>
  <c r="CS10" i="2" s="1"/>
  <c r="EH10" i="2" a="1"/>
  <c r="EH10" i="2" s="1"/>
  <c r="EN13" i="2" s="1"/>
  <c r="FB11" i="2" s="1"/>
  <c r="CS29" i="2" a="1"/>
  <c r="CS29" i="2" s="1"/>
  <c r="DB32" i="2" s="1"/>
  <c r="G7" i="2"/>
  <c r="AB7" i="2" a="1"/>
  <c r="AB7" i="2" s="1"/>
  <c r="BL39" i="2"/>
  <c r="BX36" i="2" s="1"/>
  <c r="P46" i="2" a="1"/>
  <c r="P46" i="2" s="1"/>
  <c r="Q63" i="2" a="1"/>
  <c r="Q63" i="2" s="1"/>
  <c r="P65" i="2" a="1"/>
  <c r="P65" i="2" s="1"/>
  <c r="CS67" i="2" a="1"/>
  <c r="CS67" i="2" s="1"/>
  <c r="DB69" i="2" s="1"/>
  <c r="BE87" i="2"/>
  <c r="AW147" i="2"/>
  <c r="BE144" i="2" s="1"/>
  <c r="CU26" i="2" a="1"/>
  <c r="CU26" i="2" s="1"/>
  <c r="P10" i="2" a="1"/>
  <c r="P10" i="2" s="1"/>
  <c r="CU10" i="2" a="1"/>
  <c r="CU10" i="2" s="1"/>
  <c r="DB14" i="2" s="1"/>
  <c r="AB17" i="2"/>
  <c r="AQ14" i="2" s="1"/>
  <c r="G18" i="2"/>
  <c r="AB18" i="2"/>
  <c r="AQ15" i="2" s="1"/>
  <c r="CE20" i="2"/>
  <c r="CN17" i="2" s="1"/>
  <c r="P22" i="2" a="1"/>
  <c r="P22" i="2" s="1"/>
  <c r="P26" i="2" a="1"/>
  <c r="P26" i="2" s="1"/>
  <c r="BJ29" i="2" a="1"/>
  <c r="BJ29" i="2" s="1"/>
  <c r="BR31" i="2" s="1"/>
  <c r="CU29" i="2" a="1"/>
  <c r="CU29" i="2" s="1"/>
  <c r="DB33" i="2" s="1"/>
  <c r="P38" i="2" a="1"/>
  <c r="P38" i="2" s="1"/>
  <c r="AB40" i="2"/>
  <c r="AQ37" i="2" s="1"/>
  <c r="P44" i="2" a="1"/>
  <c r="P44" i="2" s="1"/>
  <c r="P54" i="2" a="1"/>
  <c r="P54" i="2" s="1"/>
  <c r="P61" i="2" a="1"/>
  <c r="P61" i="2" s="1"/>
  <c r="AW150" i="2"/>
  <c r="BE147" i="2" s="1"/>
  <c r="BE90" i="2"/>
  <c r="P25" i="2" a="1"/>
  <c r="P25" i="2" s="1"/>
  <c r="EF48" i="2" a="1"/>
  <c r="EF48" i="2" s="1"/>
  <c r="EN50" i="2" s="1"/>
  <c r="P72" i="2" a="1"/>
  <c r="P72" i="2" s="1"/>
  <c r="P55" i="2" a="1"/>
  <c r="P55" i="2" s="1"/>
  <c r="P23" i="2" a="1"/>
  <c r="P23" i="2" s="1"/>
  <c r="P37" i="2" a="1"/>
  <c r="P37" i="2" s="1"/>
  <c r="EH39" i="2"/>
  <c r="ET36" i="2" s="1"/>
  <c r="DO40" i="2"/>
  <c r="EA37" i="2" s="1"/>
  <c r="CE41" i="2"/>
  <c r="CN38" i="2" s="1"/>
  <c r="P48" i="2" a="1"/>
  <c r="P48" i="2" s="1"/>
  <c r="AX68" i="2" a="1"/>
  <c r="AX68" i="2" s="1"/>
  <c r="BB72" i="2" s="1"/>
  <c r="DO39" i="2"/>
  <c r="EA36" i="2" s="1"/>
  <c r="P47" i="2" a="1"/>
  <c r="P47" i="2" s="1"/>
  <c r="AX10" i="2" a="1"/>
  <c r="AX10" i="2" s="1"/>
  <c r="BB14" i="2" s="1"/>
  <c r="DO19" i="2"/>
  <c r="EA16" i="2" s="1"/>
  <c r="EH40" i="2"/>
  <c r="ET37" i="2" s="1"/>
  <c r="P51" i="2" a="1"/>
  <c r="P51" i="2" s="1"/>
  <c r="AB19" i="2"/>
  <c r="AQ16" i="2" s="1"/>
  <c r="P24" i="2" a="1"/>
  <c r="P24" i="2" s="1"/>
  <c r="BL29" i="2" a="1"/>
  <c r="BL29" i="2" s="1"/>
  <c r="BR32" i="2" s="1"/>
  <c r="P6" i="2" a="1"/>
  <c r="P6" i="2" s="1"/>
  <c r="P5" i="2" a="1"/>
  <c r="P5" i="2" s="1"/>
  <c r="P7" i="2" a="1"/>
  <c r="P7" i="2" s="1"/>
  <c r="EH7" i="2" a="1"/>
  <c r="EH7" i="2" s="1"/>
  <c r="DM10" i="2" a="1"/>
  <c r="DM10" i="2" s="1"/>
  <c r="DU13" i="2" s="1"/>
  <c r="P12" i="2" a="1"/>
  <c r="P12" i="2" s="1"/>
  <c r="Q394" i="2" a="1"/>
  <c r="Q394" i="2" s="1"/>
  <c r="Q395" i="2" a="1"/>
  <c r="Q395" i="2" s="1"/>
  <c r="Q385" i="2" a="1"/>
  <c r="Q385" i="2" s="1"/>
  <c r="Q383" i="2" a="1"/>
  <c r="Q383" i="2" s="1"/>
  <c r="Q376" i="2" a="1"/>
  <c r="Q376" i="2" s="1"/>
  <c r="Q269" i="2" a="1"/>
  <c r="Q269" i="2" s="1"/>
  <c r="Q261" i="2" a="1"/>
  <c r="Q261" i="2" s="1"/>
  <c r="DM258" i="2" a="1"/>
  <c r="DM258" i="2" s="1"/>
  <c r="DU261" i="2" s="1"/>
  <c r="Q392" i="2" a="1"/>
  <c r="Q392" i="2" s="1"/>
  <c r="Q350" i="2" a="1"/>
  <c r="Q350" i="2" s="1"/>
  <c r="Q342" i="2" a="1"/>
  <c r="Q342" i="2" s="1"/>
  <c r="Q334" i="2" a="1"/>
  <c r="Q334" i="2" s="1"/>
  <c r="Q326" i="2" a="1"/>
  <c r="Q326" i="2" s="1"/>
  <c r="Q318" i="2" a="1"/>
  <c r="Q318" i="2" s="1"/>
  <c r="Q310" i="2" a="1"/>
  <c r="Q310" i="2" s="1"/>
  <c r="Q302" i="2" a="1"/>
  <c r="Q302" i="2" s="1"/>
  <c r="Q294" i="2" a="1"/>
  <c r="Q294" i="2" s="1"/>
  <c r="Q286" i="2" a="1"/>
  <c r="Q286" i="2" s="1"/>
  <c r="Q278" i="2" a="1"/>
  <c r="Q278" i="2" s="1"/>
  <c r="Q270" i="2" a="1"/>
  <c r="Q270" i="2" s="1"/>
  <c r="Q266" i="2" a="1"/>
  <c r="Q266" i="2" s="1"/>
  <c r="Q390" i="2" a="1"/>
  <c r="Q390" i="2" s="1"/>
  <c r="Q374" i="2" a="1"/>
  <c r="Q374" i="2" s="1"/>
  <c r="Q365" i="2" a="1"/>
  <c r="Q365" i="2" s="1"/>
  <c r="Q361" i="2" a="1"/>
  <c r="Q361" i="2" s="1"/>
  <c r="Q357" i="2" a="1"/>
  <c r="Q357" i="2" s="1"/>
  <c r="Q351" i="2" a="1"/>
  <c r="Q351" i="2" s="1"/>
  <c r="Q343" i="2" a="1"/>
  <c r="Q343" i="2" s="1"/>
  <c r="Q335" i="2" a="1"/>
  <c r="Q335" i="2" s="1"/>
  <c r="Q327" i="2" a="1"/>
  <c r="Q327" i="2" s="1"/>
  <c r="Q319" i="2" a="1"/>
  <c r="Q319" i="2" s="1"/>
  <c r="Q311" i="2" a="1"/>
  <c r="Q311" i="2" s="1"/>
  <c r="Q303" i="2" a="1"/>
  <c r="Q303" i="2" s="1"/>
  <c r="Q295" i="2" a="1"/>
  <c r="Q295" i="2" s="1"/>
  <c r="Q287" i="2" a="1"/>
  <c r="Q287" i="2" s="1"/>
  <c r="Q279" i="2" a="1"/>
  <c r="Q279" i="2" s="1"/>
  <c r="Q271" i="2" a="1"/>
  <c r="Q271" i="2" s="1"/>
  <c r="Q388" i="2" a="1"/>
  <c r="Q388" i="2" s="1"/>
  <c r="Q381" i="2" a="1"/>
  <c r="Q381" i="2" s="1"/>
  <c r="Q379" i="2" a="1"/>
  <c r="Q379" i="2" s="1"/>
  <c r="Q372" i="2" a="1"/>
  <c r="Q372" i="2" s="1"/>
  <c r="Q369" i="2" a="1"/>
  <c r="Q369" i="2" s="1"/>
  <c r="Q352" i="2" a="1"/>
  <c r="Q352" i="2" s="1"/>
  <c r="Q344" i="2" a="1"/>
  <c r="Q344" i="2" s="1"/>
  <c r="Q336" i="2" a="1"/>
  <c r="Q336" i="2" s="1"/>
  <c r="Q328" i="2" a="1"/>
  <c r="Q328" i="2" s="1"/>
  <c r="Q320" i="2" a="1"/>
  <c r="Q320" i="2" s="1"/>
  <c r="Q312" i="2" a="1"/>
  <c r="Q312" i="2" s="1"/>
  <c r="Q304" i="2" a="1"/>
  <c r="Q304" i="2" s="1"/>
  <c r="Q296" i="2" a="1"/>
  <c r="Q296" i="2" s="1"/>
  <c r="Q288" i="2" a="1"/>
  <c r="Q288" i="2" s="1"/>
  <c r="Q280" i="2" a="1"/>
  <c r="Q280" i="2" s="1"/>
  <c r="Q386" i="2" a="1"/>
  <c r="Q386" i="2" s="1"/>
  <c r="Q366" i="2" a="1"/>
  <c r="Q366" i="2" s="1"/>
  <c r="Q362" i="2" a="1"/>
  <c r="Q362" i="2" s="1"/>
  <c r="Q358" i="2" a="1"/>
  <c r="Q358" i="2" s="1"/>
  <c r="Q353" i="2" a="1"/>
  <c r="Q353" i="2" s="1"/>
  <c r="Q345" i="2" a="1"/>
  <c r="Q345" i="2" s="1"/>
  <c r="Q337" i="2" a="1"/>
  <c r="Q337" i="2" s="1"/>
  <c r="Q329" i="2" a="1"/>
  <c r="Q329" i="2" s="1"/>
  <c r="Q321" i="2" a="1"/>
  <c r="Q321" i="2" s="1"/>
  <c r="Q313" i="2" a="1"/>
  <c r="Q313" i="2" s="1"/>
  <c r="Q305" i="2" a="1"/>
  <c r="Q305" i="2" s="1"/>
  <c r="Q297" i="2" a="1"/>
  <c r="Q297" i="2" s="1"/>
  <c r="Q289" i="2" a="1"/>
  <c r="Q289" i="2" s="1"/>
  <c r="Q281" i="2" a="1"/>
  <c r="Q281" i="2" s="1"/>
  <c r="Q273" i="2" a="1"/>
  <c r="Q273" i="2" s="1"/>
  <c r="Q391" i="2" a="1"/>
  <c r="Q391" i="2" s="1"/>
  <c r="Q384" i="2" a="1"/>
  <c r="Q384" i="2" s="1"/>
  <c r="Q377" i="2" a="1"/>
  <c r="Q377" i="2" s="1"/>
  <c r="Q375" i="2" a="1"/>
  <c r="Q375" i="2" s="1"/>
  <c r="Q264" i="2" a="1"/>
  <c r="Q264" i="2" s="1"/>
  <c r="Q258" i="2" a="1"/>
  <c r="Q258" i="2" s="1"/>
  <c r="Q246" i="2" a="1"/>
  <c r="Q246" i="2" s="1"/>
  <c r="Q354" i="2" a="1"/>
  <c r="Q354" i="2" s="1"/>
  <c r="Q346" i="2" a="1"/>
  <c r="Q346" i="2" s="1"/>
  <c r="Q338" i="2" a="1"/>
  <c r="Q338" i="2" s="1"/>
  <c r="Q330" i="2" a="1"/>
  <c r="Q330" i="2" s="1"/>
  <c r="Q322" i="2" a="1"/>
  <c r="Q322" i="2" s="1"/>
  <c r="Q314" i="2" a="1"/>
  <c r="Q314" i="2" s="1"/>
  <c r="Q306" i="2" a="1"/>
  <c r="Q306" i="2" s="1"/>
  <c r="Q298" i="2" a="1"/>
  <c r="Q298" i="2" s="1"/>
  <c r="Q290" i="2" a="1"/>
  <c r="Q290" i="2" s="1"/>
  <c r="Q282" i="2" a="1"/>
  <c r="Q282" i="2" s="1"/>
  <c r="Q382" i="2" a="1"/>
  <c r="Q382" i="2" s="1"/>
  <c r="Q370" i="2" a="1"/>
  <c r="Q370" i="2" s="1"/>
  <c r="Q389" i="2" a="1"/>
  <c r="Q389" i="2" s="1"/>
  <c r="Q387" i="2" a="1"/>
  <c r="Q387" i="2" s="1"/>
  <c r="Q380" i="2" a="1"/>
  <c r="Q380" i="2" s="1"/>
  <c r="Q373" i="2" a="1"/>
  <c r="Q373" i="2" s="1"/>
  <c r="Q348" i="2" a="1"/>
  <c r="Q348" i="2" s="1"/>
  <c r="Q340" i="2" a="1"/>
  <c r="Q340" i="2" s="1"/>
  <c r="Q332" i="2" a="1"/>
  <c r="Q332" i="2" s="1"/>
  <c r="Q324" i="2" a="1"/>
  <c r="Q324" i="2" s="1"/>
  <c r="Q316" i="2" a="1"/>
  <c r="Q316" i="2" s="1"/>
  <c r="Q308" i="2" a="1"/>
  <c r="Q308" i="2" s="1"/>
  <c r="Q300" i="2" a="1"/>
  <c r="Q300" i="2" s="1"/>
  <c r="Q292" i="2" a="1"/>
  <c r="Q292" i="2" s="1"/>
  <c r="Q284" i="2" a="1"/>
  <c r="Q284" i="2" s="1"/>
  <c r="Q378" i="2" a="1"/>
  <c r="Q378" i="2" s="1"/>
  <c r="Q359" i="2" a="1"/>
  <c r="Q359" i="2" s="1"/>
  <c r="Q331" i="2" a="1"/>
  <c r="Q331" i="2" s="1"/>
  <c r="Q220" i="2" a="1"/>
  <c r="Q220" i="2" s="1"/>
  <c r="Q214" i="2" a="1"/>
  <c r="Q214" i="2" s="1"/>
  <c r="Q207" i="2" a="1"/>
  <c r="Q207" i="2" s="1"/>
  <c r="Q174" i="2" a="1"/>
  <c r="Q174" i="2" s="1"/>
  <c r="Q349" i="2" a="1"/>
  <c r="Q349" i="2" s="1"/>
  <c r="Q285" i="2" a="1"/>
  <c r="Q285" i="2" s="1"/>
  <c r="Q274" i="2" a="1"/>
  <c r="Q274" i="2" s="1"/>
  <c r="Q252" i="2" a="1"/>
  <c r="Q252" i="2" s="1"/>
  <c r="Q249" i="2" a="1"/>
  <c r="Q249" i="2" s="1"/>
  <c r="Q192" i="2" a="1"/>
  <c r="Q192" i="2" s="1"/>
  <c r="Q339" i="2" a="1"/>
  <c r="Q339" i="2" s="1"/>
  <c r="Q268" i="2" a="1"/>
  <c r="Q268" i="2" s="1"/>
  <c r="DM239" i="2" a="1"/>
  <c r="DM239" i="2" s="1"/>
  <c r="DU242" i="2" s="1"/>
  <c r="Q226" i="2" a="1"/>
  <c r="Q226" i="2" s="1"/>
  <c r="Q213" i="2" a="1"/>
  <c r="Q213" i="2" s="1"/>
  <c r="Q202" i="2" a="1"/>
  <c r="Q202" i="2" s="1"/>
  <c r="Q186" i="2" a="1"/>
  <c r="Q186" i="2" s="1"/>
  <c r="Q183" i="2" a="1"/>
  <c r="Q183" i="2" s="1"/>
  <c r="Q176" i="2" a="1"/>
  <c r="Q176" i="2" s="1"/>
  <c r="Q368" i="2" a="1"/>
  <c r="Q368" i="2" s="1"/>
  <c r="Q293" i="2" a="1"/>
  <c r="Q293" i="2" s="1"/>
  <c r="Q263" i="2" a="1"/>
  <c r="Q263" i="2" s="1"/>
  <c r="Q235" i="2" a="1"/>
  <c r="Q235" i="2" s="1"/>
  <c r="Q229" i="2" a="1"/>
  <c r="Q229" i="2" s="1"/>
  <c r="Q210" i="2" a="1"/>
  <c r="Q210" i="2" s="1"/>
  <c r="Q179" i="2" a="1"/>
  <c r="Q179" i="2" s="1"/>
  <c r="Q156" i="2" a="1"/>
  <c r="Q156" i="2" s="1"/>
  <c r="Q367" i="2" a="1"/>
  <c r="Q367" i="2" s="1"/>
  <c r="Q347" i="2" a="1"/>
  <c r="Q347" i="2" s="1"/>
  <c r="Q283" i="2" a="1"/>
  <c r="Q283" i="2" s="1"/>
  <c r="Q190" i="2" a="1"/>
  <c r="Q190" i="2" s="1"/>
  <c r="Q356" i="2" a="1"/>
  <c r="Q356" i="2" s="1"/>
  <c r="Q301" i="2" a="1"/>
  <c r="Q301" i="2" s="1"/>
  <c r="Q277" i="2" a="1"/>
  <c r="Q277" i="2" s="1"/>
  <c r="Q256" i="2" a="1"/>
  <c r="Q256" i="2" s="1"/>
  <c r="Q236" i="2" a="1"/>
  <c r="Q236" i="2" s="1"/>
  <c r="Q222" i="2" a="1"/>
  <c r="Q222" i="2" s="1"/>
  <c r="Q204" i="2" a="1"/>
  <c r="Q204" i="2" s="1"/>
  <c r="AV203" i="2" a="1"/>
  <c r="AV203" i="2" s="1"/>
  <c r="BB207" i="2" s="1"/>
  <c r="Q150" i="2" a="1"/>
  <c r="Q150" i="2" s="1"/>
  <c r="Q393" i="2" a="1"/>
  <c r="Q393" i="2" s="1"/>
  <c r="Q355" i="2" a="1"/>
  <c r="Q355" i="2" s="1"/>
  <c r="Q291" i="2" a="1"/>
  <c r="Q291" i="2" s="1"/>
  <c r="Q253" i="2" a="1"/>
  <c r="Q253" i="2" s="1"/>
  <c r="Q250" i="2" a="1"/>
  <c r="Q250" i="2" s="1"/>
  <c r="Q212" i="2" a="1"/>
  <c r="Q212" i="2" s="1"/>
  <c r="Q187" i="2" a="1"/>
  <c r="Q187" i="2" s="1"/>
  <c r="Q309" i="2" a="1"/>
  <c r="Q309" i="2" s="1"/>
  <c r="Q242" i="2" a="1"/>
  <c r="Q242" i="2" s="1"/>
  <c r="Q240" i="2" a="1"/>
  <c r="Q240" i="2" s="1"/>
  <c r="Q227" i="2" a="1"/>
  <c r="Q227" i="2" s="1"/>
  <c r="Q224" i="2" a="1"/>
  <c r="Q224" i="2" s="1"/>
  <c r="DM220" i="2" a="1"/>
  <c r="DM220" i="2" s="1"/>
  <c r="DU224" i="2" s="1"/>
  <c r="Q219" i="2" a="1"/>
  <c r="Q219" i="2" s="1"/>
  <c r="Q218" i="2" a="1"/>
  <c r="Q218" i="2" s="1"/>
  <c r="Q206" i="2" a="1"/>
  <c r="Q206" i="2" s="1"/>
  <c r="Q299" i="2" a="1"/>
  <c r="Q299" i="2" s="1"/>
  <c r="Q243" i="2" a="1"/>
  <c r="Q243" i="2" s="1"/>
  <c r="Q241" i="2" a="1"/>
  <c r="Q241" i="2" s="1"/>
  <c r="Q208" i="2" a="1"/>
  <c r="Q208" i="2" s="1"/>
  <c r="Q201" i="2" a="1"/>
  <c r="Q201" i="2" s="1"/>
  <c r="Q178" i="2" a="1"/>
  <c r="Q178" i="2" s="1"/>
  <c r="Q175" i="2" a="1"/>
  <c r="Q175" i="2" s="1"/>
  <c r="Q173" i="2" a="1"/>
  <c r="Q173" i="2" s="1"/>
  <c r="Q166" i="2" a="1"/>
  <c r="Q166" i="2" s="1"/>
  <c r="Q364" i="2" a="1"/>
  <c r="Q364" i="2" s="1"/>
  <c r="Q317" i="2" a="1"/>
  <c r="Q317" i="2" s="1"/>
  <c r="Q276" i="2" a="1"/>
  <c r="Q276" i="2" s="1"/>
  <c r="Q244" i="2" a="1"/>
  <c r="Q244" i="2" s="1"/>
  <c r="Q239" i="2" a="1"/>
  <c r="Q239" i="2" s="1"/>
  <c r="Q237" i="2" a="1"/>
  <c r="Q237" i="2" s="1"/>
  <c r="Q191" i="2" a="1"/>
  <c r="Q191" i="2" s="1"/>
  <c r="Q184" i="2" a="1"/>
  <c r="Q184" i="2" s="1"/>
  <c r="Q181" i="2" a="1"/>
  <c r="Q181" i="2" s="1"/>
  <c r="Q149" i="2" a="1"/>
  <c r="Q149" i="2" s="1"/>
  <c r="Q363" i="2" a="1"/>
  <c r="Q363" i="2" s="1"/>
  <c r="Q307" i="2" a="1"/>
  <c r="Q307" i="2" s="1"/>
  <c r="Q272" i="2" a="1"/>
  <c r="Q272" i="2" s="1"/>
  <c r="Q267" i="2" a="1"/>
  <c r="Q267" i="2" s="1"/>
  <c r="Q259" i="2" a="1"/>
  <c r="Q259" i="2" s="1"/>
  <c r="Q257" i="2" a="1"/>
  <c r="Q257" i="2" s="1"/>
  <c r="Q221" i="2" a="1"/>
  <c r="Q221" i="2" s="1"/>
  <c r="Q217" i="2" a="1"/>
  <c r="Q217" i="2" s="1"/>
  <c r="Q165" i="2" a="1"/>
  <c r="Q165" i="2" s="1"/>
  <c r="Q164" i="2" a="1"/>
  <c r="Q164" i="2" s="1"/>
  <c r="Q325" i="2" a="1"/>
  <c r="Q325" i="2" s="1"/>
  <c r="Q254" i="2" a="1"/>
  <c r="Q254" i="2" s="1"/>
  <c r="Q251" i="2" a="1"/>
  <c r="Q251" i="2" s="1"/>
  <c r="Q245" i="2" a="1"/>
  <c r="Q245" i="2" s="1"/>
  <c r="Q194" i="2" a="1"/>
  <c r="Q194" i="2" s="1"/>
  <c r="Q193" i="2" a="1"/>
  <c r="Q193" i="2" s="1"/>
  <c r="Q188" i="2" a="1"/>
  <c r="Q188" i="2" s="1"/>
  <c r="Q170" i="2" a="1"/>
  <c r="Q170" i="2" s="1"/>
  <c r="AV164" i="2" a="1"/>
  <c r="AV164" i="2" s="1"/>
  <c r="BB168" i="2" s="1"/>
  <c r="Q154" i="2" a="1"/>
  <c r="Q154" i="2" s="1"/>
  <c r="Q315" i="2" a="1"/>
  <c r="Q315" i="2" s="1"/>
  <c r="Q265" i="2" a="1"/>
  <c r="Q265" i="2" s="1"/>
  <c r="Q238" i="2" a="1"/>
  <c r="Q238" i="2" s="1"/>
  <c r="Q225" i="2" a="1"/>
  <c r="Q225" i="2" s="1"/>
  <c r="Q211" i="2" a="1"/>
  <c r="Q211" i="2" s="1"/>
  <c r="Q195" i="2" a="1"/>
  <c r="Q195" i="2" s="1"/>
  <c r="Q185" i="2" a="1"/>
  <c r="Q185" i="2" s="1"/>
  <c r="Q333" i="2" a="1"/>
  <c r="Q333" i="2" s="1"/>
  <c r="Q275" i="2" a="1"/>
  <c r="Q275" i="2" s="1"/>
  <c r="Q260" i="2" a="1"/>
  <c r="Q260" i="2" s="1"/>
  <c r="Q232" i="2" a="1"/>
  <c r="Q232" i="2" s="1"/>
  <c r="Q231" i="2" a="1"/>
  <c r="Q231" i="2" s="1"/>
  <c r="Q228" i="2" a="1"/>
  <c r="Q228" i="2" s="1"/>
  <c r="Q223" i="2" a="1"/>
  <c r="Q223" i="2" s="1"/>
  <c r="AV222" i="2" a="1"/>
  <c r="AV222" i="2" s="1"/>
  <c r="BB226" i="2" s="1"/>
  <c r="Q216" i="2" a="1"/>
  <c r="Q216" i="2" s="1"/>
  <c r="Q203" i="2" a="1"/>
  <c r="Q203" i="2" s="1"/>
  <c r="Q196" i="2" a="1"/>
  <c r="Q196" i="2" s="1"/>
  <c r="AV184" i="2" a="1"/>
  <c r="AV184" i="2" s="1"/>
  <c r="BB188" i="2" s="1"/>
  <c r="Q182" i="2" a="1"/>
  <c r="Q182" i="2" s="1"/>
  <c r="Q177" i="2" a="1"/>
  <c r="Q177" i="2" s="1"/>
  <c r="Q152" i="2" a="1"/>
  <c r="Q152" i="2" s="1"/>
  <c r="Q323" i="2" a="1"/>
  <c r="Q323" i="2" s="1"/>
  <c r="Q248" i="2" a="1"/>
  <c r="Q248" i="2" s="1"/>
  <c r="Q247" i="2" a="1"/>
  <c r="Q247" i="2" s="1"/>
  <c r="Q233" i="2" a="1"/>
  <c r="Q233" i="2" s="1"/>
  <c r="Q215" i="2" a="1"/>
  <c r="Q215" i="2" s="1"/>
  <c r="Q209" i="2" a="1"/>
  <c r="Q209" i="2" s="1"/>
  <c r="Q180" i="2" a="1"/>
  <c r="Q180" i="2" s="1"/>
  <c r="Q371" i="2" a="1"/>
  <c r="Q371" i="2" s="1"/>
  <c r="Q360" i="2" a="1"/>
  <c r="Q360" i="2" s="1"/>
  <c r="Q341" i="2" a="1"/>
  <c r="Q341" i="2" s="1"/>
  <c r="Q262" i="2" a="1"/>
  <c r="Q262" i="2" s="1"/>
  <c r="Q255" i="2" a="1"/>
  <c r="Q255" i="2" s="1"/>
  <c r="Q234" i="2" a="1"/>
  <c r="Q234" i="2" s="1"/>
  <c r="Q230" i="2" a="1"/>
  <c r="Q230" i="2" s="1"/>
  <c r="Q205" i="2" a="1"/>
  <c r="Q205" i="2" s="1"/>
  <c r="DM201" i="2" a="1"/>
  <c r="DM201" i="2" s="1"/>
  <c r="DU205" i="2" s="1"/>
  <c r="Q200" i="2" a="1"/>
  <c r="Q200" i="2" s="1"/>
  <c r="Q199" i="2" a="1"/>
  <c r="Q199" i="2" s="1"/>
  <c r="Q198" i="2" a="1"/>
  <c r="Q198" i="2" s="1"/>
  <c r="Q197" i="2" a="1"/>
  <c r="Q197" i="2" s="1"/>
  <c r="Q189" i="2" a="1"/>
  <c r="Q189" i="2" s="1"/>
  <c r="DM182" i="2" a="1"/>
  <c r="DM182" i="2" s="1"/>
  <c r="DU186" i="2" s="1"/>
  <c r="Q162" i="2" a="1"/>
  <c r="Q162" i="2" s="1"/>
  <c r="Z145" i="2" a="1"/>
  <c r="Z145" i="2" s="1"/>
  <c r="AK150" i="2" s="1"/>
  <c r="Q172" i="2" a="1"/>
  <c r="Q172" i="2" s="1"/>
  <c r="DM163" i="2" a="1"/>
  <c r="DM163" i="2" s="1"/>
  <c r="DU167" i="2" s="1"/>
  <c r="Q143" i="2" a="1"/>
  <c r="Q143" i="2" s="1"/>
  <c r="CS125" i="2" a="1"/>
  <c r="CS125" i="2" s="1"/>
  <c r="DB128" i="2" s="1"/>
  <c r="Q118" i="2" a="1"/>
  <c r="Q118" i="2" s="1"/>
  <c r="Q109" i="2" a="1"/>
  <c r="Q109" i="2" s="1"/>
  <c r="DM106" i="2" a="1"/>
  <c r="DM106" i="2" s="1"/>
  <c r="DU110" i="2" s="1"/>
  <c r="Q103" i="2" a="1"/>
  <c r="Q103" i="2" s="1"/>
  <c r="Q101" i="2" a="1"/>
  <c r="Q101" i="2" s="1"/>
  <c r="Q96" i="2" a="1"/>
  <c r="Q96" i="2" s="1"/>
  <c r="Q163" i="2" a="1"/>
  <c r="Q163" i="2" s="1"/>
  <c r="BJ145" i="2" a="1"/>
  <c r="BJ145" i="2" s="1"/>
  <c r="BR148" i="2" s="1"/>
  <c r="Q129" i="2" a="1"/>
  <c r="Q129" i="2" s="1"/>
  <c r="Q119" i="2" a="1"/>
  <c r="Q119" i="2" s="1"/>
  <c r="Q115" i="2" a="1"/>
  <c r="Q115" i="2" s="1"/>
  <c r="Q167" i="2" a="1"/>
  <c r="Q167" i="2" s="1"/>
  <c r="Q145" i="2" a="1"/>
  <c r="Q145" i="2" s="1"/>
  <c r="Q140" i="2" a="1"/>
  <c r="Q140" i="2" s="1"/>
  <c r="Q133" i="2" a="1"/>
  <c r="Q133" i="2" s="1"/>
  <c r="Q117" i="2" a="1"/>
  <c r="Q117" i="2" s="1"/>
  <c r="Q108" i="2" a="1"/>
  <c r="Q108" i="2" s="1"/>
  <c r="BJ107" i="2" a="1"/>
  <c r="BJ107" i="2" s="1"/>
  <c r="BR110" i="2" s="1"/>
  <c r="Q106" i="2" a="1"/>
  <c r="Q106" i="2" s="1"/>
  <c r="Q102" i="2" a="1"/>
  <c r="Q102" i="2" s="1"/>
  <c r="Q92" i="2" a="1"/>
  <c r="Q92" i="2" s="1"/>
  <c r="CS87" i="2" a="1"/>
  <c r="CS87" i="2" s="1"/>
  <c r="DB90" i="2" s="1"/>
  <c r="Q75" i="2" a="1"/>
  <c r="Q75" i="2" s="1"/>
  <c r="Q72" i="2" a="1"/>
  <c r="Q72" i="2" s="1"/>
  <c r="Q66" i="2" a="1"/>
  <c r="Q66" i="2" s="1"/>
  <c r="Q54" i="2" a="1"/>
  <c r="Q54" i="2" s="1"/>
  <c r="Q46" i="2" a="1"/>
  <c r="Q46" i="2" s="1"/>
  <c r="Q34" i="2" a="1"/>
  <c r="Q34" i="2" s="1"/>
  <c r="Q32" i="2" a="1"/>
  <c r="Q32" i="2" s="1"/>
  <c r="EF30" i="2" a="1"/>
  <c r="EF30" i="2" s="1"/>
  <c r="EN33" i="2" s="1"/>
  <c r="Q171" i="2" a="1"/>
  <c r="Q171" i="2" s="1"/>
  <c r="Q160" i="2" a="1"/>
  <c r="Q160" i="2" s="1"/>
  <c r="Q158" i="2" a="1"/>
  <c r="Q158" i="2" s="1"/>
  <c r="Q146" i="2" a="1"/>
  <c r="Q146" i="2" s="1"/>
  <c r="Q122" i="2" a="1"/>
  <c r="Q122" i="2" s="1"/>
  <c r="Q120" i="2" a="1"/>
  <c r="Q120" i="2" s="1"/>
  <c r="Q111" i="2" a="1"/>
  <c r="Q111" i="2" s="1"/>
  <c r="Q107" i="2" a="1"/>
  <c r="Q107" i="2" s="1"/>
  <c r="Z87" i="2" a="1"/>
  <c r="Z87" i="2" s="1"/>
  <c r="AK92" i="2" s="1"/>
  <c r="Q85" i="2" a="1"/>
  <c r="Q85" i="2" s="1"/>
  <c r="Q57" i="2" a="1"/>
  <c r="Q57" i="2" s="1"/>
  <c r="CS163" i="2" a="1"/>
  <c r="CS163" i="2" s="1"/>
  <c r="DB166" i="2" s="1"/>
  <c r="CS144" i="2" a="1"/>
  <c r="CS144" i="2" s="1"/>
  <c r="DB147" i="2" s="1"/>
  <c r="Q142" i="2" a="1"/>
  <c r="Q142" i="2" s="1"/>
  <c r="Q141" i="2" a="1"/>
  <c r="Q141" i="2" s="1"/>
  <c r="Q135" i="2" a="1"/>
  <c r="Q135" i="2" s="1"/>
  <c r="Q132" i="2" a="1"/>
  <c r="Q132" i="2" s="1"/>
  <c r="Z126" i="2" a="1"/>
  <c r="Z126" i="2" s="1"/>
  <c r="AK131" i="2" s="1"/>
  <c r="Q105" i="2" a="1"/>
  <c r="Q105" i="2" s="1"/>
  <c r="Q97" i="2" a="1"/>
  <c r="Q97" i="2" s="1"/>
  <c r="Q136" i="2" a="1"/>
  <c r="Q136" i="2" s="1"/>
  <c r="Q121" i="2" a="1"/>
  <c r="Q121" i="2" s="1"/>
  <c r="Q114" i="2" a="1"/>
  <c r="Q114" i="2" s="1"/>
  <c r="Q95" i="2" a="1"/>
  <c r="Q95" i="2" s="1"/>
  <c r="Q80" i="2" a="1"/>
  <c r="Q80" i="2" s="1"/>
  <c r="Q148" i="2" a="1"/>
  <c r="Q148" i="2" s="1"/>
  <c r="Q147" i="2" a="1"/>
  <c r="Q147" i="2" s="1"/>
  <c r="Q137" i="2" a="1"/>
  <c r="Q137" i="2" s="1"/>
  <c r="Q116" i="2" a="1"/>
  <c r="Q116" i="2" s="1"/>
  <c r="Q144" i="2" a="1"/>
  <c r="Q144" i="2" s="1"/>
  <c r="Q128" i="2" a="1"/>
  <c r="Q128" i="2" s="1"/>
  <c r="Q127" i="2" a="1"/>
  <c r="Q127" i="2" s="1"/>
  <c r="BJ126" i="2" a="1"/>
  <c r="BJ126" i="2" s="1"/>
  <c r="BR129" i="2" s="1"/>
  <c r="CS106" i="2" a="1"/>
  <c r="CS106" i="2" s="1"/>
  <c r="DB109" i="2" s="1"/>
  <c r="Q91" i="2" a="1"/>
  <c r="Q91" i="2" s="1"/>
  <c r="Q81" i="2" a="1"/>
  <c r="Q81" i="2" s="1"/>
  <c r="Q79" i="2" a="1"/>
  <c r="Q79" i="2" s="1"/>
  <c r="Q169" i="2" a="1"/>
  <c r="Q169" i="2" s="1"/>
  <c r="Q124" i="2" a="1"/>
  <c r="Q124" i="2" s="1"/>
  <c r="AV107" i="2" a="1"/>
  <c r="AV107" i="2" s="1"/>
  <c r="BB111" i="2" s="1"/>
  <c r="Q74" i="2" a="1"/>
  <c r="Q74" i="2" s="1"/>
  <c r="Q61" i="2" a="1"/>
  <c r="Q61" i="2" s="1"/>
  <c r="Q44" i="2" a="1"/>
  <c r="Q44" i="2" s="1"/>
  <c r="Q41" i="2" a="1"/>
  <c r="Q41" i="2" s="1"/>
  <c r="Q153" i="2" a="1"/>
  <c r="Q153" i="2" s="1"/>
  <c r="Q138" i="2" a="1"/>
  <c r="Q138" i="2" s="1"/>
  <c r="Q131" i="2" a="1"/>
  <c r="Q131" i="2" s="1"/>
  <c r="DM125" i="2" a="1"/>
  <c r="DM125" i="2" s="1"/>
  <c r="DU129" i="2" s="1"/>
  <c r="Q125" i="2" a="1"/>
  <c r="Q125" i="2" s="1"/>
  <c r="Q110" i="2" a="1"/>
  <c r="Q110" i="2" s="1"/>
  <c r="Q84" i="2" a="1"/>
  <c r="Q84" i="2" s="1"/>
  <c r="Q82" i="2" a="1"/>
  <c r="Q82" i="2" s="1"/>
  <c r="Q71" i="2" a="1"/>
  <c r="Q71" i="2" s="1"/>
  <c r="DM68" i="2" a="1"/>
  <c r="DM68" i="2" s="1"/>
  <c r="DU72" i="2" s="1"/>
  <c r="Q55" i="2" a="1"/>
  <c r="Q55" i="2" s="1"/>
  <c r="Q161" i="2" a="1"/>
  <c r="Q161" i="2" s="1"/>
  <c r="Q157" i="2" a="1"/>
  <c r="Q157" i="2" s="1"/>
  <c r="Q113" i="2" a="1"/>
  <c r="Q113" i="2" s="1"/>
  <c r="Z106" i="2" a="1"/>
  <c r="Z106" i="2" s="1"/>
  <c r="AK111" i="2" s="1"/>
  <c r="Q104" i="2" a="1"/>
  <c r="Q104" i="2" s="1"/>
  <c r="Q94" i="2" a="1"/>
  <c r="Q94" i="2" s="1"/>
  <c r="DM87" i="2" a="1"/>
  <c r="DM87" i="2" s="1"/>
  <c r="DU91" i="2" s="1"/>
  <c r="Q87" i="2" a="1"/>
  <c r="Q87" i="2" s="1"/>
  <c r="Q83" i="2" a="1"/>
  <c r="Q83" i="2" s="1"/>
  <c r="Q78" i="2" a="1"/>
  <c r="Q78" i="2" s="1"/>
  <c r="Q58" i="2" a="1"/>
  <c r="Q58" i="2" s="1"/>
  <c r="Q159" i="2" a="1"/>
  <c r="Q159" i="2" s="1"/>
  <c r="Q155" i="2" a="1"/>
  <c r="Q155" i="2" s="1"/>
  <c r="Q130" i="2" a="1"/>
  <c r="Q130" i="2" s="1"/>
  <c r="Q126" i="2" a="1"/>
  <c r="Q126" i="2" s="1"/>
  <c r="Q76" i="2" a="1"/>
  <c r="Q76" i="2" s="1"/>
  <c r="Q168" i="2" a="1"/>
  <c r="Q168" i="2" s="1"/>
  <c r="DM144" i="2" a="1"/>
  <c r="DM144" i="2" s="1"/>
  <c r="DU148" i="2" s="1"/>
  <c r="AV126" i="2" a="1"/>
  <c r="AV126" i="2" s="1"/>
  <c r="BB130" i="2" s="1"/>
  <c r="Q99" i="2" a="1"/>
  <c r="Q99" i="2" s="1"/>
  <c r="Q90" i="2" a="1"/>
  <c r="Q90" i="2" s="1"/>
  <c r="Q86" i="2" a="1"/>
  <c r="Q86" i="2" s="1"/>
  <c r="Q73" i="2" a="1"/>
  <c r="Q73" i="2" s="1"/>
  <c r="CS49" i="2" a="1"/>
  <c r="CS49" i="2" s="1"/>
  <c r="DB52" i="2" s="1"/>
  <c r="Q40" i="2" a="1"/>
  <c r="Q40" i="2" s="1"/>
  <c r="Q37" i="2" a="1"/>
  <c r="Q37" i="2" s="1"/>
  <c r="Q30" i="2" a="1"/>
  <c r="Q30" i="2" s="1"/>
  <c r="Q139" i="2" a="1"/>
  <c r="Q139" i="2" s="1"/>
  <c r="Q134" i="2" a="1"/>
  <c r="Q134" i="2" s="1"/>
  <c r="Q112" i="2" a="1"/>
  <c r="Q112" i="2" s="1"/>
  <c r="Q100" i="2" a="1"/>
  <c r="Q100" i="2" s="1"/>
  <c r="Q93" i="2" a="1"/>
  <c r="Q93" i="2" s="1"/>
  <c r="Q88" i="2" a="1"/>
  <c r="Q88" i="2" s="1"/>
  <c r="Q64" i="2" a="1"/>
  <c r="Q64" i="2" s="1"/>
  <c r="Q56" i="2" a="1"/>
  <c r="Q56" i="2" s="1"/>
  <c r="Q151" i="2" a="1"/>
  <c r="Q151" i="2" s="1"/>
  <c r="Q123" i="2" a="1"/>
  <c r="Q123" i="2" s="1"/>
  <c r="Q98" i="2" a="1"/>
  <c r="Q98" i="2" s="1"/>
  <c r="Q89" i="2" a="1"/>
  <c r="Q89" i="2" s="1"/>
  <c r="BJ88" i="2" a="1"/>
  <c r="BJ88" i="2" s="1"/>
  <c r="BR91" i="2" s="1"/>
  <c r="Q23" i="2" a="1"/>
  <c r="Q23" i="2" s="1"/>
  <c r="P28" i="2" a="1"/>
  <c r="P28" i="2" s="1"/>
  <c r="DM29" i="2" a="1"/>
  <c r="DM29" i="2" s="1"/>
  <c r="DU32" i="2" s="1"/>
  <c r="P39" i="2" a="1"/>
  <c r="P39" i="2" s="1"/>
  <c r="AX45" i="2" a="1"/>
  <c r="AX45" i="2" s="1"/>
  <c r="Q48" i="2" a="1"/>
  <c r="Q48" i="2" s="1"/>
  <c r="BJ50" i="2" a="1"/>
  <c r="BJ50" i="2" s="1"/>
  <c r="BR53" i="2" s="1"/>
  <c r="Q51" i="2" a="1"/>
  <c r="Q51" i="2" s="1"/>
  <c r="P56" i="2" a="1"/>
  <c r="P56" i="2" s="1"/>
  <c r="P64" i="2" a="1"/>
  <c r="P64" i="2" s="1"/>
  <c r="P393" i="2" a="1"/>
  <c r="P393" i="2" s="1"/>
  <c r="P394" i="2" a="1"/>
  <c r="P394" i="2" s="1"/>
  <c r="P237" i="2" a="1"/>
  <c r="P237" i="2" s="1"/>
  <c r="P231" i="2" a="1"/>
  <c r="P231" i="2" s="1"/>
  <c r="P385" i="2" a="1"/>
  <c r="P385" i="2" s="1"/>
  <c r="P371" i="2" a="1"/>
  <c r="P371" i="2" s="1"/>
  <c r="P368" i="2" a="1"/>
  <c r="P368" i="2" s="1"/>
  <c r="P364" i="2" a="1"/>
  <c r="P364" i="2" s="1"/>
  <c r="P360" i="2" a="1"/>
  <c r="P360" i="2" s="1"/>
  <c r="P356" i="2" a="1"/>
  <c r="P356" i="2" s="1"/>
  <c r="P349" i="2" a="1"/>
  <c r="P349" i="2" s="1"/>
  <c r="P341" i="2" a="1"/>
  <c r="P341" i="2" s="1"/>
  <c r="P333" i="2" a="1"/>
  <c r="P333" i="2" s="1"/>
  <c r="P325" i="2" a="1"/>
  <c r="P325" i="2" s="1"/>
  <c r="P317" i="2" a="1"/>
  <c r="P317" i="2" s="1"/>
  <c r="P309" i="2" a="1"/>
  <c r="P309" i="2" s="1"/>
  <c r="P301" i="2" a="1"/>
  <c r="P301" i="2" s="1"/>
  <c r="P293" i="2" a="1"/>
  <c r="P293" i="2" s="1"/>
  <c r="P285" i="2" a="1"/>
  <c r="P285" i="2" s="1"/>
  <c r="P277" i="2" a="1"/>
  <c r="P277" i="2" s="1"/>
  <c r="P268" i="2" a="1"/>
  <c r="P268" i="2" s="1"/>
  <c r="P267" i="2" a="1"/>
  <c r="P267" i="2" s="1"/>
  <c r="P383" i="2" a="1"/>
  <c r="P383" i="2" s="1"/>
  <c r="P376" i="2" a="1"/>
  <c r="P376" i="2" s="1"/>
  <c r="P269" i="2" a="1"/>
  <c r="P269" i="2" s="1"/>
  <c r="P392" i="2" a="1"/>
  <c r="P392" i="2" s="1"/>
  <c r="P390" i="2" a="1"/>
  <c r="P390" i="2" s="1"/>
  <c r="P374" i="2" a="1"/>
  <c r="P374" i="2" s="1"/>
  <c r="P350" i="2" a="1"/>
  <c r="P350" i="2" s="1"/>
  <c r="P342" i="2" a="1"/>
  <c r="P342" i="2" s="1"/>
  <c r="P334" i="2" a="1"/>
  <c r="P334" i="2" s="1"/>
  <c r="P326" i="2" a="1"/>
  <c r="P326" i="2" s="1"/>
  <c r="P318" i="2" a="1"/>
  <c r="P318" i="2" s="1"/>
  <c r="P310" i="2" a="1"/>
  <c r="P310" i="2" s="1"/>
  <c r="P302" i="2" a="1"/>
  <c r="P302" i="2" s="1"/>
  <c r="P294" i="2" a="1"/>
  <c r="P294" i="2" s="1"/>
  <c r="P286" i="2" a="1"/>
  <c r="P286" i="2" s="1"/>
  <c r="P278" i="2" a="1"/>
  <c r="P278" i="2" s="1"/>
  <c r="P381" i="2" a="1"/>
  <c r="P381" i="2" s="1"/>
  <c r="P365" i="2" a="1"/>
  <c r="P365" i="2" s="1"/>
  <c r="P361" i="2" a="1"/>
  <c r="P361" i="2" s="1"/>
  <c r="P357" i="2" a="1"/>
  <c r="P357" i="2" s="1"/>
  <c r="P351" i="2" a="1"/>
  <c r="P351" i="2" s="1"/>
  <c r="P343" i="2" a="1"/>
  <c r="P343" i="2" s="1"/>
  <c r="P335" i="2" a="1"/>
  <c r="P335" i="2" s="1"/>
  <c r="P327" i="2" a="1"/>
  <c r="P327" i="2" s="1"/>
  <c r="P319" i="2" a="1"/>
  <c r="P319" i="2" s="1"/>
  <c r="P311" i="2" a="1"/>
  <c r="P311" i="2" s="1"/>
  <c r="P303" i="2" a="1"/>
  <c r="P303" i="2" s="1"/>
  <c r="P295" i="2" a="1"/>
  <c r="P295" i="2" s="1"/>
  <c r="P287" i="2" a="1"/>
  <c r="P287" i="2" s="1"/>
  <c r="P279" i="2" a="1"/>
  <c r="P279" i="2" s="1"/>
  <c r="P388" i="2" a="1"/>
  <c r="P388" i="2" s="1"/>
  <c r="P379" i="2" a="1"/>
  <c r="P379" i="2" s="1"/>
  <c r="P259" i="2" a="1"/>
  <c r="P259" i="2" s="1"/>
  <c r="P386" i="2" a="1"/>
  <c r="P386" i="2" s="1"/>
  <c r="P372" i="2" a="1"/>
  <c r="P372" i="2" s="1"/>
  <c r="P369" i="2" a="1"/>
  <c r="P369" i="2" s="1"/>
  <c r="P352" i="2" a="1"/>
  <c r="P352" i="2" s="1"/>
  <c r="P344" i="2" a="1"/>
  <c r="P344" i="2" s="1"/>
  <c r="P336" i="2" a="1"/>
  <c r="P336" i="2" s="1"/>
  <c r="P328" i="2" a="1"/>
  <c r="P328" i="2" s="1"/>
  <c r="P320" i="2" a="1"/>
  <c r="P320" i="2" s="1"/>
  <c r="P312" i="2" a="1"/>
  <c r="P312" i="2" s="1"/>
  <c r="P304" i="2" a="1"/>
  <c r="P304" i="2" s="1"/>
  <c r="P296" i="2" a="1"/>
  <c r="P296" i="2" s="1"/>
  <c r="P288" i="2" a="1"/>
  <c r="P288" i="2" s="1"/>
  <c r="P280" i="2" a="1"/>
  <c r="P280" i="2" s="1"/>
  <c r="P272" i="2" a="1"/>
  <c r="P272" i="2" s="1"/>
  <c r="P240" i="2" a="1"/>
  <c r="P240" i="2" s="1"/>
  <c r="P377" i="2" a="1"/>
  <c r="P377" i="2" s="1"/>
  <c r="P366" i="2" a="1"/>
  <c r="P366" i="2" s="1"/>
  <c r="P362" i="2" a="1"/>
  <c r="P362" i="2" s="1"/>
  <c r="P358" i="2" a="1"/>
  <c r="P358" i="2" s="1"/>
  <c r="P353" i="2" a="1"/>
  <c r="P353" i="2" s="1"/>
  <c r="P345" i="2" a="1"/>
  <c r="P345" i="2" s="1"/>
  <c r="P337" i="2" a="1"/>
  <c r="P337" i="2" s="1"/>
  <c r="P329" i="2" a="1"/>
  <c r="P329" i="2" s="1"/>
  <c r="P321" i="2" a="1"/>
  <c r="P321" i="2" s="1"/>
  <c r="P313" i="2" a="1"/>
  <c r="P313" i="2" s="1"/>
  <c r="P305" i="2" a="1"/>
  <c r="P305" i="2" s="1"/>
  <c r="P297" i="2" a="1"/>
  <c r="P297" i="2" s="1"/>
  <c r="P289" i="2" a="1"/>
  <c r="P289" i="2" s="1"/>
  <c r="P281" i="2" a="1"/>
  <c r="P281" i="2" s="1"/>
  <c r="P391" i="2" a="1"/>
  <c r="P391" i="2" s="1"/>
  <c r="P384" i="2" a="1"/>
  <c r="P384" i="2" s="1"/>
  <c r="P375" i="2" a="1"/>
  <c r="P375" i="2" s="1"/>
  <c r="P264" i="2" a="1"/>
  <c r="P264" i="2" s="1"/>
  <c r="P370" i="2" a="1"/>
  <c r="P370" i="2" s="1"/>
  <c r="P245" i="2" a="1"/>
  <c r="P245" i="2" s="1"/>
  <c r="P395" i="2" a="1"/>
  <c r="P395" i="2" s="1"/>
  <c r="P389" i="2" a="1"/>
  <c r="P389" i="2" s="1"/>
  <c r="P373" i="2" a="1"/>
  <c r="P373" i="2" s="1"/>
  <c r="P367" i="2" a="1"/>
  <c r="P367" i="2" s="1"/>
  <c r="P363" i="2" a="1"/>
  <c r="P363" i="2" s="1"/>
  <c r="P359" i="2" a="1"/>
  <c r="P359" i="2" s="1"/>
  <c r="P355" i="2" a="1"/>
  <c r="P355" i="2" s="1"/>
  <c r="P347" i="2" a="1"/>
  <c r="P347" i="2" s="1"/>
  <c r="P339" i="2" a="1"/>
  <c r="P339" i="2" s="1"/>
  <c r="P331" i="2" a="1"/>
  <c r="P331" i="2" s="1"/>
  <c r="P323" i="2" a="1"/>
  <c r="P323" i="2" s="1"/>
  <c r="P315" i="2" a="1"/>
  <c r="P315" i="2" s="1"/>
  <c r="P307" i="2" a="1"/>
  <c r="P307" i="2" s="1"/>
  <c r="P299" i="2" a="1"/>
  <c r="P299" i="2" s="1"/>
  <c r="P291" i="2" a="1"/>
  <c r="P291" i="2" s="1"/>
  <c r="P283" i="2" a="1"/>
  <c r="P283" i="2" s="1"/>
  <c r="P387" i="2" a="1"/>
  <c r="P387" i="2" s="1"/>
  <c r="P380" i="2" a="1"/>
  <c r="P380" i="2" s="1"/>
  <c r="P322" i="2" a="1"/>
  <c r="P322" i="2" s="1"/>
  <c r="P248" i="2" a="1"/>
  <c r="P248" i="2" s="1"/>
  <c r="P233" i="2" a="1"/>
  <c r="P233" i="2" s="1"/>
  <c r="P215" i="2" a="1"/>
  <c r="P215" i="2" s="1"/>
  <c r="P209" i="2" a="1"/>
  <c r="P209" i="2" s="1"/>
  <c r="P180" i="2" a="1"/>
  <c r="P180" i="2" s="1"/>
  <c r="P169" i="2" a="1"/>
  <c r="P169" i="2" s="1"/>
  <c r="P340" i="2" a="1"/>
  <c r="P340" i="2" s="1"/>
  <c r="P262" i="2" a="1"/>
  <c r="P262" i="2" s="1"/>
  <c r="P255" i="2" a="1"/>
  <c r="P255" i="2" s="1"/>
  <c r="P234" i="2" a="1"/>
  <c r="P234" i="2" s="1"/>
  <c r="P230" i="2" a="1"/>
  <c r="P230" i="2" s="1"/>
  <c r="P205" i="2" a="1"/>
  <c r="P205" i="2" s="1"/>
  <c r="P200" i="2" a="1"/>
  <c r="P200" i="2" s="1"/>
  <c r="P199" i="2" a="1"/>
  <c r="P199" i="2" s="1"/>
  <c r="P198" i="2" a="1"/>
  <c r="P198" i="2" s="1"/>
  <c r="P197" i="2" a="1"/>
  <c r="P197" i="2" s="1"/>
  <c r="P189" i="2" a="1"/>
  <c r="P189" i="2" s="1"/>
  <c r="P382" i="2" a="1"/>
  <c r="P382" i="2" s="1"/>
  <c r="P330" i="2" a="1"/>
  <c r="P330" i="2" s="1"/>
  <c r="P274" i="2" a="1"/>
  <c r="P274" i="2" s="1"/>
  <c r="P252" i="2" a="1"/>
  <c r="P252" i="2" s="1"/>
  <c r="P220" i="2" a="1"/>
  <c r="P220" i="2" s="1"/>
  <c r="P214" i="2" a="1"/>
  <c r="P214" i="2" s="1"/>
  <c r="P207" i="2" a="1"/>
  <c r="P207" i="2" s="1"/>
  <c r="P174" i="2" a="1"/>
  <c r="P174" i="2" s="1"/>
  <c r="P348" i="2" a="1"/>
  <c r="P348" i="2" s="1"/>
  <c r="P284" i="2" a="1"/>
  <c r="P284" i="2" s="1"/>
  <c r="P266" i="2" a="1"/>
  <c r="P266" i="2" s="1"/>
  <c r="P249" i="2" a="1"/>
  <c r="P249" i="2" s="1"/>
  <c r="P192" i="2" a="1"/>
  <c r="P192" i="2" s="1"/>
  <c r="P168" i="2" a="1"/>
  <c r="P168" i="2" s="1"/>
  <c r="P338" i="2" a="1"/>
  <c r="P338" i="2" s="1"/>
  <c r="P263" i="2" a="1"/>
  <c r="P263" i="2" s="1"/>
  <c r="P226" i="2" a="1"/>
  <c r="P226" i="2" s="1"/>
  <c r="P213" i="2" a="1"/>
  <c r="P213" i="2" s="1"/>
  <c r="P202" i="2" a="1"/>
  <c r="P202" i="2" s="1"/>
  <c r="P186" i="2" a="1"/>
  <c r="P186" i="2" s="1"/>
  <c r="P183" i="2" a="1"/>
  <c r="P183" i="2" s="1"/>
  <c r="P176" i="2" a="1"/>
  <c r="P176" i="2" s="1"/>
  <c r="P292" i="2" a="1"/>
  <c r="P292" i="2" s="1"/>
  <c r="P270" i="2" a="1"/>
  <c r="P270" i="2" s="1"/>
  <c r="DM257" i="2" a="1"/>
  <c r="DM257" i="2" s="1"/>
  <c r="DU259" i="2" s="1"/>
  <c r="DM238" i="2" a="1"/>
  <c r="DM238" i="2" s="1"/>
  <c r="DU240" i="2" s="1"/>
  <c r="P235" i="2" a="1"/>
  <c r="P235" i="2" s="1"/>
  <c r="P229" i="2" a="1"/>
  <c r="P229" i="2" s="1"/>
  <c r="P210" i="2" a="1"/>
  <c r="P210" i="2" s="1"/>
  <c r="DM200" i="2" a="1"/>
  <c r="DM200" i="2" s="1"/>
  <c r="DU203" i="2" s="1"/>
  <c r="P179" i="2" a="1"/>
  <c r="P179" i="2" s="1"/>
  <c r="P156" i="2" a="1"/>
  <c r="P156" i="2" s="1"/>
  <c r="P346" i="2" a="1"/>
  <c r="P346" i="2" s="1"/>
  <c r="P282" i="2" a="1"/>
  <c r="P282" i="2" s="1"/>
  <c r="P273" i="2" a="1"/>
  <c r="P273" i="2" s="1"/>
  <c r="P256" i="2" a="1"/>
  <c r="P256" i="2" s="1"/>
  <c r="P190" i="2" a="1"/>
  <c r="P190" i="2" s="1"/>
  <c r="P378" i="2" a="1"/>
  <c r="P378" i="2" s="1"/>
  <c r="P300" i="2" a="1"/>
  <c r="P300" i="2" s="1"/>
  <c r="P253" i="2" a="1"/>
  <c r="P253" i="2" s="1"/>
  <c r="P236" i="2" a="1"/>
  <c r="P236" i="2" s="1"/>
  <c r="P222" i="2" a="1"/>
  <c r="P222" i="2" s="1"/>
  <c r="P204" i="2" a="1"/>
  <c r="P204" i="2" s="1"/>
  <c r="DO197" i="2" a="1"/>
  <c r="DO197" i="2" s="1"/>
  <c r="P354" i="2" a="1"/>
  <c r="P354" i="2" s="1"/>
  <c r="P290" i="2" a="1"/>
  <c r="P290" i="2" s="1"/>
  <c r="P250" i="2" a="1"/>
  <c r="P250" i="2" s="1"/>
  <c r="P212" i="2" a="1"/>
  <c r="P212" i="2" s="1"/>
  <c r="P187" i="2" a="1"/>
  <c r="P187" i="2" s="1"/>
  <c r="P308" i="2" a="1"/>
  <c r="P308" i="2" s="1"/>
  <c r="P243" i="2" a="1"/>
  <c r="P243" i="2" s="1"/>
  <c r="P242" i="2" a="1"/>
  <c r="P242" i="2" s="1"/>
  <c r="P227" i="2" a="1"/>
  <c r="P227" i="2" s="1"/>
  <c r="P224" i="2" a="1"/>
  <c r="P224" i="2" s="1"/>
  <c r="P219" i="2" a="1"/>
  <c r="P219" i="2" s="1"/>
  <c r="P218" i="2" a="1"/>
  <c r="P218" i="2" s="1"/>
  <c r="P206" i="2" a="1"/>
  <c r="P206" i="2" s="1"/>
  <c r="P171" i="2" a="1"/>
  <c r="P171" i="2" s="1"/>
  <c r="P153" i="2" a="1"/>
  <c r="P153" i="2" s="1"/>
  <c r="P145" i="2" a="1"/>
  <c r="P145" i="2" s="1"/>
  <c r="P298" i="2" a="1"/>
  <c r="P298" i="2" s="1"/>
  <c r="P276" i="2" a="1"/>
  <c r="P276" i="2" s="1"/>
  <c r="P241" i="2" a="1"/>
  <c r="P241" i="2" s="1"/>
  <c r="P208" i="2" a="1"/>
  <c r="P208" i="2" s="1"/>
  <c r="P201" i="2" a="1"/>
  <c r="P201" i="2" s="1"/>
  <c r="DM181" i="2" a="1"/>
  <c r="DM181" i="2" s="1"/>
  <c r="DU184" i="2" s="1"/>
  <c r="P178" i="2" a="1"/>
  <c r="P178" i="2" s="1"/>
  <c r="P175" i="2" a="1"/>
  <c r="P175" i="2" s="1"/>
  <c r="P173" i="2" a="1"/>
  <c r="P173" i="2" s="1"/>
  <c r="P166" i="2" a="1"/>
  <c r="P166" i="2" s="1"/>
  <c r="P316" i="2" a="1"/>
  <c r="P316" i="2" s="1"/>
  <c r="P258" i="2" a="1"/>
  <c r="P258" i="2" s="1"/>
  <c r="P244" i="2" a="1"/>
  <c r="P244" i="2" s="1"/>
  <c r="P239" i="2" a="1"/>
  <c r="P239" i="2" s="1"/>
  <c r="P191" i="2" a="1"/>
  <c r="P191" i="2" s="1"/>
  <c r="P184" i="2" a="1"/>
  <c r="P184" i="2" s="1"/>
  <c r="P181" i="2" a="1"/>
  <c r="P181" i="2" s="1"/>
  <c r="P306" i="2" a="1"/>
  <c r="P306" i="2" s="1"/>
  <c r="P257" i="2" a="1"/>
  <c r="P257" i="2" s="1"/>
  <c r="DO235" i="2" a="1"/>
  <c r="DO235" i="2" s="1"/>
  <c r="P221" i="2" a="1"/>
  <c r="P221" i="2" s="1"/>
  <c r="P217" i="2" a="1"/>
  <c r="P217" i="2" s="1"/>
  <c r="P165" i="2" a="1"/>
  <c r="P165" i="2" s="1"/>
  <c r="P164" i="2" a="1"/>
  <c r="P164" i="2" s="1"/>
  <c r="P324" i="2" a="1"/>
  <c r="P324" i="2" s="1"/>
  <c r="P265" i="2" a="1"/>
  <c r="P265" i="2" s="1"/>
  <c r="P254" i="2" a="1"/>
  <c r="P254" i="2" s="1"/>
  <c r="P251" i="2" a="1"/>
  <c r="P251" i="2" s="1"/>
  <c r="P238" i="2" a="1"/>
  <c r="P238" i="2" s="1"/>
  <c r="DM219" i="2" a="1"/>
  <c r="DM219" i="2" s="1"/>
  <c r="DU222" i="2" s="1"/>
  <c r="P194" i="2" a="1"/>
  <c r="P194" i="2" s="1"/>
  <c r="P193" i="2" a="1"/>
  <c r="P193" i="2" s="1"/>
  <c r="P188" i="2" a="1"/>
  <c r="P188" i="2" s="1"/>
  <c r="P170" i="2" a="1"/>
  <c r="P170" i="2" s="1"/>
  <c r="P154" i="2" a="1"/>
  <c r="P154" i="2" s="1"/>
  <c r="P314" i="2" a="1"/>
  <c r="P314" i="2" s="1"/>
  <c r="P275" i="2" a="1"/>
  <c r="P275" i="2" s="1"/>
  <c r="P246" i="2" a="1"/>
  <c r="P246" i="2" s="1"/>
  <c r="P225" i="2" a="1"/>
  <c r="P225" i="2" s="1"/>
  <c r="P211" i="2" a="1"/>
  <c r="P211" i="2" s="1"/>
  <c r="P195" i="2" a="1"/>
  <c r="P195" i="2" s="1"/>
  <c r="P185" i="2" a="1"/>
  <c r="P185" i="2" s="1"/>
  <c r="P332" i="2" a="1"/>
  <c r="P332" i="2" s="1"/>
  <c r="P271" i="2" a="1"/>
  <c r="P271" i="2" s="1"/>
  <c r="P261" i="2" a="1"/>
  <c r="P261" i="2" s="1"/>
  <c r="P260" i="2" a="1"/>
  <c r="P260" i="2" s="1"/>
  <c r="P247" i="2" a="1"/>
  <c r="P247" i="2" s="1"/>
  <c r="P232" i="2" a="1"/>
  <c r="P232" i="2" s="1"/>
  <c r="P228" i="2" a="1"/>
  <c r="P228" i="2" s="1"/>
  <c r="P223" i="2" a="1"/>
  <c r="P223" i="2" s="1"/>
  <c r="P216" i="2" a="1"/>
  <c r="P216" i="2" s="1"/>
  <c r="P203" i="2" a="1"/>
  <c r="P203" i="2" s="1"/>
  <c r="P196" i="2" a="1"/>
  <c r="P196" i="2" s="1"/>
  <c r="P182" i="2" a="1"/>
  <c r="P182" i="2" s="1"/>
  <c r="P177" i="2" a="1"/>
  <c r="P177" i="2" s="1"/>
  <c r="DM162" i="2" a="1"/>
  <c r="DM162" i="2" s="1"/>
  <c r="DU165" i="2" s="1"/>
  <c r="P152" i="2" a="1"/>
  <c r="P152" i="2" s="1"/>
  <c r="DM143" i="2" a="1"/>
  <c r="DM143" i="2" s="1"/>
  <c r="DU146" i="2" s="1"/>
  <c r="P128" i="2" a="1"/>
  <c r="P128" i="2" s="1"/>
  <c r="P134" i="2" a="1"/>
  <c r="P134" i="2" s="1"/>
  <c r="P112" i="2" a="1"/>
  <c r="P112" i="2" s="1"/>
  <c r="P100" i="2" a="1"/>
  <c r="P100" i="2" s="1"/>
  <c r="P93" i="2" a="1"/>
  <c r="P93" i="2" s="1"/>
  <c r="P172" i="2" a="1"/>
  <c r="P172" i="2" s="1"/>
  <c r="P162" i="2" a="1"/>
  <c r="P162" i="2" s="1"/>
  <c r="P151" i="2" a="1"/>
  <c r="P151" i="2" s="1"/>
  <c r="P123" i="2" a="1"/>
  <c r="P123" i="2" s="1"/>
  <c r="P98" i="2" a="1"/>
  <c r="P98" i="2" s="1"/>
  <c r="P89" i="2" a="1"/>
  <c r="P89" i="2" s="1"/>
  <c r="P163" i="2" a="1"/>
  <c r="P163" i="2" s="1"/>
  <c r="P143" i="2" a="1"/>
  <c r="P143" i="2" s="1"/>
  <c r="P118" i="2" a="1"/>
  <c r="P118" i="2" s="1"/>
  <c r="P109" i="2" a="1"/>
  <c r="P109" i="2" s="1"/>
  <c r="P103" i="2" a="1"/>
  <c r="P103" i="2" s="1"/>
  <c r="P101" i="2" a="1"/>
  <c r="P101" i="2" s="1"/>
  <c r="P96" i="2" a="1"/>
  <c r="P96" i="2" s="1"/>
  <c r="DO64" i="2" a="1"/>
  <c r="DO64" i="2" s="1"/>
  <c r="P59" i="2" a="1"/>
  <c r="P59" i="2" s="1"/>
  <c r="CS48" i="2" a="1"/>
  <c r="CS48" i="2" s="1"/>
  <c r="DB50" i="2" s="1"/>
  <c r="AB45" i="2" a="1"/>
  <c r="AB45" i="2" s="1"/>
  <c r="Z29" i="2" a="1"/>
  <c r="Z29" i="2" s="1"/>
  <c r="AK31" i="2" s="1"/>
  <c r="P27" i="2" a="1"/>
  <c r="P27" i="2" s="1"/>
  <c r="BL26" i="2" a="1"/>
  <c r="BL26" i="2" s="1"/>
  <c r="P20" i="2" a="1"/>
  <c r="P20" i="2" s="1"/>
  <c r="P167" i="2" a="1"/>
  <c r="P167" i="2" s="1"/>
  <c r="P140" i="2" a="1"/>
  <c r="P140" i="2" s="1"/>
  <c r="P129" i="2" a="1"/>
  <c r="P129" i="2" s="1"/>
  <c r="P119" i="2" a="1"/>
  <c r="P119" i="2" s="1"/>
  <c r="P115" i="2" a="1"/>
  <c r="P115" i="2" s="1"/>
  <c r="P160" i="2" a="1"/>
  <c r="P160" i="2" s="1"/>
  <c r="P158" i="2" a="1"/>
  <c r="P158" i="2" s="1"/>
  <c r="P133" i="2" a="1"/>
  <c r="P133" i="2" s="1"/>
  <c r="P117" i="2" a="1"/>
  <c r="P117" i="2" s="1"/>
  <c r="P108" i="2" a="1"/>
  <c r="P108" i="2" s="1"/>
  <c r="P106" i="2" a="1"/>
  <c r="P106" i="2" s="1"/>
  <c r="P102" i="2" a="1"/>
  <c r="P102" i="2" s="1"/>
  <c r="P92" i="2" a="1"/>
  <c r="P92" i="2" s="1"/>
  <c r="P146" i="2" a="1"/>
  <c r="P146" i="2" s="1"/>
  <c r="P142" i="2" a="1"/>
  <c r="P142" i="2" s="1"/>
  <c r="P141" i="2" a="1"/>
  <c r="P141" i="2" s="1"/>
  <c r="P122" i="2" a="1"/>
  <c r="P122" i="2" s="1"/>
  <c r="P120" i="2" a="1"/>
  <c r="P120" i="2" s="1"/>
  <c r="P111" i="2" a="1"/>
  <c r="P111" i="2" s="1"/>
  <c r="P107" i="2" a="1"/>
  <c r="P107" i="2" s="1"/>
  <c r="CS105" i="2" a="1"/>
  <c r="CS105" i="2" s="1"/>
  <c r="DB107" i="2" s="1"/>
  <c r="P85" i="2" a="1"/>
  <c r="P85" i="2" s="1"/>
  <c r="P136" i="2" a="1"/>
  <c r="P136" i="2" s="1"/>
  <c r="P135" i="2" a="1"/>
  <c r="P135" i="2" s="1"/>
  <c r="P132" i="2" a="1"/>
  <c r="P132" i="2" s="1"/>
  <c r="DM124" i="2" a="1"/>
  <c r="DM124" i="2" s="1"/>
  <c r="DU127" i="2" s="1"/>
  <c r="P105" i="2" a="1"/>
  <c r="P105" i="2" s="1"/>
  <c r="P97" i="2" a="1"/>
  <c r="P97" i="2" s="1"/>
  <c r="CU159" i="2" a="1"/>
  <c r="CU159" i="2" s="1"/>
  <c r="P148" i="2" a="1"/>
  <c r="P148" i="2" s="1"/>
  <c r="BJ125" i="2" a="1"/>
  <c r="BJ125" i="2" s="1"/>
  <c r="BR127" i="2" s="1"/>
  <c r="P121" i="2" a="1"/>
  <c r="P121" i="2" s="1"/>
  <c r="P114" i="2" a="1"/>
  <c r="P114" i="2" s="1"/>
  <c r="P95" i="2" a="1"/>
  <c r="P95" i="2" s="1"/>
  <c r="P80" i="2" a="1"/>
  <c r="P80" i="2" s="1"/>
  <c r="P77" i="2" a="1"/>
  <c r="P77" i="2" s="1"/>
  <c r="BJ68" i="2" a="1"/>
  <c r="BJ68" i="2" s="1"/>
  <c r="BR70" i="2" s="1"/>
  <c r="P147" i="2" a="1"/>
  <c r="P147" i="2" s="1"/>
  <c r="CS143" i="2" a="1"/>
  <c r="CS143" i="2" s="1"/>
  <c r="DB145" i="2" s="1"/>
  <c r="P137" i="2" a="1"/>
  <c r="P137" i="2" s="1"/>
  <c r="P116" i="2" a="1"/>
  <c r="P116" i="2" s="1"/>
  <c r="DM86" i="2" a="1"/>
  <c r="DM86" i="2" s="1"/>
  <c r="DU89" i="2" s="1"/>
  <c r="P43" i="2" a="1"/>
  <c r="P43" i="2" s="1"/>
  <c r="P149" i="2" a="1"/>
  <c r="P149" i="2" s="1"/>
  <c r="P144" i="2" a="1"/>
  <c r="P144" i="2" s="1"/>
  <c r="P127" i="2" a="1"/>
  <c r="P127" i="2" s="1"/>
  <c r="P91" i="2" a="1"/>
  <c r="P91" i="2" s="1"/>
  <c r="BJ87" i="2" a="1"/>
  <c r="BJ87" i="2" s="1"/>
  <c r="BR89" i="2" s="1"/>
  <c r="P81" i="2" a="1"/>
  <c r="P81" i="2" s="1"/>
  <c r="P79" i="2" a="1"/>
  <c r="P79" i="2" s="1"/>
  <c r="DM67" i="2" a="1"/>
  <c r="DM67" i="2" s="1"/>
  <c r="DU70" i="2" s="1"/>
  <c r="BJ144" i="2" a="1"/>
  <c r="BJ144" i="2" s="1"/>
  <c r="BR146" i="2" s="1"/>
  <c r="DO140" i="2" a="1"/>
  <c r="DO140" i="2" s="1"/>
  <c r="P124" i="2" a="1"/>
  <c r="P124" i="2" s="1"/>
  <c r="CU102" i="2" a="1"/>
  <c r="CU102" i="2" s="1"/>
  <c r="P74" i="2" a="1"/>
  <c r="P74" i="2" s="1"/>
  <c r="P161" i="2" a="1"/>
  <c r="P161" i="2" s="1"/>
  <c r="P157" i="2" a="1"/>
  <c r="P157" i="2" s="1"/>
  <c r="P138" i="2" a="1"/>
  <c r="P138" i="2" s="1"/>
  <c r="P131" i="2" a="1"/>
  <c r="P131" i="2" s="1"/>
  <c r="P125" i="2" a="1"/>
  <c r="P125" i="2" s="1"/>
  <c r="BL122" i="2" a="1"/>
  <c r="BL122" i="2" s="1"/>
  <c r="P110" i="2" a="1"/>
  <c r="P110" i="2" s="1"/>
  <c r="P84" i="2" a="1"/>
  <c r="P84" i="2" s="1"/>
  <c r="P82" i="2" a="1"/>
  <c r="P82" i="2" s="1"/>
  <c r="P71" i="2" a="1"/>
  <c r="P71" i="2" s="1"/>
  <c r="CS162" i="2" a="1"/>
  <c r="CS162" i="2" s="1"/>
  <c r="DB164" i="2" s="1"/>
  <c r="P113" i="2" a="1"/>
  <c r="P113" i="2" s="1"/>
  <c r="P104" i="2" a="1"/>
  <c r="P104" i="2" s="1"/>
  <c r="P94" i="2" a="1"/>
  <c r="P94" i="2" s="1"/>
  <c r="BL141" i="2" a="1"/>
  <c r="BL141" i="2" s="1"/>
  <c r="CS124" i="2" a="1"/>
  <c r="CS124" i="2" s="1"/>
  <c r="DB126" i="2" s="1"/>
  <c r="P87" i="2" a="1"/>
  <c r="P87" i="2" s="1"/>
  <c r="P83" i="2" a="1"/>
  <c r="P83" i="2" s="1"/>
  <c r="P78" i="2" a="1"/>
  <c r="P78" i="2" s="1"/>
  <c r="P58" i="2" a="1"/>
  <c r="P58" i="2" s="1"/>
  <c r="P53" i="2" a="1"/>
  <c r="P53" i="2" s="1"/>
  <c r="P36" i="2" a="1"/>
  <c r="P36" i="2" s="1"/>
  <c r="P159" i="2" a="1"/>
  <c r="P159" i="2" s="1"/>
  <c r="P155" i="2" a="1"/>
  <c r="P155" i="2" s="1"/>
  <c r="P150" i="2" a="1"/>
  <c r="P150" i="2" s="1"/>
  <c r="P130" i="2" a="1"/>
  <c r="P130" i="2" s="1"/>
  <c r="P126" i="2" a="1"/>
  <c r="P126" i="2" s="1"/>
  <c r="BJ106" i="2" a="1"/>
  <c r="BJ106" i="2" s="1"/>
  <c r="BR108" i="2" s="1"/>
  <c r="DM105" i="2" a="1"/>
  <c r="DM105" i="2" s="1"/>
  <c r="DU108" i="2" s="1"/>
  <c r="CS86" i="2" a="1"/>
  <c r="CS86" i="2" s="1"/>
  <c r="DB88" i="2" s="1"/>
  <c r="P76" i="2" a="1"/>
  <c r="P76" i="2" s="1"/>
  <c r="P70" i="2" a="1"/>
  <c r="P70" i="2" s="1"/>
  <c r="P69" i="2" a="1"/>
  <c r="P69" i="2" s="1"/>
  <c r="AV68" i="2" a="1"/>
  <c r="AV68" i="2" s="1"/>
  <c r="BB71" i="2" s="1"/>
  <c r="P68" i="2" a="1"/>
  <c r="P68" i="2" s="1"/>
  <c r="P67" i="2" a="1"/>
  <c r="P67" i="2" s="1"/>
  <c r="P63" i="2" a="1"/>
  <c r="P63" i="2" s="1"/>
  <c r="P139" i="2" a="1"/>
  <c r="P139" i="2" s="1"/>
  <c r="P99" i="2" a="1"/>
  <c r="P99" i="2" s="1"/>
  <c r="P90" i="2" a="1"/>
  <c r="P90" i="2" s="1"/>
  <c r="P86" i="2" a="1"/>
  <c r="P86" i="2" s="1"/>
  <c r="BL84" i="2" a="1"/>
  <c r="BL84" i="2" s="1"/>
  <c r="P17" i="2" a="1"/>
  <c r="P17" i="2" s="1"/>
  <c r="P18" i="2" a="1"/>
  <c r="P18" i="2" s="1"/>
  <c r="CE21" i="2"/>
  <c r="CN18" i="2" s="1"/>
  <c r="DO29" i="2" a="1"/>
  <c r="DO29" i="2" s="1"/>
  <c r="DU33" i="2" s="1"/>
  <c r="P34" i="2" a="1"/>
  <c r="P34" i="2" s="1"/>
  <c r="CU48" i="2" a="1"/>
  <c r="CU48" i="2" s="1"/>
  <c r="DB51" i="2" s="1"/>
  <c r="P9" i="2" a="1"/>
  <c r="P9" i="2" s="1"/>
  <c r="DO10" i="2" a="1"/>
  <c r="DO10" i="2" s="1"/>
  <c r="DU14" i="2" s="1"/>
  <c r="EH19" i="2"/>
  <c r="ET16" i="2" s="1"/>
  <c r="CC29" i="2" a="1"/>
  <c r="CC29" i="2" s="1"/>
  <c r="CK32" i="2" s="1"/>
  <c r="P30" i="2" a="1"/>
  <c r="P30" i="2" s="1"/>
  <c r="CU45" i="2" a="1"/>
  <c r="CU45" i="2" s="1"/>
  <c r="P50" i="2" a="1"/>
  <c r="P50" i="2" s="1"/>
  <c r="P57" i="2" a="1"/>
  <c r="P57" i="2" s="1"/>
  <c r="P60" i="2" a="1"/>
  <c r="P60" i="2" s="1"/>
  <c r="P62" i="2" a="1"/>
  <c r="P62" i="2" s="1"/>
  <c r="Q67" i="2" a="1"/>
  <c r="Q67" i="2" s="1"/>
  <c r="BL68" i="2" a="1"/>
  <c r="BL68" i="2" s="1"/>
  <c r="BR71" i="2" s="1"/>
  <c r="P40" i="2" a="1"/>
  <c r="P40" i="2" s="1"/>
  <c r="DO45" i="2" a="1"/>
  <c r="DO45" i="2" s="1"/>
  <c r="Q60" i="2" a="1"/>
  <c r="Q60" i="2" s="1"/>
  <c r="Q62" i="2" a="1"/>
  <c r="Q62" i="2" s="1"/>
  <c r="Q69" i="2" a="1"/>
  <c r="Q69" i="2" s="1"/>
  <c r="BL156" i="2"/>
  <c r="BX153" i="2" s="1"/>
  <c r="BL155" i="2"/>
  <c r="BX152" i="2" s="1"/>
  <c r="AB116" i="2"/>
  <c r="AQ113" i="2" s="1"/>
  <c r="AK135" i="2"/>
  <c r="AB136" i="2"/>
  <c r="AQ133" i="2" s="1"/>
  <c r="AX137" i="2"/>
  <c r="BE134" i="2" s="1"/>
  <c r="DO152" i="2"/>
  <c r="EA149" i="2" s="1"/>
  <c r="DO173" i="2"/>
  <c r="EA170" i="2" s="1"/>
  <c r="DO171" i="2"/>
  <c r="EA168" i="2" s="1"/>
  <c r="DO174" i="2"/>
  <c r="EA171" i="2" s="1"/>
  <c r="DO172" i="2"/>
  <c r="EA169" i="2" s="1"/>
  <c r="AJ175" i="2"/>
  <c r="AH175" i="2"/>
  <c r="AG175" i="2"/>
  <c r="CU41" i="2"/>
  <c r="DH38" i="2" s="1"/>
  <c r="AW94" i="2"/>
  <c r="AB95" i="2"/>
  <c r="AQ92" i="2" s="1"/>
  <c r="AW113" i="2"/>
  <c r="BE110" i="2" s="1"/>
  <c r="AB114" i="2"/>
  <c r="AQ111" i="2" s="1"/>
  <c r="AX116" i="2"/>
  <c r="BE113" i="2" s="1"/>
  <c r="AA132" i="2"/>
  <c r="AQ129" i="2" s="1"/>
  <c r="AX135" i="2"/>
  <c r="BE132" i="2" s="1"/>
  <c r="AX136" i="2"/>
  <c r="BE133" i="2" s="1"/>
  <c r="DO151" i="2"/>
  <c r="EA148" i="2" s="1"/>
  <c r="CU153" i="2"/>
  <c r="DH150" i="2" s="1"/>
  <c r="AB97" i="2"/>
  <c r="AQ94" i="2" s="1"/>
  <c r="AW110" i="2"/>
  <c r="BE107" i="2" s="1"/>
  <c r="AH167" i="2"/>
  <c r="AW97" i="2"/>
  <c r="AA111" i="2"/>
  <c r="AQ108" i="2" s="1"/>
  <c r="CU116" i="2"/>
  <c r="DH113" i="2" s="1"/>
  <c r="AW128" i="2"/>
  <c r="BE125" i="2" s="1"/>
  <c r="AA133" i="2"/>
  <c r="AQ130" i="2" s="1"/>
  <c r="DO134" i="2"/>
  <c r="EA131" i="2" s="1"/>
  <c r="DO136" i="2"/>
  <c r="EA133" i="2" s="1"/>
  <c r="DO155" i="2"/>
  <c r="EA152" i="2" s="1"/>
  <c r="DO154" i="2"/>
  <c r="EA151" i="2" s="1"/>
  <c r="AW95" i="2"/>
  <c r="AW114" i="2"/>
  <c r="BE111" i="2" s="1"/>
  <c r="AB115" i="2"/>
  <c r="AQ112" i="2" s="1"/>
  <c r="AX117" i="2"/>
  <c r="BE114" i="2" s="1"/>
  <c r="AW132" i="2"/>
  <c r="BE129" i="2" s="1"/>
  <c r="AG163" i="2"/>
  <c r="AB96" i="2"/>
  <c r="AQ93" i="2" s="1"/>
  <c r="AA109" i="2"/>
  <c r="AQ106" i="2" s="1"/>
  <c r="AK115" i="2"/>
  <c r="AX118" i="2"/>
  <c r="BE115" i="2" s="1"/>
  <c r="AJ163" i="2"/>
  <c r="AJ168" i="2"/>
  <c r="AG168" i="2"/>
  <c r="AA89" i="2"/>
  <c r="AQ86" i="2" s="1"/>
  <c r="AK96" i="2"/>
  <c r="AB98" i="2"/>
  <c r="AQ95" i="2" s="1"/>
  <c r="AW115" i="2"/>
  <c r="BE112" i="2" s="1"/>
  <c r="AA93" i="2"/>
  <c r="AQ90" i="2" s="1"/>
  <c r="AW96" i="2"/>
  <c r="AX98" i="2"/>
  <c r="AW111" i="2"/>
  <c r="BE108" i="2" s="1"/>
  <c r="AW133" i="2"/>
  <c r="BE130" i="2" s="1"/>
  <c r="AJ164" i="2"/>
  <c r="AH164" i="2"/>
  <c r="AJ165" i="2"/>
  <c r="AH165" i="2"/>
  <c r="AF169" i="2"/>
  <c r="AD169" i="2"/>
  <c r="AJ173" i="2"/>
  <c r="AH173" i="2"/>
  <c r="AG173" i="2"/>
  <c r="BE96" i="2"/>
  <c r="AX134" i="2"/>
  <c r="BE131" i="2" s="1"/>
  <c r="AG164" i="2"/>
  <c r="AG165" i="2"/>
  <c r="AJ174" i="2"/>
  <c r="AH174" i="2"/>
  <c r="AG174" i="2"/>
  <c r="BE89" i="2"/>
  <c r="AA131" i="2"/>
  <c r="AQ128" i="2" s="1"/>
  <c r="CU174" i="2"/>
  <c r="DH171" i="2" s="1"/>
  <c r="CU172" i="2"/>
  <c r="DH169" i="2" s="1"/>
  <c r="CU173" i="2"/>
  <c r="DH170" i="2" s="1"/>
  <c r="CU155" i="2"/>
  <c r="DH152" i="2" s="1"/>
  <c r="BL154" i="2"/>
  <c r="BX151" i="2" s="1"/>
  <c r="AJ166" i="2"/>
  <c r="AH166" i="2"/>
  <c r="AG166" i="2"/>
  <c r="BL153" i="2"/>
  <c r="BX150" i="2" s="1"/>
  <c r="AB153" i="2"/>
  <c r="AQ150" i="2" s="1"/>
  <c r="AD166" i="2"/>
  <c r="AW169" i="2"/>
  <c r="BE166" i="2" s="1"/>
  <c r="AG170" i="2"/>
  <c r="AD173" i="2"/>
  <c r="AD175" i="2"/>
  <c r="AJ177" i="2"/>
  <c r="AG181" i="2"/>
  <c r="AH184" i="2"/>
  <c r="AW188" i="2"/>
  <c r="BE185" i="2" s="1"/>
  <c r="AH191" i="2"/>
  <c r="DO266" i="2"/>
  <c r="EA263" i="2" s="1"/>
  <c r="LF10" i="4"/>
  <c r="MG9" i="4"/>
  <c r="AI22" i="4"/>
  <c r="AI23" i="4" s="1"/>
  <c r="AI24" i="4" s="1"/>
  <c r="AI25" i="4" s="1"/>
  <c r="AI26" i="4" s="1"/>
  <c r="AI27" i="4" s="1"/>
  <c r="AI28" i="4" s="1"/>
  <c r="AI29" i="4" s="1"/>
  <c r="AI30" i="4" s="1"/>
  <c r="AI31" i="4" s="1"/>
  <c r="AI32" i="4" s="1"/>
  <c r="AI33" i="4" s="1"/>
  <c r="AI34" i="4" s="1"/>
  <c r="AI35" i="4" s="1"/>
  <c r="AI36" i="4" s="1"/>
  <c r="AI37" i="4" s="1"/>
  <c r="AI38" i="4" s="1"/>
  <c r="AI39" i="4" s="1"/>
  <c r="AI40" i="4" s="1"/>
  <c r="AI41" i="4" s="1"/>
  <c r="AI42" i="4" s="1"/>
  <c r="AI43" i="4" s="1"/>
  <c r="AI44" i="4" s="1"/>
  <c r="AI45" i="4" s="1"/>
  <c r="AI46" i="4" s="1"/>
  <c r="AI47" i="4" s="1"/>
  <c r="AI48" i="4" s="1"/>
  <c r="AI49" i="4" s="1"/>
  <c r="AI50" i="4" s="1"/>
  <c r="AI51" i="4" s="1"/>
  <c r="AI52" i="4" s="1"/>
  <c r="AI53" i="4" s="1"/>
  <c r="AI54" i="4" s="1"/>
  <c r="AI55" i="4" s="1"/>
  <c r="AI56" i="4" s="1"/>
  <c r="AI57" i="4" s="1"/>
  <c r="AI58" i="4" s="1"/>
  <c r="AI59" i="4" s="1"/>
  <c r="AH170" i="2"/>
  <c r="AH181" i="2"/>
  <c r="AJ191" i="2"/>
  <c r="DO268" i="2"/>
  <c r="EA265" i="2" s="1"/>
  <c r="AG187" i="2"/>
  <c r="AW191" i="2"/>
  <c r="BE188" i="2" s="1"/>
  <c r="DO211" i="2"/>
  <c r="EA208" i="2" s="1"/>
  <c r="AW170" i="2"/>
  <c r="BE167" i="2" s="1"/>
  <c r="AH187" i="2"/>
  <c r="AB156" i="2"/>
  <c r="AQ153" i="2" s="1"/>
  <c r="AD167" i="2"/>
  <c r="AG171" i="2"/>
  <c r="AG190" i="2"/>
  <c r="KX10" i="4"/>
  <c r="ME9" i="4"/>
  <c r="AW187" i="2"/>
  <c r="BE184" i="2" s="1"/>
  <c r="AH190" i="2"/>
  <c r="OS19" i="4"/>
  <c r="NT20" i="4"/>
  <c r="AW166" i="2"/>
  <c r="BE163" i="2" s="1"/>
  <c r="AX173" i="2"/>
  <c r="BE170" i="2" s="1"/>
  <c r="AX175" i="2"/>
  <c r="BE172" i="2" s="1"/>
  <c r="DO191" i="2"/>
  <c r="EA188" i="2" s="1"/>
  <c r="AG189" i="2"/>
  <c r="DO229" i="2"/>
  <c r="EA226" i="2" s="1"/>
  <c r="AW167" i="2"/>
  <c r="BE164" i="2" s="1"/>
  <c r="AW172" i="2"/>
  <c r="BE169" i="2" s="1"/>
  <c r="AH189" i="2"/>
  <c r="AH9" i="4"/>
  <c r="AA10" i="4"/>
  <c r="AG182" i="2"/>
  <c r="AG185" i="2"/>
  <c r="DO190" i="2"/>
  <c r="EA187" i="2" s="1"/>
  <c r="DO230" i="2"/>
  <c r="EA227" i="2" s="1"/>
  <c r="AH182" i="2"/>
  <c r="AH185" i="2"/>
  <c r="DO192" i="2"/>
  <c r="EA189" i="2" s="1"/>
  <c r="DO269" i="2"/>
  <c r="EA266" i="2" s="1"/>
  <c r="DO265" i="2"/>
  <c r="EA262" i="2" s="1"/>
  <c r="DO264" i="2"/>
  <c r="EA261" i="2" s="1"/>
  <c r="MI10" i="4"/>
  <c r="LN11" i="4"/>
  <c r="K11" i="4"/>
  <c r="AD10" i="4"/>
  <c r="KT10" i="4"/>
  <c r="MD9" i="4"/>
  <c r="LJ10" i="4"/>
  <c r="AE9" i="4"/>
  <c r="O10" i="4"/>
  <c r="S10" i="4"/>
  <c r="KP9" i="4"/>
  <c r="MC8" i="4"/>
  <c r="MD8" i="4"/>
  <c r="ME8" i="4"/>
  <c r="JZ9" i="4"/>
  <c r="BM10" i="4"/>
  <c r="JB9" i="4"/>
  <c r="MJ10" i="4"/>
  <c r="LR11" i="4"/>
  <c r="LB9" i="4"/>
  <c r="MK10" i="4"/>
  <c r="LV11" i="4"/>
  <c r="MJ9" i="4"/>
  <c r="MK9" i="4"/>
  <c r="IJ61" i="4"/>
  <c r="NA76" i="4"/>
  <c r="NA71" i="4"/>
  <c r="NA84" i="4"/>
  <c r="NA69" i="4"/>
  <c r="NA85" i="4"/>
  <c r="NA81" i="4"/>
  <c r="NA80" i="4"/>
  <c r="NA72" i="4"/>
  <c r="NA68" i="4"/>
  <c r="LZ9" i="4"/>
  <c r="AI12" i="7"/>
  <c r="DO14" i="7"/>
  <c r="DI7" i="7" a="1"/>
  <c r="DI7" i="7" s="1"/>
  <c r="EH12" i="7"/>
  <c r="EV10" i="7" s="1"/>
  <c r="CC40" i="7"/>
  <c r="CL37" i="7" s="1"/>
  <c r="CC39" i="7"/>
  <c r="CL36" i="7" s="1"/>
  <c r="CC21" i="7"/>
  <c r="CL18" i="7" s="1"/>
  <c r="CC18" i="7"/>
  <c r="CL15" i="7" s="1"/>
  <c r="CC19" i="7"/>
  <c r="CL16" i="7" s="1"/>
  <c r="CC41" i="7"/>
  <c r="CL38" i="7" s="1"/>
  <c r="CC20" i="7"/>
  <c r="CL17" i="7" s="1"/>
  <c r="CC17" i="7"/>
  <c r="CL14" i="7" s="1"/>
  <c r="CC22" i="7"/>
  <c r="CL19" i="7" s="1"/>
  <c r="V8" i="7"/>
  <c r="W8" i="7" s="1"/>
  <c r="AB22" i="7"/>
  <c r="AO19" i="7" s="1"/>
  <c r="AB21" i="7"/>
  <c r="AO18" i="7" s="1"/>
  <c r="AB20" i="7"/>
  <c r="AO17" i="7" s="1"/>
  <c r="AB19" i="7"/>
  <c r="AO16" i="7" s="1"/>
  <c r="AB18" i="7"/>
  <c r="AO15" i="7" s="1"/>
  <c r="AB17" i="7"/>
  <c r="AO14" i="7" s="1"/>
  <c r="CS20" i="7"/>
  <c r="DB17" i="7" s="1"/>
  <c r="CS21" i="7"/>
  <c r="DB18" i="7" s="1"/>
  <c r="CS22" i="7"/>
  <c r="DB19" i="7" s="1"/>
  <c r="DO32" i="7"/>
  <c r="DI26" i="7" a="1"/>
  <c r="DI26" i="7" s="1"/>
  <c r="NA86" i="4"/>
  <c r="NA77" i="4"/>
  <c r="NA82" i="4"/>
  <c r="NA75" i="4"/>
  <c r="NA73" i="4"/>
  <c r="NA74" i="4"/>
  <c r="NA83" i="4"/>
  <c r="NA70" i="4"/>
  <c r="NA78" i="4"/>
  <c r="G7" i="7"/>
  <c r="CS39" i="7"/>
  <c r="DB36" i="7" s="1"/>
  <c r="CS41" i="7"/>
  <c r="DB38" i="7" s="1"/>
  <c r="CS40" i="7"/>
  <c r="DB37" i="7" s="1"/>
  <c r="G18" i="7"/>
  <c r="Q27" i="7" a="1"/>
  <c r="Q27" i="7" s="1"/>
  <c r="DI41" i="7"/>
  <c r="DU38" i="7" s="1"/>
  <c r="DI39" i="7"/>
  <c r="DU36" i="7" s="1"/>
  <c r="DI40" i="7"/>
  <c r="DU37" i="7" s="1"/>
  <c r="DI38" i="7"/>
  <c r="DU35" i="7" s="1"/>
  <c r="BJ41" i="7"/>
  <c r="BV38" i="7" s="1"/>
  <c r="BJ40" i="7"/>
  <c r="BV37" i="7" s="1"/>
  <c r="BJ39" i="7"/>
  <c r="BV36" i="7" s="1"/>
  <c r="Q395" i="7" a="1"/>
  <c r="Q395" i="7" s="1"/>
  <c r="Q387" i="7" a="1"/>
  <c r="Q387" i="7" s="1"/>
  <c r="Q388" i="7" a="1"/>
  <c r="Q388" i="7" s="1"/>
  <c r="Q380" i="7" a="1"/>
  <c r="Q380" i="7" s="1"/>
  <c r="Q389" i="7" a="1"/>
  <c r="Q389" i="7" s="1"/>
  <c r="Q381" i="7" a="1"/>
  <c r="Q381" i="7" s="1"/>
  <c r="Q390" i="7" a="1"/>
  <c r="Q390" i="7" s="1"/>
  <c r="Q382" i="7" a="1"/>
  <c r="Q382" i="7" s="1"/>
  <c r="Q391" i="7" a="1"/>
  <c r="Q391" i="7" s="1"/>
  <c r="Q383" i="7" a="1"/>
  <c r="Q383" i="7" s="1"/>
  <c r="Q392" i="7" a="1"/>
  <c r="Q392" i="7" s="1"/>
  <c r="Q386" i="7" a="1"/>
  <c r="Q386" i="7" s="1"/>
  <c r="Q370" i="7" a="1"/>
  <c r="Q370" i="7" s="1"/>
  <c r="Q329" i="7" a="1"/>
  <c r="Q329" i="7" s="1"/>
  <c r="Q327" i="7" a="1"/>
  <c r="Q327" i="7" s="1"/>
  <c r="Q291" i="7" a="1"/>
  <c r="Q291" i="7" s="1"/>
  <c r="Q283" i="7" a="1"/>
  <c r="Q283" i="7" s="1"/>
  <c r="Q338" i="7" a="1"/>
  <c r="Q338" i="7" s="1"/>
  <c r="Q311" i="7" a="1"/>
  <c r="Q311" i="7" s="1"/>
  <c r="Q298" i="7" a="1"/>
  <c r="Q298" i="7" s="1"/>
  <c r="Q385" i="7" a="1"/>
  <c r="Q385" i="7" s="1"/>
  <c r="Q372" i="7" a="1"/>
  <c r="Q372" i="7" s="1"/>
  <c r="Q336" i="7" a="1"/>
  <c r="Q336" i="7" s="1"/>
  <c r="Q325" i="7" a="1"/>
  <c r="Q325" i="7" s="1"/>
  <c r="Q316" i="7" a="1"/>
  <c r="Q316" i="7" s="1"/>
  <c r="Q301" i="7" a="1"/>
  <c r="Q301" i="7" s="1"/>
  <c r="Q292" i="7" a="1"/>
  <c r="Q292" i="7" s="1"/>
  <c r="Q284" i="7" a="1"/>
  <c r="Q284" i="7" s="1"/>
  <c r="Q276" i="7" a="1"/>
  <c r="Q276" i="7" s="1"/>
  <c r="Q334" i="7" a="1"/>
  <c r="Q334" i="7" s="1"/>
  <c r="Q306" i="7" a="1"/>
  <c r="Q306" i="7" s="1"/>
  <c r="Q384" i="7" a="1"/>
  <c r="Q384" i="7" s="1"/>
  <c r="Q374" i="7" a="1"/>
  <c r="Q374" i="7" s="1"/>
  <c r="Q351" i="7" a="1"/>
  <c r="Q351" i="7" s="1"/>
  <c r="Q349" i="7" a="1"/>
  <c r="Q349" i="7" s="1"/>
  <c r="Q347" i="7" a="1"/>
  <c r="Q347" i="7" s="1"/>
  <c r="Q345" i="7" a="1"/>
  <c r="Q345" i="7" s="1"/>
  <c r="Q343" i="7" a="1"/>
  <c r="Q343" i="7" s="1"/>
  <c r="Q323" i="7" a="1"/>
  <c r="Q323" i="7" s="1"/>
  <c r="Q293" i="7" a="1"/>
  <c r="Q293" i="7" s="1"/>
  <c r="Q285" i="7" a="1"/>
  <c r="Q285" i="7" s="1"/>
  <c r="Q379" i="7" a="1"/>
  <c r="Q379" i="7" s="1"/>
  <c r="Q359" i="7" a="1"/>
  <c r="Q359" i="7" s="1"/>
  <c r="Q357" i="7" a="1"/>
  <c r="Q357" i="7" s="1"/>
  <c r="Q355" i="7" a="1"/>
  <c r="Q355" i="7" s="1"/>
  <c r="Q353" i="7" a="1"/>
  <c r="Q353" i="7" s="1"/>
  <c r="Q332" i="7" a="1"/>
  <c r="Q332" i="7" s="1"/>
  <c r="Q309" i="7" a="1"/>
  <c r="Q309" i="7" s="1"/>
  <c r="Q304" i="7" a="1"/>
  <c r="Q304" i="7" s="1"/>
  <c r="Q376" i="7" a="1"/>
  <c r="Q376" i="7" s="1"/>
  <c r="Q367" i="7" a="1"/>
  <c r="Q367" i="7" s="1"/>
  <c r="Q365" i="7" a="1"/>
  <c r="Q365" i="7" s="1"/>
  <c r="Q363" i="7" a="1"/>
  <c r="Q363" i="7" s="1"/>
  <c r="Q361" i="7" a="1"/>
  <c r="Q361" i="7" s="1"/>
  <c r="Q341" i="7" a="1"/>
  <c r="Q341" i="7" s="1"/>
  <c r="Q321" i="7" a="1"/>
  <c r="Q321" i="7" s="1"/>
  <c r="Q319" i="7" a="1"/>
  <c r="Q319" i="7" s="1"/>
  <c r="Q314" i="7" a="1"/>
  <c r="Q314" i="7" s="1"/>
  <c r="Q294" i="7" a="1"/>
  <c r="Q294" i="7" s="1"/>
  <c r="Q369" i="7" a="1"/>
  <c r="Q369" i="7" s="1"/>
  <c r="Q330" i="7" a="1"/>
  <c r="Q330" i="7" s="1"/>
  <c r="Q299" i="7" a="1"/>
  <c r="Q299" i="7" s="1"/>
  <c r="Q339" i="7" a="1"/>
  <c r="Q339" i="7" s="1"/>
  <c r="Q328" i="7" a="1"/>
  <c r="Q328" i="7" s="1"/>
  <c r="Q317" i="7" a="1"/>
  <c r="Q317" i="7" s="1"/>
  <c r="Q312" i="7" a="1"/>
  <c r="Q312" i="7" s="1"/>
  <c r="Q302" i="7" a="1"/>
  <c r="Q302" i="7" s="1"/>
  <c r="Q295" i="7" a="1"/>
  <c r="Q295" i="7" s="1"/>
  <c r="Q378" i="7" a="1"/>
  <c r="Q378" i="7" s="1"/>
  <c r="Q371" i="7" a="1"/>
  <c r="Q371" i="7" s="1"/>
  <c r="Q326" i="7" a="1"/>
  <c r="Q326" i="7" s="1"/>
  <c r="Q307" i="7" a="1"/>
  <c r="Q307" i="7" s="1"/>
  <c r="Q337" i="7" a="1"/>
  <c r="Q337" i="7" s="1"/>
  <c r="Q335" i="7" a="1"/>
  <c r="Q335" i="7" s="1"/>
  <c r="Q373" i="7" a="1"/>
  <c r="Q373" i="7" s="1"/>
  <c r="Q324" i="7" a="1"/>
  <c r="Q324" i="7" s="1"/>
  <c r="Q310" i="7" a="1"/>
  <c r="Q310" i="7" s="1"/>
  <c r="Q352" i="7" a="1"/>
  <c r="Q352" i="7" s="1"/>
  <c r="Q350" i="7" a="1"/>
  <c r="Q350" i="7" s="1"/>
  <c r="Q348" i="7" a="1"/>
  <c r="Q348" i="7" s="1"/>
  <c r="Q346" i="7" a="1"/>
  <c r="Q346" i="7" s="1"/>
  <c r="Q344" i="7" a="1"/>
  <c r="Q344" i="7" s="1"/>
  <c r="Q333" i="7" a="1"/>
  <c r="Q333" i="7" s="1"/>
  <c r="Q315" i="7" a="1"/>
  <c r="Q315" i="7" s="1"/>
  <c r="Q305" i="7" a="1"/>
  <c r="Q305" i="7" s="1"/>
  <c r="Q300" i="7" a="1"/>
  <c r="Q300" i="7" s="1"/>
  <c r="Q394" i="7" a="1"/>
  <c r="Q394" i="7" s="1"/>
  <c r="Q375" i="7" a="1"/>
  <c r="Q375" i="7" s="1"/>
  <c r="Q393" i="7" a="1"/>
  <c r="Q393" i="7" s="1"/>
  <c r="Q368" i="7" a="1"/>
  <c r="Q368" i="7" s="1"/>
  <c r="Q366" i="7" a="1"/>
  <c r="Q366" i="7" s="1"/>
  <c r="Q364" i="7" a="1"/>
  <c r="Q364" i="7" s="1"/>
  <c r="Q362" i="7" a="1"/>
  <c r="Q362" i="7" s="1"/>
  <c r="Q331" i="7" a="1"/>
  <c r="Q331" i="7" s="1"/>
  <c r="Q320" i="7" a="1"/>
  <c r="Q320" i="7" s="1"/>
  <c r="Q340" i="7" a="1"/>
  <c r="Q340" i="7" s="1"/>
  <c r="Q254" i="7" a="1"/>
  <c r="Q254" i="7" s="1"/>
  <c r="Q240" i="7" a="1"/>
  <c r="Q240" i="7" s="1"/>
  <c r="Q211" i="7" a="1"/>
  <c r="Q211" i="7" s="1"/>
  <c r="Q354" i="7" a="1"/>
  <c r="Q354" i="7" s="1"/>
  <c r="Q280" i="7" a="1"/>
  <c r="Q280" i="7" s="1"/>
  <c r="Q271" i="7" a="1"/>
  <c r="Q271" i="7" s="1"/>
  <c r="Q255" i="7" a="1"/>
  <c r="Q255" i="7" s="1"/>
  <c r="Q296" i="7" a="1"/>
  <c r="Q296" i="7" s="1"/>
  <c r="Q282" i="7" a="1"/>
  <c r="Q282" i="7" s="1"/>
  <c r="Q278" i="7" a="1"/>
  <c r="Q278" i="7" s="1"/>
  <c r="Q262" i="7" a="1"/>
  <c r="Q262" i="7" s="1"/>
  <c r="Q248" i="7" a="1"/>
  <c r="Q248" i="7" s="1"/>
  <c r="Q322" i="7" a="1"/>
  <c r="Q322" i="7" s="1"/>
  <c r="Q286" i="7" a="1"/>
  <c r="Q286" i="7" s="1"/>
  <c r="Q264" i="7" a="1"/>
  <c r="Q264" i="7" s="1"/>
  <c r="Q263" i="7" a="1"/>
  <c r="Q263" i="7" s="1"/>
  <c r="Q261" i="7" a="1"/>
  <c r="Q261" i="7" s="1"/>
  <c r="Q259" i="7" a="1"/>
  <c r="Q259" i="7" s="1"/>
  <c r="Q249" i="7" a="1"/>
  <c r="Q249" i="7" s="1"/>
  <c r="Q260" i="7" a="1"/>
  <c r="Q260" i="7" s="1"/>
  <c r="Q256" i="7" a="1"/>
  <c r="Q256" i="7" s="1"/>
  <c r="Q308" i="7" a="1"/>
  <c r="Q308" i="7" s="1"/>
  <c r="Q288" i="7" a="1"/>
  <c r="Q288" i="7" s="1"/>
  <c r="Q274" i="7" a="1"/>
  <c r="Q274" i="7" s="1"/>
  <c r="Q269" i="7" a="1"/>
  <c r="Q269" i="7" s="1"/>
  <c r="Q265" i="7" a="1"/>
  <c r="Q265" i="7" s="1"/>
  <c r="Q258" i="7" a="1"/>
  <c r="Q258" i="7" s="1"/>
  <c r="Q250" i="7" a="1"/>
  <c r="Q250" i="7" s="1"/>
  <c r="Q247" i="7" a="1"/>
  <c r="Q247" i="7" s="1"/>
  <c r="Q231" i="7" a="1"/>
  <c r="Q231" i="7" s="1"/>
  <c r="Q236" i="7" a="1"/>
  <c r="Q236" i="7" s="1"/>
  <c r="Q235" i="7" a="1"/>
  <c r="Q235" i="7" s="1"/>
  <c r="Q272" i="7" a="1"/>
  <c r="Q272" i="7" s="1"/>
  <c r="Q257" i="7" a="1"/>
  <c r="Q257" i="7" s="1"/>
  <c r="Q251" i="7" a="1"/>
  <c r="Q251" i="7" s="1"/>
  <c r="Q246" i="7" a="1"/>
  <c r="Q246" i="7" s="1"/>
  <c r="Q216" i="7" a="1"/>
  <c r="Q216" i="7" s="1"/>
  <c r="Q318" i="7" a="1"/>
  <c r="Q318" i="7" s="1"/>
  <c r="Q290" i="7" a="1"/>
  <c r="Q290" i="7" s="1"/>
  <c r="Q266" i="7" a="1"/>
  <c r="Q266" i="7" s="1"/>
  <c r="Q245" i="7" a="1"/>
  <c r="Q245" i="7" s="1"/>
  <c r="Q237" i="7" a="1"/>
  <c r="Q237" i="7" s="1"/>
  <c r="Q230" i="7" a="1"/>
  <c r="Q230" i="7" s="1"/>
  <c r="Q223" i="7" a="1"/>
  <c r="Q223" i="7" s="1"/>
  <c r="AT222" i="7" a="1"/>
  <c r="AT222" i="7" s="1"/>
  <c r="AZ226" i="7" s="1"/>
  <c r="DG220" i="7" a="1"/>
  <c r="DG220" i="7" s="1"/>
  <c r="DO224" i="7" s="1"/>
  <c r="Q215" i="7" a="1"/>
  <c r="Q215" i="7" s="1"/>
  <c r="Q202" i="7" a="1"/>
  <c r="Q202" i="7" s="1"/>
  <c r="Q200" i="7" a="1"/>
  <c r="Q200" i="7" s="1"/>
  <c r="Q199" i="7" a="1"/>
  <c r="Q199" i="7" s="1"/>
  <c r="Q180" i="7" a="1"/>
  <c r="Q180" i="7" s="1"/>
  <c r="Q174" i="7" a="1"/>
  <c r="Q174" i="7" s="1"/>
  <c r="Q281" i="7" a="1"/>
  <c r="Q281" i="7" s="1"/>
  <c r="Q279" i="7" a="1"/>
  <c r="Q279" i="7" s="1"/>
  <c r="Q244" i="7" a="1"/>
  <c r="Q244" i="7" s="1"/>
  <c r="Q238" i="7" a="1"/>
  <c r="Q238" i="7" s="1"/>
  <c r="Q277" i="7" a="1"/>
  <c r="Q277" i="7" s="1"/>
  <c r="Q252" i="7" a="1"/>
  <c r="Q252" i="7" s="1"/>
  <c r="Q243" i="7" a="1"/>
  <c r="Q243" i="7" s="1"/>
  <c r="Q225" i="7" a="1"/>
  <c r="Q225" i="7" s="1"/>
  <c r="Q214" i="7" a="1"/>
  <c r="Q214" i="7" s="1"/>
  <c r="Q360" i="7" a="1"/>
  <c r="Q360" i="7" s="1"/>
  <c r="Q270" i="7" a="1"/>
  <c r="Q270" i="7" s="1"/>
  <c r="Q267" i="7" a="1"/>
  <c r="Q267" i="7" s="1"/>
  <c r="Q287" i="7" a="1"/>
  <c r="Q287" i="7" s="1"/>
  <c r="Q313" i="7" a="1"/>
  <c r="Q313" i="7" s="1"/>
  <c r="Q289" i="7" a="1"/>
  <c r="Q289" i="7" s="1"/>
  <c r="DG258" i="7" a="1"/>
  <c r="DG258" i="7" s="1"/>
  <c r="DO261" i="7" s="1"/>
  <c r="Q356" i="7" a="1"/>
  <c r="Q356" i="7" s="1"/>
  <c r="Q268" i="7" a="1"/>
  <c r="Q268" i="7" s="1"/>
  <c r="Q297" i="7" a="1"/>
  <c r="Q297" i="7" s="1"/>
  <c r="Q220" i="7" a="1"/>
  <c r="Q220" i="7" s="1"/>
  <c r="Q219" i="7" a="1"/>
  <c r="Q219" i="7" s="1"/>
  <c r="AT203" i="7" a="1"/>
  <c r="AT203" i="7" s="1"/>
  <c r="AZ207" i="7" s="1"/>
  <c r="Q193" i="7" a="1"/>
  <c r="Q193" i="7" s="1"/>
  <c r="Q188" i="7" a="1"/>
  <c r="Q188" i="7" s="1"/>
  <c r="Q190" i="7" a="1"/>
  <c r="Q190" i="7" s="1"/>
  <c r="Q181" i="7" a="1"/>
  <c r="Q181" i="7" s="1"/>
  <c r="Q204" i="7" a="1"/>
  <c r="Q204" i="7" s="1"/>
  <c r="Q179" i="7" a="1"/>
  <c r="Q179" i="7" s="1"/>
  <c r="Q177" i="7" a="1"/>
  <c r="Q177" i="7" s="1"/>
  <c r="Q163" i="7" a="1"/>
  <c r="Q163" i="7" s="1"/>
  <c r="Q233" i="7" a="1"/>
  <c r="Q233" i="7" s="1"/>
  <c r="Q227" i="7" a="1"/>
  <c r="Q227" i="7" s="1"/>
  <c r="Q212" i="7" a="1"/>
  <c r="Q212" i="7" s="1"/>
  <c r="Q208" i="7" a="1"/>
  <c r="Q208" i="7" s="1"/>
  <c r="Q206" i="7" a="1"/>
  <c r="Q206" i="7" s="1"/>
  <c r="Q192" i="7" a="1"/>
  <c r="Q192" i="7" s="1"/>
  <c r="Q185" i="7" a="1"/>
  <c r="Q185" i="7" s="1"/>
  <c r="AT184" i="7" a="1"/>
  <c r="AT184" i="7" s="1"/>
  <c r="AZ188" i="7" s="1"/>
  <c r="Q183" i="7" a="1"/>
  <c r="Q183" i="7" s="1"/>
  <c r="Q178" i="7" a="1"/>
  <c r="Q178" i="7" s="1"/>
  <c r="Q168" i="7" a="1"/>
  <c r="Q168" i="7" s="1"/>
  <c r="Q164" i="7" a="1"/>
  <c r="Q164" i="7" s="1"/>
  <c r="Q151" i="7" a="1"/>
  <c r="Q151" i="7" s="1"/>
  <c r="Q143" i="7" a="1"/>
  <c r="Q143" i="7" s="1"/>
  <c r="Q135" i="7" a="1"/>
  <c r="Q135" i="7" s="1"/>
  <c r="DG239" i="7" a="1"/>
  <c r="DG239" i="7" s="1"/>
  <c r="DO242" i="7" s="1"/>
  <c r="Q229" i="7" a="1"/>
  <c r="Q229" i="7" s="1"/>
  <c r="Q176" i="7" a="1"/>
  <c r="Q176" i="7" s="1"/>
  <c r="Q144" i="7" a="1"/>
  <c r="Q144" i="7" s="1"/>
  <c r="Q241" i="7" a="1"/>
  <c r="Q241" i="7" s="1"/>
  <c r="Q133" i="7" a="1"/>
  <c r="Q133" i="7" s="1"/>
  <c r="Q228" i="7" a="1"/>
  <c r="Q228" i="7" s="1"/>
  <c r="Q172" i="7" a="1"/>
  <c r="Q172" i="7" s="1"/>
  <c r="AT164" i="7" a="1"/>
  <c r="AT164" i="7" s="1"/>
  <c r="AZ168" i="7" s="1"/>
  <c r="Q157" i="7" a="1"/>
  <c r="Q157" i="7" s="1"/>
  <c r="Q147" i="7" a="1"/>
  <c r="Q147" i="7" s="1"/>
  <c r="DG144" i="7" a="1"/>
  <c r="DG144" i="7" s="1"/>
  <c r="DO148" i="7" s="1"/>
  <c r="Q126" i="7" a="1"/>
  <c r="Q126" i="7" s="1"/>
  <c r="Q226" i="7" a="1"/>
  <c r="Q226" i="7" s="1"/>
  <c r="Q213" i="7" a="1"/>
  <c r="Q213" i="7" s="1"/>
  <c r="Q210" i="7" a="1"/>
  <c r="Q210" i="7" s="1"/>
  <c r="Q187" i="7" a="1"/>
  <c r="Q187" i="7" s="1"/>
  <c r="Q169" i="7" a="1"/>
  <c r="Q169" i="7" s="1"/>
  <c r="Q156" i="7" a="1"/>
  <c r="Q156" i="7" s="1"/>
  <c r="Q242" i="7" a="1"/>
  <c r="Q242" i="7" s="1"/>
  <c r="Q201" i="7" a="1"/>
  <c r="Q201" i="7" s="1"/>
  <c r="Q175" i="7" a="1"/>
  <c r="Q175" i="7" s="1"/>
  <c r="Q165" i="7" a="1"/>
  <c r="Q165" i="7" s="1"/>
  <c r="Q162" i="7" a="1"/>
  <c r="Q162" i="7" s="1"/>
  <c r="Q158" i="7" a="1"/>
  <c r="Q158" i="7" s="1"/>
  <c r="Q239" i="7" a="1"/>
  <c r="Q239" i="7" s="1"/>
  <c r="Q191" i="7" a="1"/>
  <c r="Q191" i="7" s="1"/>
  <c r="Q182" i="7" a="1"/>
  <c r="Q182" i="7" s="1"/>
  <c r="Q377" i="7" a="1"/>
  <c r="Q377" i="7" s="1"/>
  <c r="Q275" i="7" a="1"/>
  <c r="Q275" i="7" s="1"/>
  <c r="Q232" i="7" a="1"/>
  <c r="Q232" i="7" s="1"/>
  <c r="Q224" i="7" a="1"/>
  <c r="Q224" i="7" s="1"/>
  <c r="Q205" i="7" a="1"/>
  <c r="Q205" i="7" s="1"/>
  <c r="Q203" i="7" a="1"/>
  <c r="Q203" i="7" s="1"/>
  <c r="Q198" i="7" a="1"/>
  <c r="Q198" i="7" s="1"/>
  <c r="Q189" i="7" a="1"/>
  <c r="Q189" i="7" s="1"/>
  <c r="Q358" i="7" a="1"/>
  <c r="Q358" i="7" s="1"/>
  <c r="Q273" i="7" a="1"/>
  <c r="Q273" i="7" s="1"/>
  <c r="Q253" i="7" a="1"/>
  <c r="Q253" i="7" s="1"/>
  <c r="Q217" i="7" a="1"/>
  <c r="Q217" i="7" s="1"/>
  <c r="Q197" i="7" a="1"/>
  <c r="Q197" i="7" s="1"/>
  <c r="Q196" i="7" a="1"/>
  <c r="Q196" i="7" s="1"/>
  <c r="Q342" i="7" a="1"/>
  <c r="Q342" i="7" s="1"/>
  <c r="Q234" i="7" a="1"/>
  <c r="Q234" i="7" s="1"/>
  <c r="Q209" i="7" a="1"/>
  <c r="Q209" i="7" s="1"/>
  <c r="Q207" i="7" a="1"/>
  <c r="Q207" i="7" s="1"/>
  <c r="Q184" i="7" a="1"/>
  <c r="Q184" i="7" s="1"/>
  <c r="Q221" i="7" a="1"/>
  <c r="Q221" i="7" s="1"/>
  <c r="Q218" i="7" a="1"/>
  <c r="Q218" i="7" s="1"/>
  <c r="Q194" i="7" a="1"/>
  <c r="Q194" i="7" s="1"/>
  <c r="Q303" i="7" a="1"/>
  <c r="Q303" i="7" s="1"/>
  <c r="Q222" i="7" a="1"/>
  <c r="Q222" i="7" s="1"/>
  <c r="DG182" i="7" a="1"/>
  <c r="DG182" i="7" s="1"/>
  <c r="DO186" i="7" s="1"/>
  <c r="Q173" i="7" a="1"/>
  <c r="Q173" i="7" s="1"/>
  <c r="Q154" i="7" a="1"/>
  <c r="Q154" i="7" s="1"/>
  <c r="Q152" i="7" a="1"/>
  <c r="Q152" i="7" s="1"/>
  <c r="Q141" i="7" a="1"/>
  <c r="Q141" i="7" s="1"/>
  <c r="Q139" i="7" a="1"/>
  <c r="Q139" i="7" s="1"/>
  <c r="Q136" i="7" a="1"/>
  <c r="Q136" i="7" s="1"/>
  <c r="Q186" i="7" a="1"/>
  <c r="Q186" i="7" s="1"/>
  <c r="Q145" i="7" a="1"/>
  <c r="Q145" i="7" s="1"/>
  <c r="Q124" i="7" a="1"/>
  <c r="Q124" i="7" s="1"/>
  <c r="Q104" i="7" a="1"/>
  <c r="Q104" i="7" s="1"/>
  <c r="DG201" i="7" a="1"/>
  <c r="DG201" i="7" s="1"/>
  <c r="DO205" i="7" s="1"/>
  <c r="Z126" i="7" a="1"/>
  <c r="Z126" i="7" s="1"/>
  <c r="AI129" i="7" s="1"/>
  <c r="Q148" i="7" a="1"/>
  <c r="Q148" i="7" s="1"/>
  <c r="Q129" i="7" a="1"/>
  <c r="Q129" i="7" s="1"/>
  <c r="Q118" i="7" a="1"/>
  <c r="Q118" i="7" s="1"/>
  <c r="Q114" i="7" a="1"/>
  <c r="Q114" i="7" s="1"/>
  <c r="Q75" i="7" a="1"/>
  <c r="Q75" i="7" s="1"/>
  <c r="Q72" i="7" a="1"/>
  <c r="Q72" i="7" s="1"/>
  <c r="Z68" i="7" a="1"/>
  <c r="Z68" i="7" s="1"/>
  <c r="AI71" i="7" s="1"/>
  <c r="Q155" i="7" a="1"/>
  <c r="Q155" i="7" s="1"/>
  <c r="BH145" i="7" a="1"/>
  <c r="BH145" i="7" s="1"/>
  <c r="BP148" i="7" s="1"/>
  <c r="Q142" i="7" a="1"/>
  <c r="Q142" i="7" s="1"/>
  <c r="Q125" i="7" a="1"/>
  <c r="Q125" i="7" s="1"/>
  <c r="Q117" i="7" a="1"/>
  <c r="Q117" i="7" s="1"/>
  <c r="Q134" i="7" a="1"/>
  <c r="Q134" i="7" s="1"/>
  <c r="Q160" i="7" a="1"/>
  <c r="Q160" i="7" s="1"/>
  <c r="Q149" i="7" a="1"/>
  <c r="Q149" i="7" s="1"/>
  <c r="Q146" i="7" a="1"/>
  <c r="Q146" i="7" s="1"/>
  <c r="Q195" i="7" a="1"/>
  <c r="Q195" i="7" s="1"/>
  <c r="Q132" i="7" a="1"/>
  <c r="Q132" i="7" s="1"/>
  <c r="Q123" i="7" a="1"/>
  <c r="Q123" i="7" s="1"/>
  <c r="Q116" i="7" a="1"/>
  <c r="Q116" i="7" s="1"/>
  <c r="Q112" i="7" a="1"/>
  <c r="Q112" i="7" s="1"/>
  <c r="Q170" i="7" a="1"/>
  <c r="Q170" i="7" s="1"/>
  <c r="Q167" i="7" a="1"/>
  <c r="Q167" i="7" s="1"/>
  <c r="Q166" i="7" a="1"/>
  <c r="Q166" i="7" s="1"/>
  <c r="Q137" i="7" a="1"/>
  <c r="Q137" i="7" s="1"/>
  <c r="Q127" i="7" a="1"/>
  <c r="Q127" i="7" s="1"/>
  <c r="Q120" i="7" a="1"/>
  <c r="Q120" i="7" s="1"/>
  <c r="Q106" i="7" a="1"/>
  <c r="Q106" i="7" s="1"/>
  <c r="Q95" i="7" a="1"/>
  <c r="Q95" i="7" s="1"/>
  <c r="Q80" i="7" a="1"/>
  <c r="Q80" i="7" s="1"/>
  <c r="DG68" i="7" a="1"/>
  <c r="DG68" i="7" s="1"/>
  <c r="DO72" i="7" s="1"/>
  <c r="DG163" i="7" a="1"/>
  <c r="DG163" i="7" s="1"/>
  <c r="DO167" i="7" s="1"/>
  <c r="Q153" i="7" a="1"/>
  <c r="Q153" i="7" s="1"/>
  <c r="Q128" i="7" a="1"/>
  <c r="Q128" i="7" s="1"/>
  <c r="Q171" i="7" a="1"/>
  <c r="Q171" i="7" s="1"/>
  <c r="Q122" i="7" a="1"/>
  <c r="Q122" i="7" s="1"/>
  <c r="Q111" i="7" a="1"/>
  <c r="Q111" i="7" s="1"/>
  <c r="Q108" i="7" a="1"/>
  <c r="Q108" i="7" s="1"/>
  <c r="Q107" i="7" a="1"/>
  <c r="Q107" i="7" s="1"/>
  <c r="Q105" i="7" a="1"/>
  <c r="Q105" i="7" s="1"/>
  <c r="Q97" i="7" a="1"/>
  <c r="Q97" i="7" s="1"/>
  <c r="Q91" i="7" a="1"/>
  <c r="Q91" i="7" s="1"/>
  <c r="Q121" i="7" a="1"/>
  <c r="Q121" i="7" s="1"/>
  <c r="Q159" i="7" a="1"/>
  <c r="Q159" i="7" s="1"/>
  <c r="AT126" i="7" a="1"/>
  <c r="AT126" i="7" s="1"/>
  <c r="AZ130" i="7" s="1"/>
  <c r="CQ125" i="7" a="1"/>
  <c r="CQ125" i="7" s="1"/>
  <c r="CY129" i="7" s="1"/>
  <c r="Q150" i="7" a="1"/>
  <c r="Q150" i="7" s="1"/>
  <c r="Q140" i="7" a="1"/>
  <c r="Q140" i="7" s="1"/>
  <c r="Q131" i="7" a="1"/>
  <c r="Q131" i="7" s="1"/>
  <c r="Z145" i="7" a="1"/>
  <c r="Z145" i="7" s="1"/>
  <c r="AI148" i="7" s="1"/>
  <c r="Q138" i="7" a="1"/>
  <c r="Q138" i="7" s="1"/>
  <c r="Q130" i="7" a="1"/>
  <c r="Q130" i="7" s="1"/>
  <c r="Q115" i="7" a="1"/>
  <c r="Q115" i="7" s="1"/>
  <c r="AT107" i="7" a="1"/>
  <c r="AT107" i="7" s="1"/>
  <c r="AZ111" i="7" s="1"/>
  <c r="Q161" i="7" a="1"/>
  <c r="Q161" i="7" s="1"/>
  <c r="CQ144" i="7" a="1"/>
  <c r="CQ144" i="7" s="1"/>
  <c r="CY148" i="7" s="1"/>
  <c r="Q110" i="7" a="1"/>
  <c r="Q110" i="7" s="1"/>
  <c r="Z106" i="7" a="1"/>
  <c r="Z106" i="7" s="1"/>
  <c r="AI109" i="7" s="1"/>
  <c r="Q90" i="7" a="1"/>
  <c r="Q90" i="7" s="1"/>
  <c r="Q88" i="7" a="1"/>
  <c r="Q88" i="7" s="1"/>
  <c r="Q109" i="7" a="1"/>
  <c r="Q109" i="7" s="1"/>
  <c r="Q94" i="7" a="1"/>
  <c r="Q94" i="7" s="1"/>
  <c r="CQ87" i="7" a="1"/>
  <c r="CQ87" i="7" s="1"/>
  <c r="CY91" i="7" s="1"/>
  <c r="Q85" i="7" a="1"/>
  <c r="Q85" i="7" s="1"/>
  <c r="Q79" i="7" a="1"/>
  <c r="Q79" i="7" s="1"/>
  <c r="AT69" i="7" a="1"/>
  <c r="AT69" i="7" s="1"/>
  <c r="AZ73" i="7" s="1"/>
  <c r="Q64" i="7" a="1"/>
  <c r="Q64" i="7" s="1"/>
  <c r="Q83" i="7" a="1"/>
  <c r="Q83" i="7" s="1"/>
  <c r="DG125" i="7" a="1"/>
  <c r="DG125" i="7" s="1"/>
  <c r="DO129" i="7" s="1"/>
  <c r="BH88" i="7" a="1"/>
  <c r="BH88" i="7" s="1"/>
  <c r="BP91" i="7" s="1"/>
  <c r="Q84" i="7" a="1"/>
  <c r="Q84" i="7" s="1"/>
  <c r="Q58" i="7" a="1"/>
  <c r="Q58" i="7" s="1"/>
  <c r="Q56" i="7" a="1"/>
  <c r="Q56" i="7" s="1"/>
  <c r="BH126" i="7" a="1"/>
  <c r="BH126" i="7" s="1"/>
  <c r="BP129" i="7" s="1"/>
  <c r="Q103" i="7" a="1"/>
  <c r="Q103" i="7" s="1"/>
  <c r="Q96" i="7" a="1"/>
  <c r="Q96" i="7" s="1"/>
  <c r="Q87" i="7" a="1"/>
  <c r="Q87" i="7" s="1"/>
  <c r="Q78" i="7" a="1"/>
  <c r="Q78" i="7" s="1"/>
  <c r="Q98" i="7" a="1"/>
  <c r="Q98" i="7" s="1"/>
  <c r="Q61" i="7" a="1"/>
  <c r="Q61" i="7" s="1"/>
  <c r="Q60" i="7" a="1"/>
  <c r="Q60" i="7" s="1"/>
  <c r="BH107" i="7" a="1"/>
  <c r="BH107" i="7" s="1"/>
  <c r="BP110" i="7" s="1"/>
  <c r="Q67" i="7" a="1"/>
  <c r="Q67" i="7" s="1"/>
  <c r="Q54" i="7" a="1"/>
  <c r="Q54" i="7" s="1"/>
  <c r="Q119" i="7" a="1"/>
  <c r="Q119" i="7" s="1"/>
  <c r="Q89" i="7" a="1"/>
  <c r="Q89" i="7" s="1"/>
  <c r="Q74" i="7" a="1"/>
  <c r="Q74" i="7" s="1"/>
  <c r="Q113" i="7" a="1"/>
  <c r="Q113" i="7" s="1"/>
  <c r="Q101" i="7" a="1"/>
  <c r="Q101" i="7" s="1"/>
  <c r="Q81" i="7" a="1"/>
  <c r="Q81" i="7" s="1"/>
  <c r="Q73" i="7" a="1"/>
  <c r="Q73" i="7" s="1"/>
  <c r="Q99" i="7" a="1"/>
  <c r="Q99" i="7" s="1"/>
  <c r="Q62" i="7" a="1"/>
  <c r="Q62" i="7" s="1"/>
  <c r="Q57" i="7" a="1"/>
  <c r="Q57" i="7" s="1"/>
  <c r="BH50" i="7" a="1"/>
  <c r="BH50" i="7" s="1"/>
  <c r="BP53" i="7" s="1"/>
  <c r="Q66" i="7" a="1"/>
  <c r="Q66" i="7" s="1"/>
  <c r="DG106" i="7" a="1"/>
  <c r="DG106" i="7" s="1"/>
  <c r="DO110" i="7" s="1"/>
  <c r="Q92" i="7" a="1"/>
  <c r="Q92" i="7" s="1"/>
  <c r="Q77" i="7" a="1"/>
  <c r="Q77" i="7" s="1"/>
  <c r="DG87" i="7" a="1"/>
  <c r="DG87" i="7" s="1"/>
  <c r="DO91" i="7" s="1"/>
  <c r="BH69" i="7" a="1"/>
  <c r="BH69" i="7" s="1"/>
  <c r="BP72" i="7" s="1"/>
  <c r="Q82" i="7" a="1"/>
  <c r="Q82" i="7" s="1"/>
  <c r="Q70" i="7" a="1"/>
  <c r="Q70" i="7" s="1"/>
  <c r="Q63" i="7" a="1"/>
  <c r="Q63" i="7" s="1"/>
  <c r="Q93" i="7" a="1"/>
  <c r="Q93" i="7" s="1"/>
  <c r="Z87" i="7" a="1"/>
  <c r="Z87" i="7" s="1"/>
  <c r="AI90" i="7" s="1"/>
  <c r="Q71" i="7" a="1"/>
  <c r="Q71" i="7" s="1"/>
  <c r="CQ68" i="7" a="1"/>
  <c r="CQ68" i="7" s="1"/>
  <c r="CY72" i="7" s="1"/>
  <c r="Q55" i="7" a="1"/>
  <c r="Q55" i="7" s="1"/>
  <c r="Q44" i="7" a="1"/>
  <c r="Q44" i="7" s="1"/>
  <c r="Q41" i="7" a="1"/>
  <c r="Q41" i="7" s="1"/>
  <c r="Q102" i="7" a="1"/>
  <c r="Q102" i="7" s="1"/>
  <c r="Q65" i="7" a="1"/>
  <c r="Q65" i="7" s="1"/>
  <c r="CQ106" i="7" a="1"/>
  <c r="CQ106" i="7" s="1"/>
  <c r="CY110" i="7" s="1"/>
  <c r="Q100" i="7" a="1"/>
  <c r="Q100" i="7" s="1"/>
  <c r="Q86" i="7" a="1"/>
  <c r="Q86" i="7" s="1"/>
  <c r="Q76" i="7" a="1"/>
  <c r="Q76" i="7" s="1"/>
  <c r="Q51" i="7" a="1"/>
  <c r="Q51" i="7" s="1"/>
  <c r="AT49" i="7" a="1"/>
  <c r="AT49" i="7" s="1"/>
  <c r="AZ53" i="7" s="1"/>
  <c r="Q40" i="7" a="1"/>
  <c r="Q40" i="7" s="1"/>
  <c r="Q29" i="7" a="1"/>
  <c r="Q29" i="7" s="1"/>
  <c r="Q11" i="7" a="1"/>
  <c r="Q11" i="7" s="1"/>
  <c r="Q48" i="7" a="1"/>
  <c r="Q48" i="7" s="1"/>
  <c r="Q43" i="7" a="1"/>
  <c r="Q43" i="7" s="1"/>
  <c r="Q59" i="7" a="1"/>
  <c r="Q59" i="7" s="1"/>
  <c r="CQ49" i="7" a="1"/>
  <c r="CQ49" i="7" s="1"/>
  <c r="CY53" i="7" s="1"/>
  <c r="Q47" i="7" a="1"/>
  <c r="Q47" i="7" s="1"/>
  <c r="Q39" i="7" a="1"/>
  <c r="Q39" i="7" s="1"/>
  <c r="Z49" i="7" a="1"/>
  <c r="Z49" i="7" s="1"/>
  <c r="AI52" i="7" s="1"/>
  <c r="Q36" i="7" a="1"/>
  <c r="Q36" i="7" s="1"/>
  <c r="Q19" i="7" a="1"/>
  <c r="Q19" i="7" s="1"/>
  <c r="Q53" i="7" a="1"/>
  <c r="Q53" i="7" s="1"/>
  <c r="DZ49" i="7" a="1"/>
  <c r="DZ49" i="7" s="1"/>
  <c r="EH52" i="7" s="1"/>
  <c r="Q69" i="7" a="1"/>
  <c r="Q69" i="7" s="1"/>
  <c r="Q52" i="7" a="1"/>
  <c r="Q52" i="7" s="1"/>
  <c r="CQ30" i="7" a="1"/>
  <c r="CQ30" i="7" s="1"/>
  <c r="CY34" i="7" s="1"/>
  <c r="Q45" i="7" a="1"/>
  <c r="Q45" i="7" s="1"/>
  <c r="Q38" i="7" a="1"/>
  <c r="Q38" i="7" s="1"/>
  <c r="Q49" i="7" a="1"/>
  <c r="Q49" i="7" s="1"/>
  <c r="Q68" i="7" a="1"/>
  <c r="Q68" i="7" s="1"/>
  <c r="Q50" i="7" a="1"/>
  <c r="Q50" i="7" s="1"/>
  <c r="Q33" i="7" a="1"/>
  <c r="Q33" i="7" s="1"/>
  <c r="Q28" i="7" a="1"/>
  <c r="Q28" i="7" s="1"/>
  <c r="Q5" i="7" a="1"/>
  <c r="Q5" i="7" s="1"/>
  <c r="Q46" i="7" a="1"/>
  <c r="Q46" i="7" s="1"/>
  <c r="Q42" i="7" a="1"/>
  <c r="Q42" i="7" s="1"/>
  <c r="DG49" i="7" a="1"/>
  <c r="DG49" i="7" s="1"/>
  <c r="DO53" i="7" s="1"/>
  <c r="DZ30" i="7" a="1"/>
  <c r="DZ30" i="7" s="1"/>
  <c r="EH33" i="7" s="1"/>
  <c r="Q23" i="7" a="1"/>
  <c r="Q23" i="7" s="1"/>
  <c r="Q18" i="7" a="1"/>
  <c r="Q18" i="7" s="1"/>
  <c r="Q37" i="7" a="1"/>
  <c r="Q37" i="7" s="1"/>
  <c r="Q32" i="7" a="1"/>
  <c r="Q32" i="7" s="1"/>
  <c r="Z30" i="7" a="1"/>
  <c r="Z30" i="7" s="1"/>
  <c r="AI33" i="7" s="1"/>
  <c r="Z11" i="7" a="1"/>
  <c r="Z11" i="7" s="1"/>
  <c r="AI14" i="7" s="1"/>
  <c r="Q31" i="7" a="1"/>
  <c r="Q31" i="7" s="1"/>
  <c r="DG30" i="7" a="1"/>
  <c r="DG30" i="7" s="1"/>
  <c r="DO34" i="7" s="1"/>
  <c r="Q22" i="7" a="1"/>
  <c r="Q22" i="7" s="1"/>
  <c r="Q25" i="7" a="1"/>
  <c r="Q25" i="7" s="1"/>
  <c r="Q35" i="7" a="1"/>
  <c r="Q35" i="7" s="1"/>
  <c r="Q20" i="7" a="1"/>
  <c r="Q20" i="7" s="1"/>
  <c r="EB21" i="7"/>
  <c r="EN18" i="7" s="1"/>
  <c r="EB20" i="7"/>
  <c r="EN17" i="7" s="1"/>
  <c r="P45" i="7" a="1"/>
  <c r="P45" i="7" s="1"/>
  <c r="AB45" i="7" a="1"/>
  <c r="AB45" i="7" s="1"/>
  <c r="P53" i="7" a="1"/>
  <c r="P53" i="7" s="1"/>
  <c r="P38" i="7" a="1"/>
  <c r="P38" i="7" s="1"/>
  <c r="P49" i="7" a="1"/>
  <c r="P49" i="7" s="1"/>
  <c r="P394" i="7" a="1"/>
  <c r="P394" i="7" s="1"/>
  <c r="P386" i="7" a="1"/>
  <c r="P386" i="7" s="1"/>
  <c r="P395" i="7" a="1"/>
  <c r="P395" i="7" s="1"/>
  <c r="P387" i="7" a="1"/>
  <c r="P387" i="7" s="1"/>
  <c r="P379" i="7" a="1"/>
  <c r="P379" i="7" s="1"/>
  <c r="P388" i="7" a="1"/>
  <c r="P388" i="7" s="1"/>
  <c r="P380" i="7" a="1"/>
  <c r="P380" i="7" s="1"/>
  <c r="P389" i="7" a="1"/>
  <c r="P389" i="7" s="1"/>
  <c r="P381" i="7" a="1"/>
  <c r="P381" i="7" s="1"/>
  <c r="P390" i="7" a="1"/>
  <c r="P390" i="7" s="1"/>
  <c r="P382" i="7" a="1"/>
  <c r="P382" i="7" s="1"/>
  <c r="P392" i="7" a="1"/>
  <c r="P392" i="7" s="1"/>
  <c r="P377" i="7" a="1"/>
  <c r="P377" i="7" s="1"/>
  <c r="P368" i="7" a="1"/>
  <c r="P368" i="7" s="1"/>
  <c r="P340" i="7" a="1"/>
  <c r="P340" i="7" s="1"/>
  <c r="P320" i="7" a="1"/>
  <c r="P320" i="7" s="1"/>
  <c r="P318" i="7" a="1"/>
  <c r="P318" i="7" s="1"/>
  <c r="P308" i="7" a="1"/>
  <c r="P308" i="7" s="1"/>
  <c r="P303" i="7" a="1"/>
  <c r="P303" i="7" s="1"/>
  <c r="P290" i="7" a="1"/>
  <c r="P290" i="7" s="1"/>
  <c r="P282" i="7" a="1"/>
  <c r="P282" i="7" s="1"/>
  <c r="P370" i="7" a="1"/>
  <c r="P370" i="7" s="1"/>
  <c r="P329" i="7" a="1"/>
  <c r="P329" i="7" s="1"/>
  <c r="P313" i="7" a="1"/>
  <c r="P313" i="7" s="1"/>
  <c r="P245" i="7" a="1"/>
  <c r="P245" i="7" s="1"/>
  <c r="P391" i="7" a="1"/>
  <c r="P391" i="7" s="1"/>
  <c r="P338" i="7" a="1"/>
  <c r="P338" i="7" s="1"/>
  <c r="P327" i="7" a="1"/>
  <c r="P327" i="7" s="1"/>
  <c r="P291" i="7" a="1"/>
  <c r="P291" i="7" s="1"/>
  <c r="P283" i="7" a="1"/>
  <c r="P283" i="7" s="1"/>
  <c r="P275" i="7" a="1"/>
  <c r="P275" i="7" s="1"/>
  <c r="P385" i="7" a="1"/>
  <c r="P385" i="7" s="1"/>
  <c r="P372" i="7" a="1"/>
  <c r="P372" i="7" s="1"/>
  <c r="P325" i="7" a="1"/>
  <c r="P325" i="7" s="1"/>
  <c r="P316" i="7" a="1"/>
  <c r="P316" i="7" s="1"/>
  <c r="P311" i="7" a="1"/>
  <c r="P311" i="7" s="1"/>
  <c r="P301" i="7" a="1"/>
  <c r="P301" i="7" s="1"/>
  <c r="P298" i="7" a="1"/>
  <c r="P298" i="7" s="1"/>
  <c r="P336" i="7" a="1"/>
  <c r="P336" i="7" s="1"/>
  <c r="P334" i="7" a="1"/>
  <c r="P334" i="7" s="1"/>
  <c r="P306" i="7" a="1"/>
  <c r="P306" i="7" s="1"/>
  <c r="P292" i="7" a="1"/>
  <c r="P292" i="7" s="1"/>
  <c r="P384" i="7" a="1"/>
  <c r="P384" i="7" s="1"/>
  <c r="P374" i="7" a="1"/>
  <c r="P374" i="7" s="1"/>
  <c r="P351" i="7" a="1"/>
  <c r="P351" i="7" s="1"/>
  <c r="P349" i="7" a="1"/>
  <c r="P349" i="7" s="1"/>
  <c r="P347" i="7" a="1"/>
  <c r="P347" i="7" s="1"/>
  <c r="P345" i="7" a="1"/>
  <c r="P345" i="7" s="1"/>
  <c r="P323" i="7" a="1"/>
  <c r="P323" i="7" s="1"/>
  <c r="P359" i="7" a="1"/>
  <c r="P359" i="7" s="1"/>
  <c r="P357" i="7" a="1"/>
  <c r="P357" i="7" s="1"/>
  <c r="P355" i="7" a="1"/>
  <c r="P355" i="7" s="1"/>
  <c r="P353" i="7" a="1"/>
  <c r="P353" i="7" s="1"/>
  <c r="P343" i="7" a="1"/>
  <c r="P343" i="7" s="1"/>
  <c r="P332" i="7" a="1"/>
  <c r="P332" i="7" s="1"/>
  <c r="P309" i="7" a="1"/>
  <c r="P309" i="7" s="1"/>
  <c r="P293" i="7" a="1"/>
  <c r="P293" i="7" s="1"/>
  <c r="P383" i="7" a="1"/>
  <c r="P383" i="7" s="1"/>
  <c r="P376" i="7" a="1"/>
  <c r="P376" i="7" s="1"/>
  <c r="P367" i="7" a="1"/>
  <c r="P367" i="7" s="1"/>
  <c r="P365" i="7" a="1"/>
  <c r="P365" i="7" s="1"/>
  <c r="P363" i="7" a="1"/>
  <c r="P363" i="7" s="1"/>
  <c r="P361" i="7" a="1"/>
  <c r="P361" i="7" s="1"/>
  <c r="P341" i="7" a="1"/>
  <c r="P341" i="7" s="1"/>
  <c r="P321" i="7" a="1"/>
  <c r="P321" i="7" s="1"/>
  <c r="P314" i="7" a="1"/>
  <c r="P314" i="7" s="1"/>
  <c r="P304" i="7" a="1"/>
  <c r="P304" i="7" s="1"/>
  <c r="P269" i="7" a="1"/>
  <c r="P269" i="7" s="1"/>
  <c r="P369" i="7" a="1"/>
  <c r="P369" i="7" s="1"/>
  <c r="P330" i="7" a="1"/>
  <c r="P330" i="7" s="1"/>
  <c r="P319" i="7" a="1"/>
  <c r="P319" i="7" s="1"/>
  <c r="P299" i="7" a="1"/>
  <c r="P299" i="7" s="1"/>
  <c r="P339" i="7" a="1"/>
  <c r="P339" i="7" s="1"/>
  <c r="P317" i="7" a="1"/>
  <c r="P317" i="7" s="1"/>
  <c r="P302" i="7" a="1"/>
  <c r="P302" i="7" s="1"/>
  <c r="P378" i="7" a="1"/>
  <c r="P378" i="7" s="1"/>
  <c r="P371" i="7" a="1"/>
  <c r="P371" i="7" s="1"/>
  <c r="P328" i="7" a="1"/>
  <c r="P328" i="7" s="1"/>
  <c r="P326" i="7" a="1"/>
  <c r="P326" i="7" s="1"/>
  <c r="P312" i="7" a="1"/>
  <c r="P312" i="7" s="1"/>
  <c r="P307" i="7" a="1"/>
  <c r="P307" i="7" s="1"/>
  <c r="P337" i="7" a="1"/>
  <c r="P337" i="7" s="1"/>
  <c r="P259" i="7" a="1"/>
  <c r="P259" i="7" s="1"/>
  <c r="P373" i="7" a="1"/>
  <c r="P373" i="7" s="1"/>
  <c r="P335" i="7" a="1"/>
  <c r="P335" i="7" s="1"/>
  <c r="P324" i="7" a="1"/>
  <c r="P324" i="7" s="1"/>
  <c r="P310" i="7" a="1"/>
  <c r="P310" i="7" s="1"/>
  <c r="P375" i="7" a="1"/>
  <c r="P375" i="7" s="1"/>
  <c r="P358" i="7" a="1"/>
  <c r="P358" i="7" s="1"/>
  <c r="P356" i="7" a="1"/>
  <c r="P356" i="7" s="1"/>
  <c r="P354" i="7" a="1"/>
  <c r="P354" i="7" s="1"/>
  <c r="P352" i="7" a="1"/>
  <c r="P352" i="7" s="1"/>
  <c r="P344" i="7" a="1"/>
  <c r="P344" i="7" s="1"/>
  <c r="P342" i="7" a="1"/>
  <c r="P342" i="7" s="1"/>
  <c r="P322" i="7" a="1"/>
  <c r="P322" i="7" s="1"/>
  <c r="P289" i="7" a="1"/>
  <c r="P289" i="7" s="1"/>
  <c r="P219" i="7" a="1"/>
  <c r="P219" i="7" s="1"/>
  <c r="P268" i="7" a="1"/>
  <c r="P268" i="7" s="1"/>
  <c r="DG257" i="7" a="1"/>
  <c r="DG257" i="7" s="1"/>
  <c r="DO259" i="7" s="1"/>
  <c r="P284" i="7" a="1"/>
  <c r="P284" i="7" s="1"/>
  <c r="P280" i="7" a="1"/>
  <c r="P280" i="7" s="1"/>
  <c r="P271" i="7" a="1"/>
  <c r="P271" i="7" s="1"/>
  <c r="P254" i="7" a="1"/>
  <c r="P254" i="7" s="1"/>
  <c r="P240" i="7" a="1"/>
  <c r="P240" i="7" s="1"/>
  <c r="P296" i="7" a="1"/>
  <c r="P296" i="7" s="1"/>
  <c r="P278" i="7" a="1"/>
  <c r="P278" i="7" s="1"/>
  <c r="P255" i="7" a="1"/>
  <c r="P255" i="7" s="1"/>
  <c r="P300" i="7" a="1"/>
  <c r="P300" i="7" s="1"/>
  <c r="P286" i="7" a="1"/>
  <c r="P286" i="7" s="1"/>
  <c r="P276" i="7" a="1"/>
  <c r="P276" i="7" s="1"/>
  <c r="P263" i="7" a="1"/>
  <c r="P263" i="7" s="1"/>
  <c r="P262" i="7" a="1"/>
  <c r="P262" i="7" s="1"/>
  <c r="P248" i="7" a="1"/>
  <c r="P248" i="7" s="1"/>
  <c r="P350" i="7" a="1"/>
  <c r="P350" i="7" s="1"/>
  <c r="P264" i="7" a="1"/>
  <c r="P264" i="7" s="1"/>
  <c r="P261" i="7" a="1"/>
  <c r="P261" i="7" s="1"/>
  <c r="P256" i="7" a="1"/>
  <c r="P256" i="7" s="1"/>
  <c r="P249" i="7" a="1"/>
  <c r="P249" i="7" s="1"/>
  <c r="P226" i="7" a="1"/>
  <c r="P226" i="7" s="1"/>
  <c r="P222" i="7" a="1"/>
  <c r="P222" i="7" s="1"/>
  <c r="P366" i="7" a="1"/>
  <c r="P366" i="7" s="1"/>
  <c r="P288" i="7" a="1"/>
  <c r="P288" i="7" s="1"/>
  <c r="P265" i="7" a="1"/>
  <c r="P265" i="7" s="1"/>
  <c r="P260" i="7" a="1"/>
  <c r="P260" i="7" s="1"/>
  <c r="P239" i="7" a="1"/>
  <c r="P239" i="7" s="1"/>
  <c r="P234" i="7" a="1"/>
  <c r="P234" i="7" s="1"/>
  <c r="P233" i="7" a="1"/>
  <c r="P233" i="7" s="1"/>
  <c r="P232" i="7" a="1"/>
  <c r="P232" i="7" s="1"/>
  <c r="P348" i="7" a="1"/>
  <c r="P348" i="7" s="1"/>
  <c r="P333" i="7" a="1"/>
  <c r="P333" i="7" s="1"/>
  <c r="P274" i="7" a="1"/>
  <c r="P274" i="7" s="1"/>
  <c r="P258" i="7" a="1"/>
  <c r="P258" i="7" s="1"/>
  <c r="P250" i="7" a="1"/>
  <c r="P250" i="7" s="1"/>
  <c r="P247" i="7" a="1"/>
  <c r="P247" i="7" s="1"/>
  <c r="P231" i="7" a="1"/>
  <c r="P231" i="7" s="1"/>
  <c r="P364" i="7" a="1"/>
  <c r="P364" i="7" s="1"/>
  <c r="P295" i="7" a="1"/>
  <c r="P295" i="7" s="1"/>
  <c r="P272" i="7" a="1"/>
  <c r="P272" i="7" s="1"/>
  <c r="P236" i="7" a="1"/>
  <c r="P236" i="7" s="1"/>
  <c r="P235" i="7" a="1"/>
  <c r="P235" i="7" s="1"/>
  <c r="P193" i="7" a="1"/>
  <c r="P193" i="7" s="1"/>
  <c r="P189" i="7" a="1"/>
  <c r="P189" i="7" s="1"/>
  <c r="P181" i="7" a="1"/>
  <c r="P181" i="7" s="1"/>
  <c r="P346" i="7" a="1"/>
  <c r="P346" i="7" s="1"/>
  <c r="P266" i="7" a="1"/>
  <c r="P266" i="7" s="1"/>
  <c r="P257" i="7" a="1"/>
  <c r="P257" i="7" s="1"/>
  <c r="P251" i="7" a="1"/>
  <c r="P251" i="7" s="1"/>
  <c r="P246" i="7" a="1"/>
  <c r="P246" i="7" s="1"/>
  <c r="P216" i="7" a="1"/>
  <c r="P216" i="7" s="1"/>
  <c r="P210" i="7" a="1"/>
  <c r="P210" i="7" s="1"/>
  <c r="P393" i="7" a="1"/>
  <c r="P393" i="7" s="1"/>
  <c r="P362" i="7" a="1"/>
  <c r="P362" i="7" s="1"/>
  <c r="P331" i="7" a="1"/>
  <c r="P331" i="7" s="1"/>
  <c r="P305" i="7" a="1"/>
  <c r="P305" i="7" s="1"/>
  <c r="P279" i="7" a="1"/>
  <c r="P279" i="7" s="1"/>
  <c r="P237" i="7" a="1"/>
  <c r="P237" i="7" s="1"/>
  <c r="P230" i="7" a="1"/>
  <c r="P230" i="7" s="1"/>
  <c r="P223" i="7" a="1"/>
  <c r="P223" i="7" s="1"/>
  <c r="P215" i="7" a="1"/>
  <c r="P215" i="7" s="1"/>
  <c r="P202" i="7" a="1"/>
  <c r="P202" i="7" s="1"/>
  <c r="P200" i="7" a="1"/>
  <c r="P200" i="7" s="1"/>
  <c r="P199" i="7" a="1"/>
  <c r="P199" i="7" s="1"/>
  <c r="P315" i="7" a="1"/>
  <c r="P315" i="7" s="1"/>
  <c r="P285" i="7" a="1"/>
  <c r="P285" i="7" s="1"/>
  <c r="P281" i="7" a="1"/>
  <c r="P281" i="7" s="1"/>
  <c r="P360" i="7" a="1"/>
  <c r="P360" i="7" s="1"/>
  <c r="P277" i="7" a="1"/>
  <c r="P277" i="7" s="1"/>
  <c r="P270" i="7" a="1"/>
  <c r="P270" i="7" s="1"/>
  <c r="P294" i="7" a="1"/>
  <c r="P294" i="7" s="1"/>
  <c r="P297" i="7" a="1"/>
  <c r="P297" i="7" s="1"/>
  <c r="P273" i="7" a="1"/>
  <c r="P273" i="7" s="1"/>
  <c r="P267" i="7" a="1"/>
  <c r="P267" i="7" s="1"/>
  <c r="P218" i="7" a="1"/>
  <c r="P218" i="7" s="1"/>
  <c r="P194" i="7" a="1"/>
  <c r="P194" i="7" s="1"/>
  <c r="P238" i="7" a="1"/>
  <c r="P238" i="7" s="1"/>
  <c r="P220" i="7" a="1"/>
  <c r="P220" i="7" s="1"/>
  <c r="P173" i="7" a="1"/>
  <c r="P173" i="7" s="1"/>
  <c r="P154" i="7" a="1"/>
  <c r="P154" i="7" s="1"/>
  <c r="P152" i="7" a="1"/>
  <c r="P152" i="7" s="1"/>
  <c r="DI235" i="7" a="1"/>
  <c r="DI235" i="7" s="1"/>
  <c r="DI197" i="7" a="1"/>
  <c r="DI197" i="7" s="1"/>
  <c r="P188" i="7" a="1"/>
  <c r="P188" i="7" s="1"/>
  <c r="P171" i="7" a="1"/>
  <c r="P171" i="7" s="1"/>
  <c r="P167" i="7" a="1"/>
  <c r="P167" i="7" s="1"/>
  <c r="DI159" i="7" a="1"/>
  <c r="DI159" i="7" s="1"/>
  <c r="P148" i="7" a="1"/>
  <c r="P148" i="7" s="1"/>
  <c r="DG200" i="7" a="1"/>
  <c r="DG200" i="7" s="1"/>
  <c r="DO203" i="7" s="1"/>
  <c r="P190" i="7" a="1"/>
  <c r="P190" i="7" s="1"/>
  <c r="P180" i="7" a="1"/>
  <c r="P180" i="7" s="1"/>
  <c r="P140" i="7" a="1"/>
  <c r="P140" i="7" s="1"/>
  <c r="P287" i="7" a="1"/>
  <c r="P287" i="7" s="1"/>
  <c r="P211" i="7" a="1"/>
  <c r="P211" i="7" s="1"/>
  <c r="P204" i="7" a="1"/>
  <c r="P204" i="7" s="1"/>
  <c r="P179" i="7" a="1"/>
  <c r="P179" i="7" s="1"/>
  <c r="P177" i="7" a="1"/>
  <c r="P177" i="7" s="1"/>
  <c r="P163" i="7" a="1"/>
  <c r="P163" i="7" s="1"/>
  <c r="BH144" i="7" a="1"/>
  <c r="BH144" i="7" s="1"/>
  <c r="BP146" i="7" s="1"/>
  <c r="P227" i="7" a="1"/>
  <c r="P227" i="7" s="1"/>
  <c r="P212" i="7" a="1"/>
  <c r="P212" i="7" s="1"/>
  <c r="P208" i="7" a="1"/>
  <c r="P208" i="7" s="1"/>
  <c r="P206" i="7" a="1"/>
  <c r="P206" i="7" s="1"/>
  <c r="P192" i="7" a="1"/>
  <c r="P192" i="7" s="1"/>
  <c r="P185" i="7" a="1"/>
  <c r="P185" i="7" s="1"/>
  <c r="P183" i="7" a="1"/>
  <c r="P183" i="7" s="1"/>
  <c r="DG181" i="7" a="1"/>
  <c r="DG181" i="7" s="1"/>
  <c r="DO184" i="7" s="1"/>
  <c r="P178" i="7" a="1"/>
  <c r="P178" i="7" s="1"/>
  <c r="P168" i="7" a="1"/>
  <c r="P168" i="7" s="1"/>
  <c r="P164" i="7" a="1"/>
  <c r="P164" i="7" s="1"/>
  <c r="P151" i="7" a="1"/>
  <c r="P151" i="7" s="1"/>
  <c r="P143" i="7" a="1"/>
  <c r="P143" i="7" s="1"/>
  <c r="P135" i="7" a="1"/>
  <c r="P135" i="7" s="1"/>
  <c r="P244" i="7" a="1"/>
  <c r="P244" i="7" s="1"/>
  <c r="P241" i="7" a="1"/>
  <c r="P241" i="7" s="1"/>
  <c r="P229" i="7" a="1"/>
  <c r="P229" i="7" s="1"/>
  <c r="P225" i="7" a="1"/>
  <c r="P225" i="7" s="1"/>
  <c r="P176" i="7" a="1"/>
  <c r="P176" i="7" s="1"/>
  <c r="P144" i="7" a="1"/>
  <c r="P144" i="7" s="1"/>
  <c r="P130" i="7" a="1"/>
  <c r="P130" i="7" s="1"/>
  <c r="P228" i="7" a="1"/>
  <c r="P228" i="7" s="1"/>
  <c r="DG219" i="7" a="1"/>
  <c r="DG219" i="7" s="1"/>
  <c r="DO222" i="7" s="1"/>
  <c r="P172" i="7" a="1"/>
  <c r="P172" i="7" s="1"/>
  <c r="P157" i="7" a="1"/>
  <c r="P157" i="7" s="1"/>
  <c r="P213" i="7" a="1"/>
  <c r="P213" i="7" s="1"/>
  <c r="P187" i="7" a="1"/>
  <c r="P187" i="7" s="1"/>
  <c r="P242" i="7" a="1"/>
  <c r="P242" i="7" s="1"/>
  <c r="P201" i="7" a="1"/>
  <c r="P201" i="7" s="1"/>
  <c r="DI178" i="7" a="1"/>
  <c r="DI178" i="7" s="1"/>
  <c r="P175" i="7" a="1"/>
  <c r="P175" i="7" s="1"/>
  <c r="P191" i="7" a="1"/>
  <c r="P191" i="7" s="1"/>
  <c r="P182" i="7" a="1"/>
  <c r="P182" i="7" s="1"/>
  <c r="P253" i="7" a="1"/>
  <c r="P253" i="7" s="1"/>
  <c r="P224" i="7" a="1"/>
  <c r="P224" i="7" s="1"/>
  <c r="P217" i="7" a="1"/>
  <c r="P217" i="7" s="1"/>
  <c r="P205" i="7" a="1"/>
  <c r="P205" i="7" s="1"/>
  <c r="P203" i="7" a="1"/>
  <c r="P203" i="7" s="1"/>
  <c r="P198" i="7" a="1"/>
  <c r="P198" i="7" s="1"/>
  <c r="P161" i="7" a="1"/>
  <c r="P161" i="7" s="1"/>
  <c r="P160" i="7" a="1"/>
  <c r="P160" i="7" s="1"/>
  <c r="P159" i="7" a="1"/>
  <c r="P159" i="7" s="1"/>
  <c r="P155" i="7" a="1"/>
  <c r="P155" i="7" s="1"/>
  <c r="P153" i="7" a="1"/>
  <c r="P153" i="7" s="1"/>
  <c r="P149" i="7" a="1"/>
  <c r="P149" i="7" s="1"/>
  <c r="P214" i="7" a="1"/>
  <c r="P214" i="7" s="1"/>
  <c r="P252" i="7" a="1"/>
  <c r="P252" i="7" s="1"/>
  <c r="DI216" i="7" a="1"/>
  <c r="DI216" i="7" s="1"/>
  <c r="P209" i="7" a="1"/>
  <c r="P209" i="7" s="1"/>
  <c r="P184" i="7" a="1"/>
  <c r="P184" i="7" s="1"/>
  <c r="P243" i="7" a="1"/>
  <c r="P243" i="7" s="1"/>
  <c r="DG238" i="7" a="1"/>
  <c r="DG238" i="7" s="1"/>
  <c r="DO240" i="7" s="1"/>
  <c r="P221" i="7" a="1"/>
  <c r="P221" i="7" s="1"/>
  <c r="P195" i="7" a="1"/>
  <c r="P195" i="7" s="1"/>
  <c r="P186" i="7" a="1"/>
  <c r="P186" i="7" s="1"/>
  <c r="P166" i="7" a="1"/>
  <c r="P166" i="7" s="1"/>
  <c r="DG162" i="7" a="1"/>
  <c r="DG162" i="7" s="1"/>
  <c r="DO165" i="7" s="1"/>
  <c r="P138" i="7" a="1"/>
  <c r="P138" i="7" s="1"/>
  <c r="P137" i="7" a="1"/>
  <c r="P137" i="7" s="1"/>
  <c r="P115" i="7" a="1"/>
  <c r="P115" i="7" s="1"/>
  <c r="CS102" i="7" a="1"/>
  <c r="CS102" i="7" s="1"/>
  <c r="P158" i="7" a="1"/>
  <c r="P158" i="7" s="1"/>
  <c r="P196" i="7" a="1"/>
  <c r="P196" i="7" s="1"/>
  <c r="P145" i="7" a="1"/>
  <c r="P145" i="7" s="1"/>
  <c r="P141" i="7" a="1"/>
  <c r="P141" i="7" s="1"/>
  <c r="BH125" i="7" a="1"/>
  <c r="BH125" i="7" s="1"/>
  <c r="BP127" i="7" s="1"/>
  <c r="P124" i="7" a="1"/>
  <c r="P124" i="7" s="1"/>
  <c r="P104" i="7" a="1"/>
  <c r="P104" i="7" s="1"/>
  <c r="P165" i="7" a="1"/>
  <c r="P165" i="7" s="1"/>
  <c r="P136" i="7" a="1"/>
  <c r="P136" i="7" s="1"/>
  <c r="P133" i="7" a="1"/>
  <c r="P133" i="7" s="1"/>
  <c r="P142" i="7" a="1"/>
  <c r="P142" i="7" s="1"/>
  <c r="P139" i="7" a="1"/>
  <c r="P139" i="7" s="1"/>
  <c r="P134" i="7" a="1"/>
  <c r="P134" i="7" s="1"/>
  <c r="P119" i="7" a="1"/>
  <c r="P119" i="7" s="1"/>
  <c r="P113" i="7" a="1"/>
  <c r="P113" i="7" s="1"/>
  <c r="P146" i="7" a="1"/>
  <c r="P146" i="7" s="1"/>
  <c r="P98" i="7" a="1"/>
  <c r="P98" i="7" s="1"/>
  <c r="P85" i="7" a="1"/>
  <c r="P85" i="7" s="1"/>
  <c r="P77" i="7" a="1"/>
  <c r="P77" i="7" s="1"/>
  <c r="DG67" i="7" a="1"/>
  <c r="DG67" i="7" s="1"/>
  <c r="DO70" i="7" s="1"/>
  <c r="P170" i="7" a="1"/>
  <c r="P170" i="7" s="1"/>
  <c r="P169" i="7" a="1"/>
  <c r="P169" i="7" s="1"/>
  <c r="DG143" i="7" a="1"/>
  <c r="DG143" i="7" s="1"/>
  <c r="DO146" i="7" s="1"/>
  <c r="P132" i="7" a="1"/>
  <c r="P132" i="7" s="1"/>
  <c r="P123" i="7" a="1"/>
  <c r="P123" i="7" s="1"/>
  <c r="P116" i="7" a="1"/>
  <c r="P116" i="7" s="1"/>
  <c r="P112" i="7" a="1"/>
  <c r="P112" i="7" s="1"/>
  <c r="P162" i="7" a="1"/>
  <c r="P162" i="7" s="1"/>
  <c r="P127" i="7" a="1"/>
  <c r="P127" i="7" s="1"/>
  <c r="P120" i="7" a="1"/>
  <c r="P120" i="7" s="1"/>
  <c r="P106" i="7" a="1"/>
  <c r="P106" i="7" s="1"/>
  <c r="P95" i="7" a="1"/>
  <c r="P95" i="7" s="1"/>
  <c r="P128" i="7" a="1"/>
  <c r="P128" i="7" s="1"/>
  <c r="P126" i="7" a="1"/>
  <c r="P126" i="7" s="1"/>
  <c r="P122" i="7" a="1"/>
  <c r="P122" i="7" s="1"/>
  <c r="P156" i="7" a="1"/>
  <c r="P156" i="7" s="1"/>
  <c r="CQ143" i="7" a="1"/>
  <c r="CQ143" i="7" s="1"/>
  <c r="CY146" i="7" s="1"/>
  <c r="P207" i="7" a="1"/>
  <c r="P207" i="7" s="1"/>
  <c r="P174" i="7" a="1"/>
  <c r="P174" i="7" s="1"/>
  <c r="P147" i="7" a="1"/>
  <c r="P147" i="7" s="1"/>
  <c r="P150" i="7" a="1"/>
  <c r="P150" i="7" s="1"/>
  <c r="P131" i="7" a="1"/>
  <c r="P131" i="7" s="1"/>
  <c r="P94" i="7" a="1"/>
  <c r="P94" i="7" s="1"/>
  <c r="P197" i="7" a="1"/>
  <c r="P197" i="7" s="1"/>
  <c r="DG124" i="7" a="1"/>
  <c r="DG124" i="7" s="1"/>
  <c r="DO127" i="7" s="1"/>
  <c r="CQ86" i="7" a="1"/>
  <c r="CQ86" i="7" s="1"/>
  <c r="CY89" i="7" s="1"/>
  <c r="P83" i="7" a="1"/>
  <c r="P83" i="7" s="1"/>
  <c r="P86" i="7" a="1"/>
  <c r="P86" i="7" s="1"/>
  <c r="P65" i="7" a="1"/>
  <c r="P65" i="7" s="1"/>
  <c r="P109" i="7" a="1"/>
  <c r="P109" i="7" s="1"/>
  <c r="P100" i="7" a="1"/>
  <c r="P100" i="7" s="1"/>
  <c r="P88" i="7" a="1"/>
  <c r="P88" i="7" s="1"/>
  <c r="P76" i="7" a="1"/>
  <c r="P76" i="7" s="1"/>
  <c r="P121" i="7" a="1"/>
  <c r="P121" i="7" s="1"/>
  <c r="P110" i="7" a="1"/>
  <c r="P110" i="7" s="1"/>
  <c r="P79" i="7" a="1"/>
  <c r="P79" i="7" s="1"/>
  <c r="P64" i="7" a="1"/>
  <c r="P64" i="7" s="1"/>
  <c r="P114" i="7" a="1"/>
  <c r="P114" i="7" s="1"/>
  <c r="P107" i="7" a="1"/>
  <c r="P107" i="7" s="1"/>
  <c r="BH106" i="7" a="1"/>
  <c r="BH106" i="7" s="1"/>
  <c r="BP108" i="7" s="1"/>
  <c r="P97" i="7" a="1"/>
  <c r="P97" i="7" s="1"/>
  <c r="BH68" i="7" a="1"/>
  <c r="BH68" i="7" s="1"/>
  <c r="BP70" i="7" s="1"/>
  <c r="P129" i="7" a="1"/>
  <c r="P129" i="7" s="1"/>
  <c r="P103" i="7" a="1"/>
  <c r="P103" i="7" s="1"/>
  <c r="P84" i="7" a="1"/>
  <c r="P84" i="7" s="1"/>
  <c r="P80" i="7" a="1"/>
  <c r="P80" i="7" s="1"/>
  <c r="P58" i="7" a="1"/>
  <c r="P58" i="7" s="1"/>
  <c r="P56" i="7" a="1"/>
  <c r="P56" i="7" s="1"/>
  <c r="CQ124" i="7" a="1"/>
  <c r="CQ124" i="7" s="1"/>
  <c r="CY127" i="7" s="1"/>
  <c r="P96" i="7" a="1"/>
  <c r="P96" i="7" s="1"/>
  <c r="BH87" i="7" a="1"/>
  <c r="BH87" i="7" s="1"/>
  <c r="BP89" i="7" s="1"/>
  <c r="P87" i="7" a="1"/>
  <c r="P87" i="7" s="1"/>
  <c r="P78" i="7" a="1"/>
  <c r="P78" i="7" s="1"/>
  <c r="P75" i="7" a="1"/>
  <c r="P75" i="7" s="1"/>
  <c r="DI64" i="7" a="1"/>
  <c r="DI64" i="7" s="1"/>
  <c r="DG105" i="7" a="1"/>
  <c r="DG105" i="7" s="1"/>
  <c r="DO108" i="7" s="1"/>
  <c r="P89" i="7" a="1"/>
  <c r="P89" i="7" s="1"/>
  <c r="P67" i="7" a="1"/>
  <c r="P67" i="7" s="1"/>
  <c r="P111" i="7" a="1"/>
  <c r="P111" i="7" s="1"/>
  <c r="P105" i="7" a="1"/>
  <c r="P105" i="7" s="1"/>
  <c r="P101" i="7" a="1"/>
  <c r="P101" i="7" s="1"/>
  <c r="P74" i="7" a="1"/>
  <c r="P74" i="7" s="1"/>
  <c r="P68" i="7" a="1"/>
  <c r="P68" i="7" s="1"/>
  <c r="CQ67" i="7" a="1"/>
  <c r="CQ67" i="7" s="1"/>
  <c r="CY70" i="7" s="1"/>
  <c r="P50" i="7" a="1"/>
  <c r="P50" i="7" s="1"/>
  <c r="P118" i="7" a="1"/>
  <c r="P118" i="7" s="1"/>
  <c r="P90" i="7" a="1"/>
  <c r="P90" i="7" s="1"/>
  <c r="P81" i="7" a="1"/>
  <c r="P81" i="7" s="1"/>
  <c r="P73" i="7" a="1"/>
  <c r="P73" i="7" s="1"/>
  <c r="P99" i="7" a="1"/>
  <c r="P99" i="7" s="1"/>
  <c r="P91" i="7" a="1"/>
  <c r="P91" i="7" s="1"/>
  <c r="BJ84" i="7" a="1"/>
  <c r="BJ84" i="7" s="1"/>
  <c r="P72" i="7" a="1"/>
  <c r="P72" i="7" s="1"/>
  <c r="P66" i="7" a="1"/>
  <c r="P66" i="7" s="1"/>
  <c r="P108" i="7" a="1"/>
  <c r="P108" i="7" s="1"/>
  <c r="CQ105" i="7" a="1"/>
  <c r="CQ105" i="7" s="1"/>
  <c r="CY108" i="7" s="1"/>
  <c r="P92" i="7" a="1"/>
  <c r="P92" i="7" s="1"/>
  <c r="P69" i="7" a="1"/>
  <c r="P69" i="7" s="1"/>
  <c r="P59" i="7" a="1"/>
  <c r="P59" i="7" s="1"/>
  <c r="P117" i="7" a="1"/>
  <c r="P117" i="7" s="1"/>
  <c r="DG86" i="7" a="1"/>
  <c r="DG86" i="7" s="1"/>
  <c r="DO89" i="7" s="1"/>
  <c r="P52" i="7" a="1"/>
  <c r="P52" i="7" s="1"/>
  <c r="AT48" i="7" a="1"/>
  <c r="AT48" i="7" s="1"/>
  <c r="AZ51" i="7" s="1"/>
  <c r="P43" i="7" a="1"/>
  <c r="P43" i="7" s="1"/>
  <c r="P39" i="7" a="1"/>
  <c r="P39" i="7" s="1"/>
  <c r="P125" i="7" a="1"/>
  <c r="P125" i="7" s="1"/>
  <c r="P93" i="7" a="1"/>
  <c r="P93" i="7" s="1"/>
  <c r="P82" i="7" a="1"/>
  <c r="P82" i="7" s="1"/>
  <c r="P70" i="7" a="1"/>
  <c r="P70" i="7" s="1"/>
  <c r="P63" i="7" a="1"/>
  <c r="P63" i="7" s="1"/>
  <c r="DG48" i="7" a="1"/>
  <c r="DG48" i="7" s="1"/>
  <c r="DO51" i="7" s="1"/>
  <c r="P102" i="7" a="1"/>
  <c r="P102" i="7" s="1"/>
  <c r="P71" i="7" a="1"/>
  <c r="P71" i="7" s="1"/>
  <c r="BJ46" i="7" a="1"/>
  <c r="BJ46" i="7" s="1"/>
  <c r="P41" i="7" a="1"/>
  <c r="P41" i="7" s="1"/>
  <c r="P42" i="7" a="1"/>
  <c r="P42" i="7" s="1"/>
  <c r="P51" i="7" a="1"/>
  <c r="P51" i="7" s="1"/>
  <c r="CQ48" i="7" a="1"/>
  <c r="CQ48" i="7" s="1"/>
  <c r="CY51" i="7" s="1"/>
  <c r="CS45" i="7" a="1"/>
  <c r="CS45" i="7" s="1"/>
  <c r="P40" i="7" a="1"/>
  <c r="P40" i="7" s="1"/>
  <c r="P35" i="7" a="1"/>
  <c r="P35" i="7" s="1"/>
  <c r="BH29" i="7" a="1"/>
  <c r="BH29" i="7" s="1"/>
  <c r="BP31" i="7" s="1"/>
  <c r="EB26" i="7" a="1"/>
  <c r="EB26" i="7" s="1"/>
  <c r="CQ10" i="7" a="1"/>
  <c r="CQ10" i="7" s="1"/>
  <c r="P55" i="7" a="1"/>
  <c r="P55" i="7" s="1"/>
  <c r="P54" i="7" a="1"/>
  <c r="P54" i="7" s="1"/>
  <c r="P48" i="7" a="1"/>
  <c r="P48" i="7" s="1"/>
  <c r="P57" i="7" a="1"/>
  <c r="P57" i="7" s="1"/>
  <c r="P62" i="7" a="1"/>
  <c r="P62" i="7" s="1"/>
  <c r="DZ48" i="7" a="1"/>
  <c r="DZ48" i="7" s="1"/>
  <c r="EH50" i="7" s="1"/>
  <c r="P36" i="7" a="1"/>
  <c r="P36" i="7" s="1"/>
  <c r="AT68" i="7" a="1"/>
  <c r="AT68" i="7" s="1"/>
  <c r="AZ71" i="7" s="1"/>
  <c r="P44" i="7" a="1"/>
  <c r="P44" i="7" s="1"/>
  <c r="P61" i="7" a="1"/>
  <c r="P61" i="7" s="1"/>
  <c r="P46" i="7" a="1"/>
  <c r="P46" i="7" s="1"/>
  <c r="P37" i="7" a="1"/>
  <c r="P37" i="7" s="1"/>
  <c r="P27" i="7" a="1"/>
  <c r="P27" i="7" s="1"/>
  <c r="P20" i="7" a="1"/>
  <c r="P20" i="7" s="1"/>
  <c r="BH49" i="7" a="1"/>
  <c r="BH49" i="7" s="1"/>
  <c r="BP51" i="7" s="1"/>
  <c r="P60" i="7" a="1"/>
  <c r="P60" i="7" s="1"/>
  <c r="EB58" i="7"/>
  <c r="EB60" i="7"/>
  <c r="EN57" i="7" s="1"/>
  <c r="EB59" i="7"/>
  <c r="P47" i="7" a="1"/>
  <c r="P47" i="7" s="1"/>
  <c r="DI58" i="7"/>
  <c r="DU55" i="7" s="1"/>
  <c r="DI60" i="7"/>
  <c r="DU57" i="7" s="1"/>
  <c r="DI59" i="7"/>
  <c r="DU56" i="7" s="1"/>
  <c r="DI48" i="7" a="1"/>
  <c r="DI48" i="7" s="1"/>
  <c r="DO52" i="7" s="1"/>
  <c r="AB29" i="7" a="1"/>
  <c r="AB29" i="7" s="1"/>
  <c r="AV48" i="7" a="1"/>
  <c r="AV48" i="7" s="1"/>
  <c r="AZ52" i="7" s="1"/>
  <c r="EB39" i="7"/>
  <c r="EN36" i="7" s="1"/>
  <c r="EB48" i="7" a="1"/>
  <c r="EB48" i="7" s="1"/>
  <c r="EH51" i="7" s="1"/>
  <c r="AB59" i="7"/>
  <c r="AO56" i="7" s="1"/>
  <c r="AB58" i="7"/>
  <c r="AO55" i="7" s="1"/>
  <c r="AB60" i="7"/>
  <c r="AO57" i="7" s="1"/>
  <c r="AU152" i="7"/>
  <c r="BC149" i="7" s="1"/>
  <c r="BC92" i="7"/>
  <c r="AV221" i="7" a="1"/>
  <c r="AV221" i="7" s="1"/>
  <c r="AZ225" i="7" s="1"/>
  <c r="DI181" i="7" a="1"/>
  <c r="DI181" i="7" s="1"/>
  <c r="DO185" i="7" s="1"/>
  <c r="DI200" i="7" a="1"/>
  <c r="DI200" i="7" s="1"/>
  <c r="DO204" i="7" s="1"/>
  <c r="BJ144" i="7" a="1"/>
  <c r="BJ144" i="7" s="1"/>
  <c r="BP147" i="7" s="1"/>
  <c r="AV163" i="7" a="1"/>
  <c r="AV163" i="7" s="1"/>
  <c r="AZ167" i="7" s="1"/>
  <c r="DI219" i="7" a="1"/>
  <c r="DI219" i="7" s="1"/>
  <c r="DO223" i="7" s="1"/>
  <c r="CS143" i="7" a="1"/>
  <c r="CS143" i="7" s="1"/>
  <c r="CY147" i="7" s="1"/>
  <c r="AV125" i="7" a="1"/>
  <c r="AV125" i="7" s="1"/>
  <c r="AZ129" i="7" s="1"/>
  <c r="AV202" i="7" a="1"/>
  <c r="AV202" i="7" s="1"/>
  <c r="AZ206" i="7" s="1"/>
  <c r="AV183" i="7" a="1"/>
  <c r="AV183" i="7" s="1"/>
  <c r="AZ187" i="7" s="1"/>
  <c r="DI257" i="7" a="1"/>
  <c r="DI257" i="7" s="1"/>
  <c r="DO260" i="7" s="1"/>
  <c r="DI238" i="7" a="1"/>
  <c r="DI238" i="7" s="1"/>
  <c r="DO241" i="7" s="1"/>
  <c r="DI143" i="7" a="1"/>
  <c r="DI143" i="7" s="1"/>
  <c r="DO147" i="7" s="1"/>
  <c r="BJ125" i="7" a="1"/>
  <c r="BJ125" i="7" s="1"/>
  <c r="BP128" i="7" s="1"/>
  <c r="BJ106" i="7" a="1"/>
  <c r="BJ106" i="7" s="1"/>
  <c r="BP109" i="7" s="1"/>
  <c r="DI162" i="7" a="1"/>
  <c r="DI162" i="7" s="1"/>
  <c r="DO166" i="7" s="1"/>
  <c r="AV106" i="7" a="1"/>
  <c r="AV106" i="7" s="1"/>
  <c r="AZ110" i="7" s="1"/>
  <c r="AB144" i="7" a="1"/>
  <c r="AB144" i="7" s="1"/>
  <c r="AI147" i="7" s="1"/>
  <c r="AB125" i="7" a="1"/>
  <c r="AB125" i="7" s="1"/>
  <c r="AI128" i="7" s="1"/>
  <c r="DI124" i="7" a="1"/>
  <c r="DI124" i="7" s="1"/>
  <c r="DO128" i="7" s="1"/>
  <c r="AB105" i="7" a="1"/>
  <c r="AB105" i="7" s="1"/>
  <c r="AI108" i="7" s="1"/>
  <c r="CS86" i="7" a="1"/>
  <c r="CS86" i="7" s="1"/>
  <c r="CY90" i="7" s="1"/>
  <c r="CS124" i="7" a="1"/>
  <c r="CS124" i="7" s="1"/>
  <c r="CY128" i="7" s="1"/>
  <c r="BJ87" i="7" a="1"/>
  <c r="BJ87" i="7" s="1"/>
  <c r="BP90" i="7" s="1"/>
  <c r="AV68" i="7" a="1"/>
  <c r="AV68" i="7" s="1"/>
  <c r="AZ72" i="7" s="1"/>
  <c r="AB86" i="7" a="1"/>
  <c r="AB86" i="7" s="1"/>
  <c r="CS105" i="7" a="1"/>
  <c r="CS105" i="7" s="1"/>
  <c r="CY109" i="7" s="1"/>
  <c r="DI86" i="7" a="1"/>
  <c r="DI86" i="7" s="1"/>
  <c r="DO90" i="7" s="1"/>
  <c r="AB67" i="7" a="1"/>
  <c r="AB67" i="7" s="1"/>
  <c r="AB64" i="7" s="1" a="1"/>
  <c r="AB64" i="7" s="1"/>
  <c r="EB10" i="7" a="1"/>
  <c r="EB10" i="7" s="1"/>
  <c r="EH13" i="7" s="1"/>
  <c r="EV11" i="7" s="1"/>
  <c r="CS29" i="7" a="1"/>
  <c r="CS29" i="7" s="1"/>
  <c r="CY33" i="7" s="1"/>
  <c r="CS48" i="7" a="1"/>
  <c r="CS48" i="7" s="1"/>
  <c r="CY52" i="7" s="1"/>
  <c r="DI67" i="7" a="1"/>
  <c r="DI67" i="7" s="1"/>
  <c r="DO71" i="7" s="1"/>
  <c r="AU91" i="7"/>
  <c r="AV98" i="7"/>
  <c r="CS96" i="7"/>
  <c r="DB93" i="7" s="1"/>
  <c r="CS95" i="7"/>
  <c r="DB92" i="7" s="1"/>
  <c r="CS97" i="7"/>
  <c r="DB94" i="7" s="1"/>
  <c r="CS98" i="7"/>
  <c r="DB95" i="7" s="1"/>
  <c r="AB78" i="7"/>
  <c r="AO75" i="7" s="1"/>
  <c r="AB93" i="7"/>
  <c r="AO90" i="7" s="1"/>
  <c r="AB95" i="7"/>
  <c r="AO92" i="7" s="1"/>
  <c r="AB97" i="7"/>
  <c r="AO94" i="7" s="1"/>
  <c r="CS116" i="7"/>
  <c r="DB113" i="7" s="1"/>
  <c r="CS113" i="7"/>
  <c r="DB110" i="7" s="1"/>
  <c r="CS117" i="7"/>
  <c r="DB114" i="7" s="1"/>
  <c r="CS114" i="7"/>
  <c r="DB111" i="7" s="1"/>
  <c r="CS115" i="7"/>
  <c r="DB112" i="7" s="1"/>
  <c r="AB115" i="7"/>
  <c r="AO112" i="7" s="1"/>
  <c r="AB116" i="7"/>
  <c r="AO113" i="7" s="1"/>
  <c r="AB76" i="7"/>
  <c r="AO73" i="7" s="1"/>
  <c r="AU113" i="7"/>
  <c r="BC110" i="7" s="1"/>
  <c r="AU110" i="7"/>
  <c r="BC107" i="7" s="1"/>
  <c r="AU114" i="7"/>
  <c r="BC111" i="7" s="1"/>
  <c r="AU109" i="7"/>
  <c r="BC106" i="7" s="1"/>
  <c r="AV118" i="7"/>
  <c r="BC115" i="7" s="1"/>
  <c r="AV117" i="7"/>
  <c r="BC114" i="7" s="1"/>
  <c r="AV116" i="7"/>
  <c r="BC113" i="7" s="1"/>
  <c r="AU111" i="7"/>
  <c r="BC108" i="7" s="1"/>
  <c r="AU112" i="7"/>
  <c r="BC109" i="7" s="1"/>
  <c r="AU97" i="7"/>
  <c r="AU90" i="7"/>
  <c r="AU92" i="7"/>
  <c r="AU96" i="7"/>
  <c r="AU94" i="7"/>
  <c r="AB92" i="7"/>
  <c r="AO89" i="7" s="1"/>
  <c r="AV99" i="7"/>
  <c r="AU93" i="7"/>
  <c r="AB98" i="7"/>
  <c r="AO95" i="7" s="1"/>
  <c r="AB114" i="7"/>
  <c r="AO111" i="7" s="1"/>
  <c r="AB137" i="7"/>
  <c r="AO134" i="7" s="1"/>
  <c r="AB134" i="7"/>
  <c r="AO131" i="7" s="1"/>
  <c r="AB136" i="7"/>
  <c r="AO133" i="7" s="1"/>
  <c r="AB135" i="7"/>
  <c r="AO132" i="7" s="1"/>
  <c r="CS154" i="7"/>
  <c r="DB151" i="7" s="1"/>
  <c r="CS136" i="7"/>
  <c r="DB133" i="7" s="1"/>
  <c r="CS153" i="7"/>
  <c r="DB150" i="7" s="1"/>
  <c r="CS155" i="7"/>
  <c r="DB152" i="7" s="1"/>
  <c r="DI173" i="7"/>
  <c r="DU170" i="7" s="1"/>
  <c r="DI172" i="7"/>
  <c r="DU169" i="7" s="1"/>
  <c r="DI174" i="7"/>
  <c r="DU171" i="7" s="1"/>
  <c r="DI171" i="7"/>
  <c r="DU168" i="7" s="1"/>
  <c r="CS135" i="7"/>
  <c r="DB132" i="7" s="1"/>
  <c r="CS134" i="7"/>
  <c r="DB131" i="7" s="1"/>
  <c r="DI136" i="7"/>
  <c r="DU133" i="7" s="1"/>
  <c r="DI135" i="7"/>
  <c r="DU132" i="7" s="1"/>
  <c r="DI134" i="7"/>
  <c r="DU131" i="7" s="1"/>
  <c r="AB156" i="7"/>
  <c r="AO153" i="7" s="1"/>
  <c r="AU170" i="7"/>
  <c r="BC167" i="7" s="1"/>
  <c r="AV174" i="7"/>
  <c r="BC171" i="7" s="1"/>
  <c r="AU187" i="7"/>
  <c r="BC184" i="7" s="1"/>
  <c r="AU189" i="7"/>
  <c r="BC186" i="7" s="1"/>
  <c r="AU191" i="7"/>
  <c r="BC188" i="7" s="1"/>
  <c r="DI191" i="7"/>
  <c r="DU188" i="7" s="1"/>
  <c r="AU188" i="7"/>
  <c r="BC185" i="7" s="1"/>
  <c r="AV192" i="7"/>
  <c r="BC189" i="7" s="1"/>
  <c r="DI210" i="7"/>
  <c r="DU207" i="7" s="1"/>
  <c r="AB154" i="7"/>
  <c r="AO151" i="7" s="1"/>
  <c r="AU190" i="7"/>
  <c r="BC187" i="7" s="1"/>
  <c r="AV136" i="7"/>
  <c r="BC133" i="7" s="1"/>
  <c r="DI153" i="7"/>
  <c r="DU150" i="7" s="1"/>
  <c r="AU186" i="7"/>
  <c r="BC183" i="7" s="1"/>
  <c r="DI192" i="7"/>
  <c r="DU189" i="7" s="1"/>
  <c r="DI265" i="7"/>
  <c r="DI266" i="7"/>
  <c r="DU263" i="7" s="1"/>
  <c r="DI267" i="7"/>
  <c r="DU264" i="7" s="1"/>
  <c r="DI268" i="7"/>
  <c r="DU265" i="7" s="1"/>
  <c r="DI269" i="7"/>
  <c r="DU266" i="7" s="1"/>
  <c r="AV193" i="7"/>
  <c r="BC190" i="7" s="1"/>
  <c r="DI152" i="7"/>
  <c r="DU149" i="7" s="1"/>
  <c r="AU171" i="7"/>
  <c r="BC168" i="7" s="1"/>
  <c r="DI193" i="7"/>
  <c r="DU190" i="7" s="1"/>
  <c r="AV173" i="7"/>
  <c r="BC170" i="7" s="1"/>
  <c r="AB153" i="7"/>
  <c r="AO150" i="7" s="1"/>
  <c r="AV195" i="7"/>
  <c r="BC192" i="7" s="1"/>
  <c r="KA8" i="4" l="1"/>
  <c r="BN8" i="4"/>
  <c r="JC8" i="4" s="1"/>
  <c r="AG9" i="4"/>
  <c r="W10" i="4"/>
  <c r="S11" i="4"/>
  <c r="AF10" i="4"/>
  <c r="BL46" i="2" a="1"/>
  <c r="BL46" i="2" s="1"/>
  <c r="BJ141" i="7" a="1"/>
  <c r="BJ141" i="7" s="1"/>
  <c r="O11" i="4"/>
  <c r="AE10" i="4"/>
  <c r="CU121" i="2" a="1"/>
  <c r="CU121" i="2" s="1"/>
  <c r="EH45" i="2" a="1"/>
  <c r="EH45" i="2" s="1"/>
  <c r="DI102" i="7" a="1"/>
  <c r="DI102" i="7" s="1"/>
  <c r="AW154" i="2"/>
  <c r="BE151" i="2" s="1"/>
  <c r="BE94" i="2"/>
  <c r="BL103" i="2" a="1"/>
  <c r="BL103" i="2" s="1"/>
  <c r="BE91" i="2"/>
  <c r="AW151" i="2"/>
  <c r="BE148" i="2" s="1"/>
  <c r="AU150" i="7"/>
  <c r="BC147" i="7" s="1"/>
  <c r="BC90" i="7"/>
  <c r="BC96" i="7"/>
  <c r="AV156" i="7"/>
  <c r="BC153" i="7" s="1"/>
  <c r="AV155" i="7"/>
  <c r="BC152" i="7" s="1"/>
  <c r="BC95" i="7"/>
  <c r="DI45" i="7" a="1"/>
  <c r="DI45" i="7" s="1"/>
  <c r="BJ103" i="7" a="1"/>
  <c r="BJ103" i="7" s="1"/>
  <c r="CQ27" i="7"/>
  <c r="CQ8" i="7"/>
  <c r="H7" i="7"/>
  <c r="DO102" i="2" a="1"/>
  <c r="DO102" i="2" s="1"/>
  <c r="AU148" i="7"/>
  <c r="BC145" i="7" s="1"/>
  <c r="BC88" i="7"/>
  <c r="CS140" i="7" a="1"/>
  <c r="CS140" i="7" s="1"/>
  <c r="MJ11" i="4"/>
  <c r="LR12" i="4"/>
  <c r="MH10" i="4"/>
  <c r="LJ11" i="4"/>
  <c r="DO178" i="2" a="1"/>
  <c r="DO178" i="2" s="1"/>
  <c r="AJ169" i="2"/>
  <c r="AH169" i="2"/>
  <c r="AG169" i="2"/>
  <c r="H18" i="7"/>
  <c r="DG8" i="7"/>
  <c r="DO7" i="2" a="1"/>
  <c r="DO7" i="2" s="1"/>
  <c r="BC93" i="7"/>
  <c r="AU153" i="7"/>
  <c r="BC150" i="7" s="1"/>
  <c r="KT11" i="4"/>
  <c r="MD10" i="4"/>
  <c r="NT21" i="4"/>
  <c r="OS20" i="4"/>
  <c r="AX155" i="2"/>
  <c r="BE152" i="2" s="1"/>
  <c r="BE95" i="2"/>
  <c r="DO26" i="2" a="1"/>
  <c r="DO26" i="2" s="1"/>
  <c r="AU149" i="7"/>
  <c r="BC146" i="7" s="1"/>
  <c r="BC89" i="7"/>
  <c r="AV65" i="7" a="1"/>
  <c r="AV65" i="7" s="1"/>
  <c r="CS26" i="7" a="1"/>
  <c r="CS26" i="7" s="1"/>
  <c r="LZ10" i="4"/>
  <c r="ML9" i="4"/>
  <c r="BM11" i="4"/>
  <c r="JZ10" i="4"/>
  <c r="JB10" i="4"/>
  <c r="AW153" i="2"/>
  <c r="BE150" i="2" s="1"/>
  <c r="BE93" i="2"/>
  <c r="CU140" i="2" a="1"/>
  <c r="CU140" i="2" s="1"/>
  <c r="AB26" i="2" a="1"/>
  <c r="AB26" i="2" s="1"/>
  <c r="AU147" i="7"/>
  <c r="BC144" i="7" s="1"/>
  <c r="BC87" i="7"/>
  <c r="AV45" i="7" a="1"/>
  <c r="AV45" i="7" s="1"/>
  <c r="DI83" i="7" a="1"/>
  <c r="DI83" i="7" s="1"/>
  <c r="K12" i="4"/>
  <c r="AD11" i="4"/>
  <c r="CU64" i="2" a="1"/>
  <c r="CU64" i="2" s="1"/>
  <c r="AU154" i="7"/>
  <c r="BC151" i="7" s="1"/>
  <c r="BC94" i="7"/>
  <c r="BJ65" i="7" a="1"/>
  <c r="BJ65" i="7" s="1"/>
  <c r="DI140" i="7" a="1"/>
  <c r="DI140" i="7" s="1"/>
  <c r="MI11" i="4"/>
  <c r="LN12" i="4"/>
  <c r="BE92" i="2"/>
  <c r="AW152" i="2"/>
  <c r="BE149" i="2" s="1"/>
  <c r="CU83" i="2" a="1"/>
  <c r="CU83" i="2" s="1"/>
  <c r="DO254" i="2" a="1"/>
  <c r="DO254" i="2" s="1"/>
  <c r="CY13" i="7"/>
  <c r="CS7" i="7" a="1"/>
  <c r="CS7" i="7" s="1"/>
  <c r="DI121" i="7" a="1"/>
  <c r="DI121" i="7" s="1"/>
  <c r="EB45" i="7" a="1"/>
  <c r="EB45" i="7" s="1"/>
  <c r="MK11" i="4"/>
  <c r="LV12" i="4"/>
  <c r="EH26" i="2" a="1"/>
  <c r="EH26" i="2" s="1"/>
  <c r="AU151" i="7"/>
  <c r="BC148" i="7" s="1"/>
  <c r="BC91" i="7"/>
  <c r="BJ26" i="7" a="1"/>
  <c r="BJ26" i="7" s="1"/>
  <c r="CS121" i="7" a="1"/>
  <c r="CS121" i="7" s="1"/>
  <c r="BJ122" i="7" a="1"/>
  <c r="BJ122" i="7" s="1"/>
  <c r="EB7" i="7" a="1"/>
  <c r="EB7" i="7" s="1"/>
  <c r="AH10" i="4"/>
  <c r="AA11" i="4"/>
  <c r="KX11" i="4"/>
  <c r="ME10" i="4"/>
  <c r="CS83" i="7" a="1"/>
  <c r="CS83" i="7" s="1"/>
  <c r="CS64" i="7" a="1"/>
  <c r="CS64" i="7" s="1"/>
  <c r="DI254" i="7" a="1"/>
  <c r="DI254" i="7" s="1"/>
  <c r="LB10" i="4"/>
  <c r="MF9" i="4"/>
  <c r="KA9" i="4"/>
  <c r="BN9" i="4"/>
  <c r="JC9" i="4" s="1"/>
  <c r="MG10" i="4"/>
  <c r="LF11" i="4"/>
  <c r="BL65" i="2" a="1"/>
  <c r="BL65" i="2" s="1"/>
  <c r="DO159" i="2" a="1"/>
  <c r="DO159" i="2" s="1"/>
  <c r="H18" i="2"/>
  <c r="DM8" i="2"/>
  <c r="AX65" i="2" a="1"/>
  <c r="AX65" i="2" s="1"/>
  <c r="DO121" i="2" a="1"/>
  <c r="DO121" i="2" s="1"/>
  <c r="AI32" i="7"/>
  <c r="AB26" i="7" a="1"/>
  <c r="AB26" i="7" s="1"/>
  <c r="KP10" i="4"/>
  <c r="MC9" i="4"/>
  <c r="DO83" i="2" a="1"/>
  <c r="DO83" i="2" s="1"/>
  <c r="DO216" i="2" a="1"/>
  <c r="DO216" i="2" s="1"/>
  <c r="CS8" i="2"/>
  <c r="H7" i="2"/>
  <c r="CS27" i="2"/>
  <c r="DB13" i="2"/>
  <c r="CU7" i="2" a="1"/>
  <c r="CU7" i="2" s="1"/>
  <c r="AG10" i="4" l="1"/>
  <c r="W11" i="4"/>
  <c r="NU9" i="4"/>
  <c r="OT9" i="4" s="1"/>
  <c r="DB9" i="2"/>
  <c r="JZ11" i="4"/>
  <c r="JB11" i="4"/>
  <c r="BM12" i="4"/>
  <c r="DI11" i="7"/>
  <c r="DO19" i="7" s="1"/>
  <c r="DO9" i="7"/>
  <c r="CY9" i="7"/>
  <c r="CS8" i="7"/>
  <c r="CY10" i="7" s="1"/>
  <c r="G8" i="7"/>
  <c r="CS27" i="7"/>
  <c r="CY29" i="7" s="1"/>
  <c r="CY28" i="7"/>
  <c r="LB11" i="4"/>
  <c r="MF10" i="4"/>
  <c r="ML10" i="4"/>
  <c r="NU10" i="4" s="1"/>
  <c r="OT10" i="4" s="1"/>
  <c r="LZ11" i="4"/>
  <c r="KP11" i="4"/>
  <c r="MC10" i="4"/>
  <c r="O12" i="4"/>
  <c r="AE11" i="4"/>
  <c r="DU9" i="2"/>
  <c r="MH11" i="4"/>
  <c r="LJ12" i="4"/>
  <c r="LV13" i="4"/>
  <c r="MK12" i="4"/>
  <c r="DI8" i="7"/>
  <c r="DO10" i="7" s="1"/>
  <c r="G19" i="7"/>
  <c r="AD12" i="4"/>
  <c r="K13" i="4"/>
  <c r="BN10" i="4"/>
  <c r="JC10" i="4" s="1"/>
  <c r="KA10" i="4"/>
  <c r="AA12" i="4"/>
  <c r="AH11" i="4"/>
  <c r="NT22" i="4"/>
  <c r="OS21" i="4"/>
  <c r="LR13" i="4"/>
  <c r="MJ12" i="4"/>
  <c r="S12" i="4"/>
  <c r="AF11" i="4"/>
  <c r="G19" i="2"/>
  <c r="DO8" i="2"/>
  <c r="DU10" i="2" s="1"/>
  <c r="G8" i="2"/>
  <c r="CU8" i="2"/>
  <c r="DB10" i="2" s="1"/>
  <c r="CU27" i="2"/>
  <c r="DB29" i="2" s="1"/>
  <c r="ME11" i="4"/>
  <c r="KX12" i="4"/>
  <c r="CU30" i="2"/>
  <c r="DB38" i="2" s="1"/>
  <c r="DB28" i="2"/>
  <c r="MG11" i="4"/>
  <c r="LF12" i="4"/>
  <c r="MI12" i="4"/>
  <c r="LN13" i="4"/>
  <c r="MD11" i="4"/>
  <c r="KT12" i="4"/>
  <c r="AG11" i="4" l="1"/>
  <c r="W12" i="4"/>
  <c r="NT23" i="4"/>
  <c r="OS22" i="4"/>
  <c r="ME12" i="4"/>
  <c r="KX13" i="4"/>
  <c r="AA13" i="4"/>
  <c r="AH12" i="4"/>
  <c r="AD13" i="4"/>
  <c r="K14" i="4"/>
  <c r="JB12" i="4"/>
  <c r="JZ12" i="4"/>
  <c r="BM13" i="4"/>
  <c r="MI13" i="4"/>
  <c r="LN14" i="4"/>
  <c r="ML11" i="4"/>
  <c r="LZ12" i="4"/>
  <c r="CU11" i="2"/>
  <c r="DB19" i="2" s="1"/>
  <c r="CS30" i="7"/>
  <c r="CY38" i="7" s="1"/>
  <c r="BN11" i="4"/>
  <c r="JC11" i="4" s="1"/>
  <c r="KA11" i="4"/>
  <c r="CQ46" i="7"/>
  <c r="H8" i="7"/>
  <c r="H8" i="2"/>
  <c r="CS46" i="2"/>
  <c r="LJ13" i="4"/>
  <c r="MH12" i="4"/>
  <c r="MD12" i="4"/>
  <c r="KT13" i="4"/>
  <c r="LF13" i="4"/>
  <c r="MG12" i="4"/>
  <c r="DO11" i="2"/>
  <c r="DU19" i="2" s="1"/>
  <c r="CS11" i="7"/>
  <c r="CY19" i="7" s="1"/>
  <c r="DM46" i="2"/>
  <c r="H19" i="2"/>
  <c r="DM27" i="2"/>
  <c r="DG46" i="7"/>
  <c r="H19" i="7"/>
  <c r="DG27" i="7"/>
  <c r="MC11" i="4"/>
  <c r="KP12" i="4"/>
  <c r="AE12" i="4"/>
  <c r="O13" i="4"/>
  <c r="AF12" i="4"/>
  <c r="S13" i="4"/>
  <c r="LV14" i="4"/>
  <c r="MK13" i="4"/>
  <c r="LR14" i="4"/>
  <c r="MJ13" i="4"/>
  <c r="MF11" i="4"/>
  <c r="LB12" i="4"/>
  <c r="AG12" i="4" l="1"/>
  <c r="W13" i="4"/>
  <c r="DI27" i="7"/>
  <c r="DO29" i="7" s="1"/>
  <c r="DI46" i="7"/>
  <c r="DO48" i="7" s="1"/>
  <c r="G20" i="7"/>
  <c r="MH13" i="4"/>
  <c r="LJ14" i="4"/>
  <c r="DO28" i="7"/>
  <c r="DI30" i="7"/>
  <c r="DO38" i="7" s="1"/>
  <c r="LV15" i="4"/>
  <c r="MK14" i="4"/>
  <c r="DB48" i="2"/>
  <c r="CU49" i="2"/>
  <c r="DB57" i="2" s="1"/>
  <c r="CS49" i="7"/>
  <c r="CY57" i="7" s="1"/>
  <c r="CY47" i="7"/>
  <c r="AE13" i="4"/>
  <c r="O14" i="4"/>
  <c r="KA12" i="4"/>
  <c r="BN12" i="4"/>
  <c r="JC12" i="4" s="1"/>
  <c r="DO27" i="2"/>
  <c r="DU29" i="2" s="1"/>
  <c r="G20" i="2"/>
  <c r="DO46" i="2"/>
  <c r="DU48" i="2" s="1"/>
  <c r="K15" i="4"/>
  <c r="AD14" i="4"/>
  <c r="AF13" i="4"/>
  <c r="S14" i="4"/>
  <c r="JZ13" i="4"/>
  <c r="BM14" i="4"/>
  <c r="JB13" i="4"/>
  <c r="G9" i="2"/>
  <c r="CU46" i="2"/>
  <c r="DB49" i="2" s="1"/>
  <c r="NT24" i="4"/>
  <c r="OS23" i="4"/>
  <c r="DO47" i="7"/>
  <c r="DI49" i="7"/>
  <c r="DO57" i="7" s="1"/>
  <c r="CS46" i="7"/>
  <c r="CY48" i="7" s="1"/>
  <c r="G9" i="7"/>
  <c r="AH13" i="4"/>
  <c r="AA14" i="4"/>
  <c r="LB13" i="4"/>
  <c r="MF12" i="4"/>
  <c r="KX14" i="4"/>
  <c r="ME13" i="4"/>
  <c r="LZ13" i="4"/>
  <c r="ML12" i="4"/>
  <c r="NU12" i="4" s="1"/>
  <c r="OT12" i="4" s="1"/>
  <c r="LF14" i="4"/>
  <c r="MG13" i="4"/>
  <c r="KP13" i="4"/>
  <c r="MC12" i="4"/>
  <c r="LN15" i="4"/>
  <c r="MI14" i="4"/>
  <c r="DU28" i="2"/>
  <c r="DO30" i="2"/>
  <c r="DU38" i="2" s="1"/>
  <c r="DU47" i="2"/>
  <c r="DO49" i="2"/>
  <c r="DU57" i="2" s="1"/>
  <c r="NU11" i="4"/>
  <c r="OT11" i="4" s="1"/>
  <c r="LR15" i="4"/>
  <c r="MJ14" i="4"/>
  <c r="KT14" i="4"/>
  <c r="MD13" i="4"/>
  <c r="AG13" i="4" l="1"/>
  <c r="W14" i="4"/>
  <c r="JZ14" i="4"/>
  <c r="BM15" i="4"/>
  <c r="JB14" i="4"/>
  <c r="O15" i="4"/>
  <c r="AE14" i="4"/>
  <c r="LV16" i="4"/>
  <c r="MK15" i="4"/>
  <c r="KP14" i="4"/>
  <c r="MC13" i="4"/>
  <c r="S15" i="4"/>
  <c r="AF14" i="4"/>
  <c r="LF15" i="4"/>
  <c r="MG14" i="4"/>
  <c r="CQ65" i="7"/>
  <c r="H9" i="7"/>
  <c r="DM65" i="2"/>
  <c r="H20" i="2"/>
  <c r="AH14" i="4"/>
  <c r="AA15" i="4"/>
  <c r="LZ14" i="4"/>
  <c r="ML13" i="4"/>
  <c r="NT25" i="4"/>
  <c r="OS24" i="4"/>
  <c r="LJ15" i="4"/>
  <c r="MH14" i="4"/>
  <c r="DG65" i="7"/>
  <c r="H20" i="7"/>
  <c r="CS84" i="2"/>
  <c r="CS65" i="2"/>
  <c r="H9" i="2"/>
  <c r="KT15" i="4"/>
  <c r="MD14" i="4"/>
  <c r="LB14" i="4"/>
  <c r="MF13" i="4"/>
  <c r="LR16" i="4"/>
  <c r="MJ15" i="4"/>
  <c r="KA13" i="4"/>
  <c r="BN13" i="4"/>
  <c r="JC13" i="4" s="1"/>
  <c r="K16" i="4"/>
  <c r="AD15" i="4"/>
  <c r="LN16" i="4"/>
  <c r="MI15" i="4"/>
  <c r="KX15" i="4"/>
  <c r="ME14" i="4"/>
  <c r="AG14" i="4" l="1"/>
  <c r="W15" i="4"/>
  <c r="AD16" i="4"/>
  <c r="K17" i="4"/>
  <c r="S16" i="4"/>
  <c r="AF15" i="4"/>
  <c r="KT16" i="4"/>
  <c r="MD15" i="4"/>
  <c r="LB15" i="4"/>
  <c r="MF14" i="4"/>
  <c r="AA16" i="4"/>
  <c r="AH15" i="4"/>
  <c r="BN14" i="4"/>
  <c r="JC14" i="4" s="1"/>
  <c r="KA14" i="4"/>
  <c r="NT26" i="4"/>
  <c r="OS25" i="4"/>
  <c r="LR17" i="4"/>
  <c r="MJ16" i="4"/>
  <c r="DU66" i="2"/>
  <c r="O16" i="4"/>
  <c r="AE15" i="4"/>
  <c r="LJ16" i="4"/>
  <c r="MH15" i="4"/>
  <c r="ME15" i="4"/>
  <c r="KX16" i="4"/>
  <c r="CS65" i="7"/>
  <c r="CY67" i="7" s="1"/>
  <c r="G10" i="7"/>
  <c r="DO65" i="2"/>
  <c r="DU67" i="2" s="1"/>
  <c r="G21" i="2"/>
  <c r="NU13" i="4"/>
  <c r="OT13" i="4" s="1"/>
  <c r="CY66" i="7"/>
  <c r="BM16" i="4"/>
  <c r="JB15" i="4"/>
  <c r="JZ15" i="4"/>
  <c r="LF16" i="4"/>
  <c r="MG15" i="4"/>
  <c r="DB67" i="2"/>
  <c r="DI65" i="7"/>
  <c r="DO67" i="7" s="1"/>
  <c r="G21" i="7"/>
  <c r="MI16" i="4"/>
  <c r="LN17" i="4"/>
  <c r="KP15" i="4"/>
  <c r="MC14" i="4"/>
  <c r="LV17" i="4"/>
  <c r="MK16" i="4"/>
  <c r="CU65" i="2"/>
  <c r="DB68" i="2" s="1"/>
  <c r="CU84" i="2"/>
  <c r="DB87" i="2" s="1"/>
  <c r="G10" i="2"/>
  <c r="DB86" i="2"/>
  <c r="ML14" i="4"/>
  <c r="NU14" i="4" s="1"/>
  <c r="OT14" i="4" s="1"/>
  <c r="LZ15" i="4"/>
  <c r="DI68" i="7"/>
  <c r="DO76" i="7" s="1"/>
  <c r="DO66" i="7"/>
  <c r="AG15" i="4" l="1"/>
  <c r="W16" i="4"/>
  <c r="LR18" i="4"/>
  <c r="MJ17" i="4"/>
  <c r="KP16" i="4"/>
  <c r="MC15" i="4"/>
  <c r="LZ16" i="4"/>
  <c r="ML15" i="4"/>
  <c r="NU15" i="4" s="1"/>
  <c r="OT15" i="4" s="1"/>
  <c r="CU87" i="2"/>
  <c r="DB95" i="2" s="1"/>
  <c r="CU68" i="2"/>
  <c r="DB76" i="2" s="1"/>
  <c r="S17" i="4"/>
  <c r="AF16" i="4"/>
  <c r="CQ84" i="7"/>
  <c r="CY85" i="7" s="1"/>
  <c r="CQ103" i="7"/>
  <c r="CY104" i="7" s="1"/>
  <c r="H10" i="7"/>
  <c r="NT27" i="4"/>
  <c r="OS26" i="4"/>
  <c r="LF17" i="4"/>
  <c r="MG16" i="4"/>
  <c r="LB16" i="4"/>
  <c r="MF15" i="4"/>
  <c r="CS103" i="2"/>
  <c r="DB105" i="2" s="1"/>
  <c r="CS122" i="2"/>
  <c r="DB124" i="2" s="1"/>
  <c r="H10" i="2"/>
  <c r="AA17" i="4"/>
  <c r="AH16" i="4"/>
  <c r="LV18" i="4"/>
  <c r="MK17" i="4"/>
  <c r="DM84" i="2"/>
  <c r="H21" i="2"/>
  <c r="AE16" i="4"/>
  <c r="O17" i="4"/>
  <c r="ME16" i="4"/>
  <c r="KX17" i="4"/>
  <c r="LJ17" i="4"/>
  <c r="MH16" i="4"/>
  <c r="AD17" i="4"/>
  <c r="K18" i="4"/>
  <c r="MI17" i="4"/>
  <c r="LN18" i="4"/>
  <c r="DG84" i="7"/>
  <c r="H21" i="7"/>
  <c r="JB16" i="4"/>
  <c r="JZ16" i="4"/>
  <c r="BM17" i="4"/>
  <c r="BN15" i="4"/>
  <c r="JC15" i="4" s="1"/>
  <c r="KA15" i="4"/>
  <c r="CS68" i="7"/>
  <c r="CY76" i="7" s="1"/>
  <c r="DO68" i="2"/>
  <c r="DU76" i="2" s="1"/>
  <c r="MD16" i="4"/>
  <c r="KT17" i="4"/>
  <c r="W17" i="4" l="1"/>
  <c r="AG16" i="4"/>
  <c r="MH17" i="4"/>
  <c r="LJ18" i="4"/>
  <c r="KX18" i="4"/>
  <c r="ME17" i="4"/>
  <c r="DO84" i="2"/>
  <c r="DU86" i="2" s="1"/>
  <c r="G22" i="2"/>
  <c r="JZ17" i="4"/>
  <c r="BM18" i="4"/>
  <c r="JB17" i="4"/>
  <c r="AE17" i="4"/>
  <c r="O18" i="4"/>
  <c r="AF17" i="4"/>
  <c r="S18" i="4"/>
  <c r="DI84" i="7"/>
  <c r="DO86" i="7" s="1"/>
  <c r="G22" i="7"/>
  <c r="OS27" i="4"/>
  <c r="NT28" i="4"/>
  <c r="DU85" i="2"/>
  <c r="MI18" i="4"/>
  <c r="LN19" i="4"/>
  <c r="MK18" i="4"/>
  <c r="LV19" i="4"/>
  <c r="LB17" i="4"/>
  <c r="MF16" i="4"/>
  <c r="LZ17" i="4"/>
  <c r="ML16" i="4"/>
  <c r="NU16" i="4" s="1"/>
  <c r="OT16" i="4" s="1"/>
  <c r="DO85" i="7"/>
  <c r="DI87" i="7"/>
  <c r="DO95" i="7" s="1"/>
  <c r="KA16" i="4"/>
  <c r="BN16" i="4"/>
  <c r="JC16" i="4" s="1"/>
  <c r="KT18" i="4"/>
  <c r="MD17" i="4"/>
  <c r="KP17" i="4"/>
  <c r="MC16" i="4"/>
  <c r="CS103" i="7"/>
  <c r="CY105" i="7" s="1"/>
  <c r="CS84" i="7"/>
  <c r="CY86" i="7" s="1"/>
  <c r="G11" i="7"/>
  <c r="MJ18" i="4"/>
  <c r="LR19" i="4"/>
  <c r="LF18" i="4"/>
  <c r="MG17" i="4"/>
  <c r="K19" i="4"/>
  <c r="AD18" i="4"/>
  <c r="AH17" i="4"/>
  <c r="AA18" i="4"/>
  <c r="CU103" i="2"/>
  <c r="DB106" i="2" s="1"/>
  <c r="CU122" i="2"/>
  <c r="DB125" i="2" s="1"/>
  <c r="G11" i="2"/>
  <c r="AG17" i="4" l="1"/>
  <c r="W18" i="4"/>
  <c r="AT200" i="7"/>
  <c r="AZ201" i="7" s="1"/>
  <c r="CQ141" i="7"/>
  <c r="CY142" i="7" s="1"/>
  <c r="AT219" i="7"/>
  <c r="AZ220" i="7" s="1"/>
  <c r="CQ122" i="7"/>
  <c r="CY123" i="7" s="1"/>
  <c r="H11" i="7"/>
  <c r="AV200" i="2"/>
  <c r="BB201" i="2" s="1"/>
  <c r="CS160" i="2"/>
  <c r="DB162" i="2" s="1"/>
  <c r="AV219" i="2"/>
  <c r="BB220" i="2" s="1"/>
  <c r="CS141" i="2"/>
  <c r="DB143" i="2" s="1"/>
  <c r="H11" i="2"/>
  <c r="LB18" i="4"/>
  <c r="MF17" i="4"/>
  <c r="S19" i="4"/>
  <c r="AF18" i="4"/>
  <c r="MK19" i="4"/>
  <c r="LV20" i="4"/>
  <c r="O19" i="4"/>
  <c r="AE18" i="4"/>
  <c r="MI19" i="4"/>
  <c r="LN20" i="4"/>
  <c r="KX19" i="4"/>
  <c r="ME18" i="4"/>
  <c r="DM103" i="2"/>
  <c r="H22" i="2"/>
  <c r="DO87" i="2"/>
  <c r="DU95" i="2" s="1"/>
  <c r="JZ18" i="4"/>
  <c r="BM19" i="4"/>
  <c r="JB18" i="4"/>
  <c r="DG103" i="7"/>
  <c r="H22" i="7"/>
  <c r="LF19" i="4"/>
  <c r="MG18" i="4"/>
  <c r="KP18" i="4"/>
  <c r="MC17" i="4"/>
  <c r="AH18" i="4"/>
  <c r="AA19" i="4"/>
  <c r="KA17" i="4"/>
  <c r="BN17" i="4"/>
  <c r="JC17" i="4" s="1"/>
  <c r="KT19" i="4"/>
  <c r="MD18" i="4"/>
  <c r="OS28" i="4"/>
  <c r="NT29" i="4"/>
  <c r="K20" i="4"/>
  <c r="AD19" i="4"/>
  <c r="MH18" i="4"/>
  <c r="LJ19" i="4"/>
  <c r="LZ18" i="4"/>
  <c r="ML17" i="4"/>
  <c r="NU17" i="4" s="1"/>
  <c r="OT17" i="4" s="1"/>
  <c r="MJ19" i="4"/>
  <c r="LR20" i="4"/>
  <c r="AG18" i="4" l="1"/>
  <c r="W19" i="4"/>
  <c r="ML18" i="4"/>
  <c r="NU18" i="4" s="1"/>
  <c r="OT18" i="4" s="1"/>
  <c r="LZ19" i="4"/>
  <c r="K21" i="4"/>
  <c r="AD20" i="4"/>
  <c r="LJ20" i="4"/>
  <c r="MH19" i="4"/>
  <c r="NT30" i="4"/>
  <c r="OS29" i="4"/>
  <c r="JZ19" i="4"/>
  <c r="JB19" i="4"/>
  <c r="BM20" i="4"/>
  <c r="S20" i="4"/>
  <c r="AF19" i="4"/>
  <c r="AX200" i="2"/>
  <c r="BB202" i="2" s="1"/>
  <c r="CU160" i="2"/>
  <c r="DB163" i="2" s="1"/>
  <c r="AX219" i="2"/>
  <c r="BB221" i="2" s="1"/>
  <c r="CU141" i="2"/>
  <c r="DB144" i="2" s="1"/>
  <c r="G12" i="2"/>
  <c r="DO103" i="2"/>
  <c r="DU105" i="2" s="1"/>
  <c r="G23" i="2"/>
  <c r="DU104" i="2"/>
  <c r="DO106" i="2"/>
  <c r="DU114" i="2" s="1"/>
  <c r="BN18" i="4"/>
  <c r="JC18" i="4" s="1"/>
  <c r="KA18" i="4"/>
  <c r="ME19" i="4"/>
  <c r="KX20" i="4"/>
  <c r="MF18" i="4"/>
  <c r="LB19" i="4"/>
  <c r="AH19" i="4"/>
  <c r="AA20" i="4"/>
  <c r="KP19" i="4"/>
  <c r="MC18" i="4"/>
  <c r="LN21" i="4"/>
  <c r="MI20" i="4"/>
  <c r="AV200" i="7"/>
  <c r="AZ202" i="7" s="1"/>
  <c r="CS141" i="7"/>
  <c r="CY143" i="7" s="1"/>
  <c r="AV219" i="7"/>
  <c r="AZ221" i="7" s="1"/>
  <c r="CS122" i="7"/>
  <c r="CY124" i="7" s="1"/>
  <c r="G12" i="7"/>
  <c r="KT20" i="4"/>
  <c r="MD19" i="4"/>
  <c r="MJ20" i="4"/>
  <c r="LR21" i="4"/>
  <c r="MG19" i="4"/>
  <c r="LF20" i="4"/>
  <c r="O20" i="4"/>
  <c r="AE19" i="4"/>
  <c r="DI103" i="7"/>
  <c r="DO105" i="7" s="1"/>
  <c r="G23" i="7"/>
  <c r="LV21" i="4"/>
  <c r="MK20" i="4"/>
  <c r="DO104" i="7"/>
  <c r="AG19" i="4" l="1"/>
  <c r="W20" i="4"/>
  <c r="S21" i="4"/>
  <c r="AF20" i="4"/>
  <c r="JZ20" i="4"/>
  <c r="JB20" i="4"/>
  <c r="BM21" i="4"/>
  <c r="LR22" i="4"/>
  <c r="MJ21" i="4"/>
  <c r="BN19" i="4"/>
  <c r="JC19" i="4" s="1"/>
  <c r="KA19" i="4"/>
  <c r="NT31" i="4"/>
  <c r="OS30" i="4"/>
  <c r="LB20" i="4"/>
  <c r="MF19" i="4"/>
  <c r="KP20" i="4"/>
  <c r="MC19" i="4"/>
  <c r="AA21" i="4"/>
  <c r="AH20" i="4"/>
  <c r="MH20" i="4"/>
  <c r="LJ21" i="4"/>
  <c r="KX21" i="4"/>
  <c r="ME20" i="4"/>
  <c r="DM122" i="2"/>
  <c r="H23" i="2"/>
  <c r="MK21" i="4"/>
  <c r="LV22" i="4"/>
  <c r="K22" i="4"/>
  <c r="AD21" i="4"/>
  <c r="MG20" i="4"/>
  <c r="LF21" i="4"/>
  <c r="Z142" i="7"/>
  <c r="AI144" i="7" s="1"/>
  <c r="BH142" i="7"/>
  <c r="BP144" i="7" s="1"/>
  <c r="BH123" i="7"/>
  <c r="BP125" i="7" s="1"/>
  <c r="Z103" i="7"/>
  <c r="AI105" i="7" s="1"/>
  <c r="Z123" i="7"/>
  <c r="AI125" i="7" s="1"/>
  <c r="BH85" i="7"/>
  <c r="BP87" i="7" s="1"/>
  <c r="Z84" i="7"/>
  <c r="AI86" i="7" s="1"/>
  <c r="BH104" i="7"/>
  <c r="BP106" i="7" s="1"/>
  <c r="BH66" i="7"/>
  <c r="BP68" i="7" s="1"/>
  <c r="BH47" i="7"/>
  <c r="BP49" i="7" s="1"/>
  <c r="BH8" i="7"/>
  <c r="BP10" i="7" s="1"/>
  <c r="BH27" i="7"/>
  <c r="BP29" i="7" s="1"/>
  <c r="H12" i="7"/>
  <c r="Z84" i="2"/>
  <c r="AK86" i="2" s="1"/>
  <c r="BJ123" i="2"/>
  <c r="BR125" i="2" s="1"/>
  <c r="Z123" i="2"/>
  <c r="AK125" i="2" s="1"/>
  <c r="BJ66" i="2"/>
  <c r="BR68" i="2" s="1"/>
  <c r="Z103" i="2"/>
  <c r="AK105" i="2" s="1"/>
  <c r="BJ85" i="2"/>
  <c r="BR87" i="2" s="1"/>
  <c r="BJ142" i="2"/>
  <c r="BR144" i="2" s="1"/>
  <c r="Z142" i="2"/>
  <c r="AK144" i="2" s="1"/>
  <c r="BJ104" i="2"/>
  <c r="BR106" i="2" s="1"/>
  <c r="H12" i="2"/>
  <c r="BJ47" i="2"/>
  <c r="BR49" i="2" s="1"/>
  <c r="BJ8" i="2"/>
  <c r="BR10" i="2" s="1"/>
  <c r="BJ27" i="2"/>
  <c r="BR29" i="2" s="1"/>
  <c r="ML19" i="4"/>
  <c r="NU19" i="4" s="1"/>
  <c r="OT19" i="4" s="1"/>
  <c r="LZ20" i="4"/>
  <c r="DI106" i="7"/>
  <c r="DO114" i="7" s="1"/>
  <c r="DG122" i="7"/>
  <c r="H23" i="7"/>
  <c r="LN22" i="4"/>
  <c r="MI21" i="4"/>
  <c r="KT21" i="4"/>
  <c r="MD20" i="4"/>
  <c r="O21" i="4"/>
  <c r="AE20" i="4"/>
  <c r="W21" i="4" l="1"/>
  <c r="AG20" i="4"/>
  <c r="MG21" i="4"/>
  <c r="LF22" i="4"/>
  <c r="LB21" i="4"/>
  <c r="MF20" i="4"/>
  <c r="AB142" i="7"/>
  <c r="AI145" i="7" s="1"/>
  <c r="AB84" i="7"/>
  <c r="AI87" i="7" s="1"/>
  <c r="BJ66" i="7"/>
  <c r="BP69" i="7" s="1"/>
  <c r="BJ85" i="7"/>
  <c r="BP88" i="7" s="1"/>
  <c r="BJ123" i="7"/>
  <c r="BP126" i="7" s="1"/>
  <c r="BJ142" i="7"/>
  <c r="BP145" i="7" s="1"/>
  <c r="AB123" i="7"/>
  <c r="AI126" i="7" s="1"/>
  <c r="BJ104" i="7"/>
  <c r="BP107" i="7" s="1"/>
  <c r="AB103" i="7"/>
  <c r="AI106" i="7" s="1"/>
  <c r="BJ47" i="7"/>
  <c r="BP50" i="7" s="1"/>
  <c r="BJ8" i="7"/>
  <c r="BP11" i="7" s="1"/>
  <c r="BJ27" i="7"/>
  <c r="BP30" i="7" s="1"/>
  <c r="G13" i="7"/>
  <c r="AD22" i="4"/>
  <c r="K23" i="4"/>
  <c r="NT32" i="4"/>
  <c r="OS31" i="4"/>
  <c r="ML20" i="4"/>
  <c r="NU20" i="4" s="1"/>
  <c r="OT20" i="4" s="1"/>
  <c r="LZ21" i="4"/>
  <c r="MK22" i="4"/>
  <c r="LV23" i="4"/>
  <c r="DO122" i="2"/>
  <c r="DU124" i="2" s="1"/>
  <c r="G24" i="2"/>
  <c r="DO123" i="7"/>
  <c r="DO125" i="2"/>
  <c r="DU133" i="2" s="1"/>
  <c r="DU123" i="2"/>
  <c r="KX22" i="4"/>
  <c r="ME21" i="4"/>
  <c r="MJ22" i="4"/>
  <c r="LR23" i="4"/>
  <c r="MH21" i="4"/>
  <c r="LJ22" i="4"/>
  <c r="BM22" i="4"/>
  <c r="JZ21" i="4"/>
  <c r="JB21" i="4"/>
  <c r="AB142" i="2"/>
  <c r="AK145" i="2" s="1"/>
  <c r="BL123" i="2"/>
  <c r="BR126" i="2" s="1"/>
  <c r="AB123" i="2"/>
  <c r="AK126" i="2" s="1"/>
  <c r="AB103" i="2"/>
  <c r="AK106" i="2" s="1"/>
  <c r="BL85" i="2"/>
  <c r="BR88" i="2" s="1"/>
  <c r="BL142" i="2"/>
  <c r="BR145" i="2" s="1"/>
  <c r="BL104" i="2"/>
  <c r="BR107" i="2" s="1"/>
  <c r="AB84" i="2"/>
  <c r="AK87" i="2" s="1"/>
  <c r="G13" i="2"/>
  <c r="BL66" i="2"/>
  <c r="BR69" i="2" s="1"/>
  <c r="BL47" i="2"/>
  <c r="BR50" i="2" s="1"/>
  <c r="BL8" i="2"/>
  <c r="BR11" i="2" s="1"/>
  <c r="BL27" i="2"/>
  <c r="BR30" i="2" s="1"/>
  <c r="KT22" i="4"/>
  <c r="MD21" i="4"/>
  <c r="KA20" i="4"/>
  <c r="BN20" i="4"/>
  <c r="JC20" i="4" s="1"/>
  <c r="AA22" i="4"/>
  <c r="AH21" i="4"/>
  <c r="KP21" i="4"/>
  <c r="MC20" i="4"/>
  <c r="O22" i="4"/>
  <c r="AE21" i="4"/>
  <c r="LN23" i="4"/>
  <c r="MI22" i="4"/>
  <c r="DI122" i="7"/>
  <c r="DO124" i="7" s="1"/>
  <c r="G24" i="7"/>
  <c r="S22" i="4"/>
  <c r="AF21" i="4"/>
  <c r="AG21" i="4" l="1"/>
  <c r="W22" i="4"/>
  <c r="BM23" i="4"/>
  <c r="JZ22" i="4"/>
  <c r="JB22" i="4"/>
  <c r="LJ23" i="4"/>
  <c r="MH22" i="4"/>
  <c r="LR24" i="4"/>
  <c r="MJ23" i="4"/>
  <c r="LZ22" i="4"/>
  <c r="ML21" i="4"/>
  <c r="NU21" i="4" s="1"/>
  <c r="OT21" i="4" s="1"/>
  <c r="AT161" i="7"/>
  <c r="AZ162" i="7" s="1"/>
  <c r="AT181" i="7"/>
  <c r="AZ182" i="7" s="1"/>
  <c r="AT142" i="7"/>
  <c r="AZ143" i="7" s="1"/>
  <c r="H13" i="7"/>
  <c r="KA21" i="4"/>
  <c r="BN21" i="4"/>
  <c r="JC21" i="4" s="1"/>
  <c r="AA23" i="4"/>
  <c r="AH22" i="4"/>
  <c r="MD22" i="4"/>
  <c r="KT23" i="4"/>
  <c r="KX23" i="4"/>
  <c r="ME22" i="4"/>
  <c r="AV161" i="2"/>
  <c r="BB162" i="2" s="1"/>
  <c r="AV181" i="2"/>
  <c r="BB182" i="2" s="1"/>
  <c r="AV142" i="2"/>
  <c r="BB143" i="2" s="1"/>
  <c r="H13" i="2"/>
  <c r="OS32" i="4"/>
  <c r="NT33" i="4"/>
  <c r="OS33" i="4" s="1"/>
  <c r="DG141" i="7"/>
  <c r="H24" i="7"/>
  <c r="K24" i="4"/>
  <c r="AD23" i="4"/>
  <c r="KP22" i="4"/>
  <c r="MC21" i="4"/>
  <c r="S23" i="4"/>
  <c r="AF22" i="4"/>
  <c r="LN24" i="4"/>
  <c r="MI23" i="4"/>
  <c r="DI125" i="7"/>
  <c r="DO133" i="7" s="1"/>
  <c r="DM141" i="2"/>
  <c r="H24" i="2"/>
  <c r="LF23" i="4"/>
  <c r="MG22" i="4"/>
  <c r="LV24" i="4"/>
  <c r="MK23" i="4"/>
  <c r="AE22" i="4"/>
  <c r="O23" i="4"/>
  <c r="LB22" i="4"/>
  <c r="MF21" i="4"/>
  <c r="W23" i="4" l="1"/>
  <c r="AG22" i="4"/>
  <c r="AV161" i="7"/>
  <c r="AZ163" i="7" s="1"/>
  <c r="AV181" i="7"/>
  <c r="AZ183" i="7" s="1"/>
  <c r="AV142" i="7"/>
  <c r="AZ144" i="7" s="1"/>
  <c r="G14" i="7"/>
  <c r="DI141" i="7"/>
  <c r="DO143" i="7" s="1"/>
  <c r="G25" i="7"/>
  <c r="BM24" i="4"/>
  <c r="JZ23" i="4"/>
  <c r="JB23" i="4"/>
  <c r="DO142" i="7"/>
  <c r="ME23" i="4"/>
  <c r="KX24" i="4"/>
  <c r="AE23" i="4"/>
  <c r="O24" i="4"/>
  <c r="KT24" i="4"/>
  <c r="MD23" i="4"/>
  <c r="LV25" i="4"/>
  <c r="MK24" i="4"/>
  <c r="LZ23" i="4"/>
  <c r="ML22" i="4"/>
  <c r="NU22" i="4" s="1"/>
  <c r="OT22" i="4" s="1"/>
  <c r="BN22" i="4"/>
  <c r="JC22" i="4" s="1"/>
  <c r="KA22" i="4"/>
  <c r="AH23" i="4"/>
  <c r="AA24" i="4"/>
  <c r="S24" i="4"/>
  <c r="AF23" i="4"/>
  <c r="MJ24" i="4"/>
  <c r="LR25" i="4"/>
  <c r="LJ24" i="4"/>
  <c r="MH23" i="4"/>
  <c r="MF22" i="4"/>
  <c r="LB23" i="4"/>
  <c r="AX161" i="2"/>
  <c r="BB163" i="2" s="1"/>
  <c r="AX181" i="2"/>
  <c r="BB183" i="2" s="1"/>
  <c r="AX142" i="2"/>
  <c r="BB144" i="2" s="1"/>
  <c r="G14" i="2"/>
  <c r="LN25" i="4"/>
  <c r="MI24" i="4"/>
  <c r="DO141" i="2"/>
  <c r="DU143" i="2" s="1"/>
  <c r="G25" i="2"/>
  <c r="DU142" i="2"/>
  <c r="DO144" i="2"/>
  <c r="DU152" i="2" s="1"/>
  <c r="MG23" i="4"/>
  <c r="LF24" i="4"/>
  <c r="KP23" i="4"/>
  <c r="MC22" i="4"/>
  <c r="K25" i="4"/>
  <c r="AD24" i="4"/>
  <c r="W24" i="4" l="1"/>
  <c r="AG23" i="4"/>
  <c r="BM25" i="4"/>
  <c r="JB24" i="4"/>
  <c r="JZ24" i="4"/>
  <c r="MF23" i="4"/>
  <c r="LB24" i="4"/>
  <c r="MK25" i="4"/>
  <c r="LV26" i="4"/>
  <c r="DG160" i="7"/>
  <c r="H25" i="7"/>
  <c r="LJ25" i="4"/>
  <c r="MH24" i="4"/>
  <c r="AD25" i="4"/>
  <c r="K26" i="4"/>
  <c r="AH24" i="4"/>
  <c r="AA25" i="4"/>
  <c r="BN23" i="4"/>
  <c r="JC23" i="4" s="1"/>
  <c r="KA23" i="4"/>
  <c r="MC23" i="4"/>
  <c r="KP24" i="4"/>
  <c r="KT25" i="4"/>
  <c r="MD24" i="4"/>
  <c r="AE24" i="4"/>
  <c r="O25" i="4"/>
  <c r="DM160" i="2"/>
  <c r="H25" i="2"/>
  <c r="MJ25" i="4"/>
  <c r="LR26" i="4"/>
  <c r="LZ24" i="4"/>
  <c r="ML23" i="4"/>
  <c r="NU23" i="4" s="1"/>
  <c r="OT23" i="4" s="1"/>
  <c r="ME24" i="4"/>
  <c r="KX25" i="4"/>
  <c r="H14" i="7"/>
  <c r="K319" i="7" s="1" a="1"/>
  <c r="K319" i="7" s="1"/>
  <c r="K254" i="7" a="1"/>
  <c r="K254" i="7" s="1"/>
  <c r="K315" i="7" a="1"/>
  <c r="K315" i="7" s="1"/>
  <c r="K362" i="7" a="1"/>
  <c r="K362" i="7" s="1"/>
  <c r="K329" i="7" a="1"/>
  <c r="K329" i="7" s="1"/>
  <c r="K101" i="7" a="1"/>
  <c r="K101" i="7" s="1"/>
  <c r="K175" i="7" a="1"/>
  <c r="K175" i="7" s="1"/>
  <c r="K385" i="7" a="1"/>
  <c r="K385" i="7" s="1"/>
  <c r="K91" i="7" a="1"/>
  <c r="K91" i="7" s="1"/>
  <c r="K346" i="7" a="1"/>
  <c r="K346" i="7" s="1"/>
  <c r="K347" i="7" a="1"/>
  <c r="K347" i="7" s="1"/>
  <c r="K355" i="7" a="1"/>
  <c r="K355" i="7" s="1"/>
  <c r="K289" i="7" a="1"/>
  <c r="K289" i="7" s="1"/>
  <c r="K239" i="7" a="1"/>
  <c r="K239" i="7" s="1"/>
  <c r="K86" i="7" a="1"/>
  <c r="K86" i="7" s="1"/>
  <c r="K375" i="7" a="1"/>
  <c r="K375" i="7" s="1"/>
  <c r="K93" i="7" a="1"/>
  <c r="K93" i="7" s="1"/>
  <c r="K261" i="7" a="1"/>
  <c r="K261" i="7" s="1"/>
  <c r="K378" i="7" a="1"/>
  <c r="K378" i="7" s="1"/>
  <c r="AF24" i="4"/>
  <c r="S25" i="4"/>
  <c r="H14" i="2"/>
  <c r="K126" i="2" a="1"/>
  <c r="K126" i="2" s="1"/>
  <c r="K174" i="2" a="1"/>
  <c r="K174" i="2" s="1"/>
  <c r="U174" i="2" s="1"/>
  <c r="K295" i="2" a="1"/>
  <c r="K295" i="2" s="1"/>
  <c r="K337" i="2" a="1"/>
  <c r="K337" i="2" s="1"/>
  <c r="K347" i="2" a="1"/>
  <c r="K347" i="2" s="1"/>
  <c r="U347" i="2" s="1"/>
  <c r="K316" i="2" a="1"/>
  <c r="K316" i="2" s="1"/>
  <c r="U316" i="2" s="1"/>
  <c r="K221" i="2" a="1"/>
  <c r="K221" i="2" s="1"/>
  <c r="K386" i="2" a="1"/>
  <c r="K386" i="2" s="1"/>
  <c r="K38" i="2" a="1"/>
  <c r="K38" i="2" s="1"/>
  <c r="K218" i="2" a="1"/>
  <c r="K218" i="2" s="1"/>
  <c r="K255" i="2" a="1"/>
  <c r="K255" i="2" s="1"/>
  <c r="K339" i="2" a="1"/>
  <c r="K339" i="2" s="1"/>
  <c r="K301" i="2" a="1"/>
  <c r="K301" i="2" s="1"/>
  <c r="K353" i="2" a="1"/>
  <c r="K353" i="2" s="1"/>
  <c r="K77" i="2" a="1"/>
  <c r="K77" i="2" s="1"/>
  <c r="K335" i="2" a="1"/>
  <c r="K335" i="2" s="1"/>
  <c r="U335" i="2" s="1"/>
  <c r="K89" i="2" a="1"/>
  <c r="K89" i="2" s="1"/>
  <c r="K346" i="2" a="1"/>
  <c r="K346" i="2" s="1"/>
  <c r="U346" i="2" s="1"/>
  <c r="K289" i="2" a="1"/>
  <c r="K289" i="2" s="1"/>
  <c r="K331" i="2" a="1"/>
  <c r="K331" i="2" s="1"/>
  <c r="K249" i="2" a="1"/>
  <c r="K249" i="2" s="1"/>
  <c r="K217" i="2" a="1"/>
  <c r="K217" i="2" s="1"/>
  <c r="K326" i="2" a="1"/>
  <c r="K326" i="2" s="1"/>
  <c r="K323" i="2" a="1"/>
  <c r="K323" i="2" s="1"/>
  <c r="K56" i="2" a="1"/>
  <c r="K56" i="2" s="1"/>
  <c r="K370" i="2" a="1"/>
  <c r="K370" i="2" s="1"/>
  <c r="K25" i="2" a="1"/>
  <c r="K25" i="2" s="1"/>
  <c r="K379" i="2" a="1"/>
  <c r="K379" i="2" s="1"/>
  <c r="K55" i="2" a="1"/>
  <c r="K55" i="2" s="1"/>
  <c r="U55" i="2" s="1"/>
  <c r="K234" i="2" a="1"/>
  <c r="K234" i="2" s="1"/>
  <c r="K319" i="2" a="1"/>
  <c r="K319" i="2" s="1"/>
  <c r="U319" i="2" s="1"/>
  <c r="K227" i="2" a="1"/>
  <c r="K227" i="2" s="1"/>
  <c r="K388" i="2" a="1"/>
  <c r="K388" i="2" s="1"/>
  <c r="K46" i="2" a="1"/>
  <c r="K46" i="2" s="1"/>
  <c r="U46" i="2" s="1"/>
  <c r="K321" i="2" a="1"/>
  <c r="K321" i="2" s="1"/>
  <c r="K392" i="2" a="1"/>
  <c r="K392" i="2" s="1"/>
  <c r="K261" i="2" a="1"/>
  <c r="K261" i="2" s="1"/>
  <c r="K246" i="2" a="1"/>
  <c r="K246" i="2" s="1"/>
  <c r="K348" i="2" a="1"/>
  <c r="K348" i="2" s="1"/>
  <c r="K216" i="2" a="1"/>
  <c r="K216" i="2" s="1"/>
  <c r="U216" i="2" s="1"/>
  <c r="K83" i="2" a="1"/>
  <c r="K83" i="2" s="1"/>
  <c r="K239" i="2" a="1"/>
  <c r="K239" i="2" s="1"/>
  <c r="K52" i="2" a="1"/>
  <c r="K52" i="2" s="1"/>
  <c r="K359" i="2" a="1"/>
  <c r="K359" i="2" s="1"/>
  <c r="U359" i="2" s="1"/>
  <c r="K219" i="2" a="1"/>
  <c r="K219" i="2" s="1"/>
  <c r="K275" i="2" a="1"/>
  <c r="K275" i="2" s="1"/>
  <c r="K284" i="2" a="1"/>
  <c r="K284" i="2" s="1"/>
  <c r="U284" i="2" s="1"/>
  <c r="K31" i="2" a="1"/>
  <c r="K31" i="2" s="1"/>
  <c r="U31" i="2" s="1"/>
  <c r="K395" i="2" a="1"/>
  <c r="K395" i="2" s="1"/>
  <c r="U395" i="2" s="1"/>
  <c r="K39" i="2" a="1"/>
  <c r="K39" i="2" s="1"/>
  <c r="K285" i="2" a="1"/>
  <c r="K285" i="2" s="1"/>
  <c r="K64" i="2" a="1"/>
  <c r="K64" i="2" s="1"/>
  <c r="K37" i="2" a="1"/>
  <c r="K37" i="2" s="1"/>
  <c r="U37" i="2" s="1"/>
  <c r="K361" i="2" a="1"/>
  <c r="K361" i="2" s="1"/>
  <c r="K368" i="2" a="1"/>
  <c r="K368" i="2" s="1"/>
  <c r="K237" i="2" a="1"/>
  <c r="K237" i="2" s="1"/>
  <c r="K340" i="2" a="1"/>
  <c r="K340" i="2" s="1"/>
  <c r="K41" i="2" a="1"/>
  <c r="K41" i="2" s="1"/>
  <c r="U41" i="2" s="1"/>
  <c r="K300" i="2" a="1"/>
  <c r="K300" i="2" s="1"/>
  <c r="U300" i="2" s="1"/>
  <c r="K294" i="2" a="1"/>
  <c r="K294" i="2" s="1"/>
  <c r="U294" i="2" s="1"/>
  <c r="K336" i="2" a="1"/>
  <c r="K336" i="2" s="1"/>
  <c r="U336" i="2" s="1"/>
  <c r="K238" i="2" a="1"/>
  <c r="K238" i="2" s="1"/>
  <c r="U238" i="2" s="1"/>
  <c r="K235" i="2" a="1"/>
  <c r="K235" i="2" s="1"/>
  <c r="K228" i="2" a="1"/>
  <c r="K228" i="2" s="1"/>
  <c r="K79" i="2" a="1"/>
  <c r="K79" i="2" s="1"/>
  <c r="K320" i="2" a="1"/>
  <c r="K320" i="2" s="1"/>
  <c r="U320" i="2" s="1"/>
  <c r="K373" i="2" a="1"/>
  <c r="K373" i="2" s="1"/>
  <c r="U373" i="2" s="1"/>
  <c r="K86" i="2" a="1"/>
  <c r="K86" i="2" s="1"/>
  <c r="K363" i="2" a="1"/>
  <c r="K363" i="2" s="1"/>
  <c r="K286" i="2" a="1"/>
  <c r="K286" i="2" s="1"/>
  <c r="K266" i="2" a="1"/>
  <c r="K266" i="2" s="1"/>
  <c r="K270" i="2" a="1"/>
  <c r="K270" i="2" s="1"/>
  <c r="K62" i="2" a="1"/>
  <c r="K62" i="2" s="1"/>
  <c r="K242" i="2" a="1"/>
  <c r="K242" i="2" s="1"/>
  <c r="U242" i="2" s="1"/>
  <c r="K47" i="2" a="1"/>
  <c r="K47" i="2" s="1"/>
  <c r="K287" i="2" a="1"/>
  <c r="K287" i="2" s="1"/>
  <c r="K24" i="2" a="1"/>
  <c r="K24" i="2" s="1"/>
  <c r="U24" i="2" s="1"/>
  <c r="K376" i="2" a="1"/>
  <c r="K376" i="2" s="1"/>
  <c r="K30" i="2" a="1"/>
  <c r="K30" i="2" s="1"/>
  <c r="K7" i="2" a="1"/>
  <c r="K7" i="2" s="1"/>
  <c r="U7" i="2" s="1"/>
  <c r="K264" i="2" a="1"/>
  <c r="K264" i="2" s="1"/>
  <c r="K53" i="2" a="1"/>
  <c r="K53" i="2" s="1"/>
  <c r="K257" i="2" a="1"/>
  <c r="K257" i="2" s="1"/>
  <c r="U257" i="2" s="1"/>
  <c r="K42" i="2" a="1"/>
  <c r="K42" i="2" s="1"/>
  <c r="K381" i="2" a="1"/>
  <c r="K381" i="2" s="1"/>
  <c r="K57" i="2" a="1"/>
  <c r="K57" i="2" s="1"/>
  <c r="K85" i="2" a="1"/>
  <c r="K85" i="2" s="1"/>
  <c r="U85" i="2" s="1"/>
  <c r="K29" i="2" a="1"/>
  <c r="K29" i="2" s="1"/>
  <c r="U29" i="2" s="1"/>
  <c r="K344" i="2" a="1"/>
  <c r="K344" i="2" s="1"/>
  <c r="U344" i="2" s="1"/>
  <c r="K19" i="2" a="1"/>
  <c r="K19" i="2" s="1"/>
  <c r="K356" i="2" a="1"/>
  <c r="K356" i="2" s="1"/>
  <c r="K267" i="2" a="1"/>
  <c r="K267" i="2" s="1"/>
  <c r="K18" i="2" a="1"/>
  <c r="K18" i="2" s="1"/>
  <c r="U18" i="2" s="1"/>
  <c r="K27" i="2" a="1"/>
  <c r="K27" i="2" s="1"/>
  <c r="K265" i="2" a="1"/>
  <c r="K265" i="2" s="1"/>
  <c r="U265" i="2" s="1"/>
  <c r="K69" i="2" a="1"/>
  <c r="K69" i="2" s="1"/>
  <c r="K8" i="2" a="1"/>
  <c r="K8" i="2" s="1"/>
  <c r="K366" i="2" a="1"/>
  <c r="K366" i="2" s="1"/>
  <c r="K243" i="2" a="1"/>
  <c r="K243" i="2" s="1"/>
  <c r="K318" i="2" a="1"/>
  <c r="K318" i="2" s="1"/>
  <c r="K88" i="2" a="1"/>
  <c r="K88" i="2" s="1"/>
  <c r="K108" i="2" a="1"/>
  <c r="K108" i="2" s="1"/>
  <c r="K78" i="2" a="1"/>
  <c r="K78" i="2" s="1"/>
  <c r="K90" i="2" a="1"/>
  <c r="K90" i="2" s="1"/>
  <c r="K298" i="2" a="1"/>
  <c r="K298" i="2" s="1"/>
  <c r="K387" i="2" a="1"/>
  <c r="K387" i="2" s="1"/>
  <c r="U387" i="2" s="1"/>
  <c r="K99" i="2" a="1"/>
  <c r="K99" i="2" s="1"/>
  <c r="K254" i="2" a="1"/>
  <c r="K254" i="2" s="1"/>
  <c r="K358" i="2" a="1"/>
  <c r="K358" i="2" s="1"/>
  <c r="U358" i="2" s="1"/>
  <c r="K345" i="2" a="1"/>
  <c r="K345" i="2" s="1"/>
  <c r="K262" i="2" a="1"/>
  <c r="K262" i="2" s="1"/>
  <c r="U262" i="2" s="1"/>
  <c r="K14" i="2" a="1"/>
  <c r="K14" i="2" s="1"/>
  <c r="K308" i="2" a="1"/>
  <c r="K308" i="2" s="1"/>
  <c r="K229" i="2" a="1"/>
  <c r="K229" i="2" s="1"/>
  <c r="K94" i="2" a="1"/>
  <c r="K94" i="2" s="1"/>
  <c r="K17" i="2" a="1"/>
  <c r="K17" i="2" s="1"/>
  <c r="K349" i="2" a="1"/>
  <c r="K349" i="2" s="1"/>
  <c r="K351" i="2" a="1"/>
  <c r="K351" i="2" s="1"/>
  <c r="K258" i="2" a="1"/>
  <c r="K258" i="2" s="1"/>
  <c r="K44" i="2" a="1"/>
  <c r="K44" i="2" s="1"/>
  <c r="K305" i="2" a="1"/>
  <c r="K305" i="2" s="1"/>
  <c r="U305" i="2" s="1"/>
  <c r="K330" i="2" a="1"/>
  <c r="K330" i="2" s="1"/>
  <c r="K273" i="2" a="1"/>
  <c r="K273" i="2" s="1"/>
  <c r="K68" i="2" a="1"/>
  <c r="K68" i="2" s="1"/>
  <c r="K302" i="2" a="1"/>
  <c r="K302" i="2" s="1"/>
  <c r="K313" i="2" a="1"/>
  <c r="K313" i="2" s="1"/>
  <c r="K311" i="2" a="1"/>
  <c r="K311" i="2" s="1"/>
  <c r="K352" i="2" a="1"/>
  <c r="K352" i="2" s="1"/>
  <c r="K374" i="2" a="1"/>
  <c r="K374" i="2" s="1"/>
  <c r="K97" i="2" a="1"/>
  <c r="K97" i="2" s="1"/>
  <c r="K96" i="2" a="1"/>
  <c r="K96" i="2" s="1"/>
  <c r="U96" i="2" s="1"/>
  <c r="K281" i="2" a="1"/>
  <c r="K281" i="2" s="1"/>
  <c r="K357" i="2" a="1"/>
  <c r="K357" i="2" s="1"/>
  <c r="K263" i="2" a="1"/>
  <c r="K263" i="2" s="1"/>
  <c r="K385" i="2" a="1"/>
  <c r="K385" i="2" s="1"/>
  <c r="U385" i="2" s="1"/>
  <c r="K81" i="2" a="1"/>
  <c r="K81" i="2" s="1"/>
  <c r="U81" i="2" s="1"/>
  <c r="K32" i="2" a="1"/>
  <c r="K32" i="2" s="1"/>
  <c r="K259" i="2" a="1"/>
  <c r="K259" i="2" s="1"/>
  <c r="K65" i="2" a="1"/>
  <c r="K65" i="2" s="1"/>
  <c r="K292" i="2" a="1"/>
  <c r="K292" i="2" s="1"/>
  <c r="K236" i="2" a="1"/>
  <c r="K236" i="2" s="1"/>
  <c r="U236" i="2" s="1"/>
  <c r="K329" i="2" a="1"/>
  <c r="K329" i="2" s="1"/>
  <c r="K312" i="2" a="1"/>
  <c r="K312" i="2" s="1"/>
  <c r="U312" i="2" s="1"/>
  <c r="K15" i="2" a="1"/>
  <c r="K15" i="2" s="1"/>
  <c r="K322" i="2" a="1"/>
  <c r="K322" i="2" s="1"/>
  <c r="U322" i="2" s="1"/>
  <c r="K355" i="2" a="1"/>
  <c r="K355" i="2" s="1"/>
  <c r="K45" i="2" a="1"/>
  <c r="K45" i="2" s="1"/>
  <c r="K214" i="2" a="1"/>
  <c r="K214" i="2" s="1"/>
  <c r="K43" i="2" a="1"/>
  <c r="K43" i="2" s="1"/>
  <c r="K28" i="2" a="1"/>
  <c r="K28" i="2" s="1"/>
  <c r="K290" i="2" a="1"/>
  <c r="K290" i="2" s="1"/>
  <c r="K341" i="2" a="1"/>
  <c r="K341" i="2" s="1"/>
  <c r="K297" i="2" a="1"/>
  <c r="K297" i="2" s="1"/>
  <c r="U297" i="2" s="1"/>
  <c r="K365" i="2" a="1"/>
  <c r="K365" i="2" s="1"/>
  <c r="U365" i="2" s="1"/>
  <c r="K12" i="2" a="1"/>
  <c r="K12" i="2" s="1"/>
  <c r="U12" i="2" s="1"/>
  <c r="K67" i="2" a="1"/>
  <c r="K67" i="2" s="1"/>
  <c r="U67" i="2" s="1"/>
  <c r="K60" i="2" a="1"/>
  <c r="K60" i="2" s="1"/>
  <c r="U60" i="2" s="1"/>
  <c r="K283" i="2" a="1"/>
  <c r="K283" i="2" s="1"/>
  <c r="K76" i="2" a="1"/>
  <c r="K76" i="2" s="1"/>
  <c r="U76" i="2" s="1"/>
  <c r="K317" i="2" a="1"/>
  <c r="K317" i="2" s="1"/>
  <c r="U317" i="2" s="1"/>
  <c r="K82" i="2" a="1"/>
  <c r="K82" i="2" s="1"/>
  <c r="U82" i="2" s="1"/>
  <c r="K231" i="2" a="1"/>
  <c r="K231" i="2" s="1"/>
  <c r="K343" i="2" a="1"/>
  <c r="K343" i="2" s="1"/>
  <c r="K304" i="2" a="1"/>
  <c r="K304" i="2" s="1"/>
  <c r="K23" i="2" a="1"/>
  <c r="K23" i="2" s="1"/>
  <c r="K106" i="2" a="1"/>
  <c r="K106" i="2" s="1"/>
  <c r="K87" i="2" a="1"/>
  <c r="K87" i="2" s="1"/>
  <c r="U87" i="2" s="1"/>
  <c r="K105" i="2" a="1"/>
  <c r="K105" i="2" s="1"/>
  <c r="U105" i="2" s="1"/>
  <c r="K280" i="2" a="1"/>
  <c r="K280" i="2" s="1"/>
  <c r="U280" i="2" s="1"/>
  <c r="K59" i="2" a="1"/>
  <c r="K59" i="2" s="1"/>
  <c r="K48" i="2" a="1"/>
  <c r="K48" i="2" s="1"/>
  <c r="K73" i="2" a="1"/>
  <c r="K73" i="2" s="1"/>
  <c r="K314" i="2" a="1"/>
  <c r="K314" i="2" s="1"/>
  <c r="K277" i="2" a="1"/>
  <c r="K277" i="2" s="1"/>
  <c r="K328" i="2" a="1"/>
  <c r="K328" i="2" s="1"/>
  <c r="K103" i="2" a="1"/>
  <c r="K103" i="2" s="1"/>
  <c r="K61" i="2" a="1"/>
  <c r="K61" i="2" s="1"/>
  <c r="K20" i="2" a="1"/>
  <c r="K20" i="2" s="1"/>
  <c r="K71" i="2" a="1"/>
  <c r="K71" i="2" s="1"/>
  <c r="K325" i="2" a="1"/>
  <c r="K325" i="2" s="1"/>
  <c r="U325" i="2" s="1"/>
  <c r="K278" i="2" a="1"/>
  <c r="K278" i="2" s="1"/>
  <c r="K360" i="2" a="1"/>
  <c r="K360" i="2" s="1"/>
  <c r="U360" i="2" s="1"/>
  <c r="K141" i="2" a="1"/>
  <c r="K141" i="2" s="1"/>
  <c r="U141" i="2" s="1"/>
  <c r="K206" i="2" a="1"/>
  <c r="K206" i="2" s="1"/>
  <c r="K181" i="2" a="1"/>
  <c r="K181" i="2" s="1"/>
  <c r="K171" i="2" a="1"/>
  <c r="K171" i="2" s="1"/>
  <c r="K271" i="2" a="1"/>
  <c r="K271" i="2" s="1"/>
  <c r="K250" i="2" a="1"/>
  <c r="K250" i="2" s="1"/>
  <c r="K66" i="2" a="1"/>
  <c r="K66" i="2" s="1"/>
  <c r="U66" i="2" s="1"/>
  <c r="K161" i="2" a="1"/>
  <c r="K161" i="2" s="1"/>
  <c r="K184" i="2" a="1"/>
  <c r="K184" i="2" s="1"/>
  <c r="K166" i="2" a="1"/>
  <c r="K166" i="2" s="1"/>
  <c r="K191" i="2" a="1"/>
  <c r="K191" i="2" s="1"/>
  <c r="K128" i="2" a="1"/>
  <c r="K128" i="2" s="1"/>
  <c r="K159" i="2" a="1"/>
  <c r="K159" i="2" s="1"/>
  <c r="K13" i="2" a="1"/>
  <c r="K13" i="2" s="1"/>
  <c r="U13" i="2" s="1"/>
  <c r="K26" i="2" a="1"/>
  <c r="K26" i="2" s="1"/>
  <c r="K145" i="2" a="1"/>
  <c r="K145" i="2" s="1"/>
  <c r="K140" i="2" a="1"/>
  <c r="K140" i="2" s="1"/>
  <c r="U140" i="2" s="1"/>
  <c r="K116" i="2" a="1"/>
  <c r="K116" i="2" s="1"/>
  <c r="U116" i="2" s="1"/>
  <c r="K245" i="2" a="1"/>
  <c r="K245" i="2" s="1"/>
  <c r="K114" i="2" a="1"/>
  <c r="K114" i="2" s="1"/>
  <c r="U114" i="2" s="1"/>
  <c r="K137" i="2" a="1"/>
  <c r="K137" i="2" s="1"/>
  <c r="U137" i="2" s="1"/>
  <c r="K232" i="2" a="1"/>
  <c r="K232" i="2" s="1"/>
  <c r="K198" i="2" a="1"/>
  <c r="K198" i="2" s="1"/>
  <c r="K175" i="2" a="1"/>
  <c r="K175" i="2" s="1"/>
  <c r="K306" i="2" a="1"/>
  <c r="K306" i="2" s="1"/>
  <c r="K121" i="2" a="1"/>
  <c r="K121" i="2" s="1"/>
  <c r="K132" i="2" a="1"/>
  <c r="K132" i="2" s="1"/>
  <c r="K123" i="2" a="1"/>
  <c r="K123" i="2" s="1"/>
  <c r="K117" i="2" a="1"/>
  <c r="K117" i="2" s="1"/>
  <c r="K130" i="2" a="1"/>
  <c r="K130" i="2" s="1"/>
  <c r="K282" i="2" a="1"/>
  <c r="K282" i="2" s="1"/>
  <c r="U282" i="2" s="1"/>
  <c r="K209" i="2" a="1"/>
  <c r="K209" i="2" s="1"/>
  <c r="K197" i="2" a="1"/>
  <c r="K197" i="2" s="1"/>
  <c r="K118" i="2" a="1"/>
  <c r="K118" i="2" s="1"/>
  <c r="K122" i="2" a="1"/>
  <c r="K122" i="2" s="1"/>
  <c r="U122" i="2" s="1"/>
  <c r="K135" i="2" a="1"/>
  <c r="K135" i="2" s="1"/>
  <c r="U135" i="2" s="1"/>
  <c r="K147" i="2" a="1"/>
  <c r="K147" i="2" s="1"/>
  <c r="K70" i="2" a="1"/>
  <c r="K70" i="2" s="1"/>
  <c r="U70" i="2" s="1"/>
  <c r="K110" i="2" a="1"/>
  <c r="K110" i="2" s="1"/>
  <c r="K220" i="2" a="1"/>
  <c r="K220" i="2" s="1"/>
  <c r="U220" i="2" s="1"/>
  <c r="K6" i="2" a="1"/>
  <c r="K6" i="2" s="1"/>
  <c r="K124" i="2" a="1"/>
  <c r="K124" i="2" s="1"/>
  <c r="K173" i="2" a="1"/>
  <c r="K173" i="2" s="1"/>
  <c r="K384" i="2" a="1"/>
  <c r="K384" i="2" s="1"/>
  <c r="U384" i="2" s="1"/>
  <c r="K134" i="2" a="1"/>
  <c r="K134" i="2" s="1"/>
  <c r="K136" i="2" a="1"/>
  <c r="K136" i="2" s="1"/>
  <c r="K153" i="2" a="1"/>
  <c r="K153" i="2" s="1"/>
  <c r="U153" i="2" s="1"/>
  <c r="K157" i="2" a="1"/>
  <c r="K157" i="2" s="1"/>
  <c r="K394" i="2" a="1"/>
  <c r="K394" i="2" s="1"/>
  <c r="U394" i="2" s="1"/>
  <c r="K163" i="2" a="1"/>
  <c r="K163" i="2" s="1"/>
  <c r="K196" i="2" a="1"/>
  <c r="K196" i="2" s="1"/>
  <c r="U196" i="2" s="1"/>
  <c r="K201" i="2" a="1"/>
  <c r="K201" i="2" s="1"/>
  <c r="U201" i="2" s="1"/>
  <c r="K202" i="2" a="1"/>
  <c r="K202" i="2" s="1"/>
  <c r="K172" i="2" a="1"/>
  <c r="K172" i="2" s="1"/>
  <c r="U172" i="2" s="1"/>
  <c r="K183" i="2" a="1"/>
  <c r="K183" i="2" s="1"/>
  <c r="U183" i="2" s="1"/>
  <c r="K142" i="2" a="1"/>
  <c r="K142" i="2" s="1"/>
  <c r="K158" i="2" a="1"/>
  <c r="K158" i="2" s="1"/>
  <c r="K293" i="2" a="1"/>
  <c r="K293" i="2" s="1"/>
  <c r="U293" i="2" s="1"/>
  <c r="K127" i="2" a="1"/>
  <c r="K127" i="2" s="1"/>
  <c r="K178" i="2" a="1"/>
  <c r="K178" i="2" s="1"/>
  <c r="K115" i="2" a="1"/>
  <c r="K115" i="2" s="1"/>
  <c r="K154" i="2" a="1"/>
  <c r="K154" i="2" s="1"/>
  <c r="K143" i="2" a="1"/>
  <c r="K143" i="2" s="1"/>
  <c r="K131" i="2" a="1"/>
  <c r="K131" i="2" s="1"/>
  <c r="U131" i="2" s="1"/>
  <c r="K109" i="2" a="1"/>
  <c r="K109" i="2" s="1"/>
  <c r="K189" i="2" a="1"/>
  <c r="K189" i="2" s="1"/>
  <c r="K156" i="2" a="1"/>
  <c r="K156" i="2" s="1"/>
  <c r="U156" i="2" s="1"/>
  <c r="K148" i="2" a="1"/>
  <c r="K148" i="2" s="1"/>
  <c r="K185" i="2" a="1"/>
  <c r="K185" i="2" s="1"/>
  <c r="K119" i="2" a="1"/>
  <c r="K119" i="2" s="1"/>
  <c r="K112" i="2" a="1"/>
  <c r="K112" i="2" s="1"/>
  <c r="K200" i="2" a="1"/>
  <c r="K200" i="2" s="1"/>
  <c r="LF25" i="4"/>
  <c r="MG24" i="4"/>
  <c r="K125" i="2" a="1"/>
  <c r="K125" i="2" s="1"/>
  <c r="U125" i="2" s="1"/>
  <c r="LN26" i="4"/>
  <c r="MI25" i="4"/>
  <c r="DI144" i="7"/>
  <c r="DO152" i="7" s="1"/>
  <c r="K146" i="2" a="1"/>
  <c r="K146" i="2" s="1"/>
  <c r="K138" i="2" a="1"/>
  <c r="K138" i="2" s="1"/>
  <c r="AG24" i="4" l="1"/>
  <c r="W25" i="4"/>
  <c r="U292" i="2"/>
  <c r="U68" i="2"/>
  <c r="V68" i="2"/>
  <c r="V254" i="2"/>
  <c r="U254" i="2"/>
  <c r="U267" i="2"/>
  <c r="U287" i="2"/>
  <c r="U388" i="2"/>
  <c r="V289" i="2"/>
  <c r="U289" i="2"/>
  <c r="K249" i="7" a="1"/>
  <c r="K249" i="7" s="1"/>
  <c r="K170" i="7" a="1"/>
  <c r="K170" i="7" s="1"/>
  <c r="K237" i="7" a="1"/>
  <c r="K237" i="7" s="1"/>
  <c r="K5" i="7" a="1"/>
  <c r="K5" i="7" s="1"/>
  <c r="K306" i="7" a="1"/>
  <c r="K306" i="7" s="1"/>
  <c r="K20" i="7" a="1"/>
  <c r="K20" i="7" s="1"/>
  <c r="K97" i="7" a="1"/>
  <c r="K97" i="7" s="1"/>
  <c r="K342" i="7" a="1"/>
  <c r="K342" i="7" s="1"/>
  <c r="K100" i="7" a="1"/>
  <c r="K100" i="7" s="1"/>
  <c r="U100" i="7" s="1"/>
  <c r="K187" i="7" a="1"/>
  <c r="K187" i="7" s="1"/>
  <c r="K51" i="7" a="1"/>
  <c r="K51" i="7" s="1"/>
  <c r="K231" i="7" a="1"/>
  <c r="K231" i="7" s="1"/>
  <c r="U231" i="7" s="1"/>
  <c r="K353" i="7" a="1"/>
  <c r="K353" i="7" s="1"/>
  <c r="K354" i="7" a="1"/>
  <c r="K354" i="7" s="1"/>
  <c r="U354" i="7" s="1"/>
  <c r="K85" i="7" a="1"/>
  <c r="K85" i="7" s="1"/>
  <c r="U85" i="7" s="1"/>
  <c r="K270" i="7" a="1"/>
  <c r="K270" i="7" s="1"/>
  <c r="K168" i="7" a="1"/>
  <c r="K168" i="7" s="1"/>
  <c r="K196" i="7" a="1"/>
  <c r="K196" i="7" s="1"/>
  <c r="ME25" i="4"/>
  <c r="KX26" i="4"/>
  <c r="V202" i="2"/>
  <c r="U147" i="2"/>
  <c r="V48" i="2"/>
  <c r="U48" i="2"/>
  <c r="V65" i="2"/>
  <c r="U65" i="2"/>
  <c r="V99" i="2"/>
  <c r="U356" i="2"/>
  <c r="U47" i="2"/>
  <c r="V227" i="2"/>
  <c r="U227" i="2"/>
  <c r="K10" i="7" a="1"/>
  <c r="K10" i="7" s="1"/>
  <c r="K340" i="7" a="1"/>
  <c r="K340" i="7" s="1"/>
  <c r="K157" i="7" a="1"/>
  <c r="K157" i="7" s="1"/>
  <c r="K372" i="7" a="1"/>
  <c r="K372" i="7" s="1"/>
  <c r="K26" i="7" a="1"/>
  <c r="K26" i="7" s="1"/>
  <c r="U26" i="7" s="1"/>
  <c r="K108" i="7" a="1"/>
  <c r="K108" i="7" s="1"/>
  <c r="K374" i="7" a="1"/>
  <c r="K374" i="7" s="1"/>
  <c r="K105" i="7" a="1"/>
  <c r="K105" i="7" s="1"/>
  <c r="K273" i="7" a="1"/>
  <c r="K273" i="7" s="1"/>
  <c r="K236" i="7" a="1"/>
  <c r="K236" i="7" s="1"/>
  <c r="K90" i="7" a="1"/>
  <c r="K90" i="7" s="1"/>
  <c r="U90" i="7" s="1"/>
  <c r="K40" i="7" a="1"/>
  <c r="K40" i="7" s="1"/>
  <c r="K393" i="7" a="1"/>
  <c r="K393" i="7" s="1"/>
  <c r="K8" i="7" a="1"/>
  <c r="K8" i="7" s="1"/>
  <c r="K82" i="7" a="1"/>
  <c r="K82" i="7" s="1"/>
  <c r="K188" i="7" a="1"/>
  <c r="K188" i="7" s="1"/>
  <c r="K229" i="7" a="1"/>
  <c r="K229" i="7" s="1"/>
  <c r="U229" i="7" s="1"/>
  <c r="K25" i="7" a="1"/>
  <c r="K25" i="7" s="1"/>
  <c r="V101" i="7"/>
  <c r="U101" i="7"/>
  <c r="U148" i="2"/>
  <c r="V171" i="2"/>
  <c r="U171" i="2"/>
  <c r="U59" i="2"/>
  <c r="V330" i="2"/>
  <c r="U330" i="2"/>
  <c r="U19" i="2"/>
  <c r="U219" i="2"/>
  <c r="U89" i="2"/>
  <c r="K59" i="7" a="1"/>
  <c r="K59" i="7" s="1"/>
  <c r="K317" i="7" a="1"/>
  <c r="K317" i="7" s="1"/>
  <c r="K160" i="7" a="1"/>
  <c r="K160" i="7" s="1"/>
  <c r="K324" i="7" a="1"/>
  <c r="K324" i="7" s="1"/>
  <c r="K210" i="7" a="1"/>
  <c r="K210" i="7" s="1"/>
  <c r="U210" i="7" s="1"/>
  <c r="K6" i="7" a="1"/>
  <c r="K6" i="7" s="1"/>
  <c r="U6" i="7" s="1"/>
  <c r="K216" i="7" a="1"/>
  <c r="K216" i="7" s="1"/>
  <c r="U216" i="7" s="1"/>
  <c r="K66" i="7" a="1"/>
  <c r="K66" i="7" s="1"/>
  <c r="K298" i="7" a="1"/>
  <c r="K298" i="7" s="1"/>
  <c r="K387" i="7" a="1"/>
  <c r="K387" i="7" s="1"/>
  <c r="K183" i="7" a="1"/>
  <c r="K183" i="7" s="1"/>
  <c r="K250" i="7" a="1"/>
  <c r="K250" i="7" s="1"/>
  <c r="K99" i="7" a="1"/>
  <c r="K99" i="7" s="1"/>
  <c r="K230" i="7" a="1"/>
  <c r="K230" i="7" s="1"/>
  <c r="K352" i="7" a="1"/>
  <c r="K352" i="7" s="1"/>
  <c r="K370" i="7" a="1"/>
  <c r="K370" i="7" s="1"/>
  <c r="K252" i="7" a="1"/>
  <c r="K252" i="7" s="1"/>
  <c r="K292" i="7" a="1"/>
  <c r="K292" i="7" s="1"/>
  <c r="KT26" i="4"/>
  <c r="MD25" i="4"/>
  <c r="U346" i="7"/>
  <c r="K135" i="7" a="1"/>
  <c r="K135" i="7" s="1"/>
  <c r="U135" i="7" s="1"/>
  <c r="K308" i="7" a="1"/>
  <c r="K308" i="7" s="1"/>
  <c r="U308" i="7" s="1"/>
  <c r="U118" i="2"/>
  <c r="U44" i="2"/>
  <c r="U270" i="2"/>
  <c r="U340" i="2"/>
  <c r="U52" i="2"/>
  <c r="V52" i="2"/>
  <c r="U77" i="2"/>
  <c r="U126" i="2"/>
  <c r="K46" i="7" a="1"/>
  <c r="K46" i="7" s="1"/>
  <c r="K251" i="7" a="1"/>
  <c r="K251" i="7" s="1"/>
  <c r="K343" i="7" a="1"/>
  <c r="K343" i="7" s="1"/>
  <c r="K280" i="7" a="1"/>
  <c r="K280" i="7" s="1"/>
  <c r="U280" i="7" s="1"/>
  <c r="K356" i="7" a="1"/>
  <c r="K356" i="7" s="1"/>
  <c r="K48" i="7" a="1"/>
  <c r="K48" i="7" s="1"/>
  <c r="K88" i="7" a="1"/>
  <c r="K88" i="7" s="1"/>
  <c r="K38" i="7" a="1"/>
  <c r="K38" i="7" s="1"/>
  <c r="K380" i="7" a="1"/>
  <c r="K380" i="7" s="1"/>
  <c r="K204" i="7" a="1"/>
  <c r="K204" i="7" s="1"/>
  <c r="K309" i="7" a="1"/>
  <c r="K309" i="7" s="1"/>
  <c r="K24" i="7" a="1"/>
  <c r="K24" i="7" s="1"/>
  <c r="K42" i="7" a="1"/>
  <c r="K42" i="7" s="1"/>
  <c r="K131" i="7" a="1"/>
  <c r="K131" i="7" s="1"/>
  <c r="K55" i="7" a="1"/>
  <c r="K55" i="7" s="1"/>
  <c r="K377" i="7" a="1"/>
  <c r="K377" i="7" s="1"/>
  <c r="U377" i="7" s="1"/>
  <c r="K193" i="7" a="1"/>
  <c r="K193" i="7" s="1"/>
  <c r="K179" i="7" a="1"/>
  <c r="K179" i="7" s="1"/>
  <c r="MJ26" i="4"/>
  <c r="LR27" i="4"/>
  <c r="V91" i="7"/>
  <c r="K238" i="7" a="1"/>
  <c r="K238" i="7" s="1"/>
  <c r="U238" i="7" s="1"/>
  <c r="K279" i="7" a="1"/>
  <c r="K279" i="7" s="1"/>
  <c r="V109" i="2"/>
  <c r="U109" i="2"/>
  <c r="U197" i="2"/>
  <c r="U258" i="2"/>
  <c r="V78" i="2"/>
  <c r="U78" i="2"/>
  <c r="U266" i="2"/>
  <c r="U237" i="2"/>
  <c r="U353" i="2"/>
  <c r="K54" i="2" a="1"/>
  <c r="K54" i="2" s="1"/>
  <c r="U54" i="2" s="1"/>
  <c r="K33" i="2" a="1"/>
  <c r="K33" i="2" s="1"/>
  <c r="K98" i="2" a="1"/>
  <c r="K98" i="2" s="1"/>
  <c r="U98" i="2" s="1"/>
  <c r="K16" i="2" a="1"/>
  <c r="K16" i="2" s="1"/>
  <c r="U16" i="2" s="1"/>
  <c r="K93" i="2" a="1"/>
  <c r="K93" i="2" s="1"/>
  <c r="U93" i="2" s="1"/>
  <c r="K393" i="2" a="1"/>
  <c r="K393" i="2" s="1"/>
  <c r="U393" i="2" s="1"/>
  <c r="K223" i="2" a="1"/>
  <c r="K223" i="2" s="1"/>
  <c r="K303" i="2" a="1"/>
  <c r="K303" i="2" s="1"/>
  <c r="U303" i="2" s="1"/>
  <c r="K252" i="2" a="1"/>
  <c r="K252" i="2" s="1"/>
  <c r="K354" i="2" a="1"/>
  <c r="K354" i="2" s="1"/>
  <c r="K58" i="2" a="1"/>
  <c r="K58" i="2" s="1"/>
  <c r="K40" i="2" a="1"/>
  <c r="K40" i="2" s="1"/>
  <c r="U40" i="2" s="1"/>
  <c r="K36" i="2" a="1"/>
  <c r="K36" i="2" s="1"/>
  <c r="K63" i="2" a="1"/>
  <c r="K63" i="2" s="1"/>
  <c r="U63" i="2" s="1"/>
  <c r="K391" i="2" a="1"/>
  <c r="K391" i="2" s="1"/>
  <c r="U391" i="2" s="1"/>
  <c r="K362" i="2" a="1"/>
  <c r="K362" i="2" s="1"/>
  <c r="U362" i="2" s="1"/>
  <c r="K310" i="2" a="1"/>
  <c r="K310" i="2" s="1"/>
  <c r="U310" i="2" s="1"/>
  <c r="K49" i="2" a="1"/>
  <c r="K49" i="2" s="1"/>
  <c r="K299" i="2" a="1"/>
  <c r="K299" i="2" s="1"/>
  <c r="K50" i="2" a="1"/>
  <c r="K50" i="2" s="1"/>
  <c r="K390" i="2" a="1"/>
  <c r="K390" i="2" s="1"/>
  <c r="K342" i="2" a="1"/>
  <c r="K342" i="2" s="1"/>
  <c r="K309" i="2" a="1"/>
  <c r="K309" i="2" s="1"/>
  <c r="K241" i="2" a="1"/>
  <c r="K241" i="2" s="1"/>
  <c r="U241" i="2" s="1"/>
  <c r="K224" i="2" a="1"/>
  <c r="K224" i="2" s="1"/>
  <c r="K350" i="2" a="1"/>
  <c r="K350" i="2" s="1"/>
  <c r="U350" i="2" s="1"/>
  <c r="K84" i="2" a="1"/>
  <c r="K84" i="2" s="1"/>
  <c r="U84" i="2" s="1"/>
  <c r="K377" i="2" a="1"/>
  <c r="K377" i="2" s="1"/>
  <c r="K383" i="2" a="1"/>
  <c r="K383" i="2" s="1"/>
  <c r="U383" i="2" s="1"/>
  <c r="K225" i="2" a="1"/>
  <c r="K225" i="2" s="1"/>
  <c r="K75" i="2" a="1"/>
  <c r="K75" i="2" s="1"/>
  <c r="U75" i="2" s="1"/>
  <c r="K74" i="2" a="1"/>
  <c r="K74" i="2" s="1"/>
  <c r="U73" i="2" s="1"/>
  <c r="K253" i="2" a="1"/>
  <c r="K253" i="2" s="1"/>
  <c r="U253" i="2" s="1"/>
  <c r="K371" i="2" a="1"/>
  <c r="K371" i="2" s="1"/>
  <c r="K91" i="2" a="1"/>
  <c r="K91" i="2" s="1"/>
  <c r="U90" i="2" s="1"/>
  <c r="K334" i="2" a="1"/>
  <c r="K334" i="2" s="1"/>
  <c r="U334" i="2" s="1"/>
  <c r="K9" i="2" a="1"/>
  <c r="K9" i="2" s="1"/>
  <c r="K272" i="2" a="1"/>
  <c r="K272" i="2" s="1"/>
  <c r="U271" i="2" s="1"/>
  <c r="K327" i="2" a="1"/>
  <c r="K327" i="2" s="1"/>
  <c r="U327" i="2" s="1"/>
  <c r="K367" i="2" a="1"/>
  <c r="K367" i="2" s="1"/>
  <c r="U367" i="2" s="1"/>
  <c r="K389" i="2" a="1"/>
  <c r="K389" i="2" s="1"/>
  <c r="U389" i="2" s="1"/>
  <c r="K333" i="2" a="1"/>
  <c r="K333" i="2" s="1"/>
  <c r="U333" i="2" s="1"/>
  <c r="K11" i="2" a="1"/>
  <c r="K11" i="2" s="1"/>
  <c r="U11" i="2" s="1"/>
  <c r="K107" i="2" a="1"/>
  <c r="K107" i="2" s="1"/>
  <c r="K291" i="2" a="1"/>
  <c r="K291" i="2" s="1"/>
  <c r="U291" i="2" s="1"/>
  <c r="K256" i="2" a="1"/>
  <c r="K256" i="2" s="1"/>
  <c r="U256" i="2" s="1"/>
  <c r="K364" i="2" a="1"/>
  <c r="K364" i="2" s="1"/>
  <c r="U364" i="2" s="1"/>
  <c r="K260" i="2" a="1"/>
  <c r="K260" i="2" s="1"/>
  <c r="U260" i="2" s="1"/>
  <c r="K276" i="2" a="1"/>
  <c r="K276" i="2" s="1"/>
  <c r="U276" i="2" s="1"/>
  <c r="K34" i="2" a="1"/>
  <c r="K34" i="2" s="1"/>
  <c r="K104" i="2" a="1"/>
  <c r="K104" i="2" s="1"/>
  <c r="U104" i="2" s="1"/>
  <c r="K268" i="2" a="1"/>
  <c r="K268" i="2" s="1"/>
  <c r="K288" i="2" a="1"/>
  <c r="K288" i="2" s="1"/>
  <c r="U288" i="2" s="1"/>
  <c r="K215" i="2" a="1"/>
  <c r="K215" i="2" s="1"/>
  <c r="U215" i="2" s="1"/>
  <c r="K244" i="2" a="1"/>
  <c r="K244" i="2" s="1"/>
  <c r="U244" i="2" s="1"/>
  <c r="K222" i="2" a="1"/>
  <c r="K222" i="2" s="1"/>
  <c r="U222" i="2" s="1"/>
  <c r="K72" i="2" a="1"/>
  <c r="K72" i="2" s="1"/>
  <c r="U72" i="2" s="1"/>
  <c r="K369" i="2" a="1"/>
  <c r="K369" i="2" s="1"/>
  <c r="U369" i="2" s="1"/>
  <c r="K378" i="2" a="1"/>
  <c r="K378" i="2" s="1"/>
  <c r="U378" i="2" s="1"/>
  <c r="K21" i="2" a="1"/>
  <c r="K21" i="2" s="1"/>
  <c r="K372" i="2" a="1"/>
  <c r="K372" i="2" s="1"/>
  <c r="U372" i="2" s="1"/>
  <c r="K92" i="2" a="1"/>
  <c r="K92" i="2" s="1"/>
  <c r="K375" i="2" a="1"/>
  <c r="K375" i="2" s="1"/>
  <c r="U375" i="2" s="1"/>
  <c r="K380" i="2" a="1"/>
  <c r="K380" i="2" s="1"/>
  <c r="U380" i="2" s="1"/>
  <c r="K5" i="2" a="1"/>
  <c r="K5" i="2" s="1"/>
  <c r="U5" i="2" s="1"/>
  <c r="K100" i="2" a="1"/>
  <c r="K100" i="2" s="1"/>
  <c r="U99" i="2" s="1"/>
  <c r="K307" i="2" a="1"/>
  <c r="K307" i="2" s="1"/>
  <c r="U307" i="2" s="1"/>
  <c r="K269" i="2" a="1"/>
  <c r="K269" i="2" s="1"/>
  <c r="U269" i="2" s="1"/>
  <c r="K80" i="2" a="1"/>
  <c r="K80" i="2" s="1"/>
  <c r="U80" i="2" s="1"/>
  <c r="K251" i="2" a="1"/>
  <c r="K251" i="2" s="1"/>
  <c r="U250" i="2" s="1"/>
  <c r="K101" i="2" a="1"/>
  <c r="K101" i="2" s="1"/>
  <c r="K324" i="2" a="1"/>
  <c r="K324" i="2" s="1"/>
  <c r="U324" i="2" s="1"/>
  <c r="K240" i="2" a="1"/>
  <c r="K240" i="2" s="1"/>
  <c r="U239" i="2" s="1"/>
  <c r="K51" i="2" a="1"/>
  <c r="K51" i="2" s="1"/>
  <c r="U51" i="2" s="1"/>
  <c r="K274" i="2" a="1"/>
  <c r="K274" i="2" s="1"/>
  <c r="K247" i="2" a="1"/>
  <c r="K247" i="2" s="1"/>
  <c r="K230" i="2" a="1"/>
  <c r="K230" i="2" s="1"/>
  <c r="U230" i="2" s="1"/>
  <c r="K279" i="2" a="1"/>
  <c r="K279" i="2" s="1"/>
  <c r="K204" i="2" a="1"/>
  <c r="K204" i="2" s="1"/>
  <c r="U204" i="2" s="1"/>
  <c r="K338" i="2" a="1"/>
  <c r="K338" i="2" s="1"/>
  <c r="U337" i="2" s="1"/>
  <c r="K180" i="2" a="1"/>
  <c r="K180" i="2" s="1"/>
  <c r="K207" i="2" a="1"/>
  <c r="K207" i="2" s="1"/>
  <c r="U206" i="2" s="1"/>
  <c r="K205" i="2" a="1"/>
  <c r="K205" i="2" s="1"/>
  <c r="U205" i="2" s="1"/>
  <c r="K332" i="2" a="1"/>
  <c r="K332" i="2" s="1"/>
  <c r="K212" i="2" a="1"/>
  <c r="K212" i="2" s="1"/>
  <c r="K177" i="2" a="1"/>
  <c r="K177" i="2" s="1"/>
  <c r="U177" i="2" s="1"/>
  <c r="K194" i="2" a="1"/>
  <c r="K194" i="2" s="1"/>
  <c r="K199" i="2" a="1"/>
  <c r="K199" i="2" s="1"/>
  <c r="U199" i="2" s="1"/>
  <c r="K190" i="2" a="1"/>
  <c r="K190" i="2" s="1"/>
  <c r="U190" i="2" s="1"/>
  <c r="K168" i="2" a="1"/>
  <c r="K168" i="2" s="1"/>
  <c r="K192" i="2" a="1"/>
  <c r="K192" i="2" s="1"/>
  <c r="K213" i="2" a="1"/>
  <c r="K213" i="2" s="1"/>
  <c r="U213" i="2" s="1"/>
  <c r="K167" i="2" a="1"/>
  <c r="K167" i="2" s="1"/>
  <c r="U167" i="2" s="1"/>
  <c r="K188" i="2" a="1"/>
  <c r="K188" i="2" s="1"/>
  <c r="U188" i="2" s="1"/>
  <c r="K176" i="2" a="1"/>
  <c r="K176" i="2" s="1"/>
  <c r="K10" i="2" a="1"/>
  <c r="K10" i="2" s="1"/>
  <c r="K211" i="2" a="1"/>
  <c r="K211" i="2" s="1"/>
  <c r="U211" i="2" s="1"/>
  <c r="K193" i="2" a="1"/>
  <c r="K193" i="2" s="1"/>
  <c r="K165" i="2" a="1"/>
  <c r="K165" i="2" s="1"/>
  <c r="U165" i="2" s="1"/>
  <c r="K170" i="2" a="1"/>
  <c r="K170" i="2" s="1"/>
  <c r="U170" i="2" s="1"/>
  <c r="K195" i="2" a="1"/>
  <c r="K195" i="2" s="1"/>
  <c r="K208" i="2" a="1"/>
  <c r="K208" i="2" s="1"/>
  <c r="U208" i="2" s="1"/>
  <c r="K129" i="2" a="1"/>
  <c r="K129" i="2" s="1"/>
  <c r="U129" i="2" s="1"/>
  <c r="K144" i="2" a="1"/>
  <c r="K144" i="2" s="1"/>
  <c r="U144" i="2" s="1"/>
  <c r="K151" i="2" a="1"/>
  <c r="K151" i="2" s="1"/>
  <c r="K120" i="2" a="1"/>
  <c r="K120" i="2" s="1"/>
  <c r="U120" i="2" s="1"/>
  <c r="K149" i="2" a="1"/>
  <c r="K149" i="2" s="1"/>
  <c r="U149" i="2" s="1"/>
  <c r="K164" i="2" a="1"/>
  <c r="K164" i="2" s="1"/>
  <c r="U164" i="2" s="1"/>
  <c r="K169" i="2" a="1"/>
  <c r="K169" i="2" s="1"/>
  <c r="U169" i="2" s="1"/>
  <c r="K150" i="2" a="1"/>
  <c r="K150" i="2" s="1"/>
  <c r="K203" i="2" a="1"/>
  <c r="K203" i="2" s="1"/>
  <c r="U203" i="2" s="1"/>
  <c r="K22" i="2" a="1"/>
  <c r="K22" i="2" s="1"/>
  <c r="U22" i="2" s="1"/>
  <c r="K182" i="2" a="1"/>
  <c r="K182" i="2" s="1"/>
  <c r="U182" i="2" s="1"/>
  <c r="K187" i="2" a="1"/>
  <c r="K187" i="2" s="1"/>
  <c r="K133" i="2" a="1"/>
  <c r="K133" i="2" s="1"/>
  <c r="U133" i="2" s="1"/>
  <c r="K179" i="2" a="1"/>
  <c r="K179" i="2" s="1"/>
  <c r="K113" i="2" a="1"/>
  <c r="K113" i="2" s="1"/>
  <c r="U113" i="2" s="1"/>
  <c r="K139" i="2" a="1"/>
  <c r="K139" i="2" s="1"/>
  <c r="K210" i="2" a="1"/>
  <c r="K210" i="2" s="1"/>
  <c r="K111" i="2" a="1"/>
  <c r="K111" i="2" s="1"/>
  <c r="U111" i="2" s="1"/>
  <c r="K162" i="2" a="1"/>
  <c r="K162" i="2" s="1"/>
  <c r="U162" i="2" s="1"/>
  <c r="K152" i="2" a="1"/>
  <c r="K152" i="2" s="1"/>
  <c r="K155" i="2" a="1"/>
  <c r="K155" i="2" s="1"/>
  <c r="K337" i="7" a="1"/>
  <c r="K337" i="7" s="1"/>
  <c r="K71" i="7" a="1"/>
  <c r="K71" i="7" s="1"/>
  <c r="K206" i="7" a="1"/>
  <c r="K206" i="7" s="1"/>
  <c r="K12" i="7" a="1"/>
  <c r="K12" i="7" s="1"/>
  <c r="U12" i="7" s="1"/>
  <c r="K220" i="7" a="1"/>
  <c r="K220" i="7" s="1"/>
  <c r="U220" i="7" s="1"/>
  <c r="K282" i="7" a="1"/>
  <c r="K282" i="7" s="1"/>
  <c r="U282" i="7" s="1"/>
  <c r="K184" i="7" a="1"/>
  <c r="K184" i="7" s="1"/>
  <c r="K277" i="7" a="1"/>
  <c r="K277" i="7" s="1"/>
  <c r="K56" i="7" a="1"/>
  <c r="K56" i="7" s="1"/>
  <c r="K62" i="7" a="1"/>
  <c r="K62" i="7" s="1"/>
  <c r="K98" i="7" a="1"/>
  <c r="K98" i="7" s="1"/>
  <c r="U98" i="7" s="1"/>
  <c r="K258" i="7" a="1"/>
  <c r="K258" i="7" s="1"/>
  <c r="K107" i="7" a="1"/>
  <c r="K107" i="7" s="1"/>
  <c r="K15" i="7" a="1"/>
  <c r="K15" i="7" s="1"/>
  <c r="K366" i="7" a="1"/>
  <c r="K366" i="7" s="1"/>
  <c r="K349" i="7" a="1"/>
  <c r="K349" i="7" s="1"/>
  <c r="U349" i="7" s="1"/>
  <c r="K104" i="7" a="1"/>
  <c r="K104" i="7" s="1"/>
  <c r="K395" i="7" a="1"/>
  <c r="K395" i="7" s="1"/>
  <c r="U395" i="7" s="1"/>
  <c r="DI160" i="7"/>
  <c r="DO162" i="7" s="1"/>
  <c r="G26" i="7"/>
  <c r="U289" i="7"/>
  <c r="U298" i="2"/>
  <c r="K84" i="7" a="1"/>
  <c r="K84" i="7" s="1"/>
  <c r="U84" i="7" s="1"/>
  <c r="K61" i="7" a="1"/>
  <c r="K61" i="7" s="1"/>
  <c r="U61" i="7" s="1"/>
  <c r="U146" i="2"/>
  <c r="U157" i="2"/>
  <c r="V209" i="2"/>
  <c r="U209" i="2"/>
  <c r="V145" i="2"/>
  <c r="U145" i="2"/>
  <c r="U106" i="2"/>
  <c r="U28" i="2"/>
  <c r="U263" i="2"/>
  <c r="V263" i="2"/>
  <c r="U351" i="2"/>
  <c r="U108" i="2"/>
  <c r="U57" i="2"/>
  <c r="U286" i="2"/>
  <c r="V83" i="2"/>
  <c r="U25" i="2"/>
  <c r="U301" i="2"/>
  <c r="K268" i="7" a="1"/>
  <c r="K268" i="7" s="1"/>
  <c r="K368" i="7" a="1"/>
  <c r="K368" i="7" s="1"/>
  <c r="K49" i="7" a="1"/>
  <c r="K49" i="7" s="1"/>
  <c r="K110" i="7" a="1"/>
  <c r="K110" i="7" s="1"/>
  <c r="K37" i="7" a="1"/>
  <c r="K37" i="7" s="1"/>
  <c r="U37" i="7" s="1"/>
  <c r="K260" i="7" a="1"/>
  <c r="K260" i="7" s="1"/>
  <c r="K314" i="7" a="1"/>
  <c r="K314" i="7" s="1"/>
  <c r="U314" i="7" s="1"/>
  <c r="K166" i="7" a="1"/>
  <c r="K166" i="7" s="1"/>
  <c r="K117" i="7" a="1"/>
  <c r="K117" i="7" s="1"/>
  <c r="U117" i="7" s="1"/>
  <c r="K345" i="7" a="1"/>
  <c r="K345" i="7" s="1"/>
  <c r="U345" i="7" s="1"/>
  <c r="K192" i="7" a="1"/>
  <c r="K192" i="7" s="1"/>
  <c r="U192" i="7" s="1"/>
  <c r="K22" i="7" a="1"/>
  <c r="K22" i="7" s="1"/>
  <c r="K242" i="7" a="1"/>
  <c r="K242" i="7" s="1"/>
  <c r="K255" i="7" a="1"/>
  <c r="K255" i="7" s="1"/>
  <c r="U254" i="7" s="1"/>
  <c r="K294" i="7" a="1"/>
  <c r="K294" i="7" s="1"/>
  <c r="K360" i="7" a="1"/>
  <c r="K360" i="7" s="1"/>
  <c r="K226" i="7" a="1"/>
  <c r="K226" i="7" s="1"/>
  <c r="K286" i="7" a="1"/>
  <c r="K286" i="7" s="1"/>
  <c r="DO161" i="7"/>
  <c r="DI163" i="7"/>
  <c r="DO171" i="7" s="1"/>
  <c r="K78" i="7" a="1"/>
  <c r="K78" i="7" s="1"/>
  <c r="U78" i="7" s="1"/>
  <c r="K330" i="7" a="1"/>
  <c r="K330" i="7" s="1"/>
  <c r="U330" i="7" s="1"/>
  <c r="U26" i="2"/>
  <c r="V26" i="2"/>
  <c r="U278" i="2"/>
  <c r="U23" i="2"/>
  <c r="V43" i="2"/>
  <c r="U43" i="2"/>
  <c r="U357" i="2"/>
  <c r="V349" i="2"/>
  <c r="U349" i="2"/>
  <c r="V88" i="2"/>
  <c r="U88" i="2"/>
  <c r="U370" i="2"/>
  <c r="U339" i="2"/>
  <c r="K219" i="7" a="1"/>
  <c r="K219" i="7" s="1"/>
  <c r="K14" i="7" a="1"/>
  <c r="K14" i="7" s="1"/>
  <c r="K331" i="7" a="1"/>
  <c r="K331" i="7" s="1"/>
  <c r="K116" i="7" a="1"/>
  <c r="K116" i="7" s="1"/>
  <c r="K359" i="7" a="1"/>
  <c r="K359" i="7" s="1"/>
  <c r="K208" i="7" a="1"/>
  <c r="K208" i="7" s="1"/>
  <c r="K102" i="7" a="1"/>
  <c r="K102" i="7" s="1"/>
  <c r="K43" i="7" a="1"/>
  <c r="K43" i="7" s="1"/>
  <c r="U43" i="7" s="1"/>
  <c r="K113" i="7" a="1"/>
  <c r="K113" i="7" s="1"/>
  <c r="K394" i="7" a="1"/>
  <c r="K394" i="7" s="1"/>
  <c r="U394" i="7" s="1"/>
  <c r="K269" i="7" a="1"/>
  <c r="K269" i="7" s="1"/>
  <c r="U269" i="7" s="1"/>
  <c r="K326" i="7" a="1"/>
  <c r="K326" i="7" s="1"/>
  <c r="K278" i="7" a="1"/>
  <c r="K278" i="7" s="1"/>
  <c r="U278" i="7" s="1"/>
  <c r="K338" i="7" a="1"/>
  <c r="K338" i="7" s="1"/>
  <c r="U338" i="7" s="1"/>
  <c r="K285" i="7" a="1"/>
  <c r="K285" i="7" s="1"/>
  <c r="U285" i="7" s="1"/>
  <c r="K228" i="7" a="1"/>
  <c r="K228" i="7" s="1"/>
  <c r="K217" i="7" a="1"/>
  <c r="K217" i="7" s="1"/>
  <c r="U217" i="7" s="1"/>
  <c r="K44" i="7" a="1"/>
  <c r="K44" i="7" s="1"/>
  <c r="K160" i="2" a="1"/>
  <c r="K160" i="2" s="1"/>
  <c r="U160" i="2" s="1"/>
  <c r="MK26" i="4"/>
  <c r="LV27" i="4"/>
  <c r="K87" i="7" a="1"/>
  <c r="K87" i="7" s="1"/>
  <c r="U87" i="7" s="1"/>
  <c r="U143" i="2"/>
  <c r="U154" i="2"/>
  <c r="U136" i="2"/>
  <c r="U130" i="2"/>
  <c r="U304" i="2"/>
  <c r="U214" i="2"/>
  <c r="U281" i="2"/>
  <c r="V17" i="2"/>
  <c r="U17" i="2"/>
  <c r="U318" i="2"/>
  <c r="U42" i="2"/>
  <c r="U86" i="2"/>
  <c r="U348" i="2"/>
  <c r="U56" i="2"/>
  <c r="U255" i="2"/>
  <c r="AF25" i="4"/>
  <c r="S26" i="4"/>
  <c r="K371" i="7" a="1"/>
  <c r="K371" i="7" s="1"/>
  <c r="U371" i="7" s="1"/>
  <c r="K21" i="7" a="1"/>
  <c r="K21" i="7" s="1"/>
  <c r="U21" i="7" s="1"/>
  <c r="K390" i="7" a="1"/>
  <c r="K390" i="7" s="1"/>
  <c r="K128" i="7" a="1"/>
  <c r="K128" i="7" s="1"/>
  <c r="K246" i="7" a="1"/>
  <c r="K246" i="7" s="1"/>
  <c r="K265" i="7" a="1"/>
  <c r="K265" i="7" s="1"/>
  <c r="U265" i="7" s="1"/>
  <c r="K18" i="7" a="1"/>
  <c r="K18" i="7" s="1"/>
  <c r="U18" i="7" s="1"/>
  <c r="K271" i="7" a="1"/>
  <c r="K271" i="7" s="1"/>
  <c r="K391" i="7" a="1"/>
  <c r="K391" i="7" s="1"/>
  <c r="K17" i="7" a="1"/>
  <c r="K17" i="7" s="1"/>
  <c r="K227" i="7" a="1"/>
  <c r="K227" i="7" s="1"/>
  <c r="U227" i="7" s="1"/>
  <c r="K89" i="7" a="1"/>
  <c r="K89" i="7" s="1"/>
  <c r="U89" i="7" s="1"/>
  <c r="K313" i="7" a="1"/>
  <c r="K313" i="7" s="1"/>
  <c r="K233" i="7" a="1"/>
  <c r="K233" i="7" s="1"/>
  <c r="K361" i="7" a="1"/>
  <c r="K361" i="7" s="1"/>
  <c r="U361" i="7" s="1"/>
  <c r="K92" i="7" a="1"/>
  <c r="K92" i="7" s="1"/>
  <c r="U92" i="7" s="1"/>
  <c r="K341" i="7" a="1"/>
  <c r="K341" i="7" s="1"/>
  <c r="U341" i="7" s="1"/>
  <c r="K74" i="7" a="1"/>
  <c r="K74" i="7" s="1"/>
  <c r="U74" i="7" s="1"/>
  <c r="DO160" i="2"/>
  <c r="DU162" i="2" s="1"/>
  <c r="G26" i="2"/>
  <c r="AA26" i="4"/>
  <c r="AH25" i="4"/>
  <c r="V86" i="7"/>
  <c r="U62" i="2"/>
  <c r="K176" i="7" a="1"/>
  <c r="K176" i="7" s="1"/>
  <c r="U175" i="7" s="1"/>
  <c r="K357" i="7" a="1"/>
  <c r="K357" i="7" s="1"/>
  <c r="K169" i="7" a="1"/>
  <c r="K169" i="7" s="1"/>
  <c r="U159" i="2"/>
  <c r="U71" i="2"/>
  <c r="U343" i="2"/>
  <c r="U45" i="2"/>
  <c r="U243" i="2"/>
  <c r="U64" i="2"/>
  <c r="U246" i="2"/>
  <c r="U323" i="2"/>
  <c r="V218" i="2"/>
  <c r="U218" i="2"/>
  <c r="K225" i="7" a="1"/>
  <c r="K225" i="7" s="1"/>
  <c r="U225" i="7" s="1"/>
  <c r="K244" i="7" a="1"/>
  <c r="K244" i="7" s="1"/>
  <c r="K382" i="7" a="1"/>
  <c r="K382" i="7" s="1"/>
  <c r="K295" i="7" a="1"/>
  <c r="K295" i="7" s="1"/>
  <c r="K320" i="7" a="1"/>
  <c r="K320" i="7" s="1"/>
  <c r="K221" i="7" a="1"/>
  <c r="K221" i="7" s="1"/>
  <c r="K164" i="7" a="1"/>
  <c r="K164" i="7" s="1"/>
  <c r="K81" i="7" a="1"/>
  <c r="K81" i="7" s="1"/>
  <c r="U81" i="7" s="1"/>
  <c r="K257" i="7" a="1"/>
  <c r="K257" i="7" s="1"/>
  <c r="K335" i="7" a="1"/>
  <c r="K335" i="7" s="1"/>
  <c r="K76" i="7" a="1"/>
  <c r="K76" i="7" s="1"/>
  <c r="K367" i="7" a="1"/>
  <c r="K367" i="7" s="1"/>
  <c r="K95" i="7" a="1"/>
  <c r="K95" i="7" s="1"/>
  <c r="K263" i="7" a="1"/>
  <c r="K263" i="7" s="1"/>
  <c r="U263" i="7" s="1"/>
  <c r="K332" i="7" a="1"/>
  <c r="K332" i="7" s="1"/>
  <c r="K379" i="7" a="1"/>
  <c r="K379" i="7" s="1"/>
  <c r="U379" i="7" s="1"/>
  <c r="K218" i="7" a="1"/>
  <c r="K218" i="7" s="1"/>
  <c r="U218" i="7" s="1"/>
  <c r="KA24" i="4"/>
  <c r="BN24" i="4"/>
  <c r="JC24" i="4" s="1"/>
  <c r="LB25" i="4"/>
  <c r="MF24" i="4"/>
  <c r="U302" i="2"/>
  <c r="U239" i="7"/>
  <c r="K358" i="7" a="1"/>
  <c r="K358" i="7" s="1"/>
  <c r="U358" i="7" s="1"/>
  <c r="K243" i="7" a="1"/>
  <c r="K243" i="7" s="1"/>
  <c r="U243" i="7" s="1"/>
  <c r="K16" i="7" a="1"/>
  <c r="K16" i="7" s="1"/>
  <c r="K302" i="7" a="1"/>
  <c r="K302" i="7" s="1"/>
  <c r="K284" i="7" a="1"/>
  <c r="K284" i="7" s="1"/>
  <c r="U284" i="7" s="1"/>
  <c r="K7" i="7" a="1"/>
  <c r="K7" i="7" s="1"/>
  <c r="U7" i="7" s="1"/>
  <c r="K369" i="7" a="1"/>
  <c r="K369" i="7" s="1"/>
  <c r="U369" i="7" s="1"/>
  <c r="K224" i="7" a="1"/>
  <c r="K224" i="7" s="1"/>
  <c r="K60" i="7" a="1"/>
  <c r="K60" i="7" s="1"/>
  <c r="U60" i="7" s="1"/>
  <c r="K54" i="7" a="1"/>
  <c r="K54" i="7" s="1"/>
  <c r="U54" i="7" s="1"/>
  <c r="K325" i="7" a="1"/>
  <c r="K325" i="7" s="1"/>
  <c r="U325" i="7" s="1"/>
  <c r="K297" i="7" a="1"/>
  <c r="K297" i="7" s="1"/>
  <c r="K53" i="7" a="1"/>
  <c r="K53" i="7" s="1"/>
  <c r="K288" i="7" a="1"/>
  <c r="K288" i="7" s="1"/>
  <c r="U288" i="7" s="1"/>
  <c r="K323" i="7" a="1"/>
  <c r="K323" i="7" s="1"/>
  <c r="U323" i="7" s="1"/>
  <c r="K32" i="7" a="1"/>
  <c r="K32" i="7" s="1"/>
  <c r="U32" i="7" s="1"/>
  <c r="K318" i="7" a="1"/>
  <c r="K318" i="7" s="1"/>
  <c r="U318" i="7" s="1"/>
  <c r="K259" i="7" a="1"/>
  <c r="K259" i="7" s="1"/>
  <c r="U259" i="7" s="1"/>
  <c r="K58" i="7" a="1"/>
  <c r="K58" i="7" s="1"/>
  <c r="U58" i="7" s="1"/>
  <c r="K262" i="7" a="1"/>
  <c r="K262" i="7" s="1"/>
  <c r="U261" i="7" s="1"/>
  <c r="K305" i="7" a="1"/>
  <c r="K305" i="7" s="1"/>
  <c r="U305" i="7" s="1"/>
  <c r="K57" i="7" a="1"/>
  <c r="K57" i="7" s="1"/>
  <c r="K241" i="7" a="1"/>
  <c r="K241" i="7" s="1"/>
  <c r="U241" i="7" s="1"/>
  <c r="K350" i="7" a="1"/>
  <c r="K350" i="7" s="1"/>
  <c r="K275" i="7" a="1"/>
  <c r="K275" i="7" s="1"/>
  <c r="K36" i="7" a="1"/>
  <c r="K36" i="7" s="1"/>
  <c r="U36" i="7" s="1"/>
  <c r="K376" i="7" a="1"/>
  <c r="K376" i="7" s="1"/>
  <c r="U376" i="7" s="1"/>
  <c r="K29" i="7" a="1"/>
  <c r="K29" i="7" s="1"/>
  <c r="K80" i="7" a="1"/>
  <c r="K80" i="7" s="1"/>
  <c r="K301" i="7" a="1"/>
  <c r="K301" i="7" s="1"/>
  <c r="K327" i="7" a="1"/>
  <c r="K327" i="7" s="1"/>
  <c r="U327" i="7" s="1"/>
  <c r="K94" i="7" a="1"/>
  <c r="K94" i="7" s="1"/>
  <c r="U93" i="7" s="1"/>
  <c r="K348" i="7" a="1"/>
  <c r="K348" i="7" s="1"/>
  <c r="U348" i="7" s="1"/>
  <c r="K256" i="7" a="1"/>
  <c r="K256" i="7" s="1"/>
  <c r="K67" i="7" a="1"/>
  <c r="K67" i="7" s="1"/>
  <c r="U67" i="7" s="1"/>
  <c r="K31" i="7" a="1"/>
  <c r="K31" i="7" s="1"/>
  <c r="K73" i="7" a="1"/>
  <c r="K73" i="7" s="1"/>
  <c r="K388" i="7" a="1"/>
  <c r="K388" i="7" s="1"/>
  <c r="K174" i="7" a="1"/>
  <c r="K174" i="7" s="1"/>
  <c r="U174" i="7" s="1"/>
  <c r="K138" i="7" a="1"/>
  <c r="K138" i="7" s="1"/>
  <c r="K119" i="7" a="1"/>
  <c r="K119" i="7" s="1"/>
  <c r="U119" i="7" s="1"/>
  <c r="K155" i="7" a="1"/>
  <c r="K155" i="7" s="1"/>
  <c r="U155" i="7" s="1"/>
  <c r="K125" i="7" a="1"/>
  <c r="K125" i="7" s="1"/>
  <c r="K124" i="7" a="1"/>
  <c r="K124" i="7" s="1"/>
  <c r="U124" i="7" s="1"/>
  <c r="K137" i="7" a="1"/>
  <c r="K137" i="7" s="1"/>
  <c r="U137" i="7" s="1"/>
  <c r="K161" i="7" a="1"/>
  <c r="K161" i="7" s="1"/>
  <c r="U161" i="7" s="1"/>
  <c r="K149" i="7" a="1"/>
  <c r="K149" i="7" s="1"/>
  <c r="K142" i="7" a="1"/>
  <c r="K142" i="7" s="1"/>
  <c r="K151" i="7" a="1"/>
  <c r="K151" i="7" s="1"/>
  <c r="K156" i="7" a="1"/>
  <c r="K156" i="7" s="1"/>
  <c r="U156" i="7" s="1"/>
  <c r="K136" i="7" a="1"/>
  <c r="K136" i="7" s="1"/>
  <c r="U136" i="7" s="1"/>
  <c r="K202" i="7" a="1"/>
  <c r="K202" i="7" s="1"/>
  <c r="K122" i="7" a="1"/>
  <c r="K122" i="7" s="1"/>
  <c r="U122" i="7" s="1"/>
  <c r="K140" i="7" a="1"/>
  <c r="K140" i="7" s="1"/>
  <c r="K145" i="7" a="1"/>
  <c r="K145" i="7" s="1"/>
  <c r="K195" i="7" a="1"/>
  <c r="K195" i="7" s="1"/>
  <c r="U195" i="7" s="1"/>
  <c r="K201" i="7" a="1"/>
  <c r="K201" i="7" s="1"/>
  <c r="K180" i="7" a="1"/>
  <c r="K180" i="7" s="1"/>
  <c r="K115" i="7" a="1"/>
  <c r="K115" i="7" s="1"/>
  <c r="K163" i="7" a="1"/>
  <c r="K163" i="7" s="1"/>
  <c r="U163" i="7" s="1"/>
  <c r="K173" i="7" a="1"/>
  <c r="K173" i="7" s="1"/>
  <c r="U173" i="7" s="1"/>
  <c r="K178" i="7" a="1"/>
  <c r="K178" i="7" s="1"/>
  <c r="U178" i="7" s="1"/>
  <c r="K112" i="7" a="1"/>
  <c r="K112" i="7" s="1"/>
  <c r="U112" i="7" s="1"/>
  <c r="K139" i="7" a="1"/>
  <c r="K139" i="7" s="1"/>
  <c r="U139" i="7" s="1"/>
  <c r="K209" i="7" a="1"/>
  <c r="K209" i="7" s="1"/>
  <c r="K207" i="7" a="1"/>
  <c r="K207" i="7" s="1"/>
  <c r="U207" i="7" s="1"/>
  <c r="K111" i="7" a="1"/>
  <c r="K111" i="7" s="1"/>
  <c r="U111" i="7" s="1"/>
  <c r="K152" i="7" a="1"/>
  <c r="K152" i="7" s="1"/>
  <c r="U152" i="7" s="1"/>
  <c r="K109" i="7" a="1"/>
  <c r="K109" i="7" s="1"/>
  <c r="U109" i="7" s="1"/>
  <c r="K153" i="7" a="1"/>
  <c r="K153" i="7" s="1"/>
  <c r="K212" i="7" a="1"/>
  <c r="K212" i="7" s="1"/>
  <c r="K185" i="7" a="1"/>
  <c r="K185" i="7" s="1"/>
  <c r="K147" i="7" a="1"/>
  <c r="K147" i="7" s="1"/>
  <c r="U147" i="7" s="1"/>
  <c r="K130" i="7" a="1"/>
  <c r="K130" i="7" s="1"/>
  <c r="U130" i="7" s="1"/>
  <c r="K118" i="7" a="1"/>
  <c r="K118" i="7" s="1"/>
  <c r="K200" i="7" a="1"/>
  <c r="K200" i="7" s="1"/>
  <c r="K11" i="7" a="1"/>
  <c r="K11" i="7" s="1"/>
  <c r="K129" i="7" a="1"/>
  <c r="K129" i="7" s="1"/>
  <c r="U129" i="7" s="1"/>
  <c r="K148" i="7" a="1"/>
  <c r="K148" i="7" s="1"/>
  <c r="U148" i="7" s="1"/>
  <c r="K189" i="7" a="1"/>
  <c r="K189" i="7" s="1"/>
  <c r="U189" i="7" s="1"/>
  <c r="K205" i="7" a="1"/>
  <c r="K205" i="7" s="1"/>
  <c r="U205" i="7" s="1"/>
  <c r="K177" i="7" a="1"/>
  <c r="K177" i="7" s="1"/>
  <c r="K159" i="7" a="1"/>
  <c r="K159" i="7" s="1"/>
  <c r="U159" i="7" s="1"/>
  <c r="K181" i="7" a="1"/>
  <c r="K181" i="7" s="1"/>
  <c r="U181" i="7" s="1"/>
  <c r="K167" i="7" a="1"/>
  <c r="K167" i="7" s="1"/>
  <c r="K121" i="7" a="1"/>
  <c r="K121" i="7" s="1"/>
  <c r="K134" i="7" a="1"/>
  <c r="K134" i="7" s="1"/>
  <c r="K154" i="7" a="1"/>
  <c r="K154" i="7" s="1"/>
  <c r="K114" i="7" a="1"/>
  <c r="K114" i="7" s="1"/>
  <c r="U114" i="7" s="1"/>
  <c r="K190" i="7" a="1"/>
  <c r="K190" i="7" s="1"/>
  <c r="K120" i="7" a="1"/>
  <c r="K120" i="7" s="1"/>
  <c r="U120" i="7" s="1"/>
  <c r="K127" i="7" a="1"/>
  <c r="K127" i="7" s="1"/>
  <c r="U127" i="7" s="1"/>
  <c r="K171" i="7" a="1"/>
  <c r="K171" i="7" s="1"/>
  <c r="K150" i="7" a="1"/>
  <c r="K150" i="7" s="1"/>
  <c r="U150" i="7" s="1"/>
  <c r="K194" i="7" a="1"/>
  <c r="K194" i="7" s="1"/>
  <c r="U194" i="7" s="1"/>
  <c r="K165" i="7" a="1"/>
  <c r="K165" i="7" s="1"/>
  <c r="U165" i="7" s="1"/>
  <c r="K144" i="7" a="1"/>
  <c r="K144" i="7" s="1"/>
  <c r="U144" i="7" s="1"/>
  <c r="U32" i="2"/>
  <c r="K287" i="7" a="1"/>
  <c r="K287" i="7" s="1"/>
  <c r="K186" i="7" a="1"/>
  <c r="K186" i="7" s="1"/>
  <c r="U186" i="7" s="1"/>
  <c r="ML24" i="4"/>
  <c r="LZ36" i="4"/>
  <c r="U138" i="2"/>
  <c r="V134" i="2"/>
  <c r="U134" i="2"/>
  <c r="U178" i="2"/>
  <c r="U123" i="2"/>
  <c r="V20" i="2"/>
  <c r="U20" i="2"/>
  <c r="U231" i="2"/>
  <c r="U355" i="2"/>
  <c r="U97" i="2"/>
  <c r="U229" i="2"/>
  <c r="U366" i="2"/>
  <c r="U285" i="2"/>
  <c r="U261" i="2"/>
  <c r="U326" i="2"/>
  <c r="U38" i="2"/>
  <c r="K328" i="7" a="1"/>
  <c r="K328" i="7" s="1"/>
  <c r="K34" i="7" a="1"/>
  <c r="K34" i="7" s="1"/>
  <c r="K299" i="7" a="1"/>
  <c r="K299" i="7" s="1"/>
  <c r="K13" i="7" a="1"/>
  <c r="K13" i="7" s="1"/>
  <c r="U13" i="7" s="1"/>
  <c r="K304" i="7" a="1"/>
  <c r="K304" i="7" s="1"/>
  <c r="K39" i="7" a="1"/>
  <c r="K39" i="7" s="1"/>
  <c r="U39" i="7" s="1"/>
  <c r="K322" i="7" a="1"/>
  <c r="K322" i="7" s="1"/>
  <c r="U322" i="7" s="1"/>
  <c r="K276" i="7" a="1"/>
  <c r="K276" i="7" s="1"/>
  <c r="U276" i="7" s="1"/>
  <c r="K64" i="7" a="1"/>
  <c r="K64" i="7" s="1"/>
  <c r="K384" i="7" a="1"/>
  <c r="K384" i="7" s="1"/>
  <c r="U384" i="7" s="1"/>
  <c r="K310" i="7" a="1"/>
  <c r="K310" i="7" s="1"/>
  <c r="U310" i="7" s="1"/>
  <c r="K373" i="7" a="1"/>
  <c r="K373" i="7" s="1"/>
  <c r="K103" i="7" a="1"/>
  <c r="K103" i="7" s="1"/>
  <c r="U103" i="7" s="1"/>
  <c r="K35" i="7" a="1"/>
  <c r="K35" i="7" s="1"/>
  <c r="U35" i="7" s="1"/>
  <c r="K19" i="7" a="1"/>
  <c r="K19" i="7" s="1"/>
  <c r="U19" i="7" s="1"/>
  <c r="K264" i="7" a="1"/>
  <c r="K264" i="7" s="1"/>
  <c r="K316" i="7" a="1"/>
  <c r="K316" i="7" s="1"/>
  <c r="U316" i="7" s="1"/>
  <c r="K52" i="7" a="1"/>
  <c r="K52" i="7" s="1"/>
  <c r="U52" i="7" s="1"/>
  <c r="K77" i="7" a="1"/>
  <c r="K77" i="7" s="1"/>
  <c r="K27" i="4"/>
  <c r="AD26" i="4"/>
  <c r="U110" i="2"/>
  <c r="U362" i="7"/>
  <c r="K364" i="7" a="1"/>
  <c r="K364" i="7" s="1"/>
  <c r="U364" i="7" s="1"/>
  <c r="U117" i="2"/>
  <c r="MI26" i="4"/>
  <c r="LN27" i="4"/>
  <c r="U128" i="2"/>
  <c r="V127" i="2"/>
  <c r="U127" i="2"/>
  <c r="U173" i="2"/>
  <c r="U132" i="2"/>
  <c r="U191" i="2"/>
  <c r="U61" i="2"/>
  <c r="U308" i="2"/>
  <c r="U8" i="2"/>
  <c r="U264" i="2"/>
  <c r="K102" i="2" a="1"/>
  <c r="K102" i="2" s="1"/>
  <c r="U102" i="2" s="1"/>
  <c r="K233" i="2" a="1"/>
  <c r="K233" i="2" s="1"/>
  <c r="U233" i="2" s="1"/>
  <c r="K382" i="2" a="1"/>
  <c r="K382" i="2" s="1"/>
  <c r="U382" i="2" s="1"/>
  <c r="K226" i="2" a="1"/>
  <c r="K226" i="2" s="1"/>
  <c r="U226" i="2" s="1"/>
  <c r="K315" i="2" a="1"/>
  <c r="K315" i="2" s="1"/>
  <c r="U315" i="2" s="1"/>
  <c r="K162" i="7" a="1"/>
  <c r="K162" i="7" s="1"/>
  <c r="K27" i="7" a="1"/>
  <c r="K27" i="7" s="1"/>
  <c r="U27" i="7" s="1"/>
  <c r="K300" i="7" a="1"/>
  <c r="K300" i="7" s="1"/>
  <c r="K23" i="7" a="1"/>
  <c r="K23" i="7" s="1"/>
  <c r="K253" i="7" a="1"/>
  <c r="K253" i="7" s="1"/>
  <c r="U253" i="7" s="1"/>
  <c r="K123" i="7" a="1"/>
  <c r="K123" i="7" s="1"/>
  <c r="K339" i="7" a="1"/>
  <c r="K339" i="7" s="1"/>
  <c r="K281" i="7" a="1"/>
  <c r="K281" i="7" s="1"/>
  <c r="K83" i="7" a="1"/>
  <c r="K83" i="7" s="1"/>
  <c r="U83" i="7" s="1"/>
  <c r="K235" i="7" a="1"/>
  <c r="K235" i="7" s="1"/>
  <c r="U235" i="7" s="1"/>
  <c r="K240" i="7" a="1"/>
  <c r="K240" i="7" s="1"/>
  <c r="K344" i="7" a="1"/>
  <c r="K344" i="7" s="1"/>
  <c r="K247" i="7" a="1"/>
  <c r="K247" i="7" s="1"/>
  <c r="K312" i="7" a="1"/>
  <c r="K312" i="7" s="1"/>
  <c r="K72" i="7" a="1"/>
  <c r="K72" i="7" s="1"/>
  <c r="K321" i="7" a="1"/>
  <c r="K321" i="7" s="1"/>
  <c r="K245" i="7" a="1"/>
  <c r="K245" i="7" s="1"/>
  <c r="K9" i="7" a="1"/>
  <c r="K9" i="7" s="1"/>
  <c r="K69" i="7" a="1"/>
  <c r="K69" i="7" s="1"/>
  <c r="U347" i="7"/>
  <c r="AE25" i="4"/>
  <c r="O26" i="4"/>
  <c r="V245" i="2"/>
  <c r="U245" i="2"/>
  <c r="V234" i="2"/>
  <c r="U234" i="2"/>
  <c r="K365" i="7" a="1"/>
  <c r="K365" i="7" s="1"/>
  <c r="KP25" i="4"/>
  <c r="MC24" i="4"/>
  <c r="V189" i="2"/>
  <c r="U189" i="2"/>
  <c r="V124" i="2"/>
  <c r="U124" i="2"/>
  <c r="U121" i="2"/>
  <c r="V121" i="2"/>
  <c r="U166" i="2"/>
  <c r="V166" i="2"/>
  <c r="V103" i="2"/>
  <c r="U103" i="2"/>
  <c r="U15" i="2"/>
  <c r="U352" i="2"/>
  <c r="V352" i="2"/>
  <c r="U14" i="2"/>
  <c r="U69" i="2"/>
  <c r="U79" i="2"/>
  <c r="V39" i="2"/>
  <c r="U39" i="2"/>
  <c r="U392" i="2"/>
  <c r="U217" i="2"/>
  <c r="U386" i="2"/>
  <c r="K389" i="7" a="1"/>
  <c r="K389" i="7" s="1"/>
  <c r="U389" i="7" s="1"/>
  <c r="K146" i="7" a="1"/>
  <c r="K146" i="7" s="1"/>
  <c r="U146" i="7" s="1"/>
  <c r="K223" i="7" a="1"/>
  <c r="K223" i="7" s="1"/>
  <c r="U223" i="7" s="1"/>
  <c r="K272" i="7" a="1"/>
  <c r="K272" i="7" s="1"/>
  <c r="U272" i="7" s="1"/>
  <c r="K274" i="7" a="1"/>
  <c r="K274" i="7" s="1"/>
  <c r="K133" i="7" a="1"/>
  <c r="K133" i="7" s="1"/>
  <c r="U133" i="7" s="1"/>
  <c r="K311" i="7" a="1"/>
  <c r="K311" i="7" s="1"/>
  <c r="K266" i="7" a="1"/>
  <c r="K266" i="7" s="1"/>
  <c r="K50" i="7" a="1"/>
  <c r="K50" i="7" s="1"/>
  <c r="K199" i="7" a="1"/>
  <c r="K199" i="7" s="1"/>
  <c r="K41" i="7" a="1"/>
  <c r="K41" i="7" s="1"/>
  <c r="K222" i="7" a="1"/>
  <c r="K222" i="7" s="1"/>
  <c r="K336" i="7" a="1"/>
  <c r="K336" i="7" s="1"/>
  <c r="U336" i="7" s="1"/>
  <c r="K182" i="7" a="1"/>
  <c r="K182" i="7" s="1"/>
  <c r="K234" i="7" a="1"/>
  <c r="K234" i="7" s="1"/>
  <c r="K45" i="7" a="1"/>
  <c r="K45" i="7" s="1"/>
  <c r="U45" i="7" s="1"/>
  <c r="K47" i="7" a="1"/>
  <c r="K47" i="7" s="1"/>
  <c r="K290" i="7" a="1"/>
  <c r="K290" i="7" s="1"/>
  <c r="U290" i="7" s="1"/>
  <c r="K293" i="7" a="1"/>
  <c r="K293" i="7" s="1"/>
  <c r="U293" i="7" s="1"/>
  <c r="V198" i="2"/>
  <c r="U198" i="2"/>
  <c r="U378" i="7"/>
  <c r="K158" i="7" a="1"/>
  <c r="K158" i="7" s="1"/>
  <c r="K333" i="7" a="1"/>
  <c r="K333" i="7" s="1"/>
  <c r="U333" i="7" s="1"/>
  <c r="U163" i="2"/>
  <c r="V115" i="2"/>
  <c r="U115" i="2"/>
  <c r="U158" i="2"/>
  <c r="V306" i="2"/>
  <c r="U306" i="2"/>
  <c r="U328" i="2"/>
  <c r="V328" i="2"/>
  <c r="V311" i="2"/>
  <c r="U311" i="2"/>
  <c r="U30" i="2"/>
  <c r="U228" i="2"/>
  <c r="V321" i="2"/>
  <c r="U321" i="2"/>
  <c r="U249" i="2"/>
  <c r="V221" i="2"/>
  <c r="U221" i="2"/>
  <c r="K383" i="7" a="1"/>
  <c r="K383" i="7" s="1"/>
  <c r="K141" i="7" a="1"/>
  <c r="K141" i="7" s="1"/>
  <c r="U141" i="7" s="1"/>
  <c r="K70" i="7" a="1"/>
  <c r="K70" i="7" s="1"/>
  <c r="U70" i="7" s="1"/>
  <c r="K65" i="7" a="1"/>
  <c r="K65" i="7" s="1"/>
  <c r="U65" i="7" s="1"/>
  <c r="K381" i="7" a="1"/>
  <c r="K381" i="7" s="1"/>
  <c r="U381" i="7" s="1"/>
  <c r="K132" i="7" a="1"/>
  <c r="K132" i="7" s="1"/>
  <c r="U132" i="7" s="1"/>
  <c r="K28" i="7" a="1"/>
  <c r="K28" i="7" s="1"/>
  <c r="K96" i="7" a="1"/>
  <c r="K96" i="7" s="1"/>
  <c r="U96" i="7" s="1"/>
  <c r="K63" i="7" a="1"/>
  <c r="K63" i="7" s="1"/>
  <c r="K214" i="7" a="1"/>
  <c r="K214" i="7" s="1"/>
  <c r="K75" i="7" a="1"/>
  <c r="K75" i="7" s="1"/>
  <c r="U75" i="7" s="1"/>
  <c r="K363" i="7" a="1"/>
  <c r="K363" i="7" s="1"/>
  <c r="K334" i="7" a="1"/>
  <c r="K334" i="7" s="1"/>
  <c r="K392" i="7" a="1"/>
  <c r="K392" i="7" s="1"/>
  <c r="U392" i="7" s="1"/>
  <c r="K351" i="7" a="1"/>
  <c r="K351" i="7" s="1"/>
  <c r="U351" i="7" s="1"/>
  <c r="K172" i="7" a="1"/>
  <c r="K172" i="7" s="1"/>
  <c r="K213" i="7" a="1"/>
  <c r="K213" i="7" s="1"/>
  <c r="U213" i="7" s="1"/>
  <c r="K198" i="7" a="1"/>
  <c r="K198" i="7" s="1"/>
  <c r="U198" i="7" s="1"/>
  <c r="K30" i="7" a="1"/>
  <c r="K30" i="7" s="1"/>
  <c r="U30" i="7" s="1"/>
  <c r="LJ26" i="4"/>
  <c r="MH25" i="4"/>
  <c r="BM26" i="4"/>
  <c r="JB25" i="4"/>
  <c r="JZ25" i="4"/>
  <c r="U331" i="2"/>
  <c r="K33" i="7" a="1"/>
  <c r="K33" i="7" s="1"/>
  <c r="U33" i="7" s="1"/>
  <c r="MG25" i="4"/>
  <c r="LF26" i="4"/>
  <c r="V6" i="2"/>
  <c r="U6" i="2"/>
  <c r="V184" i="2"/>
  <c r="U184" i="2"/>
  <c r="U200" i="2"/>
  <c r="U142" i="2"/>
  <c r="V161" i="2"/>
  <c r="U161" i="2"/>
  <c r="U277" i="2"/>
  <c r="V283" i="2"/>
  <c r="U283" i="2"/>
  <c r="U329" i="2"/>
  <c r="U313" i="2"/>
  <c r="U345" i="2"/>
  <c r="U27" i="2"/>
  <c r="U376" i="2"/>
  <c r="U235" i="2"/>
  <c r="K95" i="2" a="1"/>
  <c r="K95" i="2" s="1"/>
  <c r="U95" i="2" s="1"/>
  <c r="K35" i="2" a="1"/>
  <c r="K35" i="2" s="1"/>
  <c r="U35" i="2" s="1"/>
  <c r="K248" i="2" a="1"/>
  <c r="K248" i="2" s="1"/>
  <c r="U248" i="2" s="1"/>
  <c r="K296" i="2" a="1"/>
  <c r="K296" i="2" s="1"/>
  <c r="U296" i="2" s="1"/>
  <c r="K211" i="7" a="1"/>
  <c r="K211" i="7" s="1"/>
  <c r="U211" i="7" s="1"/>
  <c r="K126" i="7" a="1"/>
  <c r="K126" i="7" s="1"/>
  <c r="U126" i="7" s="1"/>
  <c r="K197" i="7" a="1"/>
  <c r="K197" i="7" s="1"/>
  <c r="K248" i="7" a="1"/>
  <c r="K248" i="7" s="1"/>
  <c r="U248" i="7" s="1"/>
  <c r="K191" i="7" a="1"/>
  <c r="K191" i="7" s="1"/>
  <c r="K68" i="7" a="1"/>
  <c r="K68" i="7" s="1"/>
  <c r="K267" i="7" a="1"/>
  <c r="K267" i="7" s="1"/>
  <c r="U267" i="7" s="1"/>
  <c r="K232" i="7" a="1"/>
  <c r="K232" i="7" s="1"/>
  <c r="K386" i="7" a="1"/>
  <c r="K386" i="7" s="1"/>
  <c r="U386" i="7" s="1"/>
  <c r="K291" i="7" a="1"/>
  <c r="K291" i="7" s="1"/>
  <c r="U291" i="7" s="1"/>
  <c r="K203" i="7" a="1"/>
  <c r="K203" i="7" s="1"/>
  <c r="U203" i="7" s="1"/>
  <c r="K143" i="7" a="1"/>
  <c r="K143" i="7" s="1"/>
  <c r="K106" i="7" a="1"/>
  <c r="K106" i="7" s="1"/>
  <c r="U106" i="7" s="1"/>
  <c r="K303" i="7" a="1"/>
  <c r="K303" i="7" s="1"/>
  <c r="U303" i="7" s="1"/>
  <c r="K79" i="7" a="1"/>
  <c r="K79" i="7" s="1"/>
  <c r="U79" i="7" s="1"/>
  <c r="K283" i="7" a="1"/>
  <c r="K283" i="7" s="1"/>
  <c r="K307" i="7" a="1"/>
  <c r="K307" i="7" s="1"/>
  <c r="K296" i="7" a="1"/>
  <c r="K296" i="7" s="1"/>
  <c r="U296" i="7" s="1"/>
  <c r="K215" i="7" a="1"/>
  <c r="K215" i="7" s="1"/>
  <c r="DO163" i="2"/>
  <c r="DU171" i="2" s="1"/>
  <c r="DU161" i="2"/>
  <c r="K186" i="2" a="1"/>
  <c r="K186" i="2" s="1"/>
  <c r="U186" i="2" s="1"/>
  <c r="AG25" i="4" l="1"/>
  <c r="W26" i="4"/>
  <c r="U353" i="7"/>
  <c r="U344" i="7"/>
  <c r="U53" i="2"/>
  <c r="V383" i="7"/>
  <c r="U383" i="7"/>
  <c r="V116" i="2"/>
  <c r="V47" i="7"/>
  <c r="U47" i="7"/>
  <c r="V122" i="2"/>
  <c r="V240" i="7"/>
  <c r="U240" i="7"/>
  <c r="U177" i="7"/>
  <c r="V177" i="7"/>
  <c r="U256" i="7"/>
  <c r="U76" i="7"/>
  <c r="DM179" i="2"/>
  <c r="H26" i="2"/>
  <c r="V128" i="7"/>
  <c r="U128" i="7"/>
  <c r="U326" i="7"/>
  <c r="U361" i="2"/>
  <c r="U315" i="7"/>
  <c r="U166" i="7"/>
  <c r="U206" i="7"/>
  <c r="V206" i="7"/>
  <c r="V150" i="2"/>
  <c r="U150" i="2"/>
  <c r="U279" i="2"/>
  <c r="V279" i="2"/>
  <c r="V92" i="2"/>
  <c r="U92" i="2"/>
  <c r="U225" i="2"/>
  <c r="U179" i="7"/>
  <c r="U251" i="7"/>
  <c r="U324" i="7"/>
  <c r="V324" i="7"/>
  <c r="V102" i="7"/>
  <c r="U372" i="7"/>
  <c r="V49" i="2"/>
  <c r="U51" i="7"/>
  <c r="V92" i="7"/>
  <c r="V185" i="2"/>
  <c r="DG179" i="7"/>
  <c r="H26" i="7"/>
  <c r="MG26" i="4"/>
  <c r="LF27" i="4"/>
  <c r="U172" i="7"/>
  <c r="V172" i="7"/>
  <c r="V209" i="7"/>
  <c r="U209" i="7"/>
  <c r="U151" i="7"/>
  <c r="U335" i="7"/>
  <c r="U94" i="2"/>
  <c r="V390" i="7"/>
  <c r="U390" i="7"/>
  <c r="U363" i="2"/>
  <c r="V264" i="2"/>
  <c r="U71" i="7"/>
  <c r="U36" i="2"/>
  <c r="V36" i="2"/>
  <c r="V193" i="7"/>
  <c r="U193" i="7"/>
  <c r="U46" i="7"/>
  <c r="KT27" i="4"/>
  <c r="MD26" i="4"/>
  <c r="V160" i="7"/>
  <c r="U160" i="7"/>
  <c r="U112" i="2"/>
  <c r="U157" i="7"/>
  <c r="V157" i="7"/>
  <c r="V187" i="7"/>
  <c r="U187" i="7"/>
  <c r="V255" i="2"/>
  <c r="U356" i="7"/>
  <c r="V356" i="7"/>
  <c r="U31" i="7"/>
  <c r="V31" i="7"/>
  <c r="V108" i="7"/>
  <c r="U108" i="7"/>
  <c r="V287" i="7"/>
  <c r="U287" i="7"/>
  <c r="V257" i="7"/>
  <c r="U257" i="7"/>
  <c r="U381" i="2"/>
  <c r="U314" i="2"/>
  <c r="V260" i="7"/>
  <c r="U260" i="7"/>
  <c r="V104" i="7"/>
  <c r="U104" i="7"/>
  <c r="U337" i="7"/>
  <c r="U247" i="2"/>
  <c r="U21" i="2"/>
  <c r="V107" i="2"/>
  <c r="U107" i="2"/>
  <c r="U377" i="2"/>
  <c r="V292" i="7"/>
  <c r="U292" i="7"/>
  <c r="U317" i="7"/>
  <c r="U25" i="7"/>
  <c r="U340" i="7"/>
  <c r="V69" i="2"/>
  <c r="U312" i="7"/>
  <c r="V312" i="7"/>
  <c r="NU24" i="4"/>
  <c r="OT24" i="4" s="1"/>
  <c r="MO24" i="4"/>
  <c r="MN24" i="4"/>
  <c r="MM24" i="4"/>
  <c r="ML3" i="4"/>
  <c r="U142" i="7"/>
  <c r="U158" i="7"/>
  <c r="U182" i="7"/>
  <c r="V182" i="7"/>
  <c r="V125" i="2"/>
  <c r="U281" i="7"/>
  <c r="U374" i="2"/>
  <c r="V149" i="7"/>
  <c r="U149" i="7"/>
  <c r="V113" i="7"/>
  <c r="U113" i="7"/>
  <c r="V155" i="2"/>
  <c r="U155" i="2"/>
  <c r="V192" i="2"/>
  <c r="U192" i="2"/>
  <c r="V274" i="2"/>
  <c r="U274" i="2"/>
  <c r="V58" i="2"/>
  <c r="U58" i="2"/>
  <c r="V55" i="7"/>
  <c r="U55" i="7"/>
  <c r="U252" i="7"/>
  <c r="V59" i="7"/>
  <c r="U59" i="7"/>
  <c r="U10" i="7"/>
  <c r="U202" i="2"/>
  <c r="U342" i="7"/>
  <c r="V104" i="2"/>
  <c r="U95" i="7"/>
  <c r="V95" i="7"/>
  <c r="U10" i="2"/>
  <c r="CS9" i="2" s="1"/>
  <c r="DB11" i="2" s="1"/>
  <c r="V10" i="2"/>
  <c r="U343" i="7"/>
  <c r="V343" i="7"/>
  <c r="V222" i="2"/>
  <c r="W222" i="2" s="1"/>
  <c r="V232" i="7"/>
  <c r="U232" i="7"/>
  <c r="U334" i="7"/>
  <c r="V334" i="7"/>
  <c r="U329" i="7"/>
  <c r="V339" i="7"/>
  <c r="U339" i="7"/>
  <c r="U301" i="7"/>
  <c r="V164" i="7"/>
  <c r="U164" i="7"/>
  <c r="AF26" i="4"/>
  <c r="S27" i="4"/>
  <c r="V89" i="2"/>
  <c r="U110" i="7"/>
  <c r="U366" i="7"/>
  <c r="V152" i="2"/>
  <c r="U152" i="2"/>
  <c r="V168" i="2"/>
  <c r="U168" i="2"/>
  <c r="V354" i="2"/>
  <c r="U354" i="2"/>
  <c r="V79" i="2"/>
  <c r="V131" i="7"/>
  <c r="U131" i="7"/>
  <c r="V53" i="2"/>
  <c r="U370" i="7"/>
  <c r="U295" i="2"/>
  <c r="U188" i="7"/>
  <c r="V203" i="2"/>
  <c r="U97" i="7"/>
  <c r="V167" i="7"/>
  <c r="U167" i="7"/>
  <c r="U262" i="7"/>
  <c r="BN25" i="4"/>
  <c r="JC25" i="4" s="1"/>
  <c r="KA25" i="4"/>
  <c r="U385" i="7"/>
  <c r="U68" i="7"/>
  <c r="V68" i="7"/>
  <c r="U363" i="7"/>
  <c r="V322" i="2"/>
  <c r="U222" i="7"/>
  <c r="V40" i="2"/>
  <c r="V190" i="2"/>
  <c r="V123" i="7"/>
  <c r="U123" i="7"/>
  <c r="U171" i="7"/>
  <c r="U11" i="7"/>
  <c r="U80" i="7"/>
  <c r="U53" i="7"/>
  <c r="MF25" i="4"/>
  <c r="LB26" i="4"/>
  <c r="U221" i="7"/>
  <c r="U102" i="7"/>
  <c r="U49" i="7"/>
  <c r="U15" i="7"/>
  <c r="U151" i="2"/>
  <c r="V240" i="2"/>
  <c r="U240" i="2"/>
  <c r="U224" i="2"/>
  <c r="U252" i="2"/>
  <c r="U42" i="7"/>
  <c r="U352" i="7"/>
  <c r="V82" i="7"/>
  <c r="U82" i="7"/>
  <c r="U185" i="2"/>
  <c r="U20" i="7"/>
  <c r="U302" i="7"/>
  <c r="V74" i="2"/>
  <c r="U74" i="2"/>
  <c r="AD27" i="4"/>
  <c r="K28" i="4"/>
  <c r="U304" i="7"/>
  <c r="V304" i="7"/>
  <c r="V21" i="2"/>
  <c r="U200" i="7"/>
  <c r="U29" i="7"/>
  <c r="V297" i="7"/>
  <c r="U297" i="7"/>
  <c r="U320" i="7"/>
  <c r="V320" i="7"/>
  <c r="V169" i="7"/>
  <c r="U169" i="7"/>
  <c r="U233" i="7"/>
  <c r="U355" i="7"/>
  <c r="U208" i="7"/>
  <c r="V350" i="2"/>
  <c r="U286" i="7"/>
  <c r="U368" i="7"/>
  <c r="V146" i="2"/>
  <c r="U107" i="7"/>
  <c r="U290" i="2"/>
  <c r="U24" i="7"/>
  <c r="U230" i="7"/>
  <c r="U8" i="7"/>
  <c r="V228" i="2"/>
  <c r="U306" i="7"/>
  <c r="V18" i="2"/>
  <c r="V338" i="2"/>
  <c r="U338" i="2"/>
  <c r="LR28" i="4"/>
  <c r="MJ27" i="4"/>
  <c r="AH26" i="4"/>
  <c r="AA27" i="4"/>
  <c r="U379" i="2"/>
  <c r="U94" i="7"/>
  <c r="U191" i="7"/>
  <c r="V284" i="2"/>
  <c r="U41" i="7"/>
  <c r="V41" i="7"/>
  <c r="U214" i="7"/>
  <c r="V199" i="2"/>
  <c r="V199" i="7"/>
  <c r="U199" i="7"/>
  <c r="MC25" i="4"/>
  <c r="KP26" i="4"/>
  <c r="V23" i="7"/>
  <c r="U23" i="7"/>
  <c r="U118" i="7"/>
  <c r="V118" i="7"/>
  <c r="U115" i="7"/>
  <c r="V115" i="7"/>
  <c r="V125" i="7"/>
  <c r="U125" i="7"/>
  <c r="U295" i="7"/>
  <c r="U357" i="7"/>
  <c r="U313" i="7"/>
  <c r="MK27" i="4"/>
  <c r="LV28" i="4"/>
  <c r="U359" i="7"/>
  <c r="U226" i="7"/>
  <c r="U268" i="7"/>
  <c r="U258" i="7"/>
  <c r="U210" i="2"/>
  <c r="U194" i="2"/>
  <c r="U101" i="2"/>
  <c r="U309" i="2"/>
  <c r="V223" i="2"/>
  <c r="U223" i="2"/>
  <c r="U309" i="7"/>
  <c r="U99" i="7"/>
  <c r="U393" i="7"/>
  <c r="U275" i="2"/>
  <c r="KX27" i="4"/>
  <c r="ME26" i="4"/>
  <c r="U5" i="7"/>
  <c r="U232" i="2"/>
  <c r="U247" i="7"/>
  <c r="V247" i="7"/>
  <c r="U181" i="2"/>
  <c r="V7" i="2"/>
  <c r="W6" i="2"/>
  <c r="V63" i="7"/>
  <c r="U63" i="7"/>
  <c r="V50" i="7"/>
  <c r="U50" i="7"/>
  <c r="U365" i="7"/>
  <c r="V365" i="7"/>
  <c r="U69" i="7"/>
  <c r="V300" i="7"/>
  <c r="U300" i="7"/>
  <c r="V77" i="7"/>
  <c r="U77" i="7"/>
  <c r="U299" i="7"/>
  <c r="V190" i="7"/>
  <c r="U190" i="7"/>
  <c r="U180" i="7"/>
  <c r="U382" i="7"/>
  <c r="U176" i="7"/>
  <c r="U116" i="7"/>
  <c r="U360" i="7"/>
  <c r="V360" i="7"/>
  <c r="V210" i="2"/>
  <c r="V139" i="2"/>
  <c r="U139" i="2"/>
  <c r="V251" i="2"/>
  <c r="U251" i="2"/>
  <c r="U272" i="2"/>
  <c r="V272" i="2"/>
  <c r="U342" i="2"/>
  <c r="V342" i="2"/>
  <c r="U204" i="7"/>
  <c r="V250" i="7"/>
  <c r="U250" i="7"/>
  <c r="U40" i="7"/>
  <c r="V237" i="7"/>
  <c r="U237" i="7"/>
  <c r="U119" i="2"/>
  <c r="U244" i="7"/>
  <c r="V331" i="7"/>
  <c r="U331" i="7"/>
  <c r="V44" i="2"/>
  <c r="U294" i="7"/>
  <c r="U62" i="7"/>
  <c r="V195" i="2"/>
  <c r="U195" i="2"/>
  <c r="V212" i="2"/>
  <c r="U212" i="2"/>
  <c r="U9" i="2"/>
  <c r="BJ48" i="2" s="1"/>
  <c r="BR55" i="2" s="1"/>
  <c r="U390" i="2"/>
  <c r="V110" i="2"/>
  <c r="U380" i="7"/>
  <c r="V380" i="7"/>
  <c r="U183" i="7"/>
  <c r="W330" i="2"/>
  <c r="V331" i="2"/>
  <c r="W331" i="2" s="1"/>
  <c r="U196" i="7"/>
  <c r="U170" i="7"/>
  <c r="AE26" i="4"/>
  <c r="O27" i="4"/>
  <c r="V180" i="2"/>
  <c r="U180" i="2"/>
  <c r="V172" i="2"/>
  <c r="V167" i="2"/>
  <c r="W167" i="2" s="1"/>
  <c r="V202" i="7"/>
  <c r="U202" i="7"/>
  <c r="V143" i="7"/>
  <c r="U143" i="7"/>
  <c r="U367" i="7"/>
  <c r="V367" i="7"/>
  <c r="V176" i="2"/>
  <c r="U176" i="2"/>
  <c r="U197" i="7"/>
  <c r="U9" i="7"/>
  <c r="V9" i="7"/>
  <c r="U34" i="7"/>
  <c r="U275" i="7"/>
  <c r="V275" i="7"/>
  <c r="V307" i="7"/>
  <c r="U307" i="7"/>
  <c r="U175" i="2"/>
  <c r="V28" i="7"/>
  <c r="U28" i="7"/>
  <c r="V329" i="2"/>
  <c r="W329" i="2" s="1"/>
  <c r="U311" i="7"/>
  <c r="V235" i="2"/>
  <c r="V245" i="7"/>
  <c r="U245" i="7"/>
  <c r="U162" i="7"/>
  <c r="U328" i="7"/>
  <c r="V328" i="7"/>
  <c r="V135" i="2"/>
  <c r="V154" i="7"/>
  <c r="U154" i="7"/>
  <c r="U185" i="7"/>
  <c r="V138" i="7"/>
  <c r="U138" i="7"/>
  <c r="U350" i="7"/>
  <c r="V350" i="7"/>
  <c r="V224" i="7"/>
  <c r="U224" i="7"/>
  <c r="V87" i="7"/>
  <c r="U17" i="7"/>
  <c r="U44" i="7"/>
  <c r="U14" i="7"/>
  <c r="U255" i="7"/>
  <c r="U83" i="2"/>
  <c r="U56" i="7"/>
  <c r="U179" i="2"/>
  <c r="V332" i="2"/>
  <c r="U332" i="2"/>
  <c r="U268" i="2"/>
  <c r="U50" i="2"/>
  <c r="V279" i="7"/>
  <c r="U279" i="7"/>
  <c r="U38" i="7"/>
  <c r="U341" i="2"/>
  <c r="U387" i="7"/>
  <c r="V387" i="7"/>
  <c r="U259" i="2"/>
  <c r="U236" i="7"/>
  <c r="U168" i="7"/>
  <c r="U249" i="7"/>
  <c r="U375" i="7"/>
  <c r="V307" i="2"/>
  <c r="U73" i="7"/>
  <c r="V73" i="7"/>
  <c r="U374" i="7"/>
  <c r="V374" i="7"/>
  <c r="V66" i="2"/>
  <c r="U373" i="7"/>
  <c r="U16" i="7"/>
  <c r="V16" i="7"/>
  <c r="V234" i="7"/>
  <c r="U234" i="7"/>
  <c r="V162" i="2"/>
  <c r="V312" i="2"/>
  <c r="U266" i="7"/>
  <c r="V266" i="7"/>
  <c r="V353" i="2"/>
  <c r="W353" i="2" s="1"/>
  <c r="V128" i="2"/>
  <c r="U201" i="7"/>
  <c r="U283" i="7"/>
  <c r="U321" i="7"/>
  <c r="MI27" i="4"/>
  <c r="LN28" i="4"/>
  <c r="U264" i="7"/>
  <c r="U134" i="7"/>
  <c r="V212" i="7"/>
  <c r="U212" i="7"/>
  <c r="U145" i="7"/>
  <c r="U86" i="7"/>
  <c r="U391" i="7"/>
  <c r="V219" i="7"/>
  <c r="U219" i="7"/>
  <c r="U242" i="7"/>
  <c r="V84" i="2"/>
  <c r="U277" i="7"/>
  <c r="U91" i="2"/>
  <c r="V299" i="2"/>
  <c r="U299" i="2"/>
  <c r="U88" i="7"/>
  <c r="U298" i="7"/>
  <c r="U273" i="7"/>
  <c r="V100" i="2"/>
  <c r="U270" i="7"/>
  <c r="U319" i="7"/>
  <c r="U246" i="7"/>
  <c r="U64" i="7"/>
  <c r="U215" i="7"/>
  <c r="JB26" i="4"/>
  <c r="JZ26" i="4"/>
  <c r="BM27" i="4"/>
  <c r="LJ27" i="4"/>
  <c r="MH26" i="4"/>
  <c r="U274" i="7"/>
  <c r="V246" i="2"/>
  <c r="U72" i="7"/>
  <c r="NH11" i="4"/>
  <c r="LZ37" i="4"/>
  <c r="U121" i="7"/>
  <c r="U153" i="7"/>
  <c r="U140" i="7"/>
  <c r="U388" i="7"/>
  <c r="U57" i="7"/>
  <c r="U332" i="7"/>
  <c r="V219" i="2"/>
  <c r="U271" i="7"/>
  <c r="V228" i="7"/>
  <c r="U228" i="7"/>
  <c r="V27" i="2"/>
  <c r="U22" i="7"/>
  <c r="U368" i="2"/>
  <c r="U184" i="7"/>
  <c r="V187" i="2"/>
  <c r="U187" i="2"/>
  <c r="U193" i="2"/>
  <c r="V207" i="2"/>
  <c r="U207" i="2"/>
  <c r="U100" i="2"/>
  <c r="U34" i="2"/>
  <c r="U371" i="2"/>
  <c r="U49" i="2"/>
  <c r="V33" i="2"/>
  <c r="U33" i="2"/>
  <c r="U91" i="7"/>
  <c r="U48" i="7"/>
  <c r="U66" i="7"/>
  <c r="U105" i="7"/>
  <c r="U273" i="2"/>
  <c r="V290" i="2"/>
  <c r="W27" i="4" l="1"/>
  <c r="AG26" i="4"/>
  <c r="BJ86" i="2"/>
  <c r="BR93" i="2" s="1"/>
  <c r="V225" i="7"/>
  <c r="V273" i="2"/>
  <c r="W273" i="2" s="1"/>
  <c r="V24" i="7"/>
  <c r="AA28" i="4"/>
  <c r="AH27" i="4"/>
  <c r="V147" i="2"/>
  <c r="W146" i="2"/>
  <c r="V83" i="7"/>
  <c r="V80" i="2"/>
  <c r="W79" i="2"/>
  <c r="V193" i="2"/>
  <c r="KT28" i="4"/>
  <c r="MD27" i="4"/>
  <c r="V210" i="7"/>
  <c r="DI179" i="7"/>
  <c r="DO181" i="7" s="1"/>
  <c r="G27" i="7"/>
  <c r="V384" i="7"/>
  <c r="BJ124" i="2"/>
  <c r="BR131" i="2" s="1"/>
  <c r="V248" i="7"/>
  <c r="W290" i="2"/>
  <c r="V291" i="2"/>
  <c r="V220" i="7"/>
  <c r="V375" i="7"/>
  <c r="V280" i="7"/>
  <c r="V351" i="7"/>
  <c r="MC26" i="4"/>
  <c r="KP27" i="4"/>
  <c r="KA26" i="4"/>
  <c r="BN26" i="4"/>
  <c r="JC26" i="4" s="1"/>
  <c r="V109" i="7"/>
  <c r="DO180" i="7"/>
  <c r="DO179" i="2"/>
  <c r="DU181" i="2" s="1"/>
  <c r="G27" i="2"/>
  <c r="CS104" i="2"/>
  <c r="DB111" i="2" s="1"/>
  <c r="V188" i="2"/>
  <c r="W354" i="2"/>
  <c r="V340" i="7"/>
  <c r="W104" i="2"/>
  <c r="V105" i="2"/>
  <c r="V156" i="2"/>
  <c r="PF2" i="4"/>
  <c r="MM3" i="4"/>
  <c r="MM25" i="4" s="1"/>
  <c r="MM26" i="4" s="1"/>
  <c r="MM27" i="4" s="1"/>
  <c r="MM28" i="4" s="1"/>
  <c r="MM29" i="4" s="1"/>
  <c r="MM30" i="4" s="1"/>
  <c r="MM31" i="4" s="1"/>
  <c r="MM32" i="4" s="1"/>
  <c r="MM33" i="4" s="1"/>
  <c r="MO3" i="4"/>
  <c r="MO25" i="4" s="1"/>
  <c r="MO26" i="4" s="1"/>
  <c r="MO27" i="4" s="1"/>
  <c r="MO28" i="4" s="1"/>
  <c r="MO29" i="4" s="1"/>
  <c r="MO30" i="4" s="1"/>
  <c r="MO31" i="4" s="1"/>
  <c r="MO32" i="4" s="1"/>
  <c r="MO33" i="4" s="1"/>
  <c r="MN3" i="4"/>
  <c r="MN25" i="4" s="1"/>
  <c r="MN26" i="4" s="1"/>
  <c r="MN27" i="4" s="1"/>
  <c r="MN28" i="4" s="1"/>
  <c r="MN29" i="4" s="1"/>
  <c r="MN30" i="4" s="1"/>
  <c r="MN31" i="4" s="1"/>
  <c r="MN32" i="4" s="1"/>
  <c r="MN33" i="4" s="1"/>
  <c r="OG2" i="4"/>
  <c r="OG8" i="4" s="1"/>
  <c r="OG9" i="4" s="1"/>
  <c r="OG10" i="4" s="1"/>
  <c r="OG11" i="4" s="1"/>
  <c r="OG12" i="4" s="1"/>
  <c r="OG13" i="4" s="1"/>
  <c r="OG14" i="4" s="1"/>
  <c r="OG15" i="4" s="1"/>
  <c r="OG16" i="4" s="1"/>
  <c r="OG17" i="4" s="1"/>
  <c r="OG18" i="4" s="1"/>
  <c r="OG19" i="4" s="1"/>
  <c r="OG20" i="4" s="1"/>
  <c r="OG21" i="4" s="1"/>
  <c r="OG22" i="4" s="1"/>
  <c r="OG23" i="4" s="1"/>
  <c r="OG24" i="4" s="1"/>
  <c r="OG25" i="4" s="1"/>
  <c r="OG26" i="4" s="1"/>
  <c r="OG27" i="4" s="1"/>
  <c r="OG28" i="4" s="1"/>
  <c r="OG29" i="4" s="1"/>
  <c r="OG30" i="4" s="1"/>
  <c r="OG31" i="4" s="1"/>
  <c r="OG32" i="4" s="1"/>
  <c r="OG33" i="4" s="1"/>
  <c r="V108" i="2"/>
  <c r="V32" i="7"/>
  <c r="V173" i="7"/>
  <c r="W185" i="2"/>
  <c r="V186" i="2"/>
  <c r="W186" i="2" s="1"/>
  <c r="V93" i="2"/>
  <c r="DU180" i="2"/>
  <c r="DO182" i="2"/>
  <c r="DU190" i="2" s="1"/>
  <c r="Z85" i="2"/>
  <c r="AK88" i="2" s="1"/>
  <c r="W84" i="2"/>
  <c r="V85" i="2"/>
  <c r="V165" i="7"/>
  <c r="V161" i="7"/>
  <c r="V196" i="2"/>
  <c r="V96" i="7"/>
  <c r="V267" i="7"/>
  <c r="V74" i="7"/>
  <c r="V368" i="7"/>
  <c r="W44" i="2"/>
  <c r="V45" i="2"/>
  <c r="V252" i="2"/>
  <c r="MK28" i="4"/>
  <c r="LV29" i="4"/>
  <c r="MJ28" i="4"/>
  <c r="LR29" i="4"/>
  <c r="V22" i="2"/>
  <c r="W21" i="2"/>
  <c r="V194" i="7"/>
  <c r="V280" i="2"/>
  <c r="BJ143" i="2"/>
  <c r="BR150" i="2" s="1"/>
  <c r="W66" i="2"/>
  <c r="V67" i="2"/>
  <c r="V293" i="7"/>
  <c r="V78" i="7"/>
  <c r="LZ38" i="4"/>
  <c r="NH13" i="4" s="1"/>
  <c r="NH12" i="4"/>
  <c r="V301" i="7"/>
  <c r="ME27" i="4"/>
  <c r="KX28" i="4"/>
  <c r="V200" i="7"/>
  <c r="W350" i="2"/>
  <c r="V351" i="2"/>
  <c r="V305" i="7"/>
  <c r="V124" i="7"/>
  <c r="W124" i="7" s="1"/>
  <c r="V168" i="7"/>
  <c r="W168" i="7" s="1"/>
  <c r="V169" i="2"/>
  <c r="W168" i="2"/>
  <c r="V335" i="7"/>
  <c r="V114" i="7"/>
  <c r="W114" i="7" s="1"/>
  <c r="V357" i="7"/>
  <c r="V37" i="2"/>
  <c r="MG27" i="4"/>
  <c r="LF28" i="4"/>
  <c r="W92" i="7"/>
  <c r="V93" i="7"/>
  <c r="CS47" i="2"/>
  <c r="DB54" i="2" s="1"/>
  <c r="CS142" i="2"/>
  <c r="DB149" i="2" s="1"/>
  <c r="V181" i="2"/>
  <c r="V208" i="2"/>
  <c r="V191" i="7"/>
  <c r="V177" i="2"/>
  <c r="W100" i="2"/>
  <c r="V101" i="2"/>
  <c r="V313" i="2"/>
  <c r="W312" i="2"/>
  <c r="W307" i="2"/>
  <c r="V308" i="2"/>
  <c r="W332" i="2"/>
  <c r="V333" i="2"/>
  <c r="V29" i="7"/>
  <c r="V332" i="7"/>
  <c r="V140" i="2"/>
  <c r="W199" i="2"/>
  <c r="V200" i="2"/>
  <c r="V339" i="2"/>
  <c r="V191" i="2"/>
  <c r="W191" i="2" s="1"/>
  <c r="W190" i="2"/>
  <c r="V178" i="7"/>
  <c r="BJ67" i="2"/>
  <c r="BR74" i="2" s="1"/>
  <c r="CS85" i="2"/>
  <c r="DB92" i="2" s="1"/>
  <c r="V288" i="7"/>
  <c r="V381" i="7"/>
  <c r="V211" i="2"/>
  <c r="W211" i="2" s="1"/>
  <c r="W210" i="2"/>
  <c r="K29" i="4"/>
  <c r="AD28" i="4"/>
  <c r="V241" i="2"/>
  <c r="W152" i="2"/>
  <c r="V153" i="2"/>
  <c r="V150" i="7"/>
  <c r="PF24" i="4"/>
  <c r="PD24" i="4"/>
  <c r="PD25" i="4" s="1"/>
  <c r="PD26" i="4" s="1"/>
  <c r="PD27" i="4" s="1"/>
  <c r="PD28" i="4" s="1"/>
  <c r="PD29" i="4" s="1"/>
  <c r="PD30" i="4" s="1"/>
  <c r="PD31" i="4" s="1"/>
  <c r="PD32" i="4" s="1"/>
  <c r="PD33" i="4" s="1"/>
  <c r="PB24" i="4"/>
  <c r="PB25" i="4" s="1"/>
  <c r="PB26" i="4" s="1"/>
  <c r="PB27" i="4" s="1"/>
  <c r="PB28" i="4" s="1"/>
  <c r="PB29" i="4" s="1"/>
  <c r="PB30" i="4" s="1"/>
  <c r="PB31" i="4" s="1"/>
  <c r="PB32" i="4" s="1"/>
  <c r="PB33" i="4" s="1"/>
  <c r="PA24" i="4"/>
  <c r="PA25" i="4" s="1"/>
  <c r="PA26" i="4" s="1"/>
  <c r="PA27" i="4" s="1"/>
  <c r="PA28" i="4" s="1"/>
  <c r="PA29" i="4" s="1"/>
  <c r="PA30" i="4" s="1"/>
  <c r="PA31" i="4" s="1"/>
  <c r="PA32" i="4" s="1"/>
  <c r="PA33" i="4" s="1"/>
  <c r="OX24" i="4"/>
  <c r="OX25" i="4" s="1"/>
  <c r="OX26" i="4" s="1"/>
  <c r="OX27" i="4" s="1"/>
  <c r="OX28" i="4" s="1"/>
  <c r="OX29" i="4" s="1"/>
  <c r="OX30" i="4" s="1"/>
  <c r="OX31" i="4" s="1"/>
  <c r="OX32" i="4" s="1"/>
  <c r="OX33" i="4" s="1"/>
  <c r="OW24" i="4"/>
  <c r="OW25" i="4" s="1"/>
  <c r="OW26" i="4" s="1"/>
  <c r="OW27" i="4" s="1"/>
  <c r="OW28" i="4" s="1"/>
  <c r="OW29" i="4" s="1"/>
  <c r="OW30" i="4" s="1"/>
  <c r="OW31" i="4" s="1"/>
  <c r="OW32" i="4" s="1"/>
  <c r="OW33" i="4" s="1"/>
  <c r="OV24" i="4"/>
  <c r="OV25" i="4" s="1"/>
  <c r="OV26" i="4" s="1"/>
  <c r="OV27" i="4" s="1"/>
  <c r="OV28" i="4" s="1"/>
  <c r="OV29" i="4" s="1"/>
  <c r="OV30" i="4" s="1"/>
  <c r="OV31" i="4" s="1"/>
  <c r="OV32" i="4" s="1"/>
  <c r="OV33" i="4" s="1"/>
  <c r="OU24" i="4"/>
  <c r="OU25" i="4" s="1"/>
  <c r="OU26" i="4" s="1"/>
  <c r="OU27" i="4" s="1"/>
  <c r="OU28" i="4" s="1"/>
  <c r="OU29" i="4" s="1"/>
  <c r="OU30" i="4" s="1"/>
  <c r="OU31" i="4" s="1"/>
  <c r="OU32" i="4" s="1"/>
  <c r="OU33" i="4" s="1"/>
  <c r="PE24" i="4"/>
  <c r="PE25" i="4" s="1"/>
  <c r="PE26" i="4" s="1"/>
  <c r="PE27" i="4" s="1"/>
  <c r="PE28" i="4" s="1"/>
  <c r="PE29" i="4" s="1"/>
  <c r="PE30" i="4" s="1"/>
  <c r="PE31" i="4" s="1"/>
  <c r="PE32" i="4" s="1"/>
  <c r="PE33" i="4" s="1"/>
  <c r="OZ24" i="4"/>
  <c r="OZ25" i="4" s="1"/>
  <c r="OZ26" i="4" s="1"/>
  <c r="OZ27" i="4" s="1"/>
  <c r="OZ28" i="4" s="1"/>
  <c r="OZ29" i="4" s="1"/>
  <c r="OZ30" i="4" s="1"/>
  <c r="OZ31" i="4" s="1"/>
  <c r="OZ32" i="4" s="1"/>
  <c r="OZ33" i="4" s="1"/>
  <c r="OY24" i="4"/>
  <c r="OY25" i="4" s="1"/>
  <c r="OY26" i="4" s="1"/>
  <c r="OY27" i="4" s="1"/>
  <c r="OY28" i="4" s="1"/>
  <c r="OY29" i="4" s="1"/>
  <c r="OY30" i="4" s="1"/>
  <c r="OY31" i="4" s="1"/>
  <c r="OY32" i="4" s="1"/>
  <c r="OY33" i="4" s="1"/>
  <c r="PC24" i="4"/>
  <c r="PC25" i="4" s="1"/>
  <c r="PC26" i="4" s="1"/>
  <c r="PC27" i="4" s="1"/>
  <c r="PC28" i="4" s="1"/>
  <c r="PC29" i="4" s="1"/>
  <c r="PC30" i="4" s="1"/>
  <c r="PC31" i="4" s="1"/>
  <c r="PC32" i="4" s="1"/>
  <c r="PC33" i="4" s="1"/>
  <c r="OU42" i="4"/>
  <c r="OV42" i="4" s="1"/>
  <c r="OU40" i="4"/>
  <c r="OV40" i="4" s="1"/>
  <c r="OU41" i="4"/>
  <c r="OV41" i="4" s="1"/>
  <c r="OU44" i="4"/>
  <c r="OV44" i="4" s="1"/>
  <c r="OU47" i="4"/>
  <c r="OV47" i="4" s="1"/>
  <c r="OU39" i="4"/>
  <c r="OV39" i="4" s="1"/>
  <c r="OU46" i="4"/>
  <c r="OV46" i="4" s="1"/>
  <c r="OU48" i="4"/>
  <c r="OV48" i="4" s="1"/>
  <c r="OU38" i="4"/>
  <c r="OV38" i="4" s="1"/>
  <c r="OU45" i="4"/>
  <c r="OV45" i="4" s="1"/>
  <c r="OU43" i="4"/>
  <c r="OV43" i="4" s="1"/>
  <c r="V256" i="2"/>
  <c r="W255" i="2"/>
  <c r="V151" i="2"/>
  <c r="W151" i="2" s="1"/>
  <c r="Z28" i="2"/>
  <c r="AK35" i="2" s="1"/>
  <c r="BJ105" i="2"/>
  <c r="BR112" i="2" s="1"/>
  <c r="V129" i="7"/>
  <c r="BH124" i="7"/>
  <c r="BP131" i="7" s="1"/>
  <c r="Z124" i="7"/>
  <c r="AI131" i="7" s="1"/>
  <c r="CQ123" i="7"/>
  <c r="CY125" i="7" s="1"/>
  <c r="CQ142" i="7"/>
  <c r="CY144" i="7" s="1"/>
  <c r="BH143" i="7"/>
  <c r="BP150" i="7" s="1"/>
  <c r="Z143" i="7"/>
  <c r="AI150" i="7" s="1"/>
  <c r="Z104" i="7"/>
  <c r="AI111" i="7" s="1"/>
  <c r="Z66" i="7"/>
  <c r="AI73" i="7" s="1"/>
  <c r="BH86" i="7"/>
  <c r="BP93" i="7" s="1"/>
  <c r="CQ85" i="7"/>
  <c r="CY87" i="7" s="1"/>
  <c r="BH67" i="7"/>
  <c r="BP74" i="7" s="1"/>
  <c r="Z85" i="7"/>
  <c r="AI92" i="7" s="1"/>
  <c r="CQ104" i="7"/>
  <c r="CY106" i="7" s="1"/>
  <c r="BH105" i="7"/>
  <c r="BP112" i="7" s="1"/>
  <c r="CQ66" i="7"/>
  <c r="CY68" i="7" s="1"/>
  <c r="Z47" i="7"/>
  <c r="AI54" i="7" s="1"/>
  <c r="BH28" i="7"/>
  <c r="BP35" i="7" s="1"/>
  <c r="BH48" i="7"/>
  <c r="BP55" i="7" s="1"/>
  <c r="CQ47" i="7"/>
  <c r="CY49" i="7" s="1"/>
  <c r="CQ28" i="7"/>
  <c r="CY30" i="7" s="1"/>
  <c r="Z28" i="7"/>
  <c r="AI35" i="7" s="1"/>
  <c r="BH9" i="7"/>
  <c r="BP16" i="7" s="1"/>
  <c r="CQ9" i="7"/>
  <c r="CY11" i="7" s="1"/>
  <c r="Z9" i="7"/>
  <c r="AI16" i="7" s="1"/>
  <c r="V144" i="7"/>
  <c r="V366" i="7"/>
  <c r="W366" i="7" s="1"/>
  <c r="V19" i="2"/>
  <c r="W18" i="2"/>
  <c r="W27" i="2"/>
  <c r="V28" i="2"/>
  <c r="W246" i="2"/>
  <c r="V247" i="2"/>
  <c r="V155" i="7"/>
  <c r="V41" i="2"/>
  <c r="W40" i="2"/>
  <c r="W203" i="2"/>
  <c r="V204" i="2"/>
  <c r="V233" i="7"/>
  <c r="W233" i="7" s="1"/>
  <c r="V60" i="7"/>
  <c r="V313" i="7"/>
  <c r="V105" i="7"/>
  <c r="V207" i="7"/>
  <c r="BJ28" i="2"/>
  <c r="BR35" i="2" s="1"/>
  <c r="CS161" i="2"/>
  <c r="DB168" i="2" s="1"/>
  <c r="W274" i="2"/>
  <c r="V275" i="2"/>
  <c r="V139" i="7"/>
  <c r="V213" i="7"/>
  <c r="V163" i="2"/>
  <c r="W162" i="2"/>
  <c r="V203" i="7"/>
  <c r="V361" i="7"/>
  <c r="V42" i="7"/>
  <c r="W264" i="2"/>
  <c r="V265" i="2"/>
  <c r="V50" i="2"/>
  <c r="W49" i="2"/>
  <c r="V241" i="7"/>
  <c r="Z66" i="2"/>
  <c r="AK73" i="2" s="1"/>
  <c r="Z47" i="2"/>
  <c r="AK54" i="2" s="1"/>
  <c r="W128" i="2"/>
  <c r="V129" i="2"/>
  <c r="V34" i="2"/>
  <c r="W135" i="2"/>
  <c r="V136" i="2"/>
  <c r="V90" i="2"/>
  <c r="W89" i="2"/>
  <c r="V70" i="2"/>
  <c r="W69" i="2"/>
  <c r="V261" i="7"/>
  <c r="V188" i="7"/>
  <c r="Z9" i="2"/>
  <c r="AK16" i="2" s="1"/>
  <c r="Z104" i="2"/>
  <c r="AK107" i="2" s="1"/>
  <c r="V246" i="7"/>
  <c r="W246" i="7" s="1"/>
  <c r="V117" i="2"/>
  <c r="W116" i="2"/>
  <c r="O28" i="4"/>
  <c r="AE27" i="4"/>
  <c r="MI28" i="4"/>
  <c r="LN29" i="4"/>
  <c r="W110" i="2"/>
  <c r="V111" i="2"/>
  <c r="V51" i="7"/>
  <c r="W228" i="2"/>
  <c r="V229" i="2"/>
  <c r="V75" i="2"/>
  <c r="V300" i="2"/>
  <c r="V329" i="7"/>
  <c r="V276" i="7"/>
  <c r="V224" i="2"/>
  <c r="W223" i="2"/>
  <c r="V126" i="7"/>
  <c r="W284" i="2"/>
  <c r="V285" i="2"/>
  <c r="V170" i="7"/>
  <c r="W169" i="7"/>
  <c r="W322" i="2"/>
  <c r="V323" i="2"/>
  <c r="V56" i="7"/>
  <c r="V158" i="7"/>
  <c r="V123" i="2"/>
  <c r="W122" i="2"/>
  <c r="CS66" i="2"/>
  <c r="DB73" i="2" s="1"/>
  <c r="CS123" i="2"/>
  <c r="DB130" i="2" s="1"/>
  <c r="V343" i="2"/>
  <c r="V298" i="7"/>
  <c r="V173" i="2"/>
  <c r="W172" i="2"/>
  <c r="V64" i="7"/>
  <c r="V116" i="7"/>
  <c r="W115" i="7"/>
  <c r="V321" i="7"/>
  <c r="AF27" i="4"/>
  <c r="S28" i="4"/>
  <c r="V344" i="7"/>
  <c r="W125" i="2"/>
  <c r="V126" i="2"/>
  <c r="V391" i="7"/>
  <c r="V103" i="7"/>
  <c r="W103" i="7" s="1"/>
  <c r="W102" i="7"/>
  <c r="CS28" i="2"/>
  <c r="DB30" i="2" s="1"/>
  <c r="Z124" i="2"/>
  <c r="AK127" i="2" s="1"/>
  <c r="V132" i="7"/>
  <c r="V229" i="7"/>
  <c r="V251" i="7"/>
  <c r="V54" i="2"/>
  <c r="W53" i="2"/>
  <c r="V59" i="2"/>
  <c r="V325" i="7"/>
  <c r="V48" i="7"/>
  <c r="BJ9" i="2"/>
  <c r="BR16" i="2" s="1"/>
  <c r="Z143" i="2"/>
  <c r="AK146" i="2" s="1"/>
  <c r="V236" i="2"/>
  <c r="W235" i="2"/>
  <c r="V308" i="7"/>
  <c r="V238" i="7"/>
  <c r="LJ28" i="4"/>
  <c r="MH27" i="4"/>
  <c r="V235" i="7"/>
  <c r="W234" i="7"/>
  <c r="W219" i="2"/>
  <c r="V220" i="2"/>
  <c r="BM28" i="4"/>
  <c r="JZ27" i="4"/>
  <c r="JB27" i="4"/>
  <c r="V17" i="7"/>
  <c r="V388" i="7"/>
  <c r="V88" i="7"/>
  <c r="W87" i="7"/>
  <c r="V10" i="7"/>
  <c r="W9" i="7"/>
  <c r="V213" i="2"/>
  <c r="W212" i="2"/>
  <c r="V8" i="2"/>
  <c r="W7" i="2"/>
  <c r="V119" i="7"/>
  <c r="MF26" i="4"/>
  <c r="LB27" i="4"/>
  <c r="V69" i="7"/>
  <c r="V11" i="2"/>
  <c r="V183" i="7"/>
  <c r="V258" i="7"/>
  <c r="W28" i="4" l="1"/>
  <c r="AG27" i="4"/>
  <c r="V52" i="7"/>
  <c r="W51" i="7"/>
  <c r="W313" i="2"/>
  <c r="V314" i="2"/>
  <c r="V253" i="2"/>
  <c r="W252" i="2"/>
  <c r="W388" i="7"/>
  <c r="V389" i="7"/>
  <c r="V35" i="2"/>
  <c r="W34" i="2"/>
  <c r="W42" i="7"/>
  <c r="V43" i="7"/>
  <c r="AD29" i="4"/>
  <c r="K30" i="4"/>
  <c r="W339" i="2"/>
  <c r="V340" i="2"/>
  <c r="W101" i="2"/>
  <c r="V102" i="2"/>
  <c r="W165" i="7"/>
  <c r="V166" i="7"/>
  <c r="W108" i="2"/>
  <c r="W109" i="2"/>
  <c r="V249" i="7"/>
  <c r="W248" i="7"/>
  <c r="V55" i="2"/>
  <c r="W54" i="2"/>
  <c r="W125" i="7"/>
  <c r="V112" i="2"/>
  <c r="W111" i="2"/>
  <c r="W361" i="7"/>
  <c r="V362" i="7"/>
  <c r="V205" i="2"/>
  <c r="W204" i="2"/>
  <c r="W256" i="2"/>
  <c r="V257" i="2"/>
  <c r="MG28" i="4"/>
  <c r="LF29" i="4"/>
  <c r="W305" i="7"/>
  <c r="V306" i="7"/>
  <c r="W67" i="2"/>
  <c r="W68" i="2"/>
  <c r="V46" i="2"/>
  <c r="W45" i="2"/>
  <c r="V86" i="2"/>
  <c r="W85" i="2"/>
  <c r="V110" i="7"/>
  <c r="W109" i="7"/>
  <c r="W247" i="7"/>
  <c r="V81" i="2"/>
  <c r="W80" i="2"/>
  <c r="V214" i="2"/>
  <c r="W213" i="2"/>
  <c r="V237" i="2"/>
  <c r="W236" i="2"/>
  <c r="V117" i="7"/>
  <c r="W116" i="7"/>
  <c r="V127" i="7"/>
  <c r="W126" i="7"/>
  <c r="V130" i="2"/>
  <c r="W129" i="2"/>
  <c r="W207" i="7"/>
  <c r="V208" i="7"/>
  <c r="V201" i="2"/>
  <c r="W200" i="2"/>
  <c r="LN30" i="4"/>
  <c r="MI29" i="4"/>
  <c r="V382" i="7"/>
  <c r="W381" i="7"/>
  <c r="V178" i="2"/>
  <c r="W177" i="2"/>
  <c r="V38" i="2"/>
  <c r="W37" i="2"/>
  <c r="W351" i="2"/>
  <c r="W352" i="2"/>
  <c r="W368" i="7"/>
  <c r="V369" i="7"/>
  <c r="W384" i="7"/>
  <c r="V385" i="7"/>
  <c r="W83" i="7"/>
  <c r="V84" i="7"/>
  <c r="V65" i="7"/>
  <c r="W64" i="7"/>
  <c r="W224" i="2"/>
  <c r="V225" i="2"/>
  <c r="W203" i="7"/>
  <c r="V204" i="7"/>
  <c r="V42" i="2"/>
  <c r="W41" i="2"/>
  <c r="W140" i="2"/>
  <c r="V141" i="2"/>
  <c r="V281" i="2"/>
  <c r="W280" i="2"/>
  <c r="W367" i="7"/>
  <c r="MC27" i="4"/>
  <c r="KP28" i="4"/>
  <c r="W321" i="7"/>
  <c r="V322" i="7"/>
  <c r="W288" i="7"/>
  <c r="V289" i="7"/>
  <c r="W191" i="7"/>
  <c r="V192" i="7"/>
  <c r="V201" i="7"/>
  <c r="W200" i="7"/>
  <c r="PF25" i="4"/>
  <c r="PF26" i="4" s="1"/>
  <c r="PF27" i="4" s="1"/>
  <c r="PF28" i="4" s="1"/>
  <c r="PF29" i="4" s="1"/>
  <c r="PF30" i="4" s="1"/>
  <c r="PF31" i="4" s="1"/>
  <c r="PF32" i="4" s="1"/>
  <c r="PF33" i="4" s="1"/>
  <c r="W147" i="2"/>
  <c r="V148" i="2"/>
  <c r="V309" i="7"/>
  <c r="W308" i="7"/>
  <c r="W285" i="2"/>
  <c r="V286" i="2"/>
  <c r="W276" i="7"/>
  <c r="V277" i="7"/>
  <c r="V89" i="7"/>
  <c r="W88" i="7"/>
  <c r="BM29" i="4"/>
  <c r="JZ28" i="4"/>
  <c r="JB28" i="4"/>
  <c r="W173" i="2"/>
  <c r="V174" i="2"/>
  <c r="O29" i="4"/>
  <c r="AE28" i="4"/>
  <c r="W163" i="2"/>
  <c r="V164" i="2"/>
  <c r="V156" i="7"/>
  <c r="W155" i="7"/>
  <c r="W357" i="7"/>
  <c r="V358" i="7"/>
  <c r="W74" i="7"/>
  <c r="V75" i="7"/>
  <c r="W351" i="7"/>
  <c r="V352" i="7"/>
  <c r="BN27" i="4"/>
  <c r="JC27" i="4" s="1"/>
  <c r="KA27" i="4"/>
  <c r="V11" i="7"/>
  <c r="W10" i="7"/>
  <c r="W251" i="7"/>
  <c r="V252" i="7"/>
  <c r="W220" i="2"/>
  <c r="W221" i="2"/>
  <c r="V230" i="7"/>
  <c r="W229" i="7"/>
  <c r="W391" i="7"/>
  <c r="V392" i="7"/>
  <c r="W298" i="7"/>
  <c r="V299" i="7"/>
  <c r="W329" i="7"/>
  <c r="V330" i="7"/>
  <c r="V189" i="7"/>
  <c r="W188" i="7"/>
  <c r="V242" i="7"/>
  <c r="W241" i="7"/>
  <c r="W213" i="7"/>
  <c r="V214" i="7"/>
  <c r="W247" i="2"/>
  <c r="V248" i="2"/>
  <c r="W332" i="7"/>
  <c r="V333" i="7"/>
  <c r="W208" i="2"/>
  <c r="W209" i="2"/>
  <c r="KX29" i="4"/>
  <c r="ME28" i="4"/>
  <c r="W267" i="7"/>
  <c r="V268" i="7"/>
  <c r="V94" i="2"/>
  <c r="W93" i="2"/>
  <c r="V157" i="2"/>
  <c r="W156" i="2"/>
  <c r="AH28" i="4"/>
  <c r="AA29" i="4"/>
  <c r="W8" i="2"/>
  <c r="V9" i="2"/>
  <c r="W158" i="7"/>
  <c r="V159" i="7"/>
  <c r="V118" i="2"/>
  <c r="W117" i="2"/>
  <c r="V262" i="7"/>
  <c r="W261" i="7"/>
  <c r="W29" i="7"/>
  <c r="V30" i="7"/>
  <c r="V195" i="7"/>
  <c r="W194" i="7"/>
  <c r="V106" i="2"/>
  <c r="W105" i="2"/>
  <c r="W280" i="7"/>
  <c r="V281" i="7"/>
  <c r="DG217" i="7"/>
  <c r="DG198" i="7"/>
  <c r="H27" i="7"/>
  <c r="W69" i="7"/>
  <c r="V70" i="7"/>
  <c r="V133" i="7"/>
  <c r="W132" i="7"/>
  <c r="W126" i="2"/>
  <c r="W127" i="2"/>
  <c r="W343" i="2"/>
  <c r="V344" i="2"/>
  <c r="W300" i="2"/>
  <c r="V301" i="2"/>
  <c r="V140" i="7"/>
  <c r="W139" i="7"/>
  <c r="W105" i="7"/>
  <c r="V106" i="7"/>
  <c r="V29" i="2"/>
  <c r="W28" i="2"/>
  <c r="V130" i="7"/>
  <c r="W129" i="7"/>
  <c r="V179" i="7"/>
  <c r="W178" i="7"/>
  <c r="W181" i="2"/>
  <c r="V182" i="2"/>
  <c r="W335" i="7"/>
  <c r="V336" i="7"/>
  <c r="V302" i="7"/>
  <c r="W301" i="7"/>
  <c r="W24" i="7"/>
  <c r="V25" i="7"/>
  <c r="W11" i="2"/>
  <c r="V12" i="2"/>
  <c r="V236" i="7"/>
  <c r="W235" i="7"/>
  <c r="V57" i="7"/>
  <c r="W56" i="7"/>
  <c r="W50" i="2"/>
  <c r="V51" i="2"/>
  <c r="W104" i="7"/>
  <c r="W150" i="7"/>
  <c r="V151" i="7"/>
  <c r="W333" i="2"/>
  <c r="V334" i="2"/>
  <c r="V23" i="2"/>
  <c r="W22" i="2"/>
  <c r="V97" i="7"/>
  <c r="W96" i="7"/>
  <c r="V341" i="7"/>
  <c r="W340" i="7"/>
  <c r="W375" i="7"/>
  <c r="V376" i="7"/>
  <c r="V145" i="7"/>
  <c r="W144" i="7"/>
  <c r="W193" i="2"/>
  <c r="V194" i="2"/>
  <c r="V259" i="7"/>
  <c r="W258" i="7"/>
  <c r="V18" i="7"/>
  <c r="W17" i="7"/>
  <c r="W325" i="7"/>
  <c r="V326" i="7"/>
  <c r="W344" i="7"/>
  <c r="V345" i="7"/>
  <c r="W323" i="2"/>
  <c r="V324" i="2"/>
  <c r="V76" i="2"/>
  <c r="W75" i="2"/>
  <c r="V71" i="2"/>
  <c r="W70" i="2"/>
  <c r="W275" i="2"/>
  <c r="V276" i="2"/>
  <c r="W313" i="7"/>
  <c r="V314" i="7"/>
  <c r="V154" i="2"/>
  <c r="W153" i="2"/>
  <c r="NH14" i="4"/>
  <c r="NI12" i="4"/>
  <c r="LR30" i="4"/>
  <c r="MJ29" i="4"/>
  <c r="W196" i="2"/>
  <c r="V197" i="2"/>
  <c r="DM198" i="2"/>
  <c r="DM217" i="2"/>
  <c r="H27" i="2"/>
  <c r="W210" i="7"/>
  <c r="V211" i="7"/>
  <c r="V294" i="7"/>
  <c r="W293" i="7"/>
  <c r="V184" i="7"/>
  <c r="W183" i="7"/>
  <c r="V49" i="7"/>
  <c r="W48" i="7"/>
  <c r="MF27" i="4"/>
  <c r="LB28" i="4"/>
  <c r="W19" i="2"/>
  <c r="W20" i="2"/>
  <c r="W308" i="2"/>
  <c r="V309" i="2"/>
  <c r="V170" i="2"/>
  <c r="W169" i="2"/>
  <c r="V174" i="7"/>
  <c r="W173" i="7"/>
  <c r="V221" i="7"/>
  <c r="W220" i="7"/>
  <c r="W59" i="2"/>
  <c r="V60" i="2"/>
  <c r="W229" i="2"/>
  <c r="V230" i="2"/>
  <c r="V91" i="2"/>
  <c r="W90" i="2"/>
  <c r="W265" i="2"/>
  <c r="V266" i="2"/>
  <c r="W60" i="7"/>
  <c r="V61" i="7"/>
  <c r="V242" i="2"/>
  <c r="W241" i="2"/>
  <c r="W93" i="7"/>
  <c r="V94" i="7"/>
  <c r="V79" i="7"/>
  <c r="W78" i="7"/>
  <c r="LV30" i="4"/>
  <c r="MK29" i="4"/>
  <c r="V162" i="7"/>
  <c r="W161" i="7"/>
  <c r="V33" i="7"/>
  <c r="W32" i="7"/>
  <c r="W187" i="2"/>
  <c r="DI182" i="7"/>
  <c r="DO190" i="7" s="1"/>
  <c r="KT29" i="4"/>
  <c r="MD28" i="4"/>
  <c r="V226" i="7"/>
  <c r="W225" i="7"/>
  <c r="LJ29" i="4"/>
  <c r="MH28" i="4"/>
  <c r="S29" i="4"/>
  <c r="AF28" i="4"/>
  <c r="V120" i="7"/>
  <c r="W119" i="7"/>
  <c r="W238" i="7"/>
  <c r="V239" i="7"/>
  <c r="W123" i="2"/>
  <c r="W124" i="2"/>
  <c r="W170" i="7"/>
  <c r="V171" i="7"/>
  <c r="V137" i="2"/>
  <c r="W136" i="2"/>
  <c r="W188" i="2"/>
  <c r="W189" i="2"/>
  <c r="W291" i="2"/>
  <c r="V292" i="2"/>
  <c r="W192" i="2"/>
  <c r="W29" i="4" l="1"/>
  <c r="AG28" i="4"/>
  <c r="W61" i="7"/>
  <c r="V62" i="7"/>
  <c r="V175" i="7"/>
  <c r="W174" i="7"/>
  <c r="V295" i="7"/>
  <c r="W294" i="7"/>
  <c r="W194" i="2"/>
  <c r="W195" i="2"/>
  <c r="W336" i="7"/>
  <c r="V337" i="7"/>
  <c r="V345" i="2"/>
  <c r="W344" i="2"/>
  <c r="W262" i="7"/>
  <c r="V263" i="7"/>
  <c r="W192" i="7"/>
  <c r="W193" i="7"/>
  <c r="W178" i="2"/>
  <c r="V179" i="2"/>
  <c r="W55" i="2"/>
  <c r="V56" i="2"/>
  <c r="V227" i="7"/>
  <c r="W226" i="7"/>
  <c r="W292" i="2"/>
  <c r="V293" i="2"/>
  <c r="W211" i="7"/>
  <c r="W212" i="7"/>
  <c r="W51" i="2"/>
  <c r="W52" i="2"/>
  <c r="W299" i="7"/>
  <c r="W300" i="7"/>
  <c r="W352" i="7"/>
  <c r="V353" i="7"/>
  <c r="JB29" i="4"/>
  <c r="BM30" i="4"/>
  <c r="JZ29" i="4"/>
  <c r="W225" i="2"/>
  <c r="V226" i="2"/>
  <c r="W35" i="2"/>
  <c r="W36" i="2"/>
  <c r="V269" i="7"/>
  <c r="W268" i="7"/>
  <c r="DO198" i="2"/>
  <c r="DU200" i="2" s="1"/>
  <c r="DO217" i="2"/>
  <c r="DU219" i="2" s="1"/>
  <c r="G28" i="2"/>
  <c r="W71" i="2"/>
  <c r="V72" i="2"/>
  <c r="W182" i="2"/>
  <c r="V183" i="2"/>
  <c r="W118" i="2"/>
  <c r="V119" i="2"/>
  <c r="KX30" i="4"/>
  <c r="ME29" i="4"/>
  <c r="V290" i="7"/>
  <c r="W289" i="7"/>
  <c r="W382" i="7"/>
  <c r="W383" i="7"/>
  <c r="W237" i="2"/>
  <c r="V238" i="2"/>
  <c r="W306" i="7"/>
  <c r="W307" i="7"/>
  <c r="W389" i="7"/>
  <c r="W390" i="7"/>
  <c r="W302" i="7"/>
  <c r="V303" i="7"/>
  <c r="W309" i="2"/>
  <c r="V310" i="2"/>
  <c r="DO220" i="2"/>
  <c r="DU228" i="2" s="1"/>
  <c r="DU218" i="2"/>
  <c r="W145" i="7"/>
  <c r="V146" i="7"/>
  <c r="W159" i="7"/>
  <c r="W160" i="7"/>
  <c r="W392" i="7"/>
  <c r="V393" i="7"/>
  <c r="V76" i="7"/>
  <c r="W75" i="7"/>
  <c r="W249" i="7"/>
  <c r="W250" i="7"/>
  <c r="KT30" i="4"/>
  <c r="MD29" i="4"/>
  <c r="W170" i="2"/>
  <c r="W171" i="2"/>
  <c r="DU199" i="2"/>
  <c r="DO201" i="2"/>
  <c r="DU209" i="2" s="1"/>
  <c r="V77" i="2"/>
  <c r="W76" i="2"/>
  <c r="W376" i="7"/>
  <c r="V377" i="7"/>
  <c r="V58" i="7"/>
  <c r="W57" i="7"/>
  <c r="DI217" i="7"/>
  <c r="DO219" i="7" s="1"/>
  <c r="DI198" i="7"/>
  <c r="DO200" i="7" s="1"/>
  <c r="G28" i="7"/>
  <c r="V90" i="7"/>
  <c r="W89" i="7"/>
  <c r="W322" i="7"/>
  <c r="V323" i="7"/>
  <c r="V66" i="7"/>
  <c r="W65" i="7"/>
  <c r="LN31" i="4"/>
  <c r="MI30" i="4"/>
  <c r="LF30" i="4"/>
  <c r="MG29" i="4"/>
  <c r="MH29" i="4"/>
  <c r="LJ30" i="4"/>
  <c r="W33" i="7"/>
  <c r="V34" i="7"/>
  <c r="W91" i="2"/>
  <c r="W92" i="2"/>
  <c r="W197" i="2"/>
  <c r="W198" i="2"/>
  <c r="W324" i="2"/>
  <c r="V325" i="2"/>
  <c r="V180" i="7"/>
  <c r="W179" i="7"/>
  <c r="V134" i="7"/>
  <c r="W133" i="7"/>
  <c r="DO199" i="7"/>
  <c r="W333" i="7"/>
  <c r="W334" i="7"/>
  <c r="W358" i="7"/>
  <c r="V359" i="7"/>
  <c r="W277" i="7"/>
  <c r="V278" i="7"/>
  <c r="V85" i="7"/>
  <c r="W84" i="7"/>
  <c r="V215" i="2"/>
  <c r="W214" i="2"/>
  <c r="W276" i="2"/>
  <c r="V277" i="2"/>
  <c r="W330" i="7"/>
  <c r="W331" i="7"/>
  <c r="W266" i="2"/>
  <c r="V267" i="2"/>
  <c r="W137" i="2"/>
  <c r="V138" i="2"/>
  <c r="V231" i="2"/>
  <c r="W230" i="2"/>
  <c r="W236" i="7"/>
  <c r="W237" i="7"/>
  <c r="DO218" i="7"/>
  <c r="W230" i="7"/>
  <c r="V231" i="7"/>
  <c r="MC28" i="4"/>
  <c r="KP29" i="4"/>
  <c r="W201" i="2"/>
  <c r="W202" i="2"/>
  <c r="W257" i="2"/>
  <c r="V258" i="2"/>
  <c r="W166" i="7"/>
  <c r="W167" i="7"/>
  <c r="W253" i="2"/>
  <c r="W254" i="2"/>
  <c r="W345" i="7"/>
  <c r="V346" i="7"/>
  <c r="W341" i="7"/>
  <c r="V342" i="7"/>
  <c r="W130" i="7"/>
  <c r="W131" i="7"/>
  <c r="W281" i="7"/>
  <c r="V282" i="7"/>
  <c r="W9" i="2"/>
  <c r="W10" i="2"/>
  <c r="W248" i="2"/>
  <c r="V249" i="2"/>
  <c r="W286" i="2"/>
  <c r="V287" i="2"/>
  <c r="W385" i="7"/>
  <c r="V386" i="7"/>
  <c r="W208" i="7"/>
  <c r="W209" i="7"/>
  <c r="W314" i="2"/>
  <c r="V315" i="2"/>
  <c r="LB29" i="4"/>
  <c r="MF28" i="4"/>
  <c r="MJ30" i="4"/>
  <c r="LR31" i="4"/>
  <c r="V71" i="7"/>
  <c r="W70" i="7"/>
  <c r="W156" i="7"/>
  <c r="W157" i="7"/>
  <c r="V82" i="2"/>
  <c r="W81" i="2"/>
  <c r="W102" i="2"/>
  <c r="W103" i="2"/>
  <c r="V205" i="7"/>
  <c r="W204" i="7"/>
  <c r="W326" i="7"/>
  <c r="V327" i="7"/>
  <c r="W97" i="7"/>
  <c r="V98" i="7"/>
  <c r="V13" i="2"/>
  <c r="W12" i="2"/>
  <c r="W29" i="2"/>
  <c r="V30" i="2"/>
  <c r="AA30" i="4"/>
  <c r="AH29" i="4"/>
  <c r="W214" i="7"/>
  <c r="V215" i="7"/>
  <c r="W252" i="7"/>
  <c r="V253" i="7"/>
  <c r="W164" i="2"/>
  <c r="V165" i="2"/>
  <c r="W369" i="7"/>
  <c r="V370" i="7"/>
  <c r="V206" i="2"/>
  <c r="W205" i="2"/>
  <c r="W259" i="7"/>
  <c r="W260" i="7"/>
  <c r="W106" i="7"/>
  <c r="V107" i="7"/>
  <c r="W106" i="2"/>
  <c r="W107" i="2"/>
  <c r="KA28" i="4"/>
  <c r="BN28" i="4"/>
  <c r="JC28" i="4" s="1"/>
  <c r="W309" i="7"/>
  <c r="V310" i="7"/>
  <c r="W281" i="2"/>
  <c r="V282" i="2"/>
  <c r="V131" i="2"/>
  <c r="W130" i="2"/>
  <c r="W362" i="7"/>
  <c r="V363" i="7"/>
  <c r="W340" i="2"/>
  <c r="V341" i="2"/>
  <c r="V53" i="7"/>
  <c r="W52" i="7"/>
  <c r="W242" i="2"/>
  <c r="V243" i="2"/>
  <c r="W201" i="7"/>
  <c r="W202" i="7"/>
  <c r="W162" i="7"/>
  <c r="V163" i="7"/>
  <c r="W79" i="7"/>
  <c r="V80" i="7"/>
  <c r="V61" i="2"/>
  <c r="W60" i="2"/>
  <c r="W23" i="2"/>
  <c r="V24" i="2"/>
  <c r="V149" i="2"/>
  <c r="W148" i="2"/>
  <c r="V142" i="2"/>
  <c r="W141" i="2"/>
  <c r="V111" i="7"/>
  <c r="W110" i="7"/>
  <c r="W120" i="7"/>
  <c r="V121" i="7"/>
  <c r="W46" i="2"/>
  <c r="V47" i="2"/>
  <c r="AF29" i="4"/>
  <c r="S30" i="4"/>
  <c r="W171" i="7"/>
  <c r="W172" i="7"/>
  <c r="W49" i="7"/>
  <c r="W50" i="7"/>
  <c r="W154" i="2"/>
  <c r="W155" i="2"/>
  <c r="W334" i="2"/>
  <c r="V335" i="2"/>
  <c r="W25" i="7"/>
  <c r="V26" i="7"/>
  <c r="V196" i="7"/>
  <c r="W195" i="7"/>
  <c r="W157" i="2"/>
  <c r="V158" i="2"/>
  <c r="V243" i="7"/>
  <c r="W242" i="7"/>
  <c r="AE29" i="4"/>
  <c r="O30" i="4"/>
  <c r="W127" i="7"/>
  <c r="W128" i="7"/>
  <c r="AD30" i="4"/>
  <c r="K31" i="4"/>
  <c r="LV31" i="4"/>
  <c r="MK30" i="4"/>
  <c r="W239" i="7"/>
  <c r="W240" i="7"/>
  <c r="W94" i="7"/>
  <c r="W95" i="7"/>
  <c r="W314" i="7"/>
  <c r="V315" i="7"/>
  <c r="W18" i="7"/>
  <c r="V19" i="7"/>
  <c r="W140" i="7"/>
  <c r="V141" i="7"/>
  <c r="W30" i="7"/>
  <c r="W31" i="7"/>
  <c r="W11" i="7"/>
  <c r="V12" i="7"/>
  <c r="V175" i="2"/>
  <c r="W174" i="2"/>
  <c r="V87" i="2"/>
  <c r="W86" i="2"/>
  <c r="V113" i="2"/>
  <c r="W112" i="2"/>
  <c r="V222" i="7"/>
  <c r="W221" i="7"/>
  <c r="W184" i="7"/>
  <c r="V185" i="7"/>
  <c r="W151" i="7"/>
  <c r="V152" i="7"/>
  <c r="W301" i="2"/>
  <c r="V302" i="2"/>
  <c r="W94" i="2"/>
  <c r="V95" i="2"/>
  <c r="W189" i="7"/>
  <c r="W190" i="7"/>
  <c r="W42" i="2"/>
  <c r="W43" i="2"/>
  <c r="W38" i="2"/>
  <c r="W39" i="2"/>
  <c r="W117" i="7"/>
  <c r="W118" i="7"/>
  <c r="V44" i="7"/>
  <c r="W43" i="7"/>
  <c r="AG29" i="4" l="1"/>
  <c r="W30" i="4"/>
  <c r="W98" i="7"/>
  <c r="V99" i="7"/>
  <c r="W287" i="2"/>
  <c r="V288" i="2"/>
  <c r="V197" i="7"/>
  <c r="W196" i="7"/>
  <c r="W165" i="2"/>
  <c r="W166" i="2"/>
  <c r="W327" i="7"/>
  <c r="W328" i="7"/>
  <c r="W71" i="7"/>
  <c r="V72" i="7"/>
  <c r="W85" i="7"/>
  <c r="W86" i="7"/>
  <c r="LF31" i="4"/>
  <c r="MG30" i="4"/>
  <c r="CA27" i="7"/>
  <c r="CI28" i="7" s="1"/>
  <c r="H28" i="7"/>
  <c r="CA8" i="7"/>
  <c r="CI9" i="7" s="1"/>
  <c r="V181" i="7"/>
  <c r="W180" i="7"/>
  <c r="W269" i="7"/>
  <c r="V270" i="7"/>
  <c r="W243" i="2"/>
  <c r="V244" i="2"/>
  <c r="MJ31" i="4"/>
  <c r="LR32" i="4"/>
  <c r="V250" i="2"/>
  <c r="W249" i="2"/>
  <c r="W258" i="2"/>
  <c r="V259" i="2"/>
  <c r="W278" i="7"/>
  <c r="W279" i="7"/>
  <c r="KT31" i="4"/>
  <c r="MD30" i="4"/>
  <c r="ME30" i="4"/>
  <c r="KX31" i="4"/>
  <c r="W290" i="7"/>
  <c r="V291" i="7"/>
  <c r="W24" i="2"/>
  <c r="V25" i="2"/>
  <c r="W359" i="7"/>
  <c r="W360" i="7"/>
  <c r="W56" i="2"/>
  <c r="V57" i="2"/>
  <c r="LN32" i="4"/>
  <c r="MI31" i="4"/>
  <c r="W231" i="2"/>
  <c r="V232" i="2"/>
  <c r="V67" i="7"/>
  <c r="W66" i="7"/>
  <c r="W58" i="7"/>
  <c r="W59" i="7"/>
  <c r="W303" i="7"/>
  <c r="W304" i="7"/>
  <c r="W183" i="2"/>
  <c r="W184" i="2"/>
  <c r="W370" i="7"/>
  <c r="V371" i="7"/>
  <c r="W253" i="7"/>
  <c r="V254" i="7"/>
  <c r="W119" i="2"/>
  <c r="V120" i="2"/>
  <c r="V27" i="7"/>
  <c r="W26" i="7"/>
  <c r="V216" i="7"/>
  <c r="W215" i="7"/>
  <c r="AD31" i="4"/>
  <c r="K32" i="4"/>
  <c r="W341" i="2"/>
  <c r="W342" i="2"/>
  <c r="W107" i="7"/>
  <c r="W108" i="7"/>
  <c r="W205" i="7"/>
  <c r="W206" i="7"/>
  <c r="W282" i="7"/>
  <c r="V283" i="7"/>
  <c r="W138" i="2"/>
  <c r="W139" i="2"/>
  <c r="W323" i="7"/>
  <c r="W324" i="7"/>
  <c r="W377" i="7"/>
  <c r="V378" i="7"/>
  <c r="BM31" i="4"/>
  <c r="JZ30" i="4"/>
  <c r="JB30" i="4"/>
  <c r="V186" i="7"/>
  <c r="W185" i="7"/>
  <c r="W226" i="2"/>
  <c r="W227" i="2"/>
  <c r="LV32" i="4"/>
  <c r="MK31" i="4"/>
  <c r="V223" i="7"/>
  <c r="W222" i="7"/>
  <c r="V20" i="7"/>
  <c r="W19" i="7"/>
  <c r="W335" i="2"/>
  <c r="V336" i="2"/>
  <c r="V122" i="7"/>
  <c r="W121" i="7"/>
  <c r="BN29" i="4"/>
  <c r="JC29" i="4" s="1"/>
  <c r="KA29" i="4"/>
  <c r="KP30" i="4"/>
  <c r="MC29" i="4"/>
  <c r="W76" i="7"/>
  <c r="W77" i="7"/>
  <c r="V73" i="2"/>
  <c r="W72" i="2"/>
  <c r="W295" i="7"/>
  <c r="V296" i="7"/>
  <c r="W325" i="2"/>
  <c r="V326" i="2"/>
  <c r="W227" i="7"/>
  <c r="W228" i="7"/>
  <c r="W53" i="7"/>
  <c r="V54" i="7"/>
  <c r="V96" i="2"/>
  <c r="W95" i="2"/>
  <c r="W363" i="7"/>
  <c r="V364" i="7"/>
  <c r="AH30" i="4"/>
  <c r="AA31" i="4"/>
  <c r="W267" i="2"/>
  <c r="V268" i="2"/>
  <c r="DI201" i="7"/>
  <c r="DO209" i="7" s="1"/>
  <c r="W393" i="7"/>
  <c r="V394" i="7"/>
  <c r="W353" i="7"/>
  <c r="V354" i="7"/>
  <c r="W179" i="2"/>
  <c r="W180" i="2"/>
  <c r="V216" i="2"/>
  <c r="W215" i="2"/>
  <c r="W293" i="2"/>
  <c r="V294" i="2"/>
  <c r="V142" i="7"/>
  <c r="W141" i="7"/>
  <c r="W47" i="2"/>
  <c r="W48" i="2"/>
  <c r="LB30" i="4"/>
  <c r="MF29" i="4"/>
  <c r="W231" i="7"/>
  <c r="W232" i="7"/>
  <c r="W90" i="7"/>
  <c r="W91" i="7"/>
  <c r="W77" i="2"/>
  <c r="W78" i="2"/>
  <c r="W175" i="7"/>
  <c r="V176" i="7"/>
  <c r="W149" i="2"/>
  <c r="W150" i="2"/>
  <c r="W82" i="2"/>
  <c r="W83" i="2"/>
  <c r="W315" i="2"/>
  <c r="V316" i="2"/>
  <c r="W342" i="7"/>
  <c r="W343" i="7"/>
  <c r="W62" i="7"/>
  <c r="W63" i="7"/>
  <c r="W87" i="2"/>
  <c r="W88" i="2"/>
  <c r="W111" i="7"/>
  <c r="V112" i="7"/>
  <c r="W61" i="2"/>
  <c r="V62" i="2"/>
  <c r="W131" i="2"/>
  <c r="V132" i="2"/>
  <c r="V31" i="2"/>
  <c r="W30" i="2"/>
  <c r="DI220" i="7"/>
  <c r="DO228" i="7" s="1"/>
  <c r="W34" i="7"/>
  <c r="V35" i="7"/>
  <c r="W238" i="2"/>
  <c r="V239" i="2"/>
  <c r="CC27" i="2"/>
  <c r="CK28" i="2" s="1"/>
  <c r="H28" i="2"/>
  <c r="CC8" i="2"/>
  <c r="CK9" i="2" s="1"/>
  <c r="W315" i="7"/>
  <c r="V316" i="7"/>
  <c r="AE30" i="4"/>
  <c r="O31" i="4"/>
  <c r="W302" i="2"/>
  <c r="V303" i="2"/>
  <c r="V81" i="7"/>
  <c r="W80" i="7"/>
  <c r="W282" i="2"/>
  <c r="W283" i="2"/>
  <c r="W346" i="7"/>
  <c r="V347" i="7"/>
  <c r="W277" i="2"/>
  <c r="V278" i="2"/>
  <c r="W146" i="7"/>
  <c r="V147" i="7"/>
  <c r="V264" i="7"/>
  <c r="W263" i="7"/>
  <c r="W337" i="7"/>
  <c r="V338" i="7"/>
  <c r="W113" i="2"/>
  <c r="V114" i="2"/>
  <c r="W175" i="2"/>
  <c r="W176" i="2"/>
  <c r="V143" i="2"/>
  <c r="W142" i="2"/>
  <c r="V135" i="7"/>
  <c r="W134" i="7"/>
  <c r="LJ31" i="4"/>
  <c r="MH30" i="4"/>
  <c r="W345" i="2"/>
  <c r="V346" i="2"/>
  <c r="AF30" i="4"/>
  <c r="S31" i="4"/>
  <c r="W310" i="2"/>
  <c r="W311" i="2"/>
  <c r="V244" i="7"/>
  <c r="W243" i="7"/>
  <c r="W44" i="7"/>
  <c r="V45" i="7"/>
  <c r="V153" i="7"/>
  <c r="W152" i="7"/>
  <c r="W12" i="7"/>
  <c r="V13" i="7"/>
  <c r="W158" i="2"/>
  <c r="V159" i="2"/>
  <c r="W163" i="7"/>
  <c r="W164" i="7"/>
  <c r="W310" i="7"/>
  <c r="V311" i="7"/>
  <c r="W206" i="2"/>
  <c r="W207" i="2"/>
  <c r="V14" i="2"/>
  <c r="W13" i="2"/>
  <c r="W386" i="7"/>
  <c r="W387" i="7"/>
  <c r="W31" i="4" l="1"/>
  <c r="AG30" i="4"/>
  <c r="V144" i="2"/>
  <c r="W143" i="2"/>
  <c r="W31" i="2"/>
  <c r="V32" i="2"/>
  <c r="W142" i="7"/>
  <c r="W143" i="7"/>
  <c r="W364" i="7"/>
  <c r="W365" i="7"/>
  <c r="LV33" i="4"/>
  <c r="MK32" i="4"/>
  <c r="W371" i="7"/>
  <c r="V372" i="7"/>
  <c r="W57" i="2"/>
  <c r="W58" i="2"/>
  <c r="W311" i="7"/>
  <c r="W312" i="7"/>
  <c r="BN30" i="4"/>
  <c r="JC30" i="4" s="1"/>
  <c r="KA30" i="4"/>
  <c r="W132" i="2"/>
  <c r="V133" i="2"/>
  <c r="W294" i="2"/>
  <c r="V295" i="2"/>
  <c r="W250" i="2"/>
  <c r="W251" i="2"/>
  <c r="W72" i="7"/>
  <c r="W73" i="7"/>
  <c r="MI32" i="4"/>
  <c r="LN33" i="4"/>
  <c r="W62" i="2"/>
  <c r="V63" i="2"/>
  <c r="W176" i="7"/>
  <c r="W177" i="7"/>
  <c r="W96" i="2"/>
  <c r="V97" i="2"/>
  <c r="MC30" i="4"/>
  <c r="KP31" i="4"/>
  <c r="LR33" i="4"/>
  <c r="LR36" i="4" s="1"/>
  <c r="MJ32" i="4"/>
  <c r="W346" i="2"/>
  <c r="V347" i="2"/>
  <c r="W114" i="2"/>
  <c r="W115" i="2"/>
  <c r="V217" i="2"/>
  <c r="W216" i="2"/>
  <c r="W54" i="7"/>
  <c r="W55" i="7"/>
  <c r="W186" i="7"/>
  <c r="W187" i="7"/>
  <c r="W25" i="2"/>
  <c r="W26" i="2"/>
  <c r="W338" i="7"/>
  <c r="W339" i="7"/>
  <c r="W112" i="7"/>
  <c r="W113" i="7"/>
  <c r="W244" i="2"/>
  <c r="W245" i="2"/>
  <c r="S32" i="4"/>
  <c r="AF31" i="4"/>
  <c r="K33" i="4"/>
  <c r="AD32" i="4"/>
  <c r="W291" i="7"/>
  <c r="W292" i="7"/>
  <c r="V317" i="7"/>
  <c r="W316" i="7"/>
  <c r="W354" i="7"/>
  <c r="V355" i="7"/>
  <c r="W122" i="7"/>
  <c r="W123" i="7"/>
  <c r="JB31" i="4"/>
  <c r="BM32" i="4"/>
  <c r="JZ31" i="4"/>
  <c r="W270" i="7"/>
  <c r="V271" i="7"/>
  <c r="W73" i="2"/>
  <c r="W74" i="2"/>
  <c r="W303" i="2"/>
  <c r="V304" i="2"/>
  <c r="V14" i="7"/>
  <c r="W13" i="7"/>
  <c r="V265" i="7"/>
  <c r="W264" i="7"/>
  <c r="G29" i="2"/>
  <c r="CE8" i="2"/>
  <c r="CK10" i="2" s="1"/>
  <c r="CE27" i="2"/>
  <c r="CK29" i="2" s="1"/>
  <c r="W326" i="2"/>
  <c r="V327" i="2"/>
  <c r="V337" i="2"/>
  <c r="W336" i="2"/>
  <c r="W378" i="7"/>
  <c r="V379" i="7"/>
  <c r="W153" i="7"/>
  <c r="W154" i="7"/>
  <c r="W45" i="7"/>
  <c r="V46" i="7"/>
  <c r="W147" i="7"/>
  <c r="V148" i="7"/>
  <c r="W394" i="7"/>
  <c r="V395" i="7"/>
  <c r="W395" i="7" s="1"/>
  <c r="W216" i="7"/>
  <c r="V217" i="7"/>
  <c r="KX32" i="4"/>
  <c r="ME31" i="4"/>
  <c r="V198" i="7"/>
  <c r="W197" i="7"/>
  <c r="W81" i="7"/>
  <c r="W82" i="7"/>
  <c r="W159" i="2"/>
  <c r="V160" i="2"/>
  <c r="AE31" i="4"/>
  <c r="O32" i="4"/>
  <c r="W239" i="2"/>
  <c r="W240" i="2"/>
  <c r="W296" i="7"/>
  <c r="W297" i="7"/>
  <c r="W67" i="7"/>
  <c r="W68" i="7"/>
  <c r="W181" i="7"/>
  <c r="W182" i="7"/>
  <c r="W288" i="2"/>
  <c r="W289" i="2"/>
  <c r="W278" i="2"/>
  <c r="W279" i="2"/>
  <c r="V21" i="7"/>
  <c r="W20" i="7"/>
  <c r="W27" i="7"/>
  <c r="W28" i="7"/>
  <c r="W232" i="2"/>
  <c r="V233" i="2"/>
  <c r="W259" i="2"/>
  <c r="V260" i="2"/>
  <c r="V36" i="7"/>
  <c r="W35" i="7"/>
  <c r="LB31" i="4"/>
  <c r="MF30" i="4"/>
  <c r="W268" i="2"/>
  <c r="V269" i="2"/>
  <c r="W120" i="2"/>
  <c r="W121" i="2"/>
  <c r="KT32" i="4"/>
  <c r="MD31" i="4"/>
  <c r="G29" i="7"/>
  <c r="CC27" i="7"/>
  <c r="CI29" i="7" s="1"/>
  <c r="CC8" i="7"/>
  <c r="CI10" i="7" s="1"/>
  <c r="V100" i="7"/>
  <c r="W99" i="7"/>
  <c r="LF32" i="4"/>
  <c r="MG31" i="4"/>
  <c r="LJ32" i="4"/>
  <c r="MH31" i="4"/>
  <c r="W347" i="7"/>
  <c r="V348" i="7"/>
  <c r="W316" i="2"/>
  <c r="V317" i="2"/>
  <c r="W14" i="2"/>
  <c r="V15" i="2"/>
  <c r="W244" i="7"/>
  <c r="W245" i="7"/>
  <c r="W135" i="7"/>
  <c r="V136" i="7"/>
  <c r="AA32" i="4"/>
  <c r="AH31" i="4"/>
  <c r="W223" i="7"/>
  <c r="W224" i="7"/>
  <c r="W283" i="7"/>
  <c r="V284" i="7"/>
  <c r="W254" i="7"/>
  <c r="V255" i="7"/>
  <c r="W32" i="4" l="1"/>
  <c r="AG31" i="4"/>
  <c r="W317" i="2"/>
  <c r="V318" i="2"/>
  <c r="AT104" i="7"/>
  <c r="AZ105" i="7" s="1"/>
  <c r="AT123" i="7"/>
  <c r="AZ124" i="7" s="1"/>
  <c r="AT85" i="7"/>
  <c r="AZ86" i="7" s="1"/>
  <c r="AT46" i="7"/>
  <c r="AZ47" i="7" s="1"/>
  <c r="AT66" i="7"/>
  <c r="AZ67" i="7" s="1"/>
  <c r="H29" i="7"/>
  <c r="AT27" i="7"/>
  <c r="AZ28" i="7" s="1"/>
  <c r="W198" i="7"/>
  <c r="W199" i="7"/>
  <c r="W265" i="7"/>
  <c r="W266" i="7"/>
  <c r="W233" i="2"/>
  <c r="W234" i="2"/>
  <c r="W355" i="7"/>
  <c r="W356" i="7"/>
  <c r="W372" i="7"/>
  <c r="V373" i="7"/>
  <c r="W284" i="7"/>
  <c r="V285" i="7"/>
  <c r="W217" i="7"/>
  <c r="V218" i="7"/>
  <c r="V15" i="7"/>
  <c r="W14" i="7"/>
  <c r="W317" i="7"/>
  <c r="V318" i="7"/>
  <c r="KX33" i="4"/>
  <c r="ME32" i="4"/>
  <c r="V305" i="2"/>
  <c r="W304" i="2"/>
  <c r="LR37" i="4"/>
  <c r="NF11" i="4"/>
  <c r="MK33" i="4"/>
  <c r="LV36" i="4"/>
  <c r="LJ33" i="4"/>
  <c r="MH32" i="4"/>
  <c r="V22" i="7"/>
  <c r="W21" i="7"/>
  <c r="MD32" i="4"/>
  <c r="KT33" i="4"/>
  <c r="W337" i="2"/>
  <c r="W338" i="2"/>
  <c r="KA31" i="4"/>
  <c r="BN31" i="4"/>
  <c r="JC31" i="4" s="1"/>
  <c r="W327" i="2"/>
  <c r="W328" i="2"/>
  <c r="MC31" i="4"/>
  <c r="KP32" i="4"/>
  <c r="W295" i="2"/>
  <c r="V296" i="2"/>
  <c r="V270" i="2"/>
  <c r="W269" i="2"/>
  <c r="W148" i="7"/>
  <c r="W149" i="7"/>
  <c r="O33" i="4"/>
  <c r="AE32" i="4"/>
  <c r="W271" i="7"/>
  <c r="V272" i="7"/>
  <c r="V98" i="2"/>
  <c r="W97" i="2"/>
  <c r="W133" i="2"/>
  <c r="W134" i="2"/>
  <c r="W379" i="7"/>
  <c r="W380" i="7"/>
  <c r="W32" i="2"/>
  <c r="W33" i="2"/>
  <c r="W347" i="2"/>
  <c r="V348" i="2"/>
  <c r="MF31" i="4"/>
  <c r="LB32" i="4"/>
  <c r="W160" i="2"/>
  <c r="W161" i="2"/>
  <c r="V137" i="7"/>
  <c r="W136" i="7"/>
  <c r="W100" i="7"/>
  <c r="W101" i="7"/>
  <c r="W46" i="7"/>
  <c r="W47" i="7"/>
  <c r="AD33" i="4"/>
  <c r="K34" i="4"/>
  <c r="AH32" i="4"/>
  <c r="AA33" i="4"/>
  <c r="MG32" i="4"/>
  <c r="LF33" i="4"/>
  <c r="W15" i="2"/>
  <c r="V16" i="2"/>
  <c r="JZ32" i="4"/>
  <c r="JB32" i="4"/>
  <c r="BM33" i="4"/>
  <c r="V64" i="2"/>
  <c r="W63" i="2"/>
  <c r="W144" i="2"/>
  <c r="W145" i="2"/>
  <c r="W255" i="7"/>
  <c r="V256" i="7"/>
  <c r="V349" i="7"/>
  <c r="W348" i="7"/>
  <c r="V37" i="7"/>
  <c r="W36" i="7"/>
  <c r="V261" i="2"/>
  <c r="W260" i="2"/>
  <c r="AV104" i="2"/>
  <c r="BB105" i="2" s="1"/>
  <c r="AV123" i="2"/>
  <c r="BB124" i="2" s="1"/>
  <c r="AV46" i="2"/>
  <c r="BB47" i="2" s="1"/>
  <c r="AV66" i="2"/>
  <c r="BB67" i="2" s="1"/>
  <c r="AV85" i="2"/>
  <c r="BB86" i="2" s="1"/>
  <c r="AV27" i="2"/>
  <c r="BB28" i="2" s="1"/>
  <c r="H29" i="2"/>
  <c r="AF32" i="4"/>
  <c r="S33" i="4"/>
  <c r="W217" i="2"/>
  <c r="W218" i="2"/>
  <c r="MI33" i="4"/>
  <c r="LN36" i="4"/>
  <c r="AG32" i="4" l="1"/>
  <c r="W33" i="4"/>
  <c r="KA32" i="4"/>
  <c r="BN32" i="4"/>
  <c r="JC32" i="4" s="1"/>
  <c r="W318" i="7"/>
  <c r="V319" i="7"/>
  <c r="W256" i="7"/>
  <c r="W257" i="7"/>
  <c r="AD34" i="4"/>
  <c r="K35" i="4"/>
  <c r="V297" i="2"/>
  <c r="W296" i="2"/>
  <c r="O34" i="4"/>
  <c r="AE33" i="4"/>
  <c r="KP33" i="4"/>
  <c r="MC32" i="4"/>
  <c r="W22" i="7"/>
  <c r="W23" i="7"/>
  <c r="W15" i="7"/>
  <c r="W16" i="7"/>
  <c r="AA34" i="4"/>
  <c r="AH33" i="4"/>
  <c r="AX104" i="2"/>
  <c r="BB106" i="2" s="1"/>
  <c r="AX123" i="2"/>
  <c r="BB125" i="2" s="1"/>
  <c r="AX66" i="2"/>
  <c r="BB68" i="2" s="1"/>
  <c r="AX85" i="2"/>
  <c r="BB87" i="2" s="1"/>
  <c r="AX27" i="2"/>
  <c r="BB29" i="2" s="1"/>
  <c r="G30" i="2"/>
  <c r="AX46" i="2"/>
  <c r="BB48" i="2" s="1"/>
  <c r="W270" i="2"/>
  <c r="V271" i="2"/>
  <c r="W218" i="7"/>
  <c r="W219" i="7"/>
  <c r="AV66" i="7"/>
  <c r="AZ68" i="7" s="1"/>
  <c r="AV85" i="7"/>
  <c r="AZ87" i="7" s="1"/>
  <c r="AV123" i="7"/>
  <c r="AZ125" i="7" s="1"/>
  <c r="AV104" i="7"/>
  <c r="AZ106" i="7" s="1"/>
  <c r="AV46" i="7"/>
  <c r="AZ48" i="7" s="1"/>
  <c r="AV27" i="7"/>
  <c r="AZ29" i="7" s="1"/>
  <c r="G30" i="7"/>
  <c r="W349" i="7"/>
  <c r="W350" i="7"/>
  <c r="MH33" i="4"/>
  <c r="LJ36" i="4"/>
  <c r="NG11" i="4"/>
  <c r="LV37" i="4"/>
  <c r="V286" i="7"/>
  <c r="W285" i="7"/>
  <c r="ME33" i="4"/>
  <c r="KX36" i="4"/>
  <c r="W64" i="2"/>
  <c r="W65" i="2"/>
  <c r="W373" i="7"/>
  <c r="W374" i="7"/>
  <c r="AF33" i="4"/>
  <c r="S34" i="4"/>
  <c r="BM34" i="4"/>
  <c r="JZ33" i="4"/>
  <c r="JB33" i="4"/>
  <c r="W137" i="7"/>
  <c r="W138" i="7"/>
  <c r="W98" i="2"/>
  <c r="AB124" i="2" s="1"/>
  <c r="AK128" i="2" s="1"/>
  <c r="W99" i="2"/>
  <c r="CU142" i="2" s="1"/>
  <c r="W348" i="2"/>
  <c r="W349" i="2"/>
  <c r="LR38" i="4"/>
  <c r="NF12" i="4"/>
  <c r="W318" i="2"/>
  <c r="V319" i="2"/>
  <c r="V38" i="7"/>
  <c r="W37" i="7"/>
  <c r="W16" i="2"/>
  <c r="W17" i="2"/>
  <c r="W272" i="7"/>
  <c r="V273" i="7"/>
  <c r="LN37" i="4"/>
  <c r="NE11" i="4"/>
  <c r="W261" i="2"/>
  <c r="V262" i="2"/>
  <c r="MG33" i="4"/>
  <c r="LF34" i="4"/>
  <c r="LF36" i="4" s="1"/>
  <c r="LB33" i="4"/>
  <c r="MF32" i="4"/>
  <c r="MD33" i="4"/>
  <c r="KT36" i="4"/>
  <c r="W305" i="2"/>
  <c r="W306" i="2"/>
  <c r="W34" i="4" l="1"/>
  <c r="AG33" i="4"/>
  <c r="CU104" i="2"/>
  <c r="BL143" i="2"/>
  <c r="LJ37" i="4"/>
  <c r="ND11" i="4"/>
  <c r="Z65" i="2"/>
  <c r="AK67" i="2" s="1"/>
  <c r="Z46" i="2"/>
  <c r="AK48" i="2" s="1"/>
  <c r="Z8" i="2"/>
  <c r="AK10" i="2" s="1"/>
  <c r="Z27" i="2"/>
  <c r="AK29" i="2" s="1"/>
  <c r="H30" i="2"/>
  <c r="JZ34" i="4"/>
  <c r="JB34" i="4"/>
  <c r="BM35" i="4"/>
  <c r="O35" i="4"/>
  <c r="AE34" i="4"/>
  <c r="S35" i="4"/>
  <c r="AF34" i="4"/>
  <c r="W286" i="7"/>
  <c r="W287" i="7"/>
  <c r="W319" i="2"/>
  <c r="V320" i="2"/>
  <c r="W297" i="2"/>
  <c r="V298" i="2"/>
  <c r="W38" i="7"/>
  <c r="V39" i="7"/>
  <c r="W271" i="2"/>
  <c r="W272" i="2"/>
  <c r="LV38" i="4"/>
  <c r="NG12" i="4"/>
  <c r="BL124" i="2"/>
  <c r="BL67" i="2"/>
  <c r="CU161" i="2"/>
  <c r="BL86" i="2"/>
  <c r="AB104" i="2"/>
  <c r="AK108" i="2" s="1"/>
  <c r="BL48" i="2"/>
  <c r="BL105" i="2"/>
  <c r="AB85" i="2"/>
  <c r="AK89" i="2" s="1"/>
  <c r="AB143" i="2"/>
  <c r="AK147" i="2" s="1"/>
  <c r="Z65" i="7"/>
  <c r="AI67" i="7" s="1"/>
  <c r="Z46" i="7"/>
  <c r="AI48" i="7" s="1"/>
  <c r="H30" i="7"/>
  <c r="Z27" i="7"/>
  <c r="AI29" i="7" s="1"/>
  <c r="Z8" i="7"/>
  <c r="AI10" i="7" s="1"/>
  <c r="AD35" i="4"/>
  <c r="K36" i="4"/>
  <c r="KT37" i="4"/>
  <c r="MZ11" i="4"/>
  <c r="AH34" i="4"/>
  <c r="AA35" i="4"/>
  <c r="W262" i="2"/>
  <c r="W263" i="2"/>
  <c r="V274" i="7"/>
  <c r="W273" i="7"/>
  <c r="KX37" i="4"/>
  <c r="NA11" i="4"/>
  <c r="W319" i="7"/>
  <c r="W320" i="7"/>
  <c r="MC33" i="4"/>
  <c r="KP36" i="4"/>
  <c r="LN38" i="4"/>
  <c r="NE12" i="4"/>
  <c r="BL9" i="2"/>
  <c r="MF33" i="4"/>
  <c r="LB36" i="4"/>
  <c r="BN33" i="4"/>
  <c r="JC33" i="4" s="1"/>
  <c r="KA33" i="4"/>
  <c r="BL28" i="2"/>
  <c r="LF37" i="4"/>
  <c r="NC11" i="4"/>
  <c r="CU123" i="2"/>
  <c r="W35" i="4" l="1"/>
  <c r="AG34" i="4"/>
  <c r="JZ35" i="4"/>
  <c r="JB35" i="4"/>
  <c r="BM36" i="4"/>
  <c r="NA12" i="4"/>
  <c r="KX38" i="4"/>
  <c r="AB65" i="7"/>
  <c r="AI68" i="7" s="1"/>
  <c r="AB46" i="7"/>
  <c r="AI49" i="7" s="1"/>
  <c r="AB27" i="7"/>
  <c r="AI30" i="7" s="1"/>
  <c r="G31" i="7"/>
  <c r="AB8" i="7"/>
  <c r="AI11" i="7" s="1"/>
  <c r="AE35" i="4"/>
  <c r="O36" i="4"/>
  <c r="LF38" i="4"/>
  <c r="NC12" i="4"/>
  <c r="V40" i="7"/>
  <c r="W39" i="7"/>
  <c r="W298" i="2"/>
  <c r="W299" i="2"/>
  <c r="AB46" i="2"/>
  <c r="AK49" i="2" s="1"/>
  <c r="G31" i="2"/>
  <c r="AB27" i="2"/>
  <c r="AK30" i="2" s="1"/>
  <c r="AB8" i="2"/>
  <c r="AK11" i="2" s="1"/>
  <c r="AB65" i="2"/>
  <c r="AK68" i="2" s="1"/>
  <c r="AA36" i="4"/>
  <c r="AH35" i="4"/>
  <c r="W320" i="2"/>
  <c r="AB9" i="2" s="1"/>
  <c r="W321" i="2"/>
  <c r="AB47" i="2" s="1"/>
  <c r="MZ12" i="4"/>
  <c r="KT38" i="4"/>
  <c r="W274" i="7"/>
  <c r="W275" i="7"/>
  <c r="BN34" i="4"/>
  <c r="JC34" i="4" s="1"/>
  <c r="KA34" i="4"/>
  <c r="K37" i="4"/>
  <c r="AD36" i="4"/>
  <c r="KP37" i="4"/>
  <c r="MY11" i="4"/>
  <c r="ND12" i="4"/>
  <c r="LJ38" i="4"/>
  <c r="LB37" i="4"/>
  <c r="NB11" i="4"/>
  <c r="AF35" i="4"/>
  <c r="S36" i="4"/>
  <c r="AG35" i="4" l="1"/>
  <c r="W36" i="4"/>
  <c r="H31" i="2"/>
  <c r="G32" i="2" s="1"/>
  <c r="H32" i="2" s="1"/>
  <c r="G33" i="2" s="1"/>
  <c r="O37" i="4"/>
  <c r="AE36" i="4"/>
  <c r="BN35" i="4"/>
  <c r="JC35" i="4" s="1"/>
  <c r="KA35" i="4"/>
  <c r="KP38" i="4"/>
  <c r="MY12" i="4"/>
  <c r="LB38" i="4"/>
  <c r="NB12" i="4"/>
  <c r="K38" i="4"/>
  <c r="AD37" i="4"/>
  <c r="AA37" i="4"/>
  <c r="AH36" i="4"/>
  <c r="CU9" i="2"/>
  <c r="DB12" i="2" s="1"/>
  <c r="AB66" i="2"/>
  <c r="CU66" i="2"/>
  <c r="AB28" i="2"/>
  <c r="CU85" i="2"/>
  <c r="CU28" i="2"/>
  <c r="DB31" i="2" s="1"/>
  <c r="H31" i="7"/>
  <c r="G32" i="7" s="1"/>
  <c r="H32" i="7" s="1"/>
  <c r="G33" i="7" s="1"/>
  <c r="CU47" i="2"/>
  <c r="W40" i="7"/>
  <c r="W41" i="7"/>
  <c r="AB66" i="7" s="1"/>
  <c r="JB36" i="4"/>
  <c r="BM37" i="4"/>
  <c r="JZ36" i="4"/>
  <c r="S37" i="4"/>
  <c r="AF36" i="4"/>
  <c r="CS104" i="7" l="1"/>
  <c r="CY107" i="7" s="1"/>
  <c r="AG36" i="4"/>
  <c r="W37" i="4"/>
  <c r="AB124" i="7"/>
  <c r="AB47" i="7"/>
  <c r="CS47" i="7"/>
  <c r="CY50" i="7" s="1"/>
  <c r="AB143" i="7"/>
  <c r="H33" i="7"/>
  <c r="J349" i="7" a="1"/>
  <c r="J349" i="7" s="1"/>
  <c r="J128" i="7" a="1"/>
  <c r="J128" i="7" s="1"/>
  <c r="J375" i="7" a="1"/>
  <c r="J375" i="7" s="1"/>
  <c r="J362" i="7" a="1"/>
  <c r="J362" i="7" s="1"/>
  <c r="J206" i="7" a="1"/>
  <c r="J206" i="7" s="1"/>
  <c r="J371" i="7" a="1"/>
  <c r="J371" i="7" s="1"/>
  <c r="J118" i="7" a="1"/>
  <c r="J118" i="7" s="1"/>
  <c r="J114" i="7" a="1"/>
  <c r="J114" i="7" s="1"/>
  <c r="J208" i="7" a="1"/>
  <c r="J208" i="7" s="1"/>
  <c r="J328" i="7" a="1"/>
  <c r="J328" i="7" s="1"/>
  <c r="J257" i="7" a="1"/>
  <c r="J257" i="7" s="1"/>
  <c r="J255" i="7" a="1"/>
  <c r="J255" i="7" s="1"/>
  <c r="J82" i="7" a="1"/>
  <c r="J82" i="7" s="1"/>
  <c r="J81" i="7" a="1"/>
  <c r="J81" i="7" s="1"/>
  <c r="J47" i="7" a="1"/>
  <c r="J47" i="7" s="1"/>
  <c r="J189" i="7" a="1"/>
  <c r="J189" i="7" s="1"/>
  <c r="J94" i="7" a="1"/>
  <c r="J94" i="7" s="1"/>
  <c r="J58" i="7" a="1"/>
  <c r="J58" i="7" s="1"/>
  <c r="J85" i="7" a="1"/>
  <c r="J85" i="7" s="1"/>
  <c r="J268" i="7" a="1"/>
  <c r="J268" i="7" s="1"/>
  <c r="J129" i="7" a="1"/>
  <c r="J129" i="7" s="1"/>
  <c r="J32" i="7" a="1"/>
  <c r="J32" i="7" s="1"/>
  <c r="J368" i="7" a="1"/>
  <c r="J368" i="7" s="1"/>
  <c r="J259" i="7" a="1"/>
  <c r="J259" i="7" s="1"/>
  <c r="J121" i="7" a="1"/>
  <c r="J121" i="7" s="1"/>
  <c r="J235" i="7" a="1"/>
  <c r="J235" i="7" s="1"/>
  <c r="J15" i="7" a="1"/>
  <c r="J15" i="7" s="1"/>
  <c r="J266" i="7" a="1"/>
  <c r="J266" i="7" s="1"/>
  <c r="J106" i="7" a="1"/>
  <c r="J106" i="7" s="1"/>
  <c r="R106" i="7" s="1"/>
  <c r="J205" i="7" a="1"/>
  <c r="J205" i="7" s="1"/>
  <c r="R205" i="7" s="1"/>
  <c r="J98" i="7" a="1"/>
  <c r="J98" i="7" s="1"/>
  <c r="J318" i="7" a="1"/>
  <c r="J318" i="7" s="1"/>
  <c r="J216" i="7" a="1"/>
  <c r="J216" i="7" s="1"/>
  <c r="J33" i="7" a="1"/>
  <c r="J33" i="7" s="1"/>
  <c r="J100" i="7" a="1"/>
  <c r="J100" i="7" s="1"/>
  <c r="J267" i="7" a="1"/>
  <c r="J267" i="7" s="1"/>
  <c r="R267" i="7" s="1"/>
  <c r="J89" i="7" a="1"/>
  <c r="J89" i="7" s="1"/>
  <c r="J393" i="7" a="1"/>
  <c r="J393" i="7" s="1"/>
  <c r="J319" i="7" a="1"/>
  <c r="J319" i="7" s="1"/>
  <c r="J277" i="7" a="1"/>
  <c r="J277" i="7" s="1"/>
  <c r="J330" i="7" a="1"/>
  <c r="J330" i="7" s="1"/>
  <c r="J297" i="7" a="1"/>
  <c r="J297" i="7" s="1"/>
  <c r="J311" i="7" a="1"/>
  <c r="J311" i="7" s="1"/>
  <c r="R311" i="7" s="1"/>
  <c r="J291" i="7" a="1"/>
  <c r="J291" i="7" s="1"/>
  <c r="R291" i="7" s="1"/>
  <c r="J345" i="7" a="1"/>
  <c r="J345" i="7" s="1"/>
  <c r="R345" i="7" s="1"/>
  <c r="J97" i="7" a="1"/>
  <c r="J97" i="7" s="1"/>
  <c r="J331" i="7" a="1"/>
  <c r="J331" i="7" s="1"/>
  <c r="J37" i="7" a="1"/>
  <c r="J37" i="7" s="1"/>
  <c r="J363" i="7" a="1"/>
  <c r="J363" i="7" s="1"/>
  <c r="J282" i="7" a="1"/>
  <c r="J282" i="7" s="1"/>
  <c r="J286" i="7" a="1"/>
  <c r="J286" i="7" s="1"/>
  <c r="J312" i="7" a="1"/>
  <c r="J312" i="7" s="1"/>
  <c r="J66" i="7" a="1"/>
  <c r="J66" i="7" s="1"/>
  <c r="J376" i="7" a="1"/>
  <c r="J376" i="7" s="1"/>
  <c r="J352" i="7" a="1"/>
  <c r="J352" i="7" s="1"/>
  <c r="J271" i="7" a="1"/>
  <c r="J271" i="7" s="1"/>
  <c r="J250" i="7" a="1"/>
  <c r="J250" i="7" s="1"/>
  <c r="J353" i="7" a="1"/>
  <c r="J353" i="7" s="1"/>
  <c r="J258" i="7" a="1"/>
  <c r="J258" i="7" s="1"/>
  <c r="R258" i="7" s="1"/>
  <c r="J103" i="7" a="1"/>
  <c r="J103" i="7" s="1"/>
  <c r="R103" i="7" s="1"/>
  <c r="J278" i="7" a="1"/>
  <c r="J278" i="7" s="1"/>
  <c r="R278" i="7" s="1"/>
  <c r="J22" i="7" a="1"/>
  <c r="J22" i="7" s="1"/>
  <c r="J272" i="7" a="1"/>
  <c r="J272" i="7" s="1"/>
  <c r="R272" i="7" s="1"/>
  <c r="J102" i="7" a="1"/>
  <c r="J102" i="7" s="1"/>
  <c r="J279" i="7" a="1"/>
  <c r="J279" i="7" s="1"/>
  <c r="J290" i="7" a="1"/>
  <c r="J290" i="7" s="1"/>
  <c r="J322" i="7" a="1"/>
  <c r="J322" i="7" s="1"/>
  <c r="J382" i="7" a="1"/>
  <c r="J382" i="7" s="1"/>
  <c r="J214" i="7" a="1"/>
  <c r="J214" i="7" s="1"/>
  <c r="J26" i="7" a="1"/>
  <c r="J26" i="7" s="1"/>
  <c r="J342" i="7" a="1"/>
  <c r="J342" i="7" s="1"/>
  <c r="J303" i="7" a="1"/>
  <c r="J303" i="7" s="1"/>
  <c r="J104" i="7" a="1"/>
  <c r="J104" i="7" s="1"/>
  <c r="J87" i="7" a="1"/>
  <c r="J87" i="7" s="1"/>
  <c r="J101" i="7" a="1"/>
  <c r="J101" i="7" s="1"/>
  <c r="J43" i="7" a="1"/>
  <c r="J43" i="7" s="1"/>
  <c r="J212" i="7" a="1"/>
  <c r="J212" i="7" s="1"/>
  <c r="J92" i="7" a="1"/>
  <c r="J92" i="7" s="1"/>
  <c r="R92" i="7" s="1"/>
  <c r="J251" i="7" a="1"/>
  <c r="J251" i="7" s="1"/>
  <c r="R251" i="7" s="1"/>
  <c r="J334" i="7" a="1"/>
  <c r="J334" i="7" s="1"/>
  <c r="J8" i="7" a="1"/>
  <c r="J8" i="7" s="1"/>
  <c r="J394" i="7" a="1"/>
  <c r="J394" i="7" s="1"/>
  <c r="J360" i="7" a="1"/>
  <c r="J360" i="7" s="1"/>
  <c r="J46" i="7" a="1"/>
  <c r="J46" i="7" s="1"/>
  <c r="J357" i="7" a="1"/>
  <c r="J357" i="7" s="1"/>
  <c r="J191" i="7" a="1"/>
  <c r="J191" i="7" s="1"/>
  <c r="J60" i="7" a="1"/>
  <c r="J60" i="7" s="1"/>
  <c r="J280" i="7" a="1"/>
  <c r="J280" i="7" s="1"/>
  <c r="J63" i="7" a="1"/>
  <c r="J63" i="7" s="1"/>
  <c r="J263" i="7" a="1"/>
  <c r="J263" i="7" s="1"/>
  <c r="J327" i="7" a="1"/>
  <c r="J327" i="7" s="1"/>
  <c r="R327" i="7" s="1"/>
  <c r="J200" i="7" a="1"/>
  <c r="J200" i="7" s="1"/>
  <c r="J207" i="7" a="1"/>
  <c r="J207" i="7" s="1"/>
  <c r="R207" i="7" s="1"/>
  <c r="J194" i="7" a="1"/>
  <c r="J194" i="7" s="1"/>
  <c r="J350" i="7" a="1"/>
  <c r="J350" i="7" s="1"/>
  <c r="J260" i="7" a="1"/>
  <c r="J260" i="7" s="1"/>
  <c r="J187" i="7" a="1"/>
  <c r="J187" i="7" s="1"/>
  <c r="J237" i="7" a="1"/>
  <c r="J237" i="7" s="1"/>
  <c r="J341" i="7" a="1"/>
  <c r="J341" i="7" s="1"/>
  <c r="R341" i="7" s="1"/>
  <c r="J356" i="7" a="1"/>
  <c r="J356" i="7" s="1"/>
  <c r="J276" i="7" a="1"/>
  <c r="J276" i="7" s="1"/>
  <c r="R276" i="7" s="1"/>
  <c r="J224" i="7" a="1"/>
  <c r="J224" i="7" s="1"/>
  <c r="J246" i="7" a="1"/>
  <c r="J246" i="7" s="1"/>
  <c r="J13" i="7" a="1"/>
  <c r="J13" i="7" s="1"/>
  <c r="J248" i="7" a="1"/>
  <c r="J248" i="7" s="1"/>
  <c r="R248" i="7" s="1"/>
  <c r="J380" i="7" a="1"/>
  <c r="J380" i="7" s="1"/>
  <c r="J91" i="7" a="1"/>
  <c r="J91" i="7" s="1"/>
  <c r="J309" i="7" a="1"/>
  <c r="J309" i="7" s="1"/>
  <c r="J265" i="7" a="1"/>
  <c r="J265" i="7" s="1"/>
  <c r="R265" i="7" s="1"/>
  <c r="J221" i="7" a="1"/>
  <c r="J221" i="7" s="1"/>
  <c r="R221" i="7" s="1"/>
  <c r="J211" i="7" a="1"/>
  <c r="J211" i="7" s="1"/>
  <c r="R211" i="7" s="1"/>
  <c r="J21" i="7" a="1"/>
  <c r="J21" i="7" s="1"/>
  <c r="J348" i="7" a="1"/>
  <c r="J348" i="7" s="1"/>
  <c r="R348" i="7" s="1"/>
  <c r="J61" i="7" a="1"/>
  <c r="J61" i="7" s="1"/>
  <c r="J30" i="7" a="1"/>
  <c r="J30" i="7" s="1"/>
  <c r="J307" i="7" a="1"/>
  <c r="J307" i="7" s="1"/>
  <c r="J38" i="7" a="1"/>
  <c r="J38" i="7" s="1"/>
  <c r="J225" i="7" a="1"/>
  <c r="J225" i="7" s="1"/>
  <c r="J387" i="7" a="1"/>
  <c r="J387" i="7" s="1"/>
  <c r="J300" i="7" a="1"/>
  <c r="J300" i="7" s="1"/>
  <c r="J51" i="7" a="1"/>
  <c r="J51" i="7" s="1"/>
  <c r="J284" i="7" a="1"/>
  <c r="J284" i="7" s="1"/>
  <c r="J16" i="7" a="1"/>
  <c r="J16" i="7" s="1"/>
  <c r="J339" i="7" a="1"/>
  <c r="J339" i="7" s="1"/>
  <c r="J381" i="7" a="1"/>
  <c r="J381" i="7" s="1"/>
  <c r="R381" i="7" s="1"/>
  <c r="J295" i="7" a="1"/>
  <c r="J295" i="7" s="1"/>
  <c r="J294" i="7" a="1"/>
  <c r="J294" i="7" s="1"/>
  <c r="R294" i="7" s="1"/>
  <c r="J193" i="7" a="1"/>
  <c r="J193" i="7" s="1"/>
  <c r="J283" i="7" a="1"/>
  <c r="J283" i="7" s="1"/>
  <c r="J324" i="7" a="1"/>
  <c r="J324" i="7" s="1"/>
  <c r="J93" i="7" a="1"/>
  <c r="J93" i="7" s="1"/>
  <c r="R93" i="7" s="1"/>
  <c r="J227" i="7" a="1"/>
  <c r="J227" i="7" s="1"/>
  <c r="J317" i="7" a="1"/>
  <c r="J317" i="7" s="1"/>
  <c r="R317" i="7" s="1"/>
  <c r="J96" i="7" a="1"/>
  <c r="J96" i="7" s="1"/>
  <c r="J17" i="7" a="1"/>
  <c r="J17" i="7" s="1"/>
  <c r="J292" i="7" a="1"/>
  <c r="J292" i="7" s="1"/>
  <c r="J304" i="7" a="1"/>
  <c r="J304" i="7" s="1"/>
  <c r="J71" i="7" a="1"/>
  <c r="J71" i="7" s="1"/>
  <c r="J301" i="7" a="1"/>
  <c r="J301" i="7" s="1"/>
  <c r="R301" i="7" s="1"/>
  <c r="J336" i="7" a="1"/>
  <c r="J336" i="7" s="1"/>
  <c r="J384" i="7" a="1"/>
  <c r="J384" i="7" s="1"/>
  <c r="R384" i="7" s="1"/>
  <c r="J74" i="7" a="1"/>
  <c r="J74" i="7" s="1"/>
  <c r="J351" i="7" a="1"/>
  <c r="J351" i="7" s="1"/>
  <c r="R351" i="7" s="1"/>
  <c r="J229" i="7" a="1"/>
  <c r="J229" i="7" s="1"/>
  <c r="J202" i="7" a="1"/>
  <c r="J202" i="7" s="1"/>
  <c r="J234" i="7" a="1"/>
  <c r="J234" i="7" s="1"/>
  <c r="J197" i="7" a="1"/>
  <c r="J197" i="7" s="1"/>
  <c r="J192" i="7" a="1"/>
  <c r="J192" i="7" s="1"/>
  <c r="R192" i="7" s="1"/>
  <c r="J24" i="7" a="1"/>
  <c r="J24" i="7" s="1"/>
  <c r="J239" i="7" a="1"/>
  <c r="J239" i="7" s="1"/>
  <c r="J346" i="7" a="1"/>
  <c r="J346" i="7" s="1"/>
  <c r="J249" i="7" a="1"/>
  <c r="J249" i="7" s="1"/>
  <c r="R249" i="7" s="1"/>
  <c r="J370" i="7" a="1"/>
  <c r="J370" i="7" s="1"/>
  <c r="R370" i="7" s="1"/>
  <c r="J69" i="7" a="1"/>
  <c r="J69" i="7" s="1"/>
  <c r="J78" i="7" a="1"/>
  <c r="J78" i="7" s="1"/>
  <c r="J285" i="7" a="1"/>
  <c r="J285" i="7" s="1"/>
  <c r="R285" i="7" s="1"/>
  <c r="J288" i="7" a="1"/>
  <c r="J288" i="7" s="1"/>
  <c r="J261" i="7" a="1"/>
  <c r="J261" i="7" s="1"/>
  <c r="J347" i="7" a="1"/>
  <c r="J347" i="7" s="1"/>
  <c r="R347" i="7" s="1"/>
  <c r="J67" i="7" a="1"/>
  <c r="J67" i="7" s="1"/>
  <c r="J20" i="7" a="1"/>
  <c r="J20" i="7" s="1"/>
  <c r="R20" i="7" s="1"/>
  <c r="J231" i="7" a="1"/>
  <c r="J231" i="7" s="1"/>
  <c r="J373" i="7" a="1"/>
  <c r="J373" i="7" s="1"/>
  <c r="J18" i="7" a="1"/>
  <c r="J18" i="7" s="1"/>
  <c r="J230" i="7" a="1"/>
  <c r="J230" i="7" s="1"/>
  <c r="R230" i="7" s="1"/>
  <c r="J34" i="7" a="1"/>
  <c r="J34" i="7" s="1"/>
  <c r="J49" i="7" a="1"/>
  <c r="J49" i="7" s="1"/>
  <c r="J90" i="7" a="1"/>
  <c r="J90" i="7" s="1"/>
  <c r="J333" i="7" a="1"/>
  <c r="J333" i="7" s="1"/>
  <c r="R333" i="7" s="1"/>
  <c r="J326" i="7" a="1"/>
  <c r="J326" i="7" s="1"/>
  <c r="J59" i="7" a="1"/>
  <c r="J59" i="7" s="1"/>
  <c r="J310" i="7" a="1"/>
  <c r="J310" i="7" s="1"/>
  <c r="R310" i="7" s="1"/>
  <c r="J254" i="7" a="1"/>
  <c r="J254" i="7" s="1"/>
  <c r="R254" i="7" s="1"/>
  <c r="J390" i="7" a="1"/>
  <c r="J390" i="7" s="1"/>
  <c r="J340" i="7" a="1"/>
  <c r="J340" i="7" s="1"/>
  <c r="R340" i="7" s="1"/>
  <c r="J105" i="7" a="1"/>
  <c r="J105" i="7" s="1"/>
  <c r="J196" i="7" a="1"/>
  <c r="J196" i="7" s="1"/>
  <c r="R196" i="7" s="1"/>
  <c r="J314" i="7" a="1"/>
  <c r="J314" i="7" s="1"/>
  <c r="J108" i="7" a="1"/>
  <c r="J108" i="7" s="1"/>
  <c r="J65" i="7" a="1"/>
  <c r="J65" i="7" s="1"/>
  <c r="R65" i="7" s="1"/>
  <c r="J72" i="7" a="1"/>
  <c r="J72" i="7" s="1"/>
  <c r="J391" i="7" a="1"/>
  <c r="J391" i="7" s="1"/>
  <c r="J223" i="7" a="1"/>
  <c r="J223" i="7" s="1"/>
  <c r="R223" i="7" s="1"/>
  <c r="J377" i="7" a="1"/>
  <c r="J377" i="7" s="1"/>
  <c r="J56" i="7" a="1"/>
  <c r="J56" i="7" s="1"/>
  <c r="J269" i="7" a="1"/>
  <c r="J269" i="7" s="1"/>
  <c r="R269" i="7" s="1"/>
  <c r="J25" i="7" a="1"/>
  <c r="J25" i="7" s="1"/>
  <c r="R25" i="7" s="1"/>
  <c r="J219" i="7" a="1"/>
  <c r="J219" i="7" s="1"/>
  <c r="J325" i="7" a="1"/>
  <c r="J325" i="7" s="1"/>
  <c r="R325" i="7" s="1"/>
  <c r="J44" i="7" a="1"/>
  <c r="J44" i="7" s="1"/>
  <c r="J242" i="7" a="1"/>
  <c r="J242" i="7" s="1"/>
  <c r="R242" i="7" s="1"/>
  <c r="J366" i="7" a="1"/>
  <c r="J366" i="7" s="1"/>
  <c r="J39" i="7" a="1"/>
  <c r="J39" i="7" s="1"/>
  <c r="J10" i="7" a="1"/>
  <c r="J10" i="7" s="1"/>
  <c r="J226" i="7" a="1"/>
  <c r="J226" i="7" s="1"/>
  <c r="R226" i="7" s="1"/>
  <c r="J68" i="7" a="1"/>
  <c r="J68" i="7" s="1"/>
  <c r="J302" i="7" a="1"/>
  <c r="J302" i="7" s="1"/>
  <c r="R302" i="7" s="1"/>
  <c r="J222" i="7" a="1"/>
  <c r="J222" i="7" s="1"/>
  <c r="J190" i="7" a="1"/>
  <c r="J190" i="7" s="1"/>
  <c r="J241" i="7" a="1"/>
  <c r="J241" i="7" s="1"/>
  <c r="J372" i="7" a="1"/>
  <c r="J372" i="7" s="1"/>
  <c r="R372" i="7" s="1"/>
  <c r="J335" i="7" a="1"/>
  <c r="J335" i="7" s="1"/>
  <c r="J75" i="7" a="1"/>
  <c r="J75" i="7" s="1"/>
  <c r="J55" i="7" a="1"/>
  <c r="J55" i="7" s="1"/>
  <c r="J395" i="7" a="1"/>
  <c r="J395" i="7" s="1"/>
  <c r="R395" i="7" s="1"/>
  <c r="J73" i="7" a="1"/>
  <c r="J73" i="7" s="1"/>
  <c r="J389" i="7" a="1"/>
  <c r="J389" i="7" s="1"/>
  <c r="R389" i="7" s="1"/>
  <c r="J83" i="7" a="1"/>
  <c r="J83" i="7" s="1"/>
  <c r="J52" i="7" a="1"/>
  <c r="J52" i="7" s="1"/>
  <c r="J48" i="7" a="1"/>
  <c r="J48" i="7" s="1"/>
  <c r="R48" i="7" s="1"/>
  <c r="J281" i="7" a="1"/>
  <c r="J281" i="7" s="1"/>
  <c r="R281" i="7" s="1"/>
  <c r="J338" i="7" a="1"/>
  <c r="J338" i="7" s="1"/>
  <c r="J40" i="7" a="1"/>
  <c r="J40" i="7" s="1"/>
  <c r="J367" i="7" a="1"/>
  <c r="J367" i="7" s="1"/>
  <c r="J385" i="7" a="1"/>
  <c r="J385" i="7" s="1"/>
  <c r="J238" i="7" a="1"/>
  <c r="J238" i="7" s="1"/>
  <c r="R238" i="7" s="1"/>
  <c r="J273" i="7" a="1"/>
  <c r="J273" i="7" s="1"/>
  <c r="R273" i="7" s="1"/>
  <c r="J201" i="7" a="1"/>
  <c r="J201" i="7" s="1"/>
  <c r="R201" i="7" s="1"/>
  <c r="J195" i="7" a="1"/>
  <c r="J195" i="7" s="1"/>
  <c r="R195" i="7" s="1"/>
  <c r="J57" i="7" a="1"/>
  <c r="J57" i="7" s="1"/>
  <c r="R57" i="7" s="1"/>
  <c r="J220" i="7" a="1"/>
  <c r="J220" i="7" s="1"/>
  <c r="R220" i="7" s="1"/>
  <c r="J228" i="7" a="1"/>
  <c r="J228" i="7" s="1"/>
  <c r="J218" i="7" a="1"/>
  <c r="J218" i="7" s="1"/>
  <c r="R218" i="7" s="1"/>
  <c r="J107" i="7" a="1"/>
  <c r="J107" i="7" s="1"/>
  <c r="J80" i="7" a="1"/>
  <c r="J80" i="7" s="1"/>
  <c r="R80" i="7" s="1"/>
  <c r="J379" i="7" a="1"/>
  <c r="J379" i="7" s="1"/>
  <c r="R379" i="7" s="1"/>
  <c r="J236" i="7" a="1"/>
  <c r="J236" i="7" s="1"/>
  <c r="R236" i="7" s="1"/>
  <c r="J209" i="7" a="1"/>
  <c r="J209" i="7" s="1"/>
  <c r="J386" i="7" a="1"/>
  <c r="J386" i="7" s="1"/>
  <c r="R386" i="7" s="1"/>
  <c r="J329" i="7" a="1"/>
  <c r="J329" i="7" s="1"/>
  <c r="R329" i="7" s="1"/>
  <c r="J240" i="7" a="1"/>
  <c r="J240" i="7" s="1"/>
  <c r="J252" i="7" a="1"/>
  <c r="J252" i="7" s="1"/>
  <c r="J70" i="7" a="1"/>
  <c r="J70" i="7" s="1"/>
  <c r="R70" i="7" s="1"/>
  <c r="J54" i="7" a="1"/>
  <c r="J54" i="7" s="1"/>
  <c r="J275" i="7" a="1"/>
  <c r="J275" i="7" s="1"/>
  <c r="J84" i="7" a="1"/>
  <c r="J84" i="7" s="1"/>
  <c r="R84" i="7" s="1"/>
  <c r="J361" i="7" a="1"/>
  <c r="J361" i="7" s="1"/>
  <c r="R361" i="7" s="1"/>
  <c r="J305" i="7" a="1"/>
  <c r="J305" i="7" s="1"/>
  <c r="R305" i="7" s="1"/>
  <c r="J243" i="7" a="1"/>
  <c r="J243" i="7" s="1"/>
  <c r="J270" i="7" a="1"/>
  <c r="J270" i="7" s="1"/>
  <c r="R270" i="7" s="1"/>
  <c r="J332" i="7" a="1"/>
  <c r="J332" i="7" s="1"/>
  <c r="R332" i="7" s="1"/>
  <c r="J64" i="7" a="1"/>
  <c r="J64" i="7" s="1"/>
  <c r="R64" i="7" s="1"/>
  <c r="J274" i="7" a="1"/>
  <c r="J274" i="7" s="1"/>
  <c r="J88" i="7" a="1"/>
  <c r="J88" i="7" s="1"/>
  <c r="R88" i="7" s="1"/>
  <c r="J296" i="7" a="1"/>
  <c r="J296" i="7" s="1"/>
  <c r="R296" i="7" s="1"/>
  <c r="J320" i="7" a="1"/>
  <c r="J320" i="7" s="1"/>
  <c r="J343" i="7" a="1"/>
  <c r="J343" i="7" s="1"/>
  <c r="J29" i="7" a="1"/>
  <c r="J29" i="7" s="1"/>
  <c r="R29" i="7" s="1"/>
  <c r="J35" i="7" a="1"/>
  <c r="J35" i="7" s="1"/>
  <c r="J256" i="7" a="1"/>
  <c r="J256" i="7" s="1"/>
  <c r="R256" i="7" s="1"/>
  <c r="J365" i="7" a="1"/>
  <c r="J365" i="7" s="1"/>
  <c r="J19" i="7" a="1"/>
  <c r="J19" i="7" s="1"/>
  <c r="R19" i="7" s="1"/>
  <c r="J359" i="7" a="1"/>
  <c r="J359" i="7" s="1"/>
  <c r="R359" i="7" s="1"/>
  <c r="J41" i="7" a="1"/>
  <c r="J41" i="7" s="1"/>
  <c r="J217" i="7" a="1"/>
  <c r="J217" i="7" s="1"/>
  <c r="R217" i="7" s="1"/>
  <c r="J392" i="7" a="1"/>
  <c r="J392" i="7" s="1"/>
  <c r="R392" i="7" s="1"/>
  <c r="J299" i="7" a="1"/>
  <c r="J299" i="7" s="1"/>
  <c r="R299" i="7" s="1"/>
  <c r="J315" i="7" a="1"/>
  <c r="J315" i="7" s="1"/>
  <c r="R315" i="7" s="1"/>
  <c r="J198" i="7" a="1"/>
  <c r="J198" i="7" s="1"/>
  <c r="J95" i="7" a="1"/>
  <c r="J95" i="7" s="1"/>
  <c r="J323" i="7" a="1"/>
  <c r="J323" i="7" s="1"/>
  <c r="R323" i="7" s="1"/>
  <c r="J306" i="7" a="1"/>
  <c r="J306" i="7" s="1"/>
  <c r="R306" i="7" s="1"/>
  <c r="J233" i="7" a="1"/>
  <c r="J233" i="7" s="1"/>
  <c r="R233" i="7" s="1"/>
  <c r="J210" i="7" a="1"/>
  <c r="J210" i="7" s="1"/>
  <c r="J45" i="7" a="1"/>
  <c r="J45" i="7" s="1"/>
  <c r="R45" i="7" s="1"/>
  <c r="J36" i="7" a="1"/>
  <c r="J36" i="7" s="1"/>
  <c r="R36" i="7" s="1"/>
  <c r="J42" i="7" a="1"/>
  <c r="J42" i="7" s="1"/>
  <c r="R42" i="7" s="1"/>
  <c r="J354" i="7" a="1"/>
  <c r="J354" i="7" s="1"/>
  <c r="J50" i="7" a="1"/>
  <c r="J50" i="7" s="1"/>
  <c r="J358" i="7" a="1"/>
  <c r="J358" i="7" s="1"/>
  <c r="J245" i="7" a="1"/>
  <c r="J245" i="7" s="1"/>
  <c r="J316" i="7" a="1"/>
  <c r="J316" i="7" s="1"/>
  <c r="R316" i="7" s="1"/>
  <c r="J77" i="7" a="1"/>
  <c r="J77" i="7" s="1"/>
  <c r="J264" i="7" a="1"/>
  <c r="J264" i="7" s="1"/>
  <c r="J62" i="7" a="1"/>
  <c r="J62" i="7" s="1"/>
  <c r="R62" i="7" s="1"/>
  <c r="J215" i="7" a="1"/>
  <c r="J215" i="7" s="1"/>
  <c r="R215" i="7" s="1"/>
  <c r="J383" i="7" a="1"/>
  <c r="J383" i="7" s="1"/>
  <c r="J11" i="7" a="1"/>
  <c r="J11" i="7" s="1"/>
  <c r="J14" i="7" a="1"/>
  <c r="J14" i="7" s="1"/>
  <c r="R14" i="7" s="1"/>
  <c r="J5" i="7" a="1"/>
  <c r="J5" i="7" s="1"/>
  <c r="J7" i="7" a="1"/>
  <c r="J7" i="7" s="1"/>
  <c r="R7" i="7" s="1"/>
  <c r="J9" i="7" a="1"/>
  <c r="J9" i="7" s="1"/>
  <c r="J27" i="7" a="1"/>
  <c r="J27" i="7" s="1"/>
  <c r="J12" i="7" a="1"/>
  <c r="J12" i="7" s="1"/>
  <c r="R12" i="7" s="1"/>
  <c r="J164" i="7" a="1"/>
  <c r="J164" i="7" s="1"/>
  <c r="J153" i="7" a="1"/>
  <c r="J153" i="7" s="1"/>
  <c r="J172" i="7" a="1"/>
  <c r="J172" i="7" s="1"/>
  <c r="J139" i="7" a="1"/>
  <c r="J139" i="7" s="1"/>
  <c r="KA36" i="4"/>
  <c r="BN36" i="4"/>
  <c r="JC36" i="4" s="1"/>
  <c r="AH37" i="4"/>
  <c r="AA38" i="4"/>
  <c r="K39" i="4"/>
  <c r="AD38" i="4"/>
  <c r="CS123" i="7"/>
  <c r="CY126" i="7" s="1"/>
  <c r="AB85" i="7"/>
  <c r="H33" i="2"/>
  <c r="J21" i="2" s="1" a="1"/>
  <c r="J21" i="2" s="1"/>
  <c r="J62" i="2" a="1"/>
  <c r="J62" i="2" s="1"/>
  <c r="J120" i="2" a="1"/>
  <c r="J120" i="2" s="1"/>
  <c r="J76" i="2" a="1"/>
  <c r="J76" i="2" s="1"/>
  <c r="J307" i="2" a="1"/>
  <c r="J307" i="2" s="1"/>
  <c r="J230" i="2" a="1"/>
  <c r="J230" i="2" s="1"/>
  <c r="J27" i="2" a="1"/>
  <c r="J27" i="2" s="1"/>
  <c r="J254" i="2" a="1"/>
  <c r="J254" i="2" s="1"/>
  <c r="J63" i="2" a="1"/>
  <c r="J63" i="2" s="1"/>
  <c r="J274" i="2" a="1"/>
  <c r="J274" i="2" s="1"/>
  <c r="J101" i="2" a="1"/>
  <c r="J101" i="2" s="1"/>
  <c r="J253" i="2" a="1"/>
  <c r="J253" i="2" s="1"/>
  <c r="J333" i="2" a="1"/>
  <c r="J333" i="2" s="1"/>
  <c r="J386" i="2" a="1"/>
  <c r="J386" i="2" s="1"/>
  <c r="J97" i="2" a="1"/>
  <c r="J97" i="2" s="1"/>
  <c r="J354" i="2" a="1"/>
  <c r="J354" i="2" s="1"/>
  <c r="J374" i="2" a="1"/>
  <c r="J374" i="2" s="1"/>
  <c r="J269" i="2" a="1"/>
  <c r="J269" i="2" s="1"/>
  <c r="J379" i="2" a="1"/>
  <c r="J379" i="2" s="1"/>
  <c r="J395" i="2" a="1"/>
  <c r="J395" i="2" s="1"/>
  <c r="J39" i="2" a="1"/>
  <c r="J39" i="2" s="1"/>
  <c r="J42" i="2" a="1"/>
  <c r="J42" i="2" s="1"/>
  <c r="J267" i="2" a="1"/>
  <c r="J267" i="2" s="1"/>
  <c r="J365" i="2" a="1"/>
  <c r="J365" i="2" s="1"/>
  <c r="J382" i="2" a="1"/>
  <c r="J382" i="2" s="1"/>
  <c r="J327" i="2" a="1"/>
  <c r="J327" i="2" s="1"/>
  <c r="J348" i="2" a="1"/>
  <c r="J348" i="2" s="1"/>
  <c r="J14" i="2" a="1"/>
  <c r="J14" i="2" s="1"/>
  <c r="J80" i="2" a="1"/>
  <c r="J80" i="2" s="1"/>
  <c r="J19" i="2" a="1"/>
  <c r="J19" i="2" s="1"/>
  <c r="J72" i="2" a="1"/>
  <c r="J72" i="2" s="1"/>
  <c r="J207" i="2" a="1"/>
  <c r="J207" i="2" s="1"/>
  <c r="J15" i="2" a="1"/>
  <c r="J15" i="2" s="1"/>
  <c r="J373" i="2" a="1"/>
  <c r="J373" i="2" s="1"/>
  <c r="J37" i="2" a="1"/>
  <c r="J37" i="2" s="1"/>
  <c r="J287" i="2" a="1"/>
  <c r="J287" i="2" s="1"/>
  <c r="R287" i="2" s="1"/>
  <c r="J377" i="2" a="1"/>
  <c r="J377" i="2" s="1"/>
  <c r="J316" i="2" a="1"/>
  <c r="J316" i="2" s="1"/>
  <c r="J286" i="2" a="1"/>
  <c r="J286" i="2" s="1"/>
  <c r="J331" i="2" a="1"/>
  <c r="J331" i="2" s="1"/>
  <c r="J344" i="2" a="1"/>
  <c r="J344" i="2" s="1"/>
  <c r="J312" i="2" a="1"/>
  <c r="J312" i="2" s="1"/>
  <c r="J57" i="2" a="1"/>
  <c r="J57" i="2" s="1"/>
  <c r="J58" i="2" a="1"/>
  <c r="J58" i="2" s="1"/>
  <c r="J26" i="2" a="1"/>
  <c r="J26" i="2" s="1"/>
  <c r="J319" i="2" a="1"/>
  <c r="J319" i="2" s="1"/>
  <c r="J280" i="2" a="1"/>
  <c r="J280" i="2" s="1"/>
  <c r="J248" i="2" a="1"/>
  <c r="J248" i="2" s="1"/>
  <c r="J341" i="2" a="1"/>
  <c r="J341" i="2" s="1"/>
  <c r="J389" i="2" a="1"/>
  <c r="J389" i="2" s="1"/>
  <c r="J201" i="2" a="1"/>
  <c r="J201" i="2" s="1"/>
  <c r="R201" i="2" s="1"/>
  <c r="J36" i="2" a="1"/>
  <c r="J36" i="2" s="1"/>
  <c r="J394" i="2" a="1"/>
  <c r="J394" i="2" s="1"/>
  <c r="J324" i="2" a="1"/>
  <c r="J324" i="2" s="1"/>
  <c r="J18" i="2" a="1"/>
  <c r="J18" i="2" s="1"/>
  <c r="R18" i="2" s="1"/>
  <c r="J275" i="2" a="1"/>
  <c r="J275" i="2" s="1"/>
  <c r="J288" i="2" a="1"/>
  <c r="J288" i="2" s="1"/>
  <c r="J20" i="2" a="1"/>
  <c r="J20" i="2" s="1"/>
  <c r="J202" i="2" a="1"/>
  <c r="J202" i="2" s="1"/>
  <c r="J30" i="2" a="1"/>
  <c r="J30" i="2" s="1"/>
  <c r="J284" i="2" a="1"/>
  <c r="J284" i="2" s="1"/>
  <c r="J249" i="2" a="1"/>
  <c r="J249" i="2" s="1"/>
  <c r="J292" i="2" a="1"/>
  <c r="J292" i="2" s="1"/>
  <c r="J205" i="2" a="1"/>
  <c r="J205" i="2" s="1"/>
  <c r="J226" i="2" a="1"/>
  <c r="J226" i="2" s="1"/>
  <c r="J44" i="2" a="1"/>
  <c r="J44" i="2" s="1"/>
  <c r="J246" i="2" a="1"/>
  <c r="J246" i="2" s="1"/>
  <c r="J218" i="2" a="1"/>
  <c r="J218" i="2" s="1"/>
  <c r="J96" i="2" a="1"/>
  <c r="J96" i="2" s="1"/>
  <c r="R96" i="2" s="1"/>
  <c r="J206" i="2" a="1"/>
  <c r="J206" i="2" s="1"/>
  <c r="J251" i="2" a="1"/>
  <c r="J251" i="2" s="1"/>
  <c r="J43" i="2" a="1"/>
  <c r="J43" i="2" s="1"/>
  <c r="J10" i="2" a="1"/>
  <c r="J10" i="2" s="1"/>
  <c r="J185" i="2" a="1"/>
  <c r="J185" i="2" s="1"/>
  <c r="J116" i="2" a="1"/>
  <c r="J116" i="2" s="1"/>
  <c r="J122" i="2" a="1"/>
  <c r="J122" i="2" s="1"/>
  <c r="J132" i="2" a="1"/>
  <c r="J132" i="2" s="1"/>
  <c r="J126" i="2" a="1"/>
  <c r="J126" i="2" s="1"/>
  <c r="J129" i="2" a="1"/>
  <c r="J129" i="2" s="1"/>
  <c r="J109" i="2" a="1"/>
  <c r="J109" i="2" s="1"/>
  <c r="J141" i="2" a="1"/>
  <c r="J141" i="2" s="1"/>
  <c r="R141" i="2" s="1"/>
  <c r="J136" i="2" a="1"/>
  <c r="J136" i="2" s="1"/>
  <c r="J174" i="2" a="1"/>
  <c r="J174" i="2" s="1"/>
  <c r="J184" i="2" a="1"/>
  <c r="J184" i="2" s="1"/>
  <c r="J171" i="2" a="1"/>
  <c r="J171" i="2" s="1"/>
  <c r="J167" i="2" a="1"/>
  <c r="J167" i="2" s="1"/>
  <c r="J139" i="2" a="1"/>
  <c r="J139" i="2" s="1"/>
  <c r="J142" i="2" a="1"/>
  <c r="J142" i="2" s="1"/>
  <c r="J156" i="2" a="1"/>
  <c r="J156" i="2" s="1"/>
  <c r="AB28" i="7"/>
  <c r="S38" i="4"/>
  <c r="AF37" i="4"/>
  <c r="JZ37" i="4"/>
  <c r="JB37" i="4"/>
  <c r="BM38" i="4"/>
  <c r="BJ143" i="7"/>
  <c r="AB104" i="7"/>
  <c r="CS66" i="7"/>
  <c r="CY69" i="7" s="1"/>
  <c r="BJ9" i="7"/>
  <c r="BJ124" i="7"/>
  <c r="BJ105" i="7"/>
  <c r="CS28" i="7"/>
  <c r="CY31" i="7" s="1"/>
  <c r="CS85" i="7"/>
  <c r="CY88" i="7" s="1"/>
  <c r="BJ48" i="7"/>
  <c r="O38" i="4"/>
  <c r="AE37" i="4"/>
  <c r="J182" i="2" a="1"/>
  <c r="J182" i="2" s="1"/>
  <c r="CS9" i="7"/>
  <c r="CY12" i="7" s="1"/>
  <c r="CS142" i="7"/>
  <c r="CY145" i="7" s="1"/>
  <c r="AB9" i="7"/>
  <c r="BJ28" i="7"/>
  <c r="BJ67" i="7"/>
  <c r="BJ86" i="7"/>
  <c r="W38" i="4" l="1"/>
  <c r="AG37" i="4"/>
  <c r="R47" i="7"/>
  <c r="S47" i="7"/>
  <c r="S109" i="2"/>
  <c r="R43" i="2"/>
  <c r="S43" i="2"/>
  <c r="R205" i="2"/>
  <c r="S26" i="2"/>
  <c r="R26" i="2"/>
  <c r="J189" i="2" a="1"/>
  <c r="J189" i="2" s="1"/>
  <c r="J297" i="2" a="1"/>
  <c r="J297" i="2" s="1"/>
  <c r="J195" i="2" a="1"/>
  <c r="J195" i="2" s="1"/>
  <c r="J234" i="2" a="1"/>
  <c r="J234" i="2" s="1"/>
  <c r="J334" i="2" a="1"/>
  <c r="J334" i="2" s="1"/>
  <c r="J392" i="2" a="1"/>
  <c r="J392" i="2" s="1"/>
  <c r="J92" i="2" a="1"/>
  <c r="J92" i="2" s="1"/>
  <c r="J282" i="2" a="1"/>
  <c r="J282" i="2" s="1"/>
  <c r="J309" i="2" a="1"/>
  <c r="J309" i="2" s="1"/>
  <c r="J273" i="2" a="1"/>
  <c r="J273" i="2" s="1"/>
  <c r="R273" i="2" s="1"/>
  <c r="J127" i="2" a="1"/>
  <c r="J127" i="2" s="1"/>
  <c r="R358" i="7"/>
  <c r="S41" i="7"/>
  <c r="R41" i="7"/>
  <c r="R228" i="7"/>
  <c r="S228" i="7"/>
  <c r="S73" i="7"/>
  <c r="R73" i="7"/>
  <c r="R44" i="7"/>
  <c r="S390" i="7"/>
  <c r="R390" i="7"/>
  <c r="R74" i="7"/>
  <c r="R295" i="7"/>
  <c r="R194" i="7"/>
  <c r="R97" i="7"/>
  <c r="R81" i="7"/>
  <c r="O39" i="4"/>
  <c r="AE38" i="4"/>
  <c r="R382" i="2"/>
  <c r="S251" i="2"/>
  <c r="R253" i="2"/>
  <c r="J197" i="2" a="1"/>
  <c r="J197" i="2" s="1"/>
  <c r="J192" i="2" a="1"/>
  <c r="J192" i="2" s="1"/>
  <c r="S55" i="7"/>
  <c r="R55" i="7"/>
  <c r="S219" i="7"/>
  <c r="R219" i="7"/>
  <c r="R336" i="7"/>
  <c r="S339" i="7"/>
  <c r="R339" i="7"/>
  <c r="R309" i="7"/>
  <c r="R200" i="7"/>
  <c r="R43" i="7"/>
  <c r="S266" i="7"/>
  <c r="R266" i="7"/>
  <c r="R255" i="7"/>
  <c r="S50" i="7"/>
  <c r="R50" i="7"/>
  <c r="S212" i="7"/>
  <c r="R286" i="2"/>
  <c r="R312" i="2"/>
  <c r="S274" i="2"/>
  <c r="R274" i="2"/>
  <c r="J5" i="2" a="1"/>
  <c r="J5" i="2" s="1"/>
  <c r="J245" i="2" a="1"/>
  <c r="J245" i="2" s="1"/>
  <c r="J375" i="2" a="1"/>
  <c r="J375" i="2" s="1"/>
  <c r="J235" i="2" a="1"/>
  <c r="J235" i="2" s="1"/>
  <c r="J308" i="2" a="1"/>
  <c r="J308" i="2" s="1"/>
  <c r="R308" i="2" s="1"/>
  <c r="J29" i="2" a="1"/>
  <c r="J29" i="2" s="1"/>
  <c r="R29" i="2" s="1"/>
  <c r="J317" i="2" a="1"/>
  <c r="J317" i="2" s="1"/>
  <c r="J47" i="2" a="1"/>
  <c r="J47" i="2" s="1"/>
  <c r="J285" i="2" a="1"/>
  <c r="J285" i="2" s="1"/>
  <c r="R285" i="2" s="1"/>
  <c r="J315" i="2" a="1"/>
  <c r="J315" i="2" s="1"/>
  <c r="R315" i="2" s="1"/>
  <c r="J193" i="2" a="1"/>
  <c r="J193" i="2" s="1"/>
  <c r="R193" i="2" s="1"/>
  <c r="J351" i="2" a="1"/>
  <c r="J351" i="2" s="1"/>
  <c r="J371" i="2" a="1"/>
  <c r="J371" i="2" s="1"/>
  <c r="R371" i="2" s="1"/>
  <c r="J46" i="2" a="1"/>
  <c r="J46" i="2" s="1"/>
  <c r="J188" i="2" a="1"/>
  <c r="J188" i="2" s="1"/>
  <c r="J321" i="2" a="1"/>
  <c r="J321" i="2" s="1"/>
  <c r="J6" i="2" a="1"/>
  <c r="J6" i="2" s="1"/>
  <c r="J295" i="2" a="1"/>
  <c r="J295" i="2" s="1"/>
  <c r="J350" i="2" a="1"/>
  <c r="J350" i="2" s="1"/>
  <c r="J8" i="2" a="1"/>
  <c r="J8" i="2" s="1"/>
  <c r="J383" i="2" a="1"/>
  <c r="J383" i="2" s="1"/>
  <c r="J229" i="2" a="1"/>
  <c r="J229" i="2" s="1"/>
  <c r="R229" i="2" s="1"/>
  <c r="J227" i="2" a="1"/>
  <c r="J227" i="2" s="1"/>
  <c r="J86" i="2" a="1"/>
  <c r="J86" i="2" s="1"/>
  <c r="J194" i="2" a="1"/>
  <c r="J194" i="2" s="1"/>
  <c r="R194" i="2" s="1"/>
  <c r="J330" i="2" a="1"/>
  <c r="J330" i="2" s="1"/>
  <c r="J54" i="2" a="1"/>
  <c r="J54" i="2" s="1"/>
  <c r="J95" i="2" a="1"/>
  <c r="J95" i="2" s="1"/>
  <c r="R95" i="2" s="1"/>
  <c r="J74" i="2" a="1"/>
  <c r="J74" i="2" s="1"/>
  <c r="J99" i="2" a="1"/>
  <c r="J99" i="2" s="1"/>
  <c r="J225" i="2" a="1"/>
  <c r="J225" i="2" s="1"/>
  <c r="R225" i="2" s="1"/>
  <c r="J265" i="2" a="1"/>
  <c r="J265" i="2" s="1"/>
  <c r="J346" i="2" a="1"/>
  <c r="J346" i="2" s="1"/>
  <c r="J69" i="2" a="1"/>
  <c r="J69" i="2" s="1"/>
  <c r="J376" i="2" a="1"/>
  <c r="J376" i="2" s="1"/>
  <c r="R376" i="2" s="1"/>
  <c r="J355" i="2" a="1"/>
  <c r="J355" i="2" s="1"/>
  <c r="J66" i="2" a="1"/>
  <c r="J66" i="2" s="1"/>
  <c r="J59" i="2" a="1"/>
  <c r="J59" i="2" s="1"/>
  <c r="J385" i="2" a="1"/>
  <c r="J385" i="2" s="1"/>
  <c r="R385" i="2" s="1"/>
  <c r="J212" i="2" a="1"/>
  <c r="J212" i="2" s="1"/>
  <c r="J53" i="2" a="1"/>
  <c r="J53" i="2" s="1"/>
  <c r="J222" i="2" a="1"/>
  <c r="J222" i="2" s="1"/>
  <c r="J259" i="2" a="1"/>
  <c r="J259" i="2" s="1"/>
  <c r="J356" i="2" a="1"/>
  <c r="J356" i="2" s="1"/>
  <c r="R356" i="2" s="1"/>
  <c r="J108" i="2" a="1"/>
  <c r="J108" i="2" s="1"/>
  <c r="R108" i="2" s="1"/>
  <c r="J305" i="2" a="1"/>
  <c r="J305" i="2" s="1"/>
  <c r="J88" i="2" a="1"/>
  <c r="J88" i="2" s="1"/>
  <c r="J73" i="2" a="1"/>
  <c r="J73" i="2" s="1"/>
  <c r="J75" i="2" a="1"/>
  <c r="J75" i="2" s="1"/>
  <c r="R75" i="2" s="1"/>
  <c r="J310" i="2" a="1"/>
  <c r="J310" i="2" s="1"/>
  <c r="J380" i="2" a="1"/>
  <c r="J380" i="2" s="1"/>
  <c r="J32" i="2" a="1"/>
  <c r="J32" i="2" s="1"/>
  <c r="J40" i="2" a="1"/>
  <c r="J40" i="2" s="1"/>
  <c r="J81" i="2" a="1"/>
  <c r="J81" i="2" s="1"/>
  <c r="J276" i="2" a="1"/>
  <c r="J276" i="2" s="1"/>
  <c r="R276" i="2" s="1"/>
  <c r="J17" i="2" a="1"/>
  <c r="J17" i="2" s="1"/>
  <c r="J70" i="2" a="1"/>
  <c r="J70" i="2" s="1"/>
  <c r="J190" i="2" a="1"/>
  <c r="J190" i="2" s="1"/>
  <c r="J241" i="2" a="1"/>
  <c r="J241" i="2" s="1"/>
  <c r="J313" i="2" a="1"/>
  <c r="J313" i="2" s="1"/>
  <c r="R313" i="2" s="1"/>
  <c r="J339" i="2" a="1"/>
  <c r="J339" i="2" s="1"/>
  <c r="R339" i="2" s="1"/>
  <c r="J61" i="2" a="1"/>
  <c r="J61" i="2" s="1"/>
  <c r="R61" i="2" s="1"/>
  <c r="J89" i="2" a="1"/>
  <c r="J89" i="2" s="1"/>
  <c r="J38" i="2" a="1"/>
  <c r="J38" i="2" s="1"/>
  <c r="R38" i="2" s="1"/>
  <c r="J209" i="2" a="1"/>
  <c r="J209" i="2" s="1"/>
  <c r="J358" i="2" a="1"/>
  <c r="J358" i="2" s="1"/>
  <c r="J277" i="2" a="1"/>
  <c r="J277" i="2" s="1"/>
  <c r="J347" i="2" a="1"/>
  <c r="J347" i="2" s="1"/>
  <c r="R347" i="2" s="1"/>
  <c r="J372" i="2" a="1"/>
  <c r="J372" i="2" s="1"/>
  <c r="J349" i="2" a="1"/>
  <c r="J349" i="2" s="1"/>
  <c r="J283" i="2" a="1"/>
  <c r="J283" i="2" s="1"/>
  <c r="J12" i="2" a="1"/>
  <c r="J12" i="2" s="1"/>
  <c r="J7" i="2" a="1"/>
  <c r="J7" i="2" s="1"/>
  <c r="R7" i="2" s="1"/>
  <c r="J11" i="2" a="1"/>
  <c r="J11" i="2" s="1"/>
  <c r="J140" i="2" a="1"/>
  <c r="J140" i="2" s="1"/>
  <c r="R140" i="2" s="1"/>
  <c r="J114" i="2" a="1"/>
  <c r="J114" i="2" s="1"/>
  <c r="J154" i="2" a="1"/>
  <c r="J154" i="2" s="1"/>
  <c r="J128" i="2" a="1"/>
  <c r="J128" i="2" s="1"/>
  <c r="R128" i="2" s="1"/>
  <c r="J150" i="2" a="1"/>
  <c r="J150" i="2" s="1"/>
  <c r="J118" i="2" a="1"/>
  <c r="J118" i="2" s="1"/>
  <c r="J124" i="2" a="1"/>
  <c r="J124" i="2" s="1"/>
  <c r="J125" i="2" a="1"/>
  <c r="J125" i="2" s="1"/>
  <c r="R125" i="2" s="1"/>
  <c r="J119" i="2" a="1"/>
  <c r="J119" i="2" s="1"/>
  <c r="R119" i="2" s="1"/>
  <c r="J110" i="2" a="1"/>
  <c r="J110" i="2" s="1"/>
  <c r="R109" i="2" s="1"/>
  <c r="J147" i="2" a="1"/>
  <c r="J147" i="2" s="1"/>
  <c r="J149" i="2" a="1"/>
  <c r="J149" i="2" s="1"/>
  <c r="R149" i="2" s="1"/>
  <c r="J172" i="2" a="1"/>
  <c r="J172" i="2" s="1"/>
  <c r="R172" i="2" s="1"/>
  <c r="J146" i="2" a="1"/>
  <c r="J146" i="2" s="1"/>
  <c r="R146" i="2" s="1"/>
  <c r="J161" i="2" a="1"/>
  <c r="J161" i="2" s="1"/>
  <c r="J180" i="2" a="1"/>
  <c r="J180" i="2" s="1"/>
  <c r="J177" i="2" a="1"/>
  <c r="J177" i="2" s="1"/>
  <c r="J176" i="2" a="1"/>
  <c r="J176" i="2" s="1"/>
  <c r="J155" i="2" a="1"/>
  <c r="J155" i="2" s="1"/>
  <c r="J181" i="2" a="1"/>
  <c r="J181" i="2" s="1"/>
  <c r="R181" i="2" s="1"/>
  <c r="J179" i="2" a="1"/>
  <c r="J179" i="2" s="1"/>
  <c r="J158" i="2" a="1"/>
  <c r="J158" i="2" s="1"/>
  <c r="J163" i="2" a="1"/>
  <c r="J163" i="2" s="1"/>
  <c r="J148" i="2" a="1"/>
  <c r="J148" i="2" s="1"/>
  <c r="J160" i="2" a="1"/>
  <c r="J160" i="2" s="1"/>
  <c r="J135" i="2" a="1"/>
  <c r="J135" i="2" s="1"/>
  <c r="R135" i="2" s="1"/>
  <c r="J145" i="2" a="1"/>
  <c r="J145" i="2" s="1"/>
  <c r="J144" i="2" a="1"/>
  <c r="J144" i="2" s="1"/>
  <c r="R144" i="2" s="1"/>
  <c r="J183" i="2" a="1"/>
  <c r="J183" i="2" s="1"/>
  <c r="R183" i="2" s="1"/>
  <c r="J165" i="2" a="1"/>
  <c r="J165" i="2" s="1"/>
  <c r="R165" i="2" s="1"/>
  <c r="J175" i="2" a="1"/>
  <c r="J175" i="2" s="1"/>
  <c r="J173" i="2" a="1"/>
  <c r="J173" i="2" s="1"/>
  <c r="R173" i="2" s="1"/>
  <c r="J169" i="2" a="1"/>
  <c r="J169" i="2" s="1"/>
  <c r="R169" i="2" s="1"/>
  <c r="J178" i="2" a="1"/>
  <c r="J178" i="2" s="1"/>
  <c r="R178" i="2" s="1"/>
  <c r="J164" i="2" a="1"/>
  <c r="J164" i="2" s="1"/>
  <c r="R164" i="2" s="1"/>
  <c r="J170" i="2" a="1"/>
  <c r="J170" i="2" s="1"/>
  <c r="R170" i="2" s="1"/>
  <c r="J151" i="2" a="1"/>
  <c r="J151" i="2" s="1"/>
  <c r="J166" i="2" a="1"/>
  <c r="J166" i="2" s="1"/>
  <c r="J157" i="2" a="1"/>
  <c r="J157" i="2" s="1"/>
  <c r="R157" i="2" s="1"/>
  <c r="J138" i="2" a="1"/>
  <c r="J138" i="2" s="1"/>
  <c r="R138" i="2" s="1"/>
  <c r="S365" i="7"/>
  <c r="R365" i="7"/>
  <c r="S275" i="7"/>
  <c r="R275" i="7"/>
  <c r="S59" i="7"/>
  <c r="R59" i="7"/>
  <c r="S16" i="7"/>
  <c r="R16" i="7"/>
  <c r="R91" i="7"/>
  <c r="S91" i="7"/>
  <c r="S101" i="7"/>
  <c r="R101" i="7"/>
  <c r="R15" i="7"/>
  <c r="S257" i="7"/>
  <c r="R257" i="7"/>
  <c r="R307" i="2"/>
  <c r="R206" i="2"/>
  <c r="J106" i="2" a="1"/>
  <c r="J106" i="2" s="1"/>
  <c r="J25" i="2" a="1"/>
  <c r="J25" i="2" s="1"/>
  <c r="R25" i="2" s="1"/>
  <c r="J302" i="2" a="1"/>
  <c r="J302" i="2" s="1"/>
  <c r="R302" i="2" s="1"/>
  <c r="J98" i="2" a="1"/>
  <c r="J98" i="2" s="1"/>
  <c r="R98" i="2" s="1"/>
  <c r="J384" i="2" a="1"/>
  <c r="J384" i="2" s="1"/>
  <c r="R384" i="2" s="1"/>
  <c r="J262" i="2" a="1"/>
  <c r="J262" i="2" s="1"/>
  <c r="J228" i="2" a="1"/>
  <c r="J228" i="2" s="1"/>
  <c r="R228" i="2" s="1"/>
  <c r="J359" i="2" a="1"/>
  <c r="J359" i="2" s="1"/>
  <c r="J299" i="2" a="1"/>
  <c r="J299" i="2" s="1"/>
  <c r="J360" i="2" a="1"/>
  <c r="J360" i="2" s="1"/>
  <c r="R360" i="2" s="1"/>
  <c r="J82" i="2" a="1"/>
  <c r="J82" i="2" s="1"/>
  <c r="J306" i="2" a="1"/>
  <c r="J306" i="2" s="1"/>
  <c r="R9" i="7"/>
  <c r="S9" i="7"/>
  <c r="R54" i="7"/>
  <c r="R335" i="7"/>
  <c r="R326" i="7"/>
  <c r="R69" i="7"/>
  <c r="R71" i="7"/>
  <c r="R284" i="7"/>
  <c r="S380" i="7"/>
  <c r="R380" i="7"/>
  <c r="R263" i="7"/>
  <c r="R87" i="7"/>
  <c r="R353" i="7"/>
  <c r="S297" i="7"/>
  <c r="R235" i="7"/>
  <c r="S328" i="7"/>
  <c r="R328" i="7"/>
  <c r="S395" i="2"/>
  <c r="R395" i="2"/>
  <c r="R122" i="2"/>
  <c r="J130" i="2" a="1"/>
  <c r="J130" i="2" s="1"/>
  <c r="R130" i="2" s="1"/>
  <c r="J361" i="2" a="1"/>
  <c r="J361" i="2" s="1"/>
  <c r="J289" i="2" a="1"/>
  <c r="J289" i="2" s="1"/>
  <c r="R288" i="2" s="1"/>
  <c r="J48" i="2" a="1"/>
  <c r="J48" i="2" s="1"/>
  <c r="J342" i="2" a="1"/>
  <c r="J342" i="2" s="1"/>
  <c r="R341" i="2" s="1"/>
  <c r="J236" i="2" a="1"/>
  <c r="J236" i="2" s="1"/>
  <c r="J266" i="2" a="1"/>
  <c r="J266" i="2" s="1"/>
  <c r="R266" i="2" s="1"/>
  <c r="J261" i="2" a="1"/>
  <c r="J261" i="2" s="1"/>
  <c r="R261" i="2" s="1"/>
  <c r="J31" i="2" a="1"/>
  <c r="J31" i="2" s="1"/>
  <c r="R31" i="2" s="1"/>
  <c r="J250" i="2" a="1"/>
  <c r="J250" i="2" s="1"/>
  <c r="R250" i="2" s="1"/>
  <c r="J52" i="2" a="1"/>
  <c r="J52" i="2" s="1"/>
  <c r="J242" i="2" a="1"/>
  <c r="J242" i="2" s="1"/>
  <c r="J84" i="2" a="1"/>
  <c r="J84" i="2" s="1"/>
  <c r="R35" i="7"/>
  <c r="R56" i="7"/>
  <c r="S304" i="7"/>
  <c r="R304" i="7"/>
  <c r="R51" i="7"/>
  <c r="S63" i="7"/>
  <c r="R63" i="7"/>
  <c r="R104" i="7"/>
  <c r="S104" i="7"/>
  <c r="S250" i="7"/>
  <c r="R250" i="7"/>
  <c r="R330" i="7"/>
  <c r="R208" i="7"/>
  <c r="S245" i="7"/>
  <c r="R245" i="7"/>
  <c r="S331" i="7"/>
  <c r="R331" i="7"/>
  <c r="R275" i="2"/>
  <c r="R62" i="2"/>
  <c r="R72" i="2"/>
  <c r="R373" i="2"/>
  <c r="S218" i="2"/>
  <c r="J159" i="2" a="1"/>
  <c r="J159" i="2" s="1"/>
  <c r="R159" i="2" s="1"/>
  <c r="J51" i="2" a="1"/>
  <c r="J51" i="2" s="1"/>
  <c r="J364" i="2" a="1"/>
  <c r="J364" i="2" s="1"/>
  <c r="R364" i="2" s="1"/>
  <c r="J83" i="2" a="1"/>
  <c r="J83" i="2" s="1"/>
  <c r="J168" i="2" a="1"/>
  <c r="J168" i="2" s="1"/>
  <c r="J117" i="2" a="1"/>
  <c r="J117" i="2" s="1"/>
  <c r="R117" i="2" s="1"/>
  <c r="J107" i="2" a="1"/>
  <c r="J107" i="2" s="1"/>
  <c r="J233" i="2" a="1"/>
  <c r="J233" i="2" s="1"/>
  <c r="R233" i="2" s="1"/>
  <c r="J204" i="2" a="1"/>
  <c r="J204" i="2" s="1"/>
  <c r="R204" i="2" s="1"/>
  <c r="J252" i="2" a="1"/>
  <c r="J252" i="2" s="1"/>
  <c r="R252" i="2" s="1"/>
  <c r="J387" i="2" a="1"/>
  <c r="J387" i="2" s="1"/>
  <c r="J336" i="2" a="1"/>
  <c r="J336" i="2" s="1"/>
  <c r="J314" i="2" a="1"/>
  <c r="J314" i="2" s="1"/>
  <c r="R314" i="2" s="1"/>
  <c r="J335" i="2" a="1"/>
  <c r="J335" i="2" s="1"/>
  <c r="R335" i="2" s="1"/>
  <c r="J215" i="2" a="1"/>
  <c r="J215" i="2" s="1"/>
  <c r="J329" i="2" a="1"/>
  <c r="J329" i="2" s="1"/>
  <c r="R329" i="2" s="1"/>
  <c r="J381" i="2" a="1"/>
  <c r="J381" i="2" s="1"/>
  <c r="R381" i="2" s="1"/>
  <c r="J258" i="2" a="1"/>
  <c r="J258" i="2" s="1"/>
  <c r="R258" i="2" s="1"/>
  <c r="J311" i="2" a="1"/>
  <c r="J311" i="2" s="1"/>
  <c r="J68" i="2" a="1"/>
  <c r="J68" i="2" s="1"/>
  <c r="J64" i="2" a="1"/>
  <c r="J64" i="2" s="1"/>
  <c r="R210" i="7"/>
  <c r="R252" i="7"/>
  <c r="R241" i="7"/>
  <c r="R90" i="7"/>
  <c r="S292" i="7"/>
  <c r="S300" i="7"/>
  <c r="R300" i="7"/>
  <c r="R13" i="7"/>
  <c r="R280" i="7"/>
  <c r="R303" i="7"/>
  <c r="R271" i="7"/>
  <c r="R277" i="7"/>
  <c r="R259" i="7"/>
  <c r="R39" i="2"/>
  <c r="S39" i="2"/>
  <c r="R37" i="2"/>
  <c r="R171" i="2"/>
  <c r="S171" i="2"/>
  <c r="J153" i="2" a="1"/>
  <c r="J153" i="2" s="1"/>
  <c r="J131" i="2" a="1"/>
  <c r="J131" i="2" s="1"/>
  <c r="R131" i="2" s="1"/>
  <c r="J366" i="2" a="1"/>
  <c r="J366" i="2" s="1"/>
  <c r="J390" i="2" a="1"/>
  <c r="J390" i="2" s="1"/>
  <c r="R389" i="2" s="1"/>
  <c r="J210" i="2" a="1"/>
  <c r="J210" i="2" s="1"/>
  <c r="R210" i="2" s="1"/>
  <c r="J49" i="2" a="1"/>
  <c r="J49" i="2" s="1"/>
  <c r="R49" i="2" s="1"/>
  <c r="J363" i="2" a="1"/>
  <c r="J363" i="2" s="1"/>
  <c r="R363" i="2" s="1"/>
  <c r="J34" i="2" a="1"/>
  <c r="J34" i="2" s="1"/>
  <c r="J41" i="2" a="1"/>
  <c r="J41" i="2" s="1"/>
  <c r="R41" i="2" s="1"/>
  <c r="J270" i="2" a="1"/>
  <c r="J270" i="2" s="1"/>
  <c r="J369" i="2" a="1"/>
  <c r="J369" i="2" s="1"/>
  <c r="R369" i="2" s="1"/>
  <c r="J237" i="2" a="1"/>
  <c r="J237" i="2" s="1"/>
  <c r="R237" i="2" s="1"/>
  <c r="J300" i="2" a="1"/>
  <c r="J300" i="2" s="1"/>
  <c r="J203" i="2" a="1"/>
  <c r="J203" i="2" s="1"/>
  <c r="J211" i="2" a="1"/>
  <c r="J211" i="2" s="1"/>
  <c r="R211" i="2" s="1"/>
  <c r="J393" i="2" a="1"/>
  <c r="J393" i="2" s="1"/>
  <c r="R393" i="2" s="1"/>
  <c r="J78" i="2" a="1"/>
  <c r="J78" i="2" s="1"/>
  <c r="S343" i="7"/>
  <c r="S240" i="7"/>
  <c r="R240" i="7"/>
  <c r="R385" i="7"/>
  <c r="S190" i="7"/>
  <c r="R190" i="7"/>
  <c r="R49" i="7"/>
  <c r="R346" i="7"/>
  <c r="R17" i="7"/>
  <c r="S387" i="7"/>
  <c r="R60" i="7"/>
  <c r="R342" i="7"/>
  <c r="R352" i="7"/>
  <c r="R319" i="7"/>
  <c r="S118" i="7"/>
  <c r="R63" i="2"/>
  <c r="R14" i="2"/>
  <c r="S82" i="7"/>
  <c r="R82" i="7"/>
  <c r="R348" i="2"/>
  <c r="R316" i="2"/>
  <c r="R42" i="2"/>
  <c r="R30" i="2"/>
  <c r="J162" i="2" a="1"/>
  <c r="J162" i="2" s="1"/>
  <c r="R162" i="2" s="1"/>
  <c r="J112" i="2" a="1"/>
  <c r="J112" i="2" s="1"/>
  <c r="J213" i="2" a="1"/>
  <c r="J213" i="2" s="1"/>
  <c r="J13" i="2" a="1"/>
  <c r="J13" i="2" s="1"/>
  <c r="R13" i="2" s="1"/>
  <c r="J238" i="2" a="1"/>
  <c r="J238" i="2" s="1"/>
  <c r="J278" i="2" a="1"/>
  <c r="J278" i="2" s="1"/>
  <c r="J221" i="2" a="1"/>
  <c r="J221" i="2" s="1"/>
  <c r="J23" i="2" a="1"/>
  <c r="J23" i="2" s="1"/>
  <c r="R23" i="2" s="1"/>
  <c r="J264" i="2" a="1"/>
  <c r="J264" i="2" s="1"/>
  <c r="R264" i="2" s="1"/>
  <c r="J104" i="2" a="1"/>
  <c r="J104" i="2" s="1"/>
  <c r="J357" i="2" a="1"/>
  <c r="J357" i="2" s="1"/>
  <c r="R357" i="2" s="1"/>
  <c r="J240" i="2" a="1"/>
  <c r="J240" i="2" s="1"/>
  <c r="J60" i="2" a="1"/>
  <c r="J60" i="2" s="1"/>
  <c r="R60" i="2" s="1"/>
  <c r="J247" i="2" a="1"/>
  <c r="J247" i="2" s="1"/>
  <c r="R247" i="2" s="1"/>
  <c r="J332" i="2" a="1"/>
  <c r="J332" i="2" s="1"/>
  <c r="J224" i="2" a="1"/>
  <c r="J224" i="2" s="1"/>
  <c r="R224" i="2" s="1"/>
  <c r="J28" i="2" a="1"/>
  <c r="J28" i="2" s="1"/>
  <c r="R28" i="2" s="1"/>
  <c r="R11" i="7"/>
  <c r="S320" i="7"/>
  <c r="S367" i="7"/>
  <c r="R367" i="7"/>
  <c r="R222" i="7"/>
  <c r="R391" i="7"/>
  <c r="R34" i="7"/>
  <c r="R239" i="7"/>
  <c r="R96" i="7"/>
  <c r="R225" i="7"/>
  <c r="R224" i="7"/>
  <c r="S224" i="7"/>
  <c r="R191" i="7"/>
  <c r="R26" i="7"/>
  <c r="R376" i="7"/>
  <c r="R393" i="7"/>
  <c r="R32" i="7"/>
  <c r="R371" i="7"/>
  <c r="R333" i="2"/>
  <c r="S365" i="2"/>
  <c r="R365" i="2"/>
  <c r="R167" i="2"/>
  <c r="R19" i="2"/>
  <c r="R27" i="2"/>
  <c r="R394" i="2"/>
  <c r="JZ38" i="4"/>
  <c r="BM39" i="4"/>
  <c r="JB38" i="4"/>
  <c r="J186" i="2" a="1"/>
  <c r="J186" i="2" s="1"/>
  <c r="J133" i="2" a="1"/>
  <c r="J133" i="2" s="1"/>
  <c r="R132" i="2" s="1"/>
  <c r="J50" i="2" a="1"/>
  <c r="J50" i="2" s="1"/>
  <c r="R50" i="2" s="1"/>
  <c r="J293" i="2" a="1"/>
  <c r="J293" i="2" s="1"/>
  <c r="R292" i="2" s="1"/>
  <c r="J200" i="2" a="1"/>
  <c r="J200" i="2" s="1"/>
  <c r="R200" i="2" s="1"/>
  <c r="J24" i="2" a="1"/>
  <c r="J24" i="2" s="1"/>
  <c r="R24" i="2" s="1"/>
  <c r="J199" i="2" a="1"/>
  <c r="J199" i="2" s="1"/>
  <c r="J326" i="2" a="1"/>
  <c r="J326" i="2" s="1"/>
  <c r="R326" i="2" s="1"/>
  <c r="J77" i="2" a="1"/>
  <c r="J77" i="2" s="1"/>
  <c r="R77" i="2" s="1"/>
  <c r="J85" i="2" a="1"/>
  <c r="J85" i="2" s="1"/>
  <c r="R85" i="2" s="1"/>
  <c r="J187" i="2" a="1"/>
  <c r="J187" i="2" s="1"/>
  <c r="J260" i="2" a="1"/>
  <c r="J260" i="2" s="1"/>
  <c r="R260" i="2" s="1"/>
  <c r="J208" i="2" a="1"/>
  <c r="J208" i="2" s="1"/>
  <c r="R208" i="2" s="1"/>
  <c r="J338" i="2" a="1"/>
  <c r="J338" i="2" s="1"/>
  <c r="J279" i="2" a="1"/>
  <c r="J279" i="2" s="1"/>
  <c r="J22" i="2" a="1"/>
  <c r="J22" i="2" s="1"/>
  <c r="R22" i="2" s="1"/>
  <c r="J79" i="2" a="1"/>
  <c r="J79" i="2" s="1"/>
  <c r="R79" i="2" s="1"/>
  <c r="K40" i="4"/>
  <c r="AD39" i="4"/>
  <c r="S383" i="7"/>
  <c r="R383" i="7"/>
  <c r="R40" i="7"/>
  <c r="R72" i="7"/>
  <c r="R24" i="7"/>
  <c r="R38" i="7"/>
  <c r="R357" i="7"/>
  <c r="R214" i="7"/>
  <c r="R66" i="7"/>
  <c r="R89" i="7"/>
  <c r="S206" i="7"/>
  <c r="R206" i="7"/>
  <c r="S354" i="2"/>
  <c r="R354" i="2"/>
  <c r="R57" i="2"/>
  <c r="R202" i="2"/>
  <c r="S202" i="2"/>
  <c r="J71" i="2" a="1"/>
  <c r="J71" i="2" s="1"/>
  <c r="R71" i="2" s="1"/>
  <c r="J214" i="2" a="1"/>
  <c r="J214" i="2" s="1"/>
  <c r="R214" i="2" s="1"/>
  <c r="J219" i="2" a="1"/>
  <c r="J219" i="2" s="1"/>
  <c r="J367" i="2" a="1"/>
  <c r="J367" i="2" s="1"/>
  <c r="R367" i="2" s="1"/>
  <c r="J103" i="2" a="1"/>
  <c r="J103" i="2" s="1"/>
  <c r="J93" i="2" a="1"/>
  <c r="J93" i="2" s="1"/>
  <c r="R93" i="2" s="1"/>
  <c r="J268" i="2" a="1"/>
  <c r="J268" i="2" s="1"/>
  <c r="R268" i="2" s="1"/>
  <c r="J352" i="2" a="1"/>
  <c r="J352" i="2" s="1"/>
  <c r="J198" i="2" a="1"/>
  <c r="J198" i="2" s="1"/>
  <c r="J291" i="2" a="1"/>
  <c r="J291" i="2" s="1"/>
  <c r="R291" i="2" s="1"/>
  <c r="J33" i="2" a="1"/>
  <c r="J33" i="2" s="1"/>
  <c r="AH38" i="4"/>
  <c r="AA39" i="4"/>
  <c r="S95" i="7"/>
  <c r="R95" i="7"/>
  <c r="R209" i="7"/>
  <c r="S209" i="7"/>
  <c r="R338" i="7"/>
  <c r="S68" i="7"/>
  <c r="R68" i="7"/>
  <c r="R18" i="7"/>
  <c r="R227" i="7"/>
  <c r="S307" i="7"/>
  <c r="R307" i="7"/>
  <c r="S356" i="7"/>
  <c r="R356" i="7"/>
  <c r="R46" i="7"/>
  <c r="R382" i="7"/>
  <c r="S312" i="7"/>
  <c r="R268" i="7"/>
  <c r="R362" i="7"/>
  <c r="R374" i="2"/>
  <c r="R142" i="2"/>
  <c r="S254" i="2"/>
  <c r="R248" i="2"/>
  <c r="R284" i="2"/>
  <c r="R116" i="2"/>
  <c r="R246" i="2"/>
  <c r="S36" i="2"/>
  <c r="R36" i="2"/>
  <c r="J296" i="2" a="1"/>
  <c r="J296" i="2" s="1"/>
  <c r="R296" i="2" s="1"/>
  <c r="J137" i="2" a="1"/>
  <c r="J137" i="2" s="1"/>
  <c r="R137" i="2" s="1"/>
  <c r="J121" i="2" a="1"/>
  <c r="J121" i="2" s="1"/>
  <c r="R120" i="2" s="1"/>
  <c r="J337" i="2" a="1"/>
  <c r="J337" i="2" s="1"/>
  <c r="R337" i="2" s="1"/>
  <c r="J378" i="2" a="1"/>
  <c r="J378" i="2" s="1"/>
  <c r="R378" i="2" s="1"/>
  <c r="J94" i="2" a="1"/>
  <c r="J94" i="2" s="1"/>
  <c r="J298" i="2" a="1"/>
  <c r="J298" i="2" s="1"/>
  <c r="R298" i="2" s="1"/>
  <c r="J340" i="2" a="1"/>
  <c r="J340" i="2" s="1"/>
  <c r="R340" i="2" s="1"/>
  <c r="J353" i="2" a="1"/>
  <c r="J353" i="2" s="1"/>
  <c r="R353" i="2" s="1"/>
  <c r="J304" i="2" a="1"/>
  <c r="J304" i="2" s="1"/>
  <c r="R304" i="2" s="1"/>
  <c r="J345" i="2" a="1"/>
  <c r="J345" i="2" s="1"/>
  <c r="R345" i="2" s="1"/>
  <c r="J191" i="2" a="1"/>
  <c r="J191" i="2" s="1"/>
  <c r="R191" i="2" s="1"/>
  <c r="J318" i="2" a="1"/>
  <c r="J318" i="2" s="1"/>
  <c r="R318" i="2" s="1"/>
  <c r="J216" i="2" a="1"/>
  <c r="J216" i="2" s="1"/>
  <c r="R216" i="2" s="1"/>
  <c r="J257" i="2" a="1"/>
  <c r="J257" i="2" s="1"/>
  <c r="R257" i="2" s="1"/>
  <c r="J100" i="2" a="1"/>
  <c r="J100" i="2" s="1"/>
  <c r="R100" i="2" s="1"/>
  <c r="J294" i="2" a="1"/>
  <c r="J294" i="2" s="1"/>
  <c r="R294" i="2" s="1"/>
  <c r="J368" i="2" a="1"/>
  <c r="J368" i="2" s="1"/>
  <c r="BN37" i="4"/>
  <c r="JC37" i="4" s="1"/>
  <c r="KA37" i="4"/>
  <c r="R274" i="7"/>
  <c r="S108" i="7"/>
  <c r="R197" i="7"/>
  <c r="S360" i="7"/>
  <c r="R360" i="7"/>
  <c r="R322" i="7"/>
  <c r="R100" i="7"/>
  <c r="R375" i="7"/>
  <c r="S377" i="2"/>
  <c r="R377" i="2"/>
  <c r="R174" i="2"/>
  <c r="J123" i="2" a="1"/>
  <c r="J123" i="2" s="1"/>
  <c r="R123" i="2" s="1"/>
  <c r="J281" i="2" a="1"/>
  <c r="J281" i="2" s="1"/>
  <c r="R281" i="2" s="1"/>
  <c r="J90" i="2" a="1"/>
  <c r="J90" i="2" s="1"/>
  <c r="R90" i="2" s="1"/>
  <c r="J322" i="2" a="1"/>
  <c r="J322" i="2" s="1"/>
  <c r="J91" i="2" a="1"/>
  <c r="J91" i="2" s="1"/>
  <c r="R91" i="2" s="1"/>
  <c r="J290" i="2" a="1"/>
  <c r="J290" i="2" s="1"/>
  <c r="R290" i="2" s="1"/>
  <c r="J55" i="2" a="1"/>
  <c r="J55" i="2" s="1"/>
  <c r="R55" i="2" s="1"/>
  <c r="J343" i="2" a="1"/>
  <c r="J343" i="2" s="1"/>
  <c r="R343" i="2" s="1"/>
  <c r="J35" i="2" a="1"/>
  <c r="J35" i="2" s="1"/>
  <c r="R35" i="2" s="1"/>
  <c r="J217" i="2" a="1"/>
  <c r="J217" i="2" s="1"/>
  <c r="R217" i="2" s="1"/>
  <c r="J328" i="2" a="1"/>
  <c r="J328" i="2" s="1"/>
  <c r="R327" i="2" s="1"/>
  <c r="J388" i="2" a="1"/>
  <c r="J388" i="2" s="1"/>
  <c r="R388" i="2" s="1"/>
  <c r="J45" i="2" a="1"/>
  <c r="J45" i="2" s="1"/>
  <c r="R45" i="2" s="1"/>
  <c r="J231" i="2" a="1"/>
  <c r="J231" i="2" s="1"/>
  <c r="J271" i="2" a="1"/>
  <c r="J271" i="2" s="1"/>
  <c r="J134" i="2" a="1"/>
  <c r="J134" i="2" s="1"/>
  <c r="R264" i="7"/>
  <c r="R10" i="7"/>
  <c r="R314" i="7"/>
  <c r="R234" i="7"/>
  <c r="S234" i="7"/>
  <c r="S324" i="7"/>
  <c r="R324" i="7"/>
  <c r="R61" i="7"/>
  <c r="S237" i="7"/>
  <c r="R237" i="7"/>
  <c r="R394" i="7"/>
  <c r="R290" i="7"/>
  <c r="R282" i="7"/>
  <c r="R33" i="7"/>
  <c r="R58" i="7"/>
  <c r="R128" i="7"/>
  <c r="S128" i="7"/>
  <c r="R20" i="2"/>
  <c r="S20" i="2"/>
  <c r="S172" i="7"/>
  <c r="S350" i="7"/>
  <c r="R350" i="7"/>
  <c r="S207" i="2"/>
  <c r="R207" i="2"/>
  <c r="R249" i="2"/>
  <c r="S184" i="2"/>
  <c r="R184" i="2"/>
  <c r="R136" i="2"/>
  <c r="J303" i="2" a="1"/>
  <c r="J303" i="2" s="1"/>
  <c r="R303" i="2" s="1"/>
  <c r="J244" i="2" a="1"/>
  <c r="J244" i="2" s="1"/>
  <c r="R244" i="2" s="1"/>
  <c r="J102" i="2" a="1"/>
  <c r="J102" i="2" s="1"/>
  <c r="R102" i="2" s="1"/>
  <c r="J220" i="2" a="1"/>
  <c r="J220" i="2" s="1"/>
  <c r="R220" i="2" s="1"/>
  <c r="J87" i="2" a="1"/>
  <c r="J87" i="2" s="1"/>
  <c r="R87" i="2" s="1"/>
  <c r="J105" i="2" a="1"/>
  <c r="J105" i="2" s="1"/>
  <c r="R105" i="2" s="1"/>
  <c r="J391" i="2" a="1"/>
  <c r="J391" i="2" s="1"/>
  <c r="R391" i="2" s="1"/>
  <c r="J115" i="2" a="1"/>
  <c r="J115" i="2" s="1"/>
  <c r="S77" i="7"/>
  <c r="R77" i="7"/>
  <c r="R39" i="7"/>
  <c r="S202" i="7"/>
  <c r="R283" i="7"/>
  <c r="S187" i="7"/>
  <c r="R8" i="7"/>
  <c r="S279" i="7"/>
  <c r="R279" i="7"/>
  <c r="R216" i="7"/>
  <c r="R94" i="7"/>
  <c r="R349" i="7"/>
  <c r="S10" i="2"/>
  <c r="R10" i="2"/>
  <c r="R230" i="2"/>
  <c r="S58" i="2"/>
  <c r="R58" i="2"/>
  <c r="S164" i="7"/>
  <c r="S139" i="2"/>
  <c r="R139" i="2"/>
  <c r="R182" i="2"/>
  <c r="S39" i="4"/>
  <c r="AF38" i="4"/>
  <c r="R185" i="2"/>
  <c r="J325" i="2" a="1"/>
  <c r="J325" i="2" s="1"/>
  <c r="R325" i="2" s="1"/>
  <c r="J323" i="2" a="1"/>
  <c r="J323" i="2" s="1"/>
  <c r="R323" i="2" s="1"/>
  <c r="J263" i="2" a="1"/>
  <c r="J263" i="2" s="1"/>
  <c r="J320" i="2" a="1"/>
  <c r="J320" i="2" s="1"/>
  <c r="R320" i="2" s="1"/>
  <c r="J196" i="2" a="1"/>
  <c r="J196" i="2" s="1"/>
  <c r="R196" i="2" s="1"/>
  <c r="J232" i="2" a="1"/>
  <c r="J232" i="2" s="1"/>
  <c r="R232" i="2" s="1"/>
  <c r="J143" i="2" a="1"/>
  <c r="J143" i="2" s="1"/>
  <c r="R143" i="2" s="1"/>
  <c r="J152" i="2" a="1"/>
  <c r="J152" i="2" s="1"/>
  <c r="J111" i="2" a="1"/>
  <c r="J111" i="2" s="1"/>
  <c r="R111" i="2" s="1"/>
  <c r="J255" i="2" a="1"/>
  <c r="J255" i="2" s="1"/>
  <c r="R254" i="2" s="1"/>
  <c r="J67" i="2" a="1"/>
  <c r="J67" i="2" s="1"/>
  <c r="R67" i="2" s="1"/>
  <c r="J65" i="2" a="1"/>
  <c r="J65" i="2" s="1"/>
  <c r="J243" i="2" a="1"/>
  <c r="J243" i="2" s="1"/>
  <c r="R243" i="2" s="1"/>
  <c r="J56" i="2" a="1"/>
  <c r="J56" i="2" s="1"/>
  <c r="R56" i="2" s="1"/>
  <c r="J370" i="2" a="1"/>
  <c r="J370" i="2" s="1"/>
  <c r="J301" i="2" a="1"/>
  <c r="J301" i="2" s="1"/>
  <c r="J239" i="2" a="1"/>
  <c r="J239" i="2" s="1"/>
  <c r="R239" i="2" s="1"/>
  <c r="J223" i="2" a="1"/>
  <c r="J223" i="2" s="1"/>
  <c r="J362" i="2" a="1"/>
  <c r="J362" i="2" s="1"/>
  <c r="R362" i="2" s="1"/>
  <c r="J272" i="2" a="1"/>
  <c r="J272" i="2" s="1"/>
  <c r="J256" i="2" a="1"/>
  <c r="J256" i="2" s="1"/>
  <c r="R256" i="2" s="1"/>
  <c r="J9" i="2" a="1"/>
  <c r="J9" i="2" s="1"/>
  <c r="R9" i="2" s="1"/>
  <c r="J16" i="2" a="1"/>
  <c r="J16" i="2" s="1"/>
  <c r="R16" i="2" s="1"/>
  <c r="J113" i="2" a="1"/>
  <c r="J113" i="2" s="1"/>
  <c r="R107" i="7"/>
  <c r="R83" i="7"/>
  <c r="R366" i="7"/>
  <c r="R105" i="7"/>
  <c r="R67" i="7"/>
  <c r="R229" i="7"/>
  <c r="R193" i="7"/>
  <c r="S193" i="7"/>
  <c r="R21" i="7"/>
  <c r="S260" i="7"/>
  <c r="R260" i="7"/>
  <c r="S334" i="7"/>
  <c r="R334" i="7"/>
  <c r="R102" i="7"/>
  <c r="R37" i="7"/>
  <c r="R318" i="7"/>
  <c r="R189" i="7"/>
  <c r="J388" i="7" a="1"/>
  <c r="J388" i="7" s="1"/>
  <c r="R388" i="7" s="1"/>
  <c r="J53" i="7" a="1"/>
  <c r="J53" i="7" s="1"/>
  <c r="R53" i="7" s="1"/>
  <c r="J313" i="7" a="1"/>
  <c r="J313" i="7" s="1"/>
  <c r="R313" i="7" s="1"/>
  <c r="J86" i="7" a="1"/>
  <c r="J86" i="7" s="1"/>
  <c r="J247" i="7" a="1"/>
  <c r="J247" i="7" s="1"/>
  <c r="J355" i="7" a="1"/>
  <c r="J355" i="7" s="1"/>
  <c r="R355" i="7" s="1"/>
  <c r="J369" i="7" a="1"/>
  <c r="J369" i="7" s="1"/>
  <c r="R369" i="7" s="1"/>
  <c r="J204" i="7" a="1"/>
  <c r="J204" i="7" s="1"/>
  <c r="R204" i="7" s="1"/>
  <c r="J321" i="7" a="1"/>
  <c r="J321" i="7" s="1"/>
  <c r="R321" i="7" s="1"/>
  <c r="J188" i="7" a="1"/>
  <c r="J188" i="7" s="1"/>
  <c r="R188" i="7" s="1"/>
  <c r="J31" i="7" a="1"/>
  <c r="J31" i="7" s="1"/>
  <c r="R30" i="7" s="1"/>
  <c r="J6" i="7" a="1"/>
  <c r="J6" i="7" s="1"/>
  <c r="R6" i="7" s="1"/>
  <c r="J213" i="7" a="1"/>
  <c r="J213" i="7" s="1"/>
  <c r="R213" i="7" s="1"/>
  <c r="J374" i="7" a="1"/>
  <c r="J374" i="7" s="1"/>
  <c r="R373" i="7" s="1"/>
  <c r="J79" i="7" a="1"/>
  <c r="J79" i="7" s="1"/>
  <c r="R79" i="7" s="1"/>
  <c r="J76" i="7" a="1"/>
  <c r="J76" i="7" s="1"/>
  <c r="R76" i="7" s="1"/>
  <c r="J199" i="7" a="1"/>
  <c r="J199" i="7" s="1"/>
  <c r="J262" i="7" a="1"/>
  <c r="J262" i="7" s="1"/>
  <c r="R262" i="7" s="1"/>
  <c r="J289" i="7" a="1"/>
  <c r="J289" i="7" s="1"/>
  <c r="R289" i="7" s="1"/>
  <c r="J232" i="7" a="1"/>
  <c r="J232" i="7" s="1"/>
  <c r="R231" i="7" s="1"/>
  <c r="J293" i="7" a="1"/>
  <c r="J293" i="7" s="1"/>
  <c r="R293" i="7" s="1"/>
  <c r="J28" i="7" a="1"/>
  <c r="J28" i="7" s="1"/>
  <c r="J337" i="7" a="1"/>
  <c r="J337" i="7" s="1"/>
  <c r="R337" i="7" s="1"/>
  <c r="J378" i="7" a="1"/>
  <c r="J378" i="7" s="1"/>
  <c r="R378" i="7" s="1"/>
  <c r="J203" i="7" a="1"/>
  <c r="J203" i="7" s="1"/>
  <c r="R203" i="7" s="1"/>
  <c r="J287" i="7" a="1"/>
  <c r="J287" i="7" s="1"/>
  <c r="J298" i="7" a="1"/>
  <c r="J298" i="7" s="1"/>
  <c r="R298" i="7" s="1"/>
  <c r="J23" i="7" a="1"/>
  <c r="J23" i="7" s="1"/>
  <c r="R22" i="7" s="1"/>
  <c r="J244" i="7" a="1"/>
  <c r="J244" i="7" s="1"/>
  <c r="R244" i="7" s="1"/>
  <c r="J99" i="7" a="1"/>
  <c r="J99" i="7" s="1"/>
  <c r="R99" i="7" s="1"/>
  <c r="J344" i="7" a="1"/>
  <c r="J344" i="7" s="1"/>
  <c r="R344" i="7" s="1"/>
  <c r="J364" i="7" a="1"/>
  <c r="J364" i="7" s="1"/>
  <c r="R364" i="7" s="1"/>
  <c r="J253" i="7" a="1"/>
  <c r="J253" i="7" s="1"/>
  <c r="R253" i="7" s="1"/>
  <c r="J308" i="7" a="1"/>
  <c r="J308" i="7" s="1"/>
  <c r="R308" i="7" s="1"/>
  <c r="J123" i="7" a="1"/>
  <c r="J123" i="7" s="1"/>
  <c r="J125" i="7" a="1"/>
  <c r="J125" i="7" s="1"/>
  <c r="J122" i="7" a="1"/>
  <c r="J122" i="7" s="1"/>
  <c r="J120" i="7" a="1"/>
  <c r="J120" i="7" s="1"/>
  <c r="R120" i="7" s="1"/>
  <c r="J161" i="7" a="1"/>
  <c r="J161" i="7" s="1"/>
  <c r="J113" i="7" a="1"/>
  <c r="J113" i="7" s="1"/>
  <c r="J127" i="7" a="1"/>
  <c r="J127" i="7" s="1"/>
  <c r="R127" i="7" s="1"/>
  <c r="J117" i="7" a="1"/>
  <c r="J117" i="7" s="1"/>
  <c r="R117" i="7" s="1"/>
  <c r="J132" i="7" a="1"/>
  <c r="J132" i="7" s="1"/>
  <c r="J175" i="7" a="1"/>
  <c r="J175" i="7" s="1"/>
  <c r="J126" i="7" a="1"/>
  <c r="J126" i="7" s="1"/>
  <c r="J134" i="7" a="1"/>
  <c r="J134" i="7" s="1"/>
  <c r="J130" i="7" a="1"/>
  <c r="J130" i="7" s="1"/>
  <c r="R129" i="7" s="1"/>
  <c r="J115" i="7" a="1"/>
  <c r="J115" i="7" s="1"/>
  <c r="R114" i="7" s="1"/>
  <c r="J159" i="7" a="1"/>
  <c r="J159" i="7" s="1"/>
  <c r="J116" i="7" a="1"/>
  <c r="J116" i="7" s="1"/>
  <c r="R116" i="7" s="1"/>
  <c r="J150" i="7" a="1"/>
  <c r="J150" i="7" s="1"/>
  <c r="J110" i="7" a="1"/>
  <c r="J110" i="7" s="1"/>
  <c r="J131" i="7" a="1"/>
  <c r="J131" i="7" s="1"/>
  <c r="J155" i="7" a="1"/>
  <c r="J155" i="7" s="1"/>
  <c r="J112" i="7" a="1"/>
  <c r="J112" i="7" s="1"/>
  <c r="J111" i="7" a="1"/>
  <c r="J111" i="7" s="1"/>
  <c r="R111" i="7" s="1"/>
  <c r="J133" i="7" a="1"/>
  <c r="J133" i="7" s="1"/>
  <c r="R133" i="7" s="1"/>
  <c r="J124" i="7" a="1"/>
  <c r="J124" i="7" s="1"/>
  <c r="J119" i="7" a="1"/>
  <c r="J119" i="7" s="1"/>
  <c r="R119" i="7" s="1"/>
  <c r="J109" i="7" a="1"/>
  <c r="J109" i="7" s="1"/>
  <c r="R108" i="7" s="1"/>
  <c r="J186" i="7" a="1"/>
  <c r="J186" i="7" s="1"/>
  <c r="R186" i="7" s="1"/>
  <c r="J136" i="7" a="1"/>
  <c r="J136" i="7" s="1"/>
  <c r="J177" i="7" a="1"/>
  <c r="J177" i="7" s="1"/>
  <c r="J138" i="7" a="1"/>
  <c r="J138" i="7" s="1"/>
  <c r="J142" i="7" a="1"/>
  <c r="J142" i="7" s="1"/>
  <c r="J169" i="7" a="1"/>
  <c r="J169" i="7" s="1"/>
  <c r="J151" i="7" a="1"/>
  <c r="J151" i="7" s="1"/>
  <c r="R151" i="7" s="1"/>
  <c r="J144" i="7" a="1"/>
  <c r="J144" i="7" s="1"/>
  <c r="J160" i="7" a="1"/>
  <c r="J160" i="7" s="1"/>
  <c r="J158" i="7" a="1"/>
  <c r="J158" i="7" s="1"/>
  <c r="R158" i="7" s="1"/>
  <c r="J156" i="7" a="1"/>
  <c r="J156" i="7" s="1"/>
  <c r="R156" i="7" s="1"/>
  <c r="J141" i="7" a="1"/>
  <c r="J141" i="7" s="1"/>
  <c r="R141" i="7" s="1"/>
  <c r="J145" i="7" a="1"/>
  <c r="J145" i="7" s="1"/>
  <c r="R145" i="7" s="1"/>
  <c r="J178" i="7" a="1"/>
  <c r="J178" i="7" s="1"/>
  <c r="J167" i="7" a="1"/>
  <c r="J167" i="7" s="1"/>
  <c r="J170" i="7" a="1"/>
  <c r="J170" i="7" s="1"/>
  <c r="J147" i="7" a="1"/>
  <c r="J147" i="7" s="1"/>
  <c r="J148" i="7" a="1"/>
  <c r="J148" i="7" s="1"/>
  <c r="J173" i="7" a="1"/>
  <c r="J173" i="7" s="1"/>
  <c r="R172" i="7" s="1"/>
  <c r="J166" i="7" a="1"/>
  <c r="J166" i="7" s="1"/>
  <c r="J135" i="7" a="1"/>
  <c r="J135" i="7" s="1"/>
  <c r="J137" i="7" a="1"/>
  <c r="J137" i="7" s="1"/>
  <c r="R137" i="7" s="1"/>
  <c r="J149" i="7" a="1"/>
  <c r="J149" i="7" s="1"/>
  <c r="J181" i="7" a="1"/>
  <c r="J181" i="7" s="1"/>
  <c r="J179" i="7" a="1"/>
  <c r="J179" i="7" s="1"/>
  <c r="R179" i="7" s="1"/>
  <c r="J146" i="7" a="1"/>
  <c r="J146" i="7" s="1"/>
  <c r="R146" i="7" s="1"/>
  <c r="J184" i="7" a="1"/>
  <c r="J184" i="7" s="1"/>
  <c r="R184" i="7" s="1"/>
  <c r="J182" i="7" a="1"/>
  <c r="J182" i="7" s="1"/>
  <c r="J163" i="7" a="1"/>
  <c r="J163" i="7" s="1"/>
  <c r="R163" i="7" s="1"/>
  <c r="J185" i="7" a="1"/>
  <c r="J185" i="7" s="1"/>
  <c r="R185" i="7" s="1"/>
  <c r="J157" i="7" a="1"/>
  <c r="J157" i="7" s="1"/>
  <c r="J180" i="7" a="1"/>
  <c r="J180" i="7" s="1"/>
  <c r="J165" i="7" a="1"/>
  <c r="J165" i="7" s="1"/>
  <c r="R165" i="7" s="1"/>
  <c r="J162" i="7" a="1"/>
  <c r="J162" i="7" s="1"/>
  <c r="J176" i="7" a="1"/>
  <c r="J176" i="7" s="1"/>
  <c r="R176" i="7" s="1"/>
  <c r="J168" i="7" a="1"/>
  <c r="J168" i="7" s="1"/>
  <c r="J140" i="7" a="1"/>
  <c r="J140" i="7" s="1"/>
  <c r="J183" i="7" a="1"/>
  <c r="J183" i="7" s="1"/>
  <c r="J174" i="7" a="1"/>
  <c r="J174" i="7" s="1"/>
  <c r="R174" i="7" s="1"/>
  <c r="J143" i="7" a="1"/>
  <c r="J143" i="7" s="1"/>
  <c r="J154" i="7" a="1"/>
  <c r="J154" i="7" s="1"/>
  <c r="R153" i="7" s="1"/>
  <c r="J152" i="7" a="1"/>
  <c r="J152" i="7" s="1"/>
  <c r="R152" i="7" s="1"/>
  <c r="J171" i="7" a="1"/>
  <c r="J171" i="7" s="1"/>
  <c r="R171" i="7" s="1"/>
  <c r="W39" i="4" l="1"/>
  <c r="AG38" i="4"/>
  <c r="R154" i="2"/>
  <c r="R112" i="7"/>
  <c r="R161" i="7"/>
  <c r="S194" i="7"/>
  <c r="S235" i="7"/>
  <c r="S361" i="7"/>
  <c r="S338" i="2"/>
  <c r="R338" i="2"/>
  <c r="R270" i="2"/>
  <c r="R78" i="7"/>
  <c r="R177" i="2"/>
  <c r="R241" i="2"/>
  <c r="R259" i="2"/>
  <c r="R54" i="2"/>
  <c r="R212" i="7"/>
  <c r="S27" i="2"/>
  <c r="S74" i="2"/>
  <c r="R74" i="2"/>
  <c r="S252" i="2"/>
  <c r="S207" i="7"/>
  <c r="S225" i="7"/>
  <c r="S40" i="2"/>
  <c r="S17" i="7"/>
  <c r="R155" i="7"/>
  <c r="R28" i="7"/>
  <c r="S28" i="7"/>
  <c r="R301" i="2"/>
  <c r="S173" i="7"/>
  <c r="S103" i="2"/>
  <c r="R103" i="2"/>
  <c r="S240" i="2"/>
  <c r="R240" i="2"/>
  <c r="R5" i="7"/>
  <c r="S332" i="7"/>
  <c r="R106" i="2"/>
  <c r="S180" i="2"/>
  <c r="R180" i="2"/>
  <c r="R11" i="2"/>
  <c r="R190" i="2"/>
  <c r="R222" i="2"/>
  <c r="S330" i="2"/>
  <c r="R330" i="2"/>
  <c r="S213" i="7"/>
  <c r="S220" i="7"/>
  <c r="O40" i="4"/>
  <c r="AE39" i="4"/>
  <c r="S42" i="7"/>
  <c r="S261" i="7"/>
  <c r="S78" i="7"/>
  <c r="S340" i="7"/>
  <c r="S115" i="2"/>
  <c r="R115" i="2"/>
  <c r="S351" i="7"/>
  <c r="S325" i="7"/>
  <c r="S308" i="7"/>
  <c r="BM40" i="4"/>
  <c r="JZ39" i="4"/>
  <c r="JB39" i="4"/>
  <c r="S305" i="7"/>
  <c r="S160" i="7"/>
  <c r="R160" i="7"/>
  <c r="S131" i="7"/>
  <c r="R131" i="7"/>
  <c r="R122" i="7"/>
  <c r="S247" i="7"/>
  <c r="R247" i="7"/>
  <c r="S370" i="2"/>
  <c r="R370" i="2"/>
  <c r="R363" i="7"/>
  <c r="S21" i="2"/>
  <c r="R322" i="2"/>
  <c r="S83" i="7"/>
  <c r="R34" i="2"/>
  <c r="S107" i="2"/>
  <c r="R107" i="2"/>
  <c r="R84" i="2"/>
  <c r="S60" i="7"/>
  <c r="R175" i="2"/>
  <c r="S161" i="2"/>
  <c r="R161" i="2"/>
  <c r="R70" i="2"/>
  <c r="R53" i="2"/>
  <c r="S263" i="2"/>
  <c r="R263" i="2"/>
  <c r="S388" i="7"/>
  <c r="S229" i="7"/>
  <c r="R181" i="7"/>
  <c r="R144" i="7"/>
  <c r="R110" i="7"/>
  <c r="S125" i="7"/>
  <c r="R125" i="7"/>
  <c r="R232" i="7"/>
  <c r="S232" i="7"/>
  <c r="S86" i="7"/>
  <c r="R86" i="7"/>
  <c r="S40" i="4"/>
  <c r="AF39" i="4"/>
  <c r="S255" i="2"/>
  <c r="S69" i="7"/>
  <c r="R219" i="2"/>
  <c r="S187" i="2"/>
  <c r="R187" i="2"/>
  <c r="R104" i="2"/>
  <c r="S191" i="7"/>
  <c r="S246" i="7"/>
  <c r="T246" i="7" s="1"/>
  <c r="R242" i="2"/>
  <c r="R319" i="2"/>
  <c r="R75" i="7"/>
  <c r="R12" i="2"/>
  <c r="S17" i="2"/>
  <c r="R17" i="2"/>
  <c r="S212" i="2"/>
  <c r="R212" i="2"/>
  <c r="R86" i="2"/>
  <c r="R47" i="2"/>
  <c r="S51" i="7"/>
  <c r="S56" i="7"/>
  <c r="S182" i="7"/>
  <c r="R182" i="7"/>
  <c r="S279" i="2"/>
  <c r="R279" i="2"/>
  <c r="S280" i="7"/>
  <c r="S129" i="7"/>
  <c r="S109" i="7"/>
  <c r="R64" i="2"/>
  <c r="R168" i="2"/>
  <c r="S168" i="2"/>
  <c r="S52" i="2"/>
  <c r="R52" i="2"/>
  <c r="T9" i="7"/>
  <c r="S10" i="7"/>
  <c r="S283" i="2"/>
  <c r="R283" i="2"/>
  <c r="S227" i="2"/>
  <c r="R227" i="2"/>
  <c r="R317" i="2"/>
  <c r="R354" i="7"/>
  <c r="S127" i="2"/>
  <c r="R127" i="2"/>
  <c r="S44" i="2"/>
  <c r="S332" i="2"/>
  <c r="R332" i="2"/>
  <c r="S65" i="2"/>
  <c r="R65" i="2"/>
  <c r="S210" i="7"/>
  <c r="S119" i="7"/>
  <c r="S68" i="2"/>
  <c r="R68" i="2"/>
  <c r="S83" i="2"/>
  <c r="R83" i="2"/>
  <c r="R121" i="7"/>
  <c r="S329" i="7"/>
  <c r="S276" i="7"/>
  <c r="S349" i="2"/>
  <c r="R349" i="2"/>
  <c r="R81" i="2"/>
  <c r="R59" i="2"/>
  <c r="S192" i="2"/>
  <c r="R192" i="2"/>
  <c r="S352" i="2"/>
  <c r="R352" i="2"/>
  <c r="S149" i="7"/>
  <c r="R149" i="7"/>
  <c r="R135" i="7"/>
  <c r="R142" i="7"/>
  <c r="R159" i="7"/>
  <c r="S199" i="7"/>
  <c r="R199" i="7"/>
  <c r="S140" i="2"/>
  <c r="R187" i="7"/>
  <c r="S134" i="2"/>
  <c r="R134" i="2"/>
  <c r="R94" i="2"/>
  <c r="S203" i="2"/>
  <c r="S366" i="2"/>
  <c r="S221" i="2"/>
  <c r="R221" i="2"/>
  <c r="R118" i="7"/>
  <c r="S241" i="7"/>
  <c r="S390" i="2"/>
  <c r="R390" i="2"/>
  <c r="S311" i="2"/>
  <c r="R311" i="2"/>
  <c r="S306" i="2"/>
  <c r="R306" i="2"/>
  <c r="R80" i="2"/>
  <c r="R145" i="2"/>
  <c r="S145" i="2"/>
  <c r="R147" i="2"/>
  <c r="S372" i="2"/>
  <c r="R372" i="2"/>
  <c r="R40" i="2"/>
  <c r="R66" i="2"/>
  <c r="S383" i="2"/>
  <c r="R383" i="2"/>
  <c r="R226" i="2"/>
  <c r="R197" i="2"/>
  <c r="R309" i="2"/>
  <c r="R140" i="7"/>
  <c r="R168" i="7"/>
  <c r="R166" i="7"/>
  <c r="S138" i="7"/>
  <c r="R138" i="7"/>
  <c r="S115" i="7"/>
  <c r="R115" i="7"/>
  <c r="R255" i="2"/>
  <c r="R288" i="7"/>
  <c r="S188" i="7"/>
  <c r="R44" i="2"/>
  <c r="R271" i="2"/>
  <c r="R331" i="2"/>
  <c r="R198" i="7"/>
  <c r="R199" i="2"/>
  <c r="R243" i="7"/>
  <c r="R278" i="2"/>
  <c r="R368" i="7"/>
  <c r="R343" i="7"/>
  <c r="R366" i="2"/>
  <c r="R51" i="2"/>
  <c r="R297" i="7"/>
  <c r="R82" i="2"/>
  <c r="S366" i="7"/>
  <c r="T366" i="7" s="1"/>
  <c r="R110" i="2"/>
  <c r="R32" i="2"/>
  <c r="R355" i="2"/>
  <c r="R8" i="2"/>
  <c r="R235" i="2"/>
  <c r="R101" i="2"/>
  <c r="R282" i="2"/>
  <c r="S110" i="2"/>
  <c r="S189" i="2"/>
  <c r="R189" i="2"/>
  <c r="R173" i="7"/>
  <c r="S177" i="7"/>
  <c r="R177" i="7"/>
  <c r="R130" i="7"/>
  <c r="R139" i="7"/>
  <c r="S165" i="7"/>
  <c r="R231" i="2"/>
  <c r="R312" i="7"/>
  <c r="S96" i="7"/>
  <c r="R324" i="2"/>
  <c r="S368" i="7"/>
  <c r="R238" i="2"/>
  <c r="S344" i="7"/>
  <c r="S251" i="7"/>
  <c r="S298" i="7"/>
  <c r="S258" i="7"/>
  <c r="R27" i="7"/>
  <c r="R160" i="2"/>
  <c r="R277" i="2"/>
  <c r="R380" i="2"/>
  <c r="R350" i="2"/>
  <c r="R375" i="2"/>
  <c r="R97" i="2"/>
  <c r="R261" i="7"/>
  <c r="R92" i="2"/>
  <c r="S92" i="2"/>
  <c r="R156" i="2"/>
  <c r="R176" i="2"/>
  <c r="S176" i="2"/>
  <c r="S143" i="7"/>
  <c r="R143" i="7"/>
  <c r="R136" i="7"/>
  <c r="R134" i="7"/>
  <c r="S374" i="7"/>
  <c r="R374" i="7"/>
  <c r="R113" i="2"/>
  <c r="S152" i="2"/>
  <c r="R152" i="2"/>
  <c r="R164" i="7"/>
  <c r="S203" i="7"/>
  <c r="S378" i="2"/>
  <c r="S121" i="2"/>
  <c r="R121" i="2"/>
  <c r="S313" i="7"/>
  <c r="AH39" i="4"/>
  <c r="AA40" i="4"/>
  <c r="R320" i="7"/>
  <c r="S78" i="2"/>
  <c r="R78" i="2"/>
  <c r="R153" i="2"/>
  <c r="S301" i="7"/>
  <c r="R218" i="2"/>
  <c r="S105" i="7"/>
  <c r="R236" i="2"/>
  <c r="S299" i="2"/>
  <c r="R299" i="2"/>
  <c r="R148" i="2"/>
  <c r="S358" i="2"/>
  <c r="R358" i="2"/>
  <c r="R310" i="2"/>
  <c r="R69" i="2"/>
  <c r="R295" i="2"/>
  <c r="R245" i="2"/>
  <c r="S245" i="2"/>
  <c r="S267" i="7"/>
  <c r="R379" i="2"/>
  <c r="R392" i="2"/>
  <c r="S48" i="7"/>
  <c r="S155" i="2"/>
  <c r="R155" i="2"/>
  <c r="S223" i="2"/>
  <c r="R223" i="2"/>
  <c r="R114" i="2"/>
  <c r="S169" i="7"/>
  <c r="R169" i="7"/>
  <c r="R148" i="7"/>
  <c r="R147" i="7"/>
  <c r="R126" i="7"/>
  <c r="R202" i="7"/>
  <c r="S185" i="2"/>
  <c r="S368" i="2"/>
  <c r="R368" i="2"/>
  <c r="BN38" i="4"/>
  <c r="JC38" i="4" s="1"/>
  <c r="KA38" i="4"/>
  <c r="S384" i="7"/>
  <c r="R293" i="2"/>
  <c r="S321" i="7"/>
  <c r="R213" i="2"/>
  <c r="S172" i="2"/>
  <c r="S293" i="7"/>
  <c r="R215" i="2"/>
  <c r="S219" i="2"/>
  <c r="S342" i="2"/>
  <c r="R342" i="2"/>
  <c r="R359" i="2"/>
  <c r="R163" i="2"/>
  <c r="S124" i="2"/>
  <c r="R124" i="2"/>
  <c r="S209" i="2"/>
  <c r="R209" i="2"/>
  <c r="R346" i="2"/>
  <c r="R6" i="2"/>
  <c r="S6" i="2"/>
  <c r="R5" i="2"/>
  <c r="R267" i="2"/>
  <c r="S391" i="7"/>
  <c r="R334" i="2"/>
  <c r="S387" i="2"/>
  <c r="R387" i="2"/>
  <c r="S123" i="7"/>
  <c r="R123" i="7"/>
  <c r="R180" i="7"/>
  <c r="R170" i="7"/>
  <c r="R109" i="7"/>
  <c r="R175" i="7"/>
  <c r="R23" i="7"/>
  <c r="S23" i="7"/>
  <c r="S59" i="2"/>
  <c r="S328" i="2"/>
  <c r="R328" i="2"/>
  <c r="R85" i="7"/>
  <c r="S33" i="2"/>
  <c r="R33" i="2"/>
  <c r="S355" i="2"/>
  <c r="R112" i="2"/>
  <c r="R292" i="7"/>
  <c r="R386" i="2"/>
  <c r="S48" i="2"/>
  <c r="R48" i="2"/>
  <c r="S102" i="7"/>
  <c r="S166" i="2"/>
  <c r="R166" i="2"/>
  <c r="R158" i="2"/>
  <c r="R118" i="2"/>
  <c r="R73" i="2"/>
  <c r="R265" i="2"/>
  <c r="S321" i="2"/>
  <c r="R321" i="2"/>
  <c r="R76" i="2"/>
  <c r="R126" i="2"/>
  <c r="R234" i="2"/>
  <c r="S234" i="2"/>
  <c r="R98" i="7"/>
  <c r="R113" i="7"/>
  <c r="S113" i="7"/>
  <c r="S154" i="7"/>
  <c r="R154" i="7"/>
  <c r="R183" i="7"/>
  <c r="S157" i="7"/>
  <c r="R157" i="7"/>
  <c r="R132" i="7"/>
  <c r="S31" i="7"/>
  <c r="R31" i="7"/>
  <c r="S335" i="7"/>
  <c r="R52" i="7"/>
  <c r="S238" i="7"/>
  <c r="R129" i="2"/>
  <c r="K41" i="4"/>
  <c r="AD40" i="4"/>
  <c r="R133" i="2"/>
  <c r="R246" i="7"/>
  <c r="R203" i="2"/>
  <c r="R269" i="2"/>
  <c r="S64" i="7"/>
  <c r="S289" i="2"/>
  <c r="R289" i="2"/>
  <c r="R262" i="2"/>
  <c r="S92" i="7"/>
  <c r="R151" i="2"/>
  <c r="R179" i="2"/>
  <c r="R150" i="2"/>
  <c r="S150" i="2"/>
  <c r="R89" i="2"/>
  <c r="S88" i="2"/>
  <c r="R88" i="2"/>
  <c r="R188" i="2"/>
  <c r="S195" i="2"/>
  <c r="R195" i="2"/>
  <c r="R344" i="2"/>
  <c r="S11" i="2"/>
  <c r="R351" i="2"/>
  <c r="R150" i="7"/>
  <c r="R162" i="7"/>
  <c r="S167" i="7"/>
  <c r="R167" i="7"/>
  <c r="R178" i="7"/>
  <c r="R124" i="7"/>
  <c r="S287" i="7"/>
  <c r="R287" i="7"/>
  <c r="S272" i="2"/>
  <c r="R272" i="2"/>
  <c r="S208" i="2"/>
  <c r="T208" i="2" s="1"/>
  <c r="R286" i="7"/>
  <c r="S37" i="2"/>
  <c r="S357" i="7"/>
  <c r="S198" i="2"/>
  <c r="R198" i="2"/>
  <c r="R15" i="2"/>
  <c r="R186" i="2"/>
  <c r="R387" i="7"/>
  <c r="R300" i="2"/>
  <c r="R280" i="2"/>
  <c r="R377" i="7"/>
  <c r="R336" i="2"/>
  <c r="R361" i="2"/>
  <c r="S381" i="7"/>
  <c r="R305" i="2"/>
  <c r="S99" i="2"/>
  <c r="R99" i="2"/>
  <c r="R46" i="2"/>
  <c r="S275" i="2"/>
  <c r="R251" i="2"/>
  <c r="S74" i="7"/>
  <c r="R297" i="2"/>
  <c r="R21" i="2"/>
  <c r="W40" i="4" l="1"/>
  <c r="AG39" i="4"/>
  <c r="T165" i="7"/>
  <c r="S166" i="7"/>
  <c r="T166" i="7" s="1"/>
  <c r="S18" i="7"/>
  <c r="T17" i="7"/>
  <c r="T167" i="7"/>
  <c r="S168" i="7"/>
  <c r="T168" i="7" s="1"/>
  <c r="T238" i="7"/>
  <c r="S239" i="7"/>
  <c r="S125" i="2"/>
  <c r="T384" i="7"/>
  <c r="S385" i="7"/>
  <c r="S224" i="2"/>
  <c r="S144" i="7"/>
  <c r="S299" i="7"/>
  <c r="T298" i="7"/>
  <c r="S130" i="7"/>
  <c r="T130" i="7" s="1"/>
  <c r="T129" i="7"/>
  <c r="S18" i="2"/>
  <c r="S256" i="2"/>
  <c r="T255" i="2"/>
  <c r="T83" i="7"/>
  <c r="S84" i="7"/>
  <c r="S181" i="2"/>
  <c r="S177" i="2"/>
  <c r="S222" i="2"/>
  <c r="T222" i="2" s="1"/>
  <c r="T221" i="2"/>
  <c r="S84" i="2"/>
  <c r="S264" i="2"/>
  <c r="T261" i="7"/>
  <c r="S262" i="7"/>
  <c r="T355" i="2"/>
  <c r="S356" i="2"/>
  <c r="S124" i="7"/>
  <c r="T124" i="7" s="1"/>
  <c r="S156" i="2"/>
  <c r="S300" i="2"/>
  <c r="S122" i="2"/>
  <c r="T251" i="7"/>
  <c r="S252" i="7"/>
  <c r="S373" i="2"/>
  <c r="S150" i="7"/>
  <c r="S281" i="7"/>
  <c r="T280" i="7"/>
  <c r="S41" i="4"/>
  <c r="AF40" i="4"/>
  <c r="S43" i="7"/>
  <c r="T42" i="7"/>
  <c r="S41" i="2"/>
  <c r="T40" i="2"/>
  <c r="T366" i="2"/>
  <c r="S367" i="2"/>
  <c r="T367" i="2" s="1"/>
  <c r="S259" i="7"/>
  <c r="T258" i="7"/>
  <c r="S69" i="2"/>
  <c r="JZ40" i="4"/>
  <c r="BM41" i="4"/>
  <c r="JB40" i="4"/>
  <c r="S379" i="2"/>
  <c r="T378" i="2"/>
  <c r="S353" i="2"/>
  <c r="S280" i="2"/>
  <c r="S87" i="7"/>
  <c r="T21" i="2"/>
  <c r="S22" i="2"/>
  <c r="DG237" i="7"/>
  <c r="DO244" i="7" s="1"/>
  <c r="DG199" i="7"/>
  <c r="DO201" i="7" s="1"/>
  <c r="DG218" i="7"/>
  <c r="DO220" i="7" s="1"/>
  <c r="DG180" i="7"/>
  <c r="DO182" i="7" s="1"/>
  <c r="DG123" i="7"/>
  <c r="DO125" i="7" s="1"/>
  <c r="DG142" i="7"/>
  <c r="DO144" i="7" s="1"/>
  <c r="DG161" i="7"/>
  <c r="DO163" i="7" s="1"/>
  <c r="DG85" i="7"/>
  <c r="DO87" i="7" s="1"/>
  <c r="DG104" i="7"/>
  <c r="DO106" i="7" s="1"/>
  <c r="DG66" i="7"/>
  <c r="DO68" i="7" s="1"/>
  <c r="DG47" i="7"/>
  <c r="DO49" i="7" s="1"/>
  <c r="CA28" i="7"/>
  <c r="CI30" i="7" s="1"/>
  <c r="DG28" i="7"/>
  <c r="DO30" i="7" s="1"/>
  <c r="DG9" i="7"/>
  <c r="DO11" i="7" s="1"/>
  <c r="CA9" i="7"/>
  <c r="CI11" i="7" s="1"/>
  <c r="S226" i="7"/>
  <c r="T225" i="7"/>
  <c r="S128" i="2"/>
  <c r="T37" i="2"/>
  <c r="S38" i="2"/>
  <c r="S345" i="7"/>
  <c r="T344" i="7"/>
  <c r="S204" i="2"/>
  <c r="T203" i="2"/>
  <c r="T119" i="7"/>
  <c r="S120" i="7"/>
  <c r="S284" i="2"/>
  <c r="S233" i="7"/>
  <c r="S162" i="2"/>
  <c r="S309" i="7"/>
  <c r="T308" i="7"/>
  <c r="AE40" i="4"/>
  <c r="O41" i="4"/>
  <c r="S339" i="2"/>
  <c r="S79" i="7"/>
  <c r="T78" i="7"/>
  <c r="T275" i="2"/>
  <c r="S276" i="2"/>
  <c r="T105" i="7"/>
  <c r="S106" i="7"/>
  <c r="S65" i="7"/>
  <c r="T64" i="7"/>
  <c r="S190" i="2"/>
  <c r="S139" i="7"/>
  <c r="S193" i="2"/>
  <c r="S11" i="7"/>
  <c r="T10" i="7"/>
  <c r="S183" i="7"/>
  <c r="T220" i="7"/>
  <c r="S221" i="7"/>
  <c r="S241" i="2"/>
  <c r="S208" i="7"/>
  <c r="T207" i="7"/>
  <c r="S388" i="2"/>
  <c r="S146" i="2"/>
  <c r="S34" i="2"/>
  <c r="S369" i="2"/>
  <c r="T369" i="2" s="1"/>
  <c r="T185" i="2"/>
  <c r="S186" i="2"/>
  <c r="T186" i="2" s="1"/>
  <c r="T367" i="7"/>
  <c r="S211" i="7"/>
  <c r="T210" i="7"/>
  <c r="S57" i="7"/>
  <c r="T56" i="7"/>
  <c r="S192" i="7"/>
  <c r="T191" i="7"/>
  <c r="T60" i="7"/>
  <c r="S61" i="7"/>
  <c r="S371" i="2"/>
  <c r="T371" i="2" s="1"/>
  <c r="S326" i="7"/>
  <c r="T325" i="7"/>
  <c r="S253" i="2"/>
  <c r="T252" i="2"/>
  <c r="T361" i="7"/>
  <c r="S362" i="7"/>
  <c r="S389" i="7"/>
  <c r="T388" i="7"/>
  <c r="S116" i="7"/>
  <c r="S196" i="2"/>
  <c r="S158" i="7"/>
  <c r="S329" i="2"/>
  <c r="T329" i="2" s="1"/>
  <c r="S302" i="7"/>
  <c r="T301" i="7"/>
  <c r="S369" i="7"/>
  <c r="T368" i="7"/>
  <c r="S111" i="2"/>
  <c r="T110" i="2"/>
  <c r="S307" i="2"/>
  <c r="S135" i="2"/>
  <c r="S126" i="7"/>
  <c r="T125" i="7"/>
  <c r="S104" i="2"/>
  <c r="T235" i="7"/>
  <c r="S236" i="7"/>
  <c r="S322" i="2"/>
  <c r="S382" i="7"/>
  <c r="T381" i="7"/>
  <c r="S268" i="7"/>
  <c r="T267" i="7"/>
  <c r="S60" i="2"/>
  <c r="T59" i="2"/>
  <c r="DM180" i="2"/>
  <c r="DU182" i="2" s="1"/>
  <c r="DM237" i="2"/>
  <c r="DU244" i="2" s="1"/>
  <c r="DM199" i="2"/>
  <c r="DU201" i="2" s="1"/>
  <c r="DM142" i="2"/>
  <c r="DU144" i="2" s="1"/>
  <c r="DM218" i="2"/>
  <c r="DU220" i="2" s="1"/>
  <c r="DM123" i="2"/>
  <c r="DU125" i="2" s="1"/>
  <c r="DM161" i="2"/>
  <c r="DU163" i="2" s="1"/>
  <c r="DM85" i="2"/>
  <c r="DU87" i="2" s="1"/>
  <c r="DM104" i="2"/>
  <c r="DU106" i="2" s="1"/>
  <c r="DM47" i="2"/>
  <c r="DU49" i="2" s="1"/>
  <c r="DM28" i="2"/>
  <c r="DU30" i="2" s="1"/>
  <c r="CC9" i="2"/>
  <c r="CK11" i="2" s="1"/>
  <c r="DM9" i="2"/>
  <c r="DU11" i="2" s="1"/>
  <c r="DM66" i="2"/>
  <c r="DU68" i="2" s="1"/>
  <c r="CC28" i="2"/>
  <c r="CK30" i="2" s="1"/>
  <c r="T293" i="7"/>
  <c r="S294" i="7"/>
  <c r="S246" i="2"/>
  <c r="T152" i="2"/>
  <c r="S153" i="2"/>
  <c r="S66" i="2"/>
  <c r="S53" i="2"/>
  <c r="S52" i="7"/>
  <c r="T51" i="7"/>
  <c r="T247" i="7"/>
  <c r="S248" i="7"/>
  <c r="S352" i="7"/>
  <c r="T351" i="7"/>
  <c r="S214" i="7"/>
  <c r="T213" i="7"/>
  <c r="S174" i="7"/>
  <c r="T173" i="7"/>
  <c r="S273" i="2"/>
  <c r="S167" i="2"/>
  <c r="T167" i="2" s="1"/>
  <c r="S7" i="2"/>
  <c r="T6" i="2"/>
  <c r="S312" i="2"/>
  <c r="S350" i="2"/>
  <c r="S169" i="2"/>
  <c r="T168" i="2"/>
  <c r="S75" i="2"/>
  <c r="S359" i="2"/>
  <c r="S358" i="7"/>
  <c r="T357" i="7"/>
  <c r="S228" i="2"/>
  <c r="T11" i="2"/>
  <c r="S12" i="2"/>
  <c r="S290" i="2"/>
  <c r="T219" i="2"/>
  <c r="S220" i="2"/>
  <c r="T220" i="2" s="1"/>
  <c r="T391" i="7"/>
  <c r="S392" i="7"/>
  <c r="S79" i="2"/>
  <c r="T96" i="7"/>
  <c r="S97" i="7"/>
  <c r="S141" i="2"/>
  <c r="T140" i="2"/>
  <c r="S333" i="2"/>
  <c r="S188" i="2"/>
  <c r="T188" i="2" s="1"/>
  <c r="S116" i="2"/>
  <c r="T330" i="2"/>
  <c r="S331" i="2"/>
  <c r="T331" i="2" s="1"/>
  <c r="T27" i="2"/>
  <c r="S28" i="2"/>
  <c r="S195" i="7"/>
  <c r="T194" i="7"/>
  <c r="S235" i="2"/>
  <c r="S189" i="7"/>
  <c r="T188" i="7"/>
  <c r="S199" i="2"/>
  <c r="S93" i="7"/>
  <c r="T92" i="7"/>
  <c r="S336" i="7"/>
  <c r="T335" i="7"/>
  <c r="T48" i="7"/>
  <c r="S49" i="7"/>
  <c r="S178" i="7"/>
  <c r="S343" i="2"/>
  <c r="S93" i="2"/>
  <c r="T203" i="7"/>
  <c r="S204" i="7"/>
  <c r="S89" i="2"/>
  <c r="S103" i="7"/>
  <c r="T102" i="7"/>
  <c r="S288" i="7"/>
  <c r="S375" i="7"/>
  <c r="S391" i="2"/>
  <c r="S277" i="7"/>
  <c r="T276" i="7"/>
  <c r="T44" i="2"/>
  <c r="S45" i="2"/>
  <c r="S230" i="7"/>
  <c r="T229" i="7"/>
  <c r="S108" i="2"/>
  <c r="S132" i="7"/>
  <c r="T131" i="7"/>
  <c r="S29" i="7"/>
  <c r="S314" i="7"/>
  <c r="T313" i="7"/>
  <c r="S306" i="7"/>
  <c r="T305" i="7"/>
  <c r="S333" i="7"/>
  <c r="T332" i="7"/>
  <c r="S100" i="2"/>
  <c r="S32" i="7"/>
  <c r="S24" i="7"/>
  <c r="S75" i="7"/>
  <c r="T74" i="7"/>
  <c r="S151" i="2"/>
  <c r="T151" i="2" s="1"/>
  <c r="AD41" i="4"/>
  <c r="K42" i="4"/>
  <c r="S200" i="7"/>
  <c r="S330" i="7"/>
  <c r="T329" i="7"/>
  <c r="T109" i="7"/>
  <c r="S110" i="7"/>
  <c r="S341" i="7"/>
  <c r="T340" i="7"/>
  <c r="S155" i="7"/>
  <c r="T172" i="2"/>
  <c r="S173" i="2"/>
  <c r="S114" i="7"/>
  <c r="T114" i="7" s="1"/>
  <c r="T169" i="7"/>
  <c r="S170" i="7"/>
  <c r="AA41" i="4"/>
  <c r="AH40" i="4"/>
  <c r="S49" i="2"/>
  <c r="S210" i="2"/>
  <c r="T209" i="2"/>
  <c r="T321" i="7"/>
  <c r="S322" i="7"/>
  <c r="BN39" i="4"/>
  <c r="JC39" i="4" s="1"/>
  <c r="KA39" i="4"/>
  <c r="S384" i="2"/>
  <c r="S242" i="7"/>
  <c r="T241" i="7"/>
  <c r="S213" i="2"/>
  <c r="T69" i="7"/>
  <c r="S70" i="7"/>
  <c r="S161" i="7"/>
  <c r="AG40" i="4" l="1"/>
  <c r="W41" i="4"/>
  <c r="T359" i="2"/>
  <c r="S360" i="2"/>
  <c r="T208" i="7"/>
  <c r="T209" i="7"/>
  <c r="S175" i="7"/>
  <c r="T174" i="7"/>
  <c r="T115" i="7"/>
  <c r="T241" i="2"/>
  <c r="S242" i="2"/>
  <c r="S107" i="7"/>
  <c r="T106" i="7"/>
  <c r="T284" i="2"/>
  <c r="S285" i="2"/>
  <c r="T87" i="7"/>
  <c r="S88" i="7"/>
  <c r="T300" i="2"/>
  <c r="S301" i="2"/>
  <c r="T223" i="2"/>
  <c r="T49" i="2"/>
  <c r="S50" i="2"/>
  <c r="T65" i="7"/>
  <c r="S66" i="7"/>
  <c r="T235" i="2"/>
  <c r="S236" i="2"/>
  <c r="T70" i="7"/>
  <c r="S71" i="7"/>
  <c r="S76" i="2"/>
  <c r="T75" i="2"/>
  <c r="T294" i="7"/>
  <c r="S295" i="7"/>
  <c r="S136" i="2"/>
  <c r="T135" i="2"/>
  <c r="S117" i="7"/>
  <c r="T116" i="7"/>
  <c r="T57" i="7"/>
  <c r="S58" i="7"/>
  <c r="T41" i="2"/>
  <c r="S42" i="2"/>
  <c r="S178" i="2"/>
  <c r="T177" i="2"/>
  <c r="T224" i="2"/>
  <c r="S225" i="2"/>
  <c r="T189" i="7"/>
  <c r="T190" i="7"/>
  <c r="S127" i="7"/>
  <c r="T126" i="7"/>
  <c r="T192" i="7"/>
  <c r="T193" i="7"/>
  <c r="KA40" i="4"/>
  <c r="BN40" i="4"/>
  <c r="JC40" i="4" s="1"/>
  <c r="AH41" i="4"/>
  <c r="AA42" i="4"/>
  <c r="T330" i="7"/>
  <c r="T331" i="7"/>
  <c r="T333" i="7"/>
  <c r="T334" i="7"/>
  <c r="S278" i="7"/>
  <c r="T277" i="7"/>
  <c r="S344" i="2"/>
  <c r="T343" i="2"/>
  <c r="S196" i="7"/>
  <c r="T195" i="7"/>
  <c r="S80" i="2"/>
  <c r="T79" i="2"/>
  <c r="S215" i="7"/>
  <c r="T214" i="7"/>
  <c r="T307" i="2"/>
  <c r="S308" i="2"/>
  <c r="T211" i="7"/>
  <c r="T212" i="7"/>
  <c r="S222" i="7"/>
  <c r="T221" i="7"/>
  <c r="S277" i="2"/>
  <c r="T276" i="2"/>
  <c r="T120" i="7"/>
  <c r="S121" i="7"/>
  <c r="T280" i="2"/>
  <c r="S281" i="2"/>
  <c r="T385" i="7"/>
  <c r="S386" i="7"/>
  <c r="S359" i="7"/>
  <c r="T358" i="7"/>
  <c r="S145" i="7"/>
  <c r="T144" i="7"/>
  <c r="S94" i="2"/>
  <c r="T93" i="2"/>
  <c r="S214" i="2"/>
  <c r="T213" i="2"/>
  <c r="T170" i="7"/>
  <c r="S171" i="7"/>
  <c r="S201" i="7"/>
  <c r="T200" i="7"/>
  <c r="T178" i="7"/>
  <c r="S179" i="7"/>
  <c r="S29" i="2"/>
  <c r="T28" i="2"/>
  <c r="T392" i="7"/>
  <c r="S393" i="7"/>
  <c r="S61" i="2"/>
  <c r="T60" i="2"/>
  <c r="T389" i="7"/>
  <c r="T390" i="7"/>
  <c r="T353" i="2"/>
  <c r="T354" i="2"/>
  <c r="T43" i="7"/>
  <c r="S44" i="7"/>
  <c r="S157" i="2"/>
  <c r="T156" i="2"/>
  <c r="T181" i="2"/>
  <c r="S182" i="2"/>
  <c r="T306" i="7"/>
  <c r="T307" i="7"/>
  <c r="S85" i="7"/>
  <c r="T84" i="7"/>
  <c r="T125" i="2"/>
  <c r="S126" i="2"/>
  <c r="S269" i="7"/>
  <c r="T268" i="7"/>
  <c r="S112" i="2"/>
  <c r="T111" i="2"/>
  <c r="S80" i="7"/>
  <c r="T79" i="7"/>
  <c r="T204" i="2"/>
  <c r="S205" i="2"/>
  <c r="S42" i="4"/>
  <c r="AF41" i="4"/>
  <c r="S231" i="7"/>
  <c r="T230" i="7"/>
  <c r="S111" i="7"/>
  <c r="T110" i="7"/>
  <c r="T246" i="2"/>
  <c r="S247" i="2"/>
  <c r="S376" i="7"/>
  <c r="T375" i="7"/>
  <c r="S351" i="2"/>
  <c r="T350" i="2"/>
  <c r="T368" i="2"/>
  <c r="T339" i="2"/>
  <c r="S340" i="2"/>
  <c r="T379" i="2"/>
  <c r="S380" i="2"/>
  <c r="S357" i="2"/>
  <c r="T356" i="2"/>
  <c r="T239" i="7"/>
  <c r="T240" i="7"/>
  <c r="T233" i="7"/>
  <c r="T234" i="7"/>
  <c r="S162" i="7"/>
  <c r="T161" i="7"/>
  <c r="T100" i="2"/>
  <c r="S101" i="2"/>
  <c r="S249" i="7"/>
  <c r="T248" i="7"/>
  <c r="S30" i="7"/>
  <c r="T29" i="7"/>
  <c r="S289" i="7"/>
  <c r="T288" i="7"/>
  <c r="T290" i="2"/>
  <c r="S291" i="2"/>
  <c r="T382" i="7"/>
  <c r="T383" i="7"/>
  <c r="S370" i="7"/>
  <c r="T369" i="7"/>
  <c r="T253" i="2"/>
  <c r="T254" i="2"/>
  <c r="S12" i="7"/>
  <c r="T11" i="7"/>
  <c r="T345" i="7"/>
  <c r="S346" i="7"/>
  <c r="S282" i="7"/>
  <c r="T281" i="7"/>
  <c r="T256" i="2"/>
  <c r="S257" i="2"/>
  <c r="S211" i="2"/>
  <c r="T210" i="2"/>
  <c r="T391" i="2"/>
  <c r="S392" i="2"/>
  <c r="T314" i="7"/>
  <c r="S315" i="7"/>
  <c r="T173" i="2"/>
  <c r="S174" i="2"/>
  <c r="T384" i="2"/>
  <c r="S385" i="2"/>
  <c r="S337" i="7"/>
  <c r="T336" i="7"/>
  <c r="T116" i="2"/>
  <c r="S117" i="2"/>
  <c r="T312" i="2"/>
  <c r="S313" i="2"/>
  <c r="T52" i="7"/>
  <c r="S53" i="7"/>
  <c r="T322" i="2"/>
  <c r="S323" i="2"/>
  <c r="S35" i="2"/>
  <c r="T34" i="2"/>
  <c r="AE41" i="4"/>
  <c r="O42" i="4"/>
  <c r="T38" i="2"/>
  <c r="T39" i="2"/>
  <c r="JZ41" i="4"/>
  <c r="BM42" i="4"/>
  <c r="JB41" i="4"/>
  <c r="S263" i="7"/>
  <c r="T262" i="7"/>
  <c r="T18" i="2"/>
  <c r="S19" i="2"/>
  <c r="S46" i="2"/>
  <c r="T45" i="2"/>
  <c r="S243" i="7"/>
  <c r="T242" i="7"/>
  <c r="S303" i="7"/>
  <c r="T302" i="7"/>
  <c r="S327" i="7"/>
  <c r="T326" i="7"/>
  <c r="T193" i="2"/>
  <c r="S194" i="2"/>
  <c r="T150" i="7"/>
  <c r="S151" i="7"/>
  <c r="S170" i="2"/>
  <c r="T169" i="2"/>
  <c r="T236" i="7"/>
  <c r="T237" i="7"/>
  <c r="T128" i="2"/>
  <c r="S129" i="2"/>
  <c r="T69" i="2"/>
  <c r="S70" i="2"/>
  <c r="S374" i="2"/>
  <c r="T373" i="2"/>
  <c r="S265" i="2"/>
  <c r="T264" i="2"/>
  <c r="S98" i="7"/>
  <c r="T97" i="7"/>
  <c r="S353" i="7"/>
  <c r="T352" i="7"/>
  <c r="S363" i="7"/>
  <c r="T362" i="7"/>
  <c r="T49" i="7"/>
  <c r="T50" i="7"/>
  <c r="S13" i="2"/>
  <c r="T12" i="2"/>
  <c r="T103" i="7"/>
  <c r="T104" i="7"/>
  <c r="T24" i="7"/>
  <c r="S25" i="7"/>
  <c r="S90" i="2"/>
  <c r="T89" i="2"/>
  <c r="T199" i="2"/>
  <c r="S200" i="2"/>
  <c r="S334" i="2"/>
  <c r="T333" i="2"/>
  <c r="S229" i="2"/>
  <c r="T228" i="2"/>
  <c r="S67" i="2"/>
  <c r="T66" i="2"/>
  <c r="T370" i="2"/>
  <c r="S147" i="2"/>
  <c r="T146" i="2"/>
  <c r="T139" i="7"/>
  <c r="S140" i="7"/>
  <c r="S310" i="7"/>
  <c r="T309" i="7"/>
  <c r="T372" i="2"/>
  <c r="S19" i="7"/>
  <c r="T18" i="7"/>
  <c r="S142" i="2"/>
  <c r="T141" i="2"/>
  <c r="AD42" i="4"/>
  <c r="K43" i="4"/>
  <c r="S54" i="2"/>
  <c r="T53" i="2"/>
  <c r="T158" i="7"/>
  <c r="S159" i="7"/>
  <c r="S62" i="7"/>
  <c r="T61" i="7"/>
  <c r="T189" i="2"/>
  <c r="T252" i="7"/>
  <c r="S253" i="7"/>
  <c r="T196" i="2"/>
  <c r="S197" i="2"/>
  <c r="S123" i="2"/>
  <c r="T122" i="2"/>
  <c r="S184" i="7"/>
  <c r="T183" i="7"/>
  <c r="S156" i="7"/>
  <c r="T155" i="7"/>
  <c r="T75" i="7"/>
  <c r="S76" i="7"/>
  <c r="T132" i="7"/>
  <c r="S133" i="7"/>
  <c r="S94" i="7"/>
  <c r="T93" i="7"/>
  <c r="T187" i="2"/>
  <c r="S8" i="2"/>
  <c r="T7" i="2"/>
  <c r="S323" i="7"/>
  <c r="T322" i="7"/>
  <c r="S342" i="7"/>
  <c r="T341" i="7"/>
  <c r="T108" i="2"/>
  <c r="T109" i="2"/>
  <c r="T332" i="2"/>
  <c r="S33" i="7"/>
  <c r="T32" i="7"/>
  <c r="S205" i="7"/>
  <c r="T204" i="7"/>
  <c r="T273" i="2"/>
  <c r="T274" i="2"/>
  <c r="T153" i="2"/>
  <c r="S154" i="2"/>
  <c r="S105" i="2"/>
  <c r="T104" i="2"/>
  <c r="T388" i="2"/>
  <c r="S389" i="2"/>
  <c r="T190" i="2"/>
  <c r="S191" i="2"/>
  <c r="T162" i="2"/>
  <c r="S163" i="2"/>
  <c r="S227" i="7"/>
  <c r="T226" i="7"/>
  <c r="T22" i="2"/>
  <c r="S23" i="2"/>
  <c r="T259" i="7"/>
  <c r="T260" i="7"/>
  <c r="T84" i="2"/>
  <c r="S85" i="2"/>
  <c r="T299" i="7"/>
  <c r="T300" i="7"/>
  <c r="W42" i="4" l="1"/>
  <c r="AG41" i="4"/>
  <c r="T182" i="2"/>
  <c r="S183" i="2"/>
  <c r="T123" i="2"/>
  <c r="T124" i="2"/>
  <c r="T142" i="2"/>
  <c r="S143" i="2"/>
  <c r="T170" i="2"/>
  <c r="T171" i="2"/>
  <c r="S264" i="7"/>
  <c r="T263" i="7"/>
  <c r="S381" i="2"/>
  <c r="T380" i="2"/>
  <c r="AF42" i="4"/>
  <c r="S43" i="4"/>
  <c r="S180" i="7"/>
  <c r="T179" i="7"/>
  <c r="T281" i="2"/>
  <c r="S282" i="2"/>
  <c r="T295" i="7"/>
  <c r="S296" i="7"/>
  <c r="S118" i="2"/>
  <c r="T117" i="2"/>
  <c r="S290" i="7"/>
  <c r="T289" i="7"/>
  <c r="S206" i="2"/>
  <c r="T205" i="2"/>
  <c r="T196" i="7"/>
  <c r="S197" i="7"/>
  <c r="T127" i="7"/>
  <c r="T128" i="7"/>
  <c r="S286" i="2"/>
  <c r="T285" i="2"/>
  <c r="S364" i="7"/>
  <c r="T363" i="7"/>
  <c r="T80" i="2"/>
  <c r="S81" i="2"/>
  <c r="S201" i="2"/>
  <c r="T200" i="2"/>
  <c r="JB42" i="4"/>
  <c r="JZ42" i="4"/>
  <c r="BM43" i="4"/>
  <c r="S283" i="7"/>
  <c r="T282" i="7"/>
  <c r="T340" i="2"/>
  <c r="S341" i="2"/>
  <c r="S158" i="2"/>
  <c r="T157" i="2"/>
  <c r="S122" i="7"/>
  <c r="T121" i="7"/>
  <c r="S89" i="7"/>
  <c r="T88" i="7"/>
  <c r="T154" i="2"/>
  <c r="T155" i="2"/>
  <c r="S347" i="7"/>
  <c r="T346" i="7"/>
  <c r="T30" i="7"/>
  <c r="T31" i="7"/>
  <c r="T44" i="7"/>
  <c r="S45" i="7"/>
  <c r="T201" i="7"/>
  <c r="T202" i="7"/>
  <c r="T344" i="2"/>
  <c r="S345" i="2"/>
  <c r="S77" i="2"/>
  <c r="T76" i="2"/>
  <c r="S152" i="7"/>
  <c r="T151" i="7"/>
  <c r="T337" i="7"/>
  <c r="S338" i="7"/>
  <c r="S81" i="7"/>
  <c r="T80" i="7"/>
  <c r="T171" i="7"/>
  <c r="T172" i="7"/>
  <c r="T225" i="2"/>
  <c r="S226" i="2"/>
  <c r="S72" i="7"/>
  <c r="T71" i="7"/>
  <c r="T107" i="7"/>
  <c r="T108" i="7"/>
  <c r="S335" i="2"/>
  <c r="T334" i="2"/>
  <c r="T8" i="2"/>
  <c r="S9" i="2"/>
  <c r="S311" i="7"/>
  <c r="T310" i="7"/>
  <c r="S91" i="2"/>
  <c r="T90" i="2"/>
  <c r="T265" i="2"/>
  <c r="S266" i="2"/>
  <c r="S386" i="2"/>
  <c r="T385" i="2"/>
  <c r="T249" i="7"/>
  <c r="T250" i="7"/>
  <c r="S278" i="2"/>
  <c r="T277" i="2"/>
  <c r="T278" i="7"/>
  <c r="T279" i="7"/>
  <c r="S243" i="2"/>
  <c r="T242" i="2"/>
  <c r="T357" i="2"/>
  <c r="T358" i="2"/>
  <c r="T353" i="7"/>
  <c r="S354" i="7"/>
  <c r="T205" i="7"/>
  <c r="T206" i="7"/>
  <c r="T94" i="7"/>
  <c r="T95" i="7"/>
  <c r="T140" i="7"/>
  <c r="S141" i="7"/>
  <c r="S26" i="7"/>
  <c r="T25" i="7"/>
  <c r="O43" i="4"/>
  <c r="AE42" i="4"/>
  <c r="S13" i="7"/>
  <c r="T12" i="7"/>
  <c r="T101" i="2"/>
  <c r="S102" i="2"/>
  <c r="T351" i="2"/>
  <c r="T352" i="2"/>
  <c r="S113" i="2"/>
  <c r="T112" i="2"/>
  <c r="T236" i="2"/>
  <c r="S237" i="2"/>
  <c r="T313" i="2"/>
  <c r="S314" i="2"/>
  <c r="S134" i="7"/>
  <c r="T133" i="7"/>
  <c r="S175" i="2"/>
  <c r="T174" i="2"/>
  <c r="S215" i="2"/>
  <c r="T214" i="2"/>
  <c r="S223" i="7"/>
  <c r="T222" i="7"/>
  <c r="S179" i="2"/>
  <c r="T178" i="2"/>
  <c r="S230" i="2"/>
  <c r="T229" i="2"/>
  <c r="S20" i="7"/>
  <c r="T19" i="7"/>
  <c r="S375" i="2"/>
  <c r="T374" i="2"/>
  <c r="T327" i="7"/>
  <c r="T328" i="7"/>
  <c r="T227" i="7"/>
  <c r="T228" i="7"/>
  <c r="S34" i="7"/>
  <c r="T33" i="7"/>
  <c r="T62" i="7"/>
  <c r="T63" i="7"/>
  <c r="T70" i="2"/>
  <c r="S71" i="2"/>
  <c r="S377" i="7"/>
  <c r="T376" i="7"/>
  <c r="T269" i="7"/>
  <c r="S270" i="7"/>
  <c r="T42" i="2"/>
  <c r="T43" i="2"/>
  <c r="S67" i="7"/>
  <c r="T66" i="7"/>
  <c r="T136" i="2"/>
  <c r="S137" i="2"/>
  <c r="T159" i="7"/>
  <c r="T160" i="7"/>
  <c r="T147" i="2"/>
  <c r="S148" i="2"/>
  <c r="T303" i="7"/>
  <c r="T304" i="7"/>
  <c r="T35" i="2"/>
  <c r="T36" i="2"/>
  <c r="S316" i="7"/>
  <c r="T315" i="7"/>
  <c r="T162" i="7"/>
  <c r="S163" i="7"/>
  <c r="T247" i="2"/>
  <c r="S248" i="2"/>
  <c r="T126" i="2"/>
  <c r="T127" i="2"/>
  <c r="S95" i="2"/>
  <c r="T94" i="2"/>
  <c r="S176" i="7"/>
  <c r="T175" i="7"/>
  <c r="T342" i="7"/>
  <c r="T343" i="7"/>
  <c r="T29" i="2"/>
  <c r="S30" i="2"/>
  <c r="S99" i="7"/>
  <c r="T98" i="7"/>
  <c r="S130" i="2"/>
  <c r="T129" i="2"/>
  <c r="S244" i="7"/>
  <c r="T243" i="7"/>
  <c r="T308" i="2"/>
  <c r="S309" i="2"/>
  <c r="AA43" i="4"/>
  <c r="AH42" i="4"/>
  <c r="T58" i="7"/>
  <c r="T59" i="7"/>
  <c r="S51" i="2"/>
  <c r="T50" i="2"/>
  <c r="T257" i="2"/>
  <c r="S258" i="2"/>
  <c r="S14" i="2"/>
  <c r="T13" i="2"/>
  <c r="T323" i="2"/>
  <c r="S324" i="2"/>
  <c r="S393" i="2"/>
  <c r="T392" i="2"/>
  <c r="S371" i="7"/>
  <c r="T370" i="7"/>
  <c r="S62" i="2"/>
  <c r="T61" i="2"/>
  <c r="S146" i="7"/>
  <c r="T145" i="7"/>
  <c r="BN41" i="4"/>
  <c r="JC41" i="4" s="1"/>
  <c r="KA41" i="4"/>
  <c r="T323" i="7"/>
  <c r="T324" i="7"/>
  <c r="T253" i="7"/>
  <c r="S254" i="7"/>
  <c r="T194" i="2"/>
  <c r="T195" i="2"/>
  <c r="S164" i="2"/>
  <c r="T163" i="2"/>
  <c r="T76" i="7"/>
  <c r="T77" i="7"/>
  <c r="T191" i="2"/>
  <c r="T192" i="2"/>
  <c r="T156" i="7"/>
  <c r="T157" i="7"/>
  <c r="T54" i="2"/>
  <c r="S55" i="2"/>
  <c r="S47" i="2"/>
  <c r="T46" i="2"/>
  <c r="T111" i="7"/>
  <c r="S112" i="7"/>
  <c r="T85" i="7"/>
  <c r="T86" i="7"/>
  <c r="T393" i="7"/>
  <c r="S394" i="7"/>
  <c r="S361" i="2"/>
  <c r="T360" i="2"/>
  <c r="T105" i="2"/>
  <c r="S106" i="2"/>
  <c r="S24" i="2"/>
  <c r="T23" i="2"/>
  <c r="T67" i="2"/>
  <c r="T68" i="2"/>
  <c r="T19" i="2"/>
  <c r="T20" i="2"/>
  <c r="S54" i="7"/>
  <c r="T53" i="7"/>
  <c r="T359" i="7"/>
  <c r="T360" i="7"/>
  <c r="T215" i="7"/>
  <c r="S216" i="7"/>
  <c r="T117" i="7"/>
  <c r="T118" i="7"/>
  <c r="S302" i="2"/>
  <c r="T301" i="2"/>
  <c r="S86" i="2"/>
  <c r="T85" i="2"/>
  <c r="T197" i="2"/>
  <c r="T198" i="2"/>
  <c r="T389" i="2"/>
  <c r="T390" i="2"/>
  <c r="K44" i="4"/>
  <c r="AD43" i="4"/>
  <c r="T184" i="7"/>
  <c r="S185" i="7"/>
  <c r="T211" i="2"/>
  <c r="T212" i="2"/>
  <c r="T291" i="2"/>
  <c r="S292" i="2"/>
  <c r="T231" i="7"/>
  <c r="T232" i="7"/>
  <c r="T386" i="7"/>
  <c r="T387" i="7"/>
  <c r="W43" i="4" l="1"/>
  <c r="AG42" i="4"/>
  <c r="T248" i="2"/>
  <c r="S249" i="2"/>
  <c r="S14" i="7"/>
  <c r="T13" i="7"/>
  <c r="T386" i="2"/>
  <c r="T387" i="2"/>
  <c r="T226" i="2"/>
  <c r="T227" i="2"/>
  <c r="T341" i="2"/>
  <c r="T342" i="2"/>
  <c r="AF43" i="4"/>
  <c r="S44" i="4"/>
  <c r="T67" i="7"/>
  <c r="T68" i="7"/>
  <c r="T243" i="2"/>
  <c r="S244" i="2"/>
  <c r="S46" i="7"/>
  <c r="T45" i="7"/>
  <c r="S267" i="2"/>
  <c r="T266" i="2"/>
  <c r="BM44" i="4"/>
  <c r="JZ43" i="4"/>
  <c r="JB43" i="4"/>
  <c r="T175" i="2"/>
  <c r="T176" i="2"/>
  <c r="T375" i="2"/>
  <c r="S376" i="2"/>
  <c r="T314" i="2"/>
  <c r="S315" i="2"/>
  <c r="S27" i="7"/>
  <c r="T26" i="7"/>
  <c r="T278" i="2"/>
  <c r="T279" i="2"/>
  <c r="T91" i="2"/>
  <c r="T92" i="2"/>
  <c r="T81" i="7"/>
  <c r="T82" i="7"/>
  <c r="T206" i="2"/>
  <c r="T207" i="2"/>
  <c r="S265" i="7"/>
  <c r="T264" i="7"/>
  <c r="T244" i="7"/>
  <c r="T245" i="7"/>
  <c r="T163" i="7"/>
  <c r="T164" i="7"/>
  <c r="S198" i="7"/>
  <c r="T197" i="7"/>
  <c r="T270" i="7"/>
  <c r="S271" i="7"/>
  <c r="T106" i="2"/>
  <c r="T107" i="2"/>
  <c r="S259" i="2"/>
  <c r="T258" i="2"/>
  <c r="S31" i="2"/>
  <c r="T30" i="2"/>
  <c r="S142" i="7"/>
  <c r="T141" i="7"/>
  <c r="T338" i="7"/>
  <c r="T339" i="7"/>
  <c r="S348" i="7"/>
  <c r="T347" i="7"/>
  <c r="S378" i="7"/>
  <c r="T377" i="7"/>
  <c r="S21" i="7"/>
  <c r="T20" i="7"/>
  <c r="T237" i="2"/>
  <c r="S238" i="2"/>
  <c r="T311" i="7"/>
  <c r="T312" i="7"/>
  <c r="T290" i="7"/>
  <c r="S291" i="7"/>
  <c r="T47" i="2"/>
  <c r="T48" i="2"/>
  <c r="T9" i="2"/>
  <c r="T10" i="2"/>
  <c r="S255" i="7"/>
  <c r="T254" i="7"/>
  <c r="S303" i="2"/>
  <c r="T302" i="2"/>
  <c r="S147" i="7"/>
  <c r="T146" i="7"/>
  <c r="T216" i="7"/>
  <c r="S217" i="7"/>
  <c r="S362" i="2"/>
  <c r="T361" i="2"/>
  <c r="T51" i="2"/>
  <c r="T52" i="2"/>
  <c r="T71" i="2"/>
  <c r="S72" i="2"/>
  <c r="S231" i="2"/>
  <c r="T230" i="2"/>
  <c r="T201" i="2"/>
  <c r="T202" i="2"/>
  <c r="T118" i="2"/>
  <c r="S119" i="2"/>
  <c r="T143" i="2"/>
  <c r="S144" i="2"/>
  <c r="S131" i="2"/>
  <c r="T130" i="2"/>
  <c r="T394" i="7"/>
  <c r="S395" i="7"/>
  <c r="T395" i="7" s="1"/>
  <c r="S63" i="2"/>
  <c r="T62" i="2"/>
  <c r="T148" i="2"/>
  <c r="S149" i="2"/>
  <c r="S114" i="2"/>
  <c r="T113" i="2"/>
  <c r="S153" i="7"/>
  <c r="T152" i="7"/>
  <c r="T81" i="2"/>
  <c r="S82" i="2"/>
  <c r="T296" i="7"/>
  <c r="T297" i="7"/>
  <c r="S284" i="7"/>
  <c r="T283" i="7"/>
  <c r="S87" i="2"/>
  <c r="T86" i="2"/>
  <c r="S317" i="7"/>
  <c r="T316" i="7"/>
  <c r="T176" i="7"/>
  <c r="T177" i="7"/>
  <c r="T179" i="2"/>
  <c r="T180" i="2"/>
  <c r="S336" i="2"/>
  <c r="T335" i="2"/>
  <c r="T89" i="7"/>
  <c r="S90" i="7"/>
  <c r="S382" i="2"/>
  <c r="T381" i="2"/>
  <c r="S56" i="2"/>
  <c r="T55" i="2"/>
  <c r="T134" i="7"/>
  <c r="S135" i="7"/>
  <c r="T99" i="7"/>
  <c r="S100" i="7"/>
  <c r="BN42" i="4"/>
  <c r="JC42" i="4" s="1"/>
  <c r="KA42" i="4"/>
  <c r="S355" i="7"/>
  <c r="T354" i="7"/>
  <c r="T77" i="2"/>
  <c r="T78" i="2"/>
  <c r="T282" i="2"/>
  <c r="T283" i="2"/>
  <c r="O44" i="4"/>
  <c r="AE43" i="4"/>
  <c r="T14" i="2"/>
  <c r="S15" i="2"/>
  <c r="AA44" i="4"/>
  <c r="AH43" i="4"/>
  <c r="T95" i="2"/>
  <c r="S96" i="2"/>
  <c r="T223" i="7"/>
  <c r="T224" i="7"/>
  <c r="T102" i="2"/>
  <c r="T103" i="2"/>
  <c r="T345" i="2"/>
  <c r="S346" i="2"/>
  <c r="T122" i="7"/>
  <c r="T123" i="7"/>
  <c r="T364" i="7"/>
  <c r="T365" i="7"/>
  <c r="T183" i="2"/>
  <c r="T184" i="2"/>
  <c r="S25" i="2"/>
  <c r="T24" i="2"/>
  <c r="S186" i="7"/>
  <c r="T185" i="7"/>
  <c r="AD44" i="4"/>
  <c r="K45" i="4"/>
  <c r="T54" i="7"/>
  <c r="T55" i="7"/>
  <c r="S310" i="2"/>
  <c r="T309" i="2"/>
  <c r="S35" i="7"/>
  <c r="T34" i="7"/>
  <c r="T292" i="2"/>
  <c r="S293" i="2"/>
  <c r="S372" i="7"/>
  <c r="T371" i="7"/>
  <c r="T112" i="7"/>
  <c r="T113" i="7"/>
  <c r="T164" i="2"/>
  <c r="S165" i="2"/>
  <c r="S394" i="2"/>
  <c r="T393" i="2"/>
  <c r="T137" i="2"/>
  <c r="S138" i="2"/>
  <c r="T324" i="2"/>
  <c r="S325" i="2"/>
  <c r="S216" i="2"/>
  <c r="T215" i="2"/>
  <c r="T72" i="7"/>
  <c r="T73" i="7"/>
  <c r="S159" i="2"/>
  <c r="T158" i="2"/>
  <c r="S287" i="2"/>
  <c r="T286" i="2"/>
  <c r="S181" i="7"/>
  <c r="T180" i="7"/>
  <c r="AG43" i="4" l="1"/>
  <c r="W44" i="4"/>
  <c r="T153" i="7"/>
  <c r="T154" i="7"/>
  <c r="S304" i="2"/>
  <c r="T303" i="2"/>
  <c r="S379" i="7"/>
  <c r="T378" i="7"/>
  <c r="T198" i="7"/>
  <c r="T199" i="7"/>
  <c r="T27" i="7"/>
  <c r="T28" i="7"/>
  <c r="S288" i="2"/>
  <c r="T287" i="2"/>
  <c r="T315" i="2"/>
  <c r="S316" i="2"/>
  <c r="T394" i="2"/>
  <c r="T395" i="2"/>
  <c r="S256" i="7"/>
  <c r="T255" i="7"/>
  <c r="S349" i="7"/>
  <c r="T348" i="7"/>
  <c r="S45" i="4"/>
  <c r="AF44" i="4"/>
  <c r="S160" i="2"/>
  <c r="T159" i="2"/>
  <c r="S318" i="7"/>
  <c r="T317" i="7"/>
  <c r="T231" i="2"/>
  <c r="S232" i="2"/>
  <c r="T72" i="2"/>
  <c r="S73" i="2"/>
  <c r="T355" i="7"/>
  <c r="T356" i="7"/>
  <c r="T149" i="2"/>
  <c r="T150" i="2"/>
  <c r="T142" i="7"/>
  <c r="T143" i="7"/>
  <c r="T265" i="7"/>
  <c r="T266" i="7"/>
  <c r="T181" i="7"/>
  <c r="T182" i="7"/>
  <c r="AD45" i="4"/>
  <c r="K46" i="4"/>
  <c r="S97" i="2"/>
  <c r="T96" i="2"/>
  <c r="T376" i="2"/>
  <c r="T377" i="2"/>
  <c r="T291" i="7"/>
  <c r="T292" i="7"/>
  <c r="S373" i="7"/>
  <c r="T372" i="7"/>
  <c r="T87" i="2"/>
  <c r="T88" i="2"/>
  <c r="T31" i="2"/>
  <c r="S32" i="2"/>
  <c r="T135" i="7"/>
  <c r="S136" i="7"/>
  <c r="S294" i="2"/>
  <c r="T293" i="2"/>
  <c r="BM45" i="4"/>
  <c r="JB44" i="4"/>
  <c r="JZ44" i="4"/>
  <c r="T25" i="2"/>
  <c r="T26" i="2"/>
  <c r="S57" i="2"/>
  <c r="T56" i="2"/>
  <c r="O45" i="4"/>
  <c r="AE44" i="4"/>
  <c r="T382" i="2"/>
  <c r="T383" i="2"/>
  <c r="S285" i="7"/>
  <c r="T284" i="7"/>
  <c r="S132" i="2"/>
  <c r="T131" i="2"/>
  <c r="T362" i="2"/>
  <c r="S363" i="2"/>
  <c r="S260" i="2"/>
  <c r="T259" i="2"/>
  <c r="T165" i="2"/>
  <c r="T166" i="2"/>
  <c r="T63" i="2"/>
  <c r="S64" i="2"/>
  <c r="T90" i="7"/>
  <c r="T91" i="7"/>
  <c r="T144" i="2"/>
  <c r="T145" i="2"/>
  <c r="T217" i="7"/>
  <c r="S218" i="7"/>
  <c r="S239" i="2"/>
  <c r="T238" i="2"/>
  <c r="S268" i="2"/>
  <c r="T267" i="2"/>
  <c r="S15" i="7"/>
  <c r="T14" i="7"/>
  <c r="T114" i="2"/>
  <c r="T115" i="2"/>
  <c r="T100" i="7"/>
  <c r="T101" i="7"/>
  <c r="KA43" i="4"/>
  <c r="BN43" i="4"/>
  <c r="JC43" i="4" s="1"/>
  <c r="AH44" i="4"/>
  <c r="AA45" i="4"/>
  <c r="S250" i="2"/>
  <c r="T249" i="2"/>
  <c r="T138" i="2"/>
  <c r="T139" i="2"/>
  <c r="S217" i="2"/>
  <c r="T216" i="2"/>
  <c r="S36" i="7"/>
  <c r="T35" i="7"/>
  <c r="S326" i="2"/>
  <c r="T325" i="2"/>
  <c r="T346" i="2"/>
  <c r="S347" i="2"/>
  <c r="T82" i="2"/>
  <c r="T83" i="2"/>
  <c r="S120" i="2"/>
  <c r="T119" i="2"/>
  <c r="S272" i="7"/>
  <c r="T271" i="7"/>
  <c r="T46" i="7"/>
  <c r="T47" i="7"/>
  <c r="T186" i="7"/>
  <c r="T187" i="7"/>
  <c r="T15" i="2"/>
  <c r="S16" i="2"/>
  <c r="T310" i="2"/>
  <c r="T311" i="2"/>
  <c r="T336" i="2"/>
  <c r="S337" i="2"/>
  <c r="T147" i="7"/>
  <c r="S148" i="7"/>
  <c r="T21" i="7"/>
  <c r="S22" i="7"/>
  <c r="T244" i="2"/>
  <c r="T245" i="2"/>
  <c r="W45" i="4" l="1"/>
  <c r="AG44" i="4"/>
  <c r="T316" i="2"/>
  <c r="S317" i="2"/>
  <c r="AA46" i="4"/>
  <c r="AH45" i="4"/>
  <c r="T373" i="7"/>
  <c r="T374" i="7"/>
  <c r="S233" i="2"/>
  <c r="T232" i="2"/>
  <c r="T288" i="2"/>
  <c r="T289" i="2"/>
  <c r="T22" i="7"/>
  <c r="T23" i="7"/>
  <c r="T250" i="2"/>
  <c r="T251" i="2"/>
  <c r="T73" i="2"/>
  <c r="T74" i="2"/>
  <c r="S319" i="7"/>
  <c r="T318" i="7"/>
  <c r="O46" i="4"/>
  <c r="AE45" i="4"/>
  <c r="T260" i="2"/>
  <c r="S261" i="2"/>
  <c r="T347" i="2"/>
  <c r="S348" i="2"/>
  <c r="T64" i="2"/>
  <c r="T65" i="2"/>
  <c r="T363" i="2"/>
  <c r="S364" i="2"/>
  <c r="S273" i="7"/>
  <c r="T272" i="7"/>
  <c r="T160" i="2"/>
  <c r="T161" i="2"/>
  <c r="T337" i="2"/>
  <c r="T338" i="2"/>
  <c r="JB45" i="4"/>
  <c r="JZ45" i="4"/>
  <c r="BM46" i="4"/>
  <c r="T97" i="2"/>
  <c r="S98" i="2"/>
  <c r="T239" i="2"/>
  <c r="T240" i="2"/>
  <c r="S327" i="2"/>
  <c r="T326" i="2"/>
  <c r="S133" i="2"/>
  <c r="T132" i="2"/>
  <c r="K47" i="4"/>
  <c r="AD46" i="4"/>
  <c r="AF45" i="4"/>
  <c r="S46" i="4"/>
  <c r="T379" i="7"/>
  <c r="T380" i="7"/>
  <c r="T57" i="2"/>
  <c r="T58" i="2"/>
  <c r="T148" i="7"/>
  <c r="T149" i="7"/>
  <c r="BN44" i="4"/>
  <c r="JC44" i="4" s="1"/>
  <c r="KA44" i="4"/>
  <c r="S295" i="2"/>
  <c r="T294" i="2"/>
  <c r="T16" i="2"/>
  <c r="T17" i="2"/>
  <c r="S37" i="7"/>
  <c r="T36" i="7"/>
  <c r="T15" i="7"/>
  <c r="T16" i="7"/>
  <c r="T285" i="7"/>
  <c r="S286" i="7"/>
  <c r="S137" i="7"/>
  <c r="T136" i="7"/>
  <c r="T349" i="7"/>
  <c r="T350" i="7"/>
  <c r="T304" i="2"/>
  <c r="S305" i="2"/>
  <c r="T218" i="7"/>
  <c r="T219" i="7"/>
  <c r="T120" i="2"/>
  <c r="T121" i="2"/>
  <c r="T217" i="2"/>
  <c r="T218" i="2"/>
  <c r="T268" i="2"/>
  <c r="S269" i="2"/>
  <c r="T32" i="2"/>
  <c r="T33" i="2"/>
  <c r="T256" i="7"/>
  <c r="T257" i="7"/>
  <c r="W46" i="4" l="1"/>
  <c r="AG45" i="4"/>
  <c r="T233" i="2"/>
  <c r="T234" i="2"/>
  <c r="T133" i="2"/>
  <c r="T134" i="2"/>
  <c r="T327" i="2"/>
  <c r="T328" i="2"/>
  <c r="BN45" i="4"/>
  <c r="JC45" i="4" s="1"/>
  <c r="KA45" i="4"/>
  <c r="S296" i="2"/>
  <c r="T295" i="2"/>
  <c r="S47" i="4"/>
  <c r="AF46" i="4"/>
  <c r="O47" i="4"/>
  <c r="AE46" i="4"/>
  <c r="AA47" i="4"/>
  <c r="AH46" i="4"/>
  <c r="T364" i="2"/>
  <c r="T365" i="2"/>
  <c r="CE9" i="2"/>
  <c r="CK12" i="2" s="1"/>
  <c r="S318" i="2"/>
  <c r="T317" i="2"/>
  <c r="T348" i="2"/>
  <c r="T349" i="2"/>
  <c r="BM47" i="4"/>
  <c r="JZ46" i="4"/>
  <c r="JB46" i="4"/>
  <c r="DO237" i="2"/>
  <c r="T319" i="7"/>
  <c r="T320" i="7"/>
  <c r="S38" i="7"/>
  <c r="T37" i="7"/>
  <c r="T305" i="2"/>
  <c r="T306" i="2"/>
  <c r="T98" i="2"/>
  <c r="T99" i="2"/>
  <c r="DO218" i="2" s="1"/>
  <c r="DU221" i="2" s="1"/>
  <c r="T269" i="2"/>
  <c r="S270" i="2"/>
  <c r="T286" i="7"/>
  <c r="T287" i="7"/>
  <c r="S274" i="7"/>
  <c r="T273" i="7"/>
  <c r="S262" i="2"/>
  <c r="T261" i="2"/>
  <c r="T137" i="7"/>
  <c r="T138" i="7"/>
  <c r="K48" i="4"/>
  <c r="AD47" i="4"/>
  <c r="W47" i="4" l="1"/>
  <c r="AG46" i="4"/>
  <c r="DO123" i="2"/>
  <c r="DU126" i="2" s="1"/>
  <c r="T262" i="2"/>
  <c r="T263" i="2"/>
  <c r="T296" i="2"/>
  <c r="S297" i="2"/>
  <c r="S39" i="7"/>
  <c r="T38" i="7"/>
  <c r="BN46" i="4"/>
  <c r="JC46" i="4" s="1"/>
  <c r="KA46" i="4"/>
  <c r="AH47" i="4"/>
  <c r="AA48" i="4"/>
  <c r="BM48" i="4"/>
  <c r="JB47" i="4"/>
  <c r="JZ47" i="4"/>
  <c r="S319" i="2"/>
  <c r="T318" i="2"/>
  <c r="T274" i="7"/>
  <c r="T275" i="7"/>
  <c r="O48" i="4"/>
  <c r="AE47" i="4"/>
  <c r="CE28" i="2"/>
  <c r="CK31" i="2" s="1"/>
  <c r="DO199" i="2"/>
  <c r="DU202" i="2" s="1"/>
  <c r="S271" i="2"/>
  <c r="T270" i="2"/>
  <c r="AD48" i="4"/>
  <c r="K49" i="4"/>
  <c r="DO161" i="2"/>
  <c r="DU164" i="2" s="1"/>
  <c r="DO180" i="2"/>
  <c r="DU183" i="2" s="1"/>
  <c r="AF47" i="4"/>
  <c r="S48" i="4"/>
  <c r="DO142" i="2"/>
  <c r="DU145" i="2" s="1"/>
  <c r="AG47" i="4" l="1"/>
  <c r="W48" i="4"/>
  <c r="S320" i="2"/>
  <c r="T319" i="2"/>
  <c r="T297" i="2"/>
  <c r="S298" i="2"/>
  <c r="T271" i="2"/>
  <c r="T272" i="2"/>
  <c r="JB48" i="4"/>
  <c r="BM49" i="4"/>
  <c r="JZ48" i="4"/>
  <c r="K50" i="4"/>
  <c r="AD49" i="4"/>
  <c r="AA49" i="4"/>
  <c r="AH48" i="4"/>
  <c r="S40" i="7"/>
  <c r="T39" i="7"/>
  <c r="AF48" i="4"/>
  <c r="S49" i="4"/>
  <c r="BN47" i="4"/>
  <c r="JC47" i="4" s="1"/>
  <c r="KA47" i="4"/>
  <c r="AE48" i="4"/>
  <c r="O49" i="4"/>
  <c r="W49" i="4" l="1"/>
  <c r="AG48" i="4"/>
  <c r="T40" i="7"/>
  <c r="T41" i="7"/>
  <c r="O50" i="4"/>
  <c r="AE49" i="4"/>
  <c r="DI66" i="7"/>
  <c r="DO69" i="7" s="1"/>
  <c r="DI161" i="7"/>
  <c r="DO164" i="7" s="1"/>
  <c r="DI9" i="7"/>
  <c r="DO12" i="7" s="1"/>
  <c r="DI180" i="7"/>
  <c r="DO183" i="7" s="1"/>
  <c r="DI237" i="7"/>
  <c r="AH49" i="4"/>
  <c r="AA50" i="4"/>
  <c r="JZ49" i="4"/>
  <c r="JB49" i="4"/>
  <c r="BM50" i="4"/>
  <c r="S50" i="4"/>
  <c r="AF49" i="4"/>
  <c r="DO104" i="2"/>
  <c r="DU107" i="2" s="1"/>
  <c r="DI104" i="7"/>
  <c r="DO107" i="7" s="1"/>
  <c r="T298" i="2"/>
  <c r="T299" i="2"/>
  <c r="DI218" i="7"/>
  <c r="DO221" i="7" s="1"/>
  <c r="T320" i="2"/>
  <c r="T321" i="2"/>
  <c r="BN48" i="4"/>
  <c r="JC48" i="4" s="1"/>
  <c r="KA48" i="4"/>
  <c r="DI47" i="7"/>
  <c r="DO50" i="7" s="1"/>
  <c r="DI85" i="7"/>
  <c r="DO88" i="7" s="1"/>
  <c r="AD50" i="4"/>
  <c r="K51" i="4"/>
  <c r="W50" i="4" l="1"/>
  <c r="AG49" i="4"/>
  <c r="DO47" i="2"/>
  <c r="DU50" i="2" s="1"/>
  <c r="AH50" i="4"/>
  <c r="AA51" i="4"/>
  <c r="KA49" i="4"/>
  <c r="BN49" i="4"/>
  <c r="JC49" i="4" s="1"/>
  <c r="BM51" i="4"/>
  <c r="JZ50" i="4"/>
  <c r="JB50" i="4"/>
  <c r="O51" i="4"/>
  <c r="AE50" i="4"/>
  <c r="AD51" i="4"/>
  <c r="K52" i="4"/>
  <c r="DI123" i="7"/>
  <c r="DO126" i="7" s="1"/>
  <c r="CC28" i="7"/>
  <c r="CI31" i="7" s="1"/>
  <c r="DO66" i="2"/>
  <c r="DU69" i="2" s="1"/>
  <c r="DO28" i="2"/>
  <c r="DU31" i="2" s="1"/>
  <c r="DO9" i="2"/>
  <c r="DU12" i="2" s="1"/>
  <c r="DO85" i="2"/>
  <c r="DU88" i="2" s="1"/>
  <c r="DI142" i="7"/>
  <c r="DO145" i="7" s="1"/>
  <c r="AF50" i="4"/>
  <c r="S51" i="4"/>
  <c r="DI28" i="7"/>
  <c r="DO31" i="7" s="1"/>
  <c r="CC9" i="7"/>
  <c r="CI12" i="7" s="1"/>
  <c r="DI199" i="7"/>
  <c r="DO202" i="7" s="1"/>
  <c r="W51" i="4" l="1"/>
  <c r="AG50" i="4"/>
  <c r="JB51" i="4"/>
  <c r="JZ51" i="4"/>
  <c r="BM52" i="4"/>
  <c r="K53" i="4"/>
  <c r="AD52" i="4"/>
  <c r="AE51" i="4"/>
  <c r="O52" i="4"/>
  <c r="AH51" i="4"/>
  <c r="BN51" i="4" s="1"/>
  <c r="AA52" i="4"/>
  <c r="AF51" i="4"/>
  <c r="S52" i="4"/>
  <c r="KA50" i="4"/>
  <c r="KA51" i="4" s="1"/>
  <c r="BN50" i="4"/>
  <c r="JC50" i="4" s="1"/>
  <c r="AJ50" i="4"/>
  <c r="AG51" i="4" l="1"/>
  <c r="W52" i="4"/>
  <c r="AK50" i="4"/>
  <c r="AJ51" i="4"/>
  <c r="AJ52" i="4" s="1"/>
  <c r="AJ53" i="4" s="1"/>
  <c r="AJ54" i="4" s="1"/>
  <c r="AJ55" i="4" s="1"/>
  <c r="AJ56" i="4" s="1"/>
  <c r="AJ57" i="4" s="1"/>
  <c r="AJ58" i="4" s="1"/>
  <c r="AJ59" i="4" s="1"/>
  <c r="JJ50" i="4"/>
  <c r="JJ51" i="4" s="1"/>
  <c r="JJ52" i="4" s="1"/>
  <c r="JJ53" i="4" s="1"/>
  <c r="JJ54" i="4" s="1"/>
  <c r="JJ55" i="4" s="1"/>
  <c r="JJ56" i="4" s="1"/>
  <c r="JJ57" i="4" s="1"/>
  <c r="JJ58" i="4" s="1"/>
  <c r="JJ59" i="4" s="1"/>
  <c r="JF50" i="4"/>
  <c r="JF51" i="4" s="1"/>
  <c r="JF52" i="4" s="1"/>
  <c r="JF53" i="4" s="1"/>
  <c r="JF54" i="4" s="1"/>
  <c r="JF55" i="4" s="1"/>
  <c r="JF56" i="4" s="1"/>
  <c r="JF57" i="4" s="1"/>
  <c r="JF58" i="4" s="1"/>
  <c r="JF59" i="4" s="1"/>
  <c r="JE50" i="4"/>
  <c r="JE51" i="4" s="1"/>
  <c r="JE52" i="4" s="1"/>
  <c r="JE53" i="4" s="1"/>
  <c r="JE54" i="4" s="1"/>
  <c r="JE55" i="4" s="1"/>
  <c r="JE56" i="4" s="1"/>
  <c r="JE57" i="4" s="1"/>
  <c r="JE58" i="4" s="1"/>
  <c r="JE59" i="4" s="1"/>
  <c r="JL50" i="4"/>
  <c r="JL51" i="4" s="1"/>
  <c r="JL52" i="4" s="1"/>
  <c r="JL53" i="4" s="1"/>
  <c r="JL54" i="4" s="1"/>
  <c r="JL55" i="4" s="1"/>
  <c r="JL56" i="4" s="1"/>
  <c r="JL57" i="4" s="1"/>
  <c r="JL58" i="4" s="1"/>
  <c r="JL59" i="4" s="1"/>
  <c r="JO50" i="4"/>
  <c r="JO51" i="4" s="1"/>
  <c r="JO52" i="4" s="1"/>
  <c r="JO53" i="4" s="1"/>
  <c r="JO54" i="4" s="1"/>
  <c r="JO55" i="4" s="1"/>
  <c r="JO56" i="4" s="1"/>
  <c r="JO57" i="4" s="1"/>
  <c r="JO58" i="4" s="1"/>
  <c r="JO59" i="4" s="1"/>
  <c r="JN50" i="4"/>
  <c r="JN51" i="4" s="1"/>
  <c r="JN52" i="4" s="1"/>
  <c r="JN53" i="4" s="1"/>
  <c r="JN54" i="4" s="1"/>
  <c r="JN55" i="4" s="1"/>
  <c r="JN56" i="4" s="1"/>
  <c r="JN57" i="4" s="1"/>
  <c r="JN58" i="4" s="1"/>
  <c r="JN59" i="4" s="1"/>
  <c r="JM50" i="4"/>
  <c r="JM51" i="4" s="1"/>
  <c r="JM52" i="4" s="1"/>
  <c r="JM53" i="4" s="1"/>
  <c r="JM54" i="4" s="1"/>
  <c r="JM55" i="4" s="1"/>
  <c r="JM56" i="4" s="1"/>
  <c r="JM57" i="4" s="1"/>
  <c r="JM58" i="4" s="1"/>
  <c r="JM59" i="4" s="1"/>
  <c r="JK50" i="4"/>
  <c r="JK51" i="4" s="1"/>
  <c r="JK52" i="4" s="1"/>
  <c r="JK53" i="4" s="1"/>
  <c r="JK54" i="4" s="1"/>
  <c r="JK55" i="4" s="1"/>
  <c r="JK56" i="4" s="1"/>
  <c r="JK57" i="4" s="1"/>
  <c r="JK58" i="4" s="1"/>
  <c r="JK59" i="4" s="1"/>
  <c r="JI50" i="4"/>
  <c r="JI51" i="4" s="1"/>
  <c r="JI52" i="4" s="1"/>
  <c r="JI53" i="4" s="1"/>
  <c r="JI54" i="4" s="1"/>
  <c r="JI55" i="4" s="1"/>
  <c r="JI56" i="4" s="1"/>
  <c r="JI57" i="4" s="1"/>
  <c r="JI58" i="4" s="1"/>
  <c r="JI59" i="4" s="1"/>
  <c r="JG50" i="4"/>
  <c r="JG51" i="4" s="1"/>
  <c r="JG52" i="4" s="1"/>
  <c r="JG53" i="4" s="1"/>
  <c r="JG54" i="4" s="1"/>
  <c r="JG55" i="4" s="1"/>
  <c r="JG56" i="4" s="1"/>
  <c r="JG57" i="4" s="1"/>
  <c r="JG58" i="4" s="1"/>
  <c r="JG59" i="4" s="1"/>
  <c r="JH50" i="4"/>
  <c r="JH51" i="4" s="1"/>
  <c r="JH52" i="4" s="1"/>
  <c r="JH53" i="4" s="1"/>
  <c r="JH54" i="4" s="1"/>
  <c r="JH55" i="4" s="1"/>
  <c r="JH56" i="4" s="1"/>
  <c r="JH57" i="4" s="1"/>
  <c r="JH58" i="4" s="1"/>
  <c r="JH59" i="4" s="1"/>
  <c r="JD50" i="4"/>
  <c r="JD51" i="4" s="1"/>
  <c r="JD52" i="4" s="1"/>
  <c r="JD53" i="4" s="1"/>
  <c r="JD54" i="4" s="1"/>
  <c r="JD55" i="4" s="1"/>
  <c r="JD56" i="4" s="1"/>
  <c r="JD57" i="4" s="1"/>
  <c r="JD58" i="4" s="1"/>
  <c r="JD59" i="4" s="1"/>
  <c r="JD71" i="4"/>
  <c r="JE71" i="4" s="1"/>
  <c r="JD74" i="4"/>
  <c r="JE74" i="4" s="1"/>
  <c r="JD65" i="4"/>
  <c r="JE65" i="4" s="1"/>
  <c r="JD68" i="4"/>
  <c r="JE68" i="4" s="1"/>
  <c r="JD69" i="4"/>
  <c r="JE69" i="4" s="1"/>
  <c r="JD72" i="4"/>
  <c r="JE72" i="4" s="1"/>
  <c r="JD66" i="4"/>
  <c r="JE66" i="4" s="1"/>
  <c r="JD70" i="4"/>
  <c r="JE70" i="4" s="1"/>
  <c r="JD67" i="4"/>
  <c r="JE67" i="4" s="1"/>
  <c r="JD64" i="4"/>
  <c r="JE64" i="4" s="1"/>
  <c r="JD73" i="4"/>
  <c r="JE73" i="4" s="1"/>
  <c r="S53" i="4"/>
  <c r="AF52" i="4"/>
  <c r="AH52" i="4"/>
  <c r="BN52" i="4" s="1"/>
  <c r="AA53" i="4"/>
  <c r="K54" i="4"/>
  <c r="AD53" i="4"/>
  <c r="JB52" i="4"/>
  <c r="JZ52" i="4"/>
  <c r="BM53" i="4"/>
  <c r="KC51" i="4"/>
  <c r="KC52" i="4" s="1"/>
  <c r="KC53" i="4" s="1"/>
  <c r="KC54" i="4" s="1"/>
  <c r="KC55" i="4" s="1"/>
  <c r="KC56" i="4" s="1"/>
  <c r="KC57" i="4" s="1"/>
  <c r="KC58" i="4" s="1"/>
  <c r="KC59" i="4" s="1"/>
  <c r="KB51" i="4"/>
  <c r="KB52" i="4" s="1"/>
  <c r="KB53" i="4" s="1"/>
  <c r="KB54" i="4" s="1"/>
  <c r="KB55" i="4" s="1"/>
  <c r="KB56" i="4" s="1"/>
  <c r="KB57" i="4" s="1"/>
  <c r="KB58" i="4" s="1"/>
  <c r="KB59" i="4" s="1"/>
  <c r="KG66" i="4"/>
  <c r="KH66" i="4" s="1"/>
  <c r="KG74" i="4"/>
  <c r="KH74" i="4" s="1"/>
  <c r="KG73" i="4"/>
  <c r="KH73" i="4" s="1"/>
  <c r="KG68" i="4"/>
  <c r="KH68" i="4" s="1"/>
  <c r="KB74" i="4"/>
  <c r="KC74" i="4" s="1"/>
  <c r="KG67" i="4"/>
  <c r="KH67" i="4" s="1"/>
  <c r="KG71" i="4"/>
  <c r="KH71" i="4" s="1"/>
  <c r="KB71" i="4"/>
  <c r="KC71" i="4" s="1"/>
  <c r="KG70" i="4"/>
  <c r="KH70" i="4" s="1"/>
  <c r="KB69" i="4"/>
  <c r="KC69" i="4" s="1"/>
  <c r="KB66" i="4"/>
  <c r="KC66" i="4" s="1"/>
  <c r="KG65" i="4"/>
  <c r="KH65" i="4" s="1"/>
  <c r="KB65" i="4"/>
  <c r="KC65" i="4" s="1"/>
  <c r="KB75" i="4"/>
  <c r="KC75" i="4" s="1"/>
  <c r="KB72" i="4"/>
  <c r="KC72" i="4" s="1"/>
  <c r="KB68" i="4"/>
  <c r="KC68" i="4" s="1"/>
  <c r="KB67" i="4"/>
  <c r="KC67" i="4" s="1"/>
  <c r="KG75" i="4"/>
  <c r="KH75" i="4" s="1"/>
  <c r="KB70" i="4"/>
  <c r="KC70" i="4" s="1"/>
  <c r="KG69" i="4"/>
  <c r="KH69" i="4" s="1"/>
  <c r="KG72" i="4"/>
  <c r="KH72" i="4" s="1"/>
  <c r="KB73" i="4"/>
  <c r="KC73" i="4" s="1"/>
  <c r="O53" i="4"/>
  <c r="AE52" i="4"/>
  <c r="W53" i="4" l="1"/>
  <c r="AG52" i="4"/>
  <c r="AF53" i="4"/>
  <c r="S54" i="4"/>
  <c r="AH53" i="4"/>
  <c r="BN53" i="4" s="1"/>
  <c r="AA54" i="4"/>
  <c r="AD54" i="4"/>
  <c r="K55" i="4"/>
  <c r="BM54" i="4"/>
  <c r="JZ53" i="4"/>
  <c r="JB53" i="4"/>
  <c r="AE53" i="4"/>
  <c r="O54" i="4"/>
  <c r="AL50" i="4"/>
  <c r="AL51" i="4" s="1"/>
  <c r="AL52" i="4" s="1"/>
  <c r="AL53" i="4" s="1"/>
  <c r="AL54" i="4" s="1"/>
  <c r="AL55" i="4" s="1"/>
  <c r="AL56" i="4" s="1"/>
  <c r="AL57" i="4" s="1"/>
  <c r="AL58" i="4" s="1"/>
  <c r="AL59" i="4" s="1"/>
  <c r="AK51" i="4"/>
  <c r="AK52" i="4" s="1"/>
  <c r="AK53" i="4" s="1"/>
  <c r="AK54" i="4" s="1"/>
  <c r="AK55" i="4" s="1"/>
  <c r="AK56" i="4" s="1"/>
  <c r="AK57" i="4" s="1"/>
  <c r="AK58" i="4" s="1"/>
  <c r="AK59" i="4" s="1"/>
  <c r="AG53" i="4" l="1"/>
  <c r="W54" i="4"/>
  <c r="O55" i="4"/>
  <c r="AE54" i="4"/>
  <c r="BM55" i="4"/>
  <c r="JZ54" i="4"/>
  <c r="JB54" i="4"/>
  <c r="AD55" i="4"/>
  <c r="K56" i="4"/>
  <c r="AA55" i="4"/>
  <c r="AH54" i="4"/>
  <c r="BN54" i="4" s="1"/>
  <c r="S55" i="4"/>
  <c r="AF54" i="4"/>
  <c r="AG54" i="4" l="1"/>
  <c r="W55" i="4"/>
  <c r="AA56" i="4"/>
  <c r="AH55" i="4"/>
  <c r="BN55" i="4" s="1"/>
  <c r="AF55" i="4"/>
  <c r="S56" i="4"/>
  <c r="K57" i="4"/>
  <c r="AD56" i="4"/>
  <c r="JB55" i="4"/>
  <c r="JZ55" i="4"/>
  <c r="BM56" i="4"/>
  <c r="AE55" i="4"/>
  <c r="O56" i="4"/>
  <c r="W56" i="4" l="1"/>
  <c r="AG55" i="4"/>
  <c r="O57" i="4"/>
  <c r="AE56" i="4"/>
  <c r="JZ56" i="4"/>
  <c r="BM57" i="4"/>
  <c r="JB56" i="4"/>
  <c r="AD57" i="4"/>
  <c r="K58" i="4"/>
  <c r="AF56" i="4"/>
  <c r="S57" i="4"/>
  <c r="AH56" i="4"/>
  <c r="BN56" i="4" s="1"/>
  <c r="AA57" i="4"/>
  <c r="AG56" i="4" l="1"/>
  <c r="W57" i="4"/>
  <c r="AF57" i="4"/>
  <c r="S58" i="4"/>
  <c r="AA58" i="4"/>
  <c r="AH57" i="4"/>
  <c r="BN57" i="4" s="1"/>
  <c r="K59" i="4"/>
  <c r="AD58" i="4"/>
  <c r="BM58" i="4"/>
  <c r="JZ57" i="4"/>
  <c r="JB57" i="4"/>
  <c r="AE57" i="4"/>
  <c r="O58" i="4"/>
  <c r="W58" i="4" l="1"/>
  <c r="AG57" i="4"/>
  <c r="O59" i="4"/>
  <c r="AE58" i="4"/>
  <c r="JB58" i="4"/>
  <c r="BM59" i="4"/>
  <c r="JZ58" i="4"/>
  <c r="AD59" i="4"/>
  <c r="K62" i="4"/>
  <c r="AH58" i="4"/>
  <c r="BN58" i="4" s="1"/>
  <c r="AA59" i="4"/>
  <c r="AF58" i="4"/>
  <c r="S59" i="4"/>
  <c r="W59" i="4" l="1"/>
  <c r="AG58" i="4"/>
  <c r="AF59" i="4"/>
  <c r="S60" i="4"/>
  <c r="AH59" i="4"/>
  <c r="AA62" i="4"/>
  <c r="AV11" i="4"/>
  <c r="K63" i="4"/>
  <c r="JZ59" i="4"/>
  <c r="JB59" i="4"/>
  <c r="AE59" i="4"/>
  <c r="O62" i="4"/>
  <c r="AG59" i="4" l="1"/>
  <c r="W62" i="4"/>
  <c r="O63" i="4"/>
  <c r="AW11" i="4"/>
  <c r="AV12" i="4"/>
  <c r="K64" i="4"/>
  <c r="AA63" i="4"/>
  <c r="AZ11" i="4"/>
  <c r="BN59" i="4"/>
  <c r="AI3" i="4"/>
  <c r="AF60" i="4"/>
  <c r="S62" i="4"/>
  <c r="W63" i="4" l="1"/>
  <c r="AY11" i="4"/>
  <c r="S63" i="4"/>
  <c r="AX11" i="4"/>
  <c r="AZ12" i="4"/>
  <c r="AA64" i="4"/>
  <c r="AZ13" i="4" s="1"/>
  <c r="O64" i="4"/>
  <c r="AW12" i="4"/>
  <c r="W64" i="4" l="1"/>
  <c r="AY12" i="4"/>
  <c r="AZ14" i="4"/>
  <c r="BB12" i="4"/>
  <c r="S64" i="4"/>
  <c r="AX1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Sam Bradshaw</author>
  </authors>
  <commentList>
    <comment ref="AZ21" authorId="0" shapeId="0" xr:uid="{69309A72-BF77-41B9-8B0C-A34022DCC71A}">
      <text>
        <r>
          <rPr>
            <b/>
            <sz val="9"/>
            <color indexed="81"/>
            <rFont val="Tahoma"/>
            <family val="2"/>
          </rPr>
          <t>Sam Bradshaw:</t>
        </r>
        <r>
          <rPr>
            <sz val="9"/>
            <color indexed="81"/>
            <rFont val="Tahoma"/>
            <family val="2"/>
          </rPr>
          <t xml:space="preserve">
WA of pre and post GC</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<sst xmlns="http://schemas.openxmlformats.org/spreadsheetml/2006/main" count="5701" uniqueCount="308">
  <si>
    <t>Multiplier</t>
  </si>
  <si>
    <t xml:space="preserve">Transpose </t>
  </si>
  <si>
    <t>Weekly Average</t>
  </si>
  <si>
    <t>Actual FY Sales Cumulative</t>
  </si>
  <si>
    <t>FY Sales. FY22 Projected by annualising Average</t>
  </si>
  <si>
    <t>FY Sales Cumulative Actual vs Projection Graphs</t>
  </si>
  <si>
    <t>FY Sales. FY22 Full Year vs Monte Carlo Simulations</t>
  </si>
  <si>
    <t>FY Sales. FY22 projected using Partial Monte Carlo Simulations</t>
  </si>
  <si>
    <t>HY Sales. 2H22 Projected by annualising Average</t>
  </si>
  <si>
    <t>HY Sales Cumulative Actual vs Projection Graphs</t>
  </si>
  <si>
    <t>HY Sales. 2H22 vs Monte Carlo Simulations</t>
  </si>
  <si>
    <t>HY Sales. FY22 projected using Partial Monte Carlo Simulations</t>
  </si>
  <si>
    <t>Date</t>
  </si>
  <si>
    <t>Weekly Sales</t>
  </si>
  <si>
    <t>Weekly Tickets</t>
  </si>
  <si>
    <t>Jackpot</t>
  </si>
  <si>
    <t>HY End</t>
  </si>
  <si>
    <t>FY End</t>
  </si>
  <si>
    <t>FY18</t>
  </si>
  <si>
    <t>FY19</t>
  </si>
  <si>
    <t>FY20</t>
  </si>
  <si>
    <t>FY21</t>
  </si>
  <si>
    <t>FY22</t>
  </si>
  <si>
    <t>FY23</t>
  </si>
  <si>
    <t>Week</t>
  </si>
  <si>
    <t>FY23e</t>
  </si>
  <si>
    <t>0.8x Yr Avg</t>
  </si>
  <si>
    <t>1.0x Yr Avg</t>
  </si>
  <si>
    <t>1.2x Yr Avg</t>
  </si>
  <si>
    <t>Actual</t>
  </si>
  <si>
    <t>Min</t>
  </si>
  <si>
    <t>1st Percentile</t>
  </si>
  <si>
    <t>5th Percentile</t>
  </si>
  <si>
    <t>10th Percentile</t>
  </si>
  <si>
    <t>25th Percentile</t>
  </si>
  <si>
    <t>50th Percentile</t>
  </si>
  <si>
    <t>75th Percentile</t>
  </si>
  <si>
    <t>90th Percentile</t>
  </si>
  <si>
    <t>95th Percentile</t>
  </si>
  <si>
    <t>99th Percentile</t>
  </si>
  <si>
    <t>Max</t>
  </si>
  <si>
    <t>Yearly Average</t>
  </si>
  <si>
    <t>50th Percentile roy</t>
  </si>
  <si>
    <t>1H18</t>
  </si>
  <si>
    <t>Weekly</t>
  </si>
  <si>
    <t>Cumulative</t>
  </si>
  <si>
    <t>2H18</t>
  </si>
  <si>
    <t>1H19</t>
  </si>
  <si>
    <t>2H19</t>
  </si>
  <si>
    <t>1H20</t>
  </si>
  <si>
    <t>2H20</t>
  </si>
  <si>
    <t>1H21</t>
  </si>
  <si>
    <t>2H21</t>
  </si>
  <si>
    <t>1H22</t>
  </si>
  <si>
    <t>2H22</t>
  </si>
  <si>
    <t>HY Average</t>
  </si>
  <si>
    <t>X</t>
  </si>
  <si>
    <t>Sales</t>
  </si>
  <si>
    <t>Tickets</t>
  </si>
  <si>
    <t>Draw date</t>
  </si>
  <si>
    <t>All</t>
  </si>
  <si>
    <t>Div 1 Prize Rolling</t>
  </si>
  <si>
    <t>Half Year</t>
  </si>
  <si>
    <t>Full Year</t>
  </si>
  <si>
    <t>FY22 ytd</t>
  </si>
  <si>
    <t>2H22*</t>
  </si>
  <si>
    <t>2H22 ytd</t>
  </si>
  <si>
    <t>Actuals</t>
  </si>
  <si>
    <t>Weeks</t>
  </si>
  <si>
    <t>Actual ytd Standardised</t>
  </si>
  <si>
    <t>Actual htd Standardised</t>
  </si>
  <si>
    <t>Actual ytd + 50th percentile</t>
  </si>
  <si>
    <t>Actual htd + 50th percentile</t>
  </si>
  <si>
    <t>E&amp;Pe</t>
  </si>
  <si>
    <t>Projected</t>
  </si>
  <si>
    <t>Starting Jackpot</t>
  </si>
  <si>
    <t>Prior Jackpot</t>
  </si>
  <si>
    <t>HYtd</t>
  </si>
  <si>
    <t>hytd 50th Percentile</t>
  </si>
  <si>
    <t>FYtd</t>
  </si>
  <si>
    <t>ytd 50th Percentile</t>
  </si>
  <si>
    <t>Source: E&amp;P estimates</t>
  </si>
  <si>
    <t>Add 50th as a line?</t>
  </si>
  <si>
    <t>Last</t>
  </si>
  <si>
    <t>Percentiles Graph</t>
  </si>
  <si>
    <t>Current</t>
  </si>
  <si>
    <t>Delete</t>
  </si>
  <si>
    <t>Percentile</t>
  </si>
  <si>
    <t>Wks Rem</t>
  </si>
  <si>
    <t>Avg Week</t>
  </si>
  <si>
    <t>Paste Values</t>
  </si>
  <si>
    <t>Current Jackpot</t>
  </si>
  <si>
    <t>Min to 5th Percentile</t>
  </si>
  <si>
    <t>5th to 25th Percentile</t>
  </si>
  <si>
    <t>Total</t>
  </si>
  <si>
    <t>25th to 75th Percentile</t>
  </si>
  <si>
    <t>26 Weeks Standardised</t>
  </si>
  <si>
    <t>75th to 95th Percentile</t>
  </si>
  <si>
    <t>95th Percentile to Max</t>
  </si>
  <si>
    <t>Min to 25th Percentile</t>
  </si>
  <si>
    <t>25th to 50th Percentile</t>
  </si>
  <si>
    <t>50th to 75th Percentile</t>
  </si>
  <si>
    <t>75th Percentile to Max</t>
  </si>
  <si>
    <t>Standard Deviations</t>
  </si>
  <si>
    <t>2H18 Old</t>
  </si>
  <si>
    <t>2H18 New</t>
  </si>
  <si>
    <t>WA</t>
  </si>
  <si>
    <t>Weighting</t>
  </si>
  <si>
    <t>SD Graph</t>
  </si>
  <si>
    <t>52 Weeks Standardised</t>
  </si>
  <si>
    <t>FY to Date</t>
  </si>
  <si>
    <t>x</t>
  </si>
  <si>
    <t>s</t>
  </si>
  <si>
    <t>Factors</t>
  </si>
  <si>
    <t>Calendar</t>
  </si>
  <si>
    <t>Data</t>
  </si>
  <si>
    <t>FY23 Game Change - Data Tables</t>
  </si>
  <si>
    <t>FY23 Game Change - Paste Tables</t>
  </si>
  <si>
    <t>FY23 Game Change - Graph</t>
  </si>
  <si>
    <t>Sacha Scenarios - Data Tables</t>
  </si>
  <si>
    <t>Sacha Scenarios - Paste Tables</t>
  </si>
  <si>
    <t>Sacha Scenarios - Graph</t>
  </si>
  <si>
    <t>FY23E - Data Tables</t>
  </si>
  <si>
    <t>FY23E - Paste Tables</t>
  </si>
  <si>
    <t>FY23E - Graph</t>
  </si>
  <si>
    <t>HY23E - Data Tables</t>
  </si>
  <si>
    <t>HY23E - Paste Tables</t>
  </si>
  <si>
    <t>HY23E - Graph</t>
  </si>
  <si>
    <t>FY Backtesting - Data Tables</t>
  </si>
  <si>
    <t>FY Backtesting - Paste Tables</t>
  </si>
  <si>
    <t>FY Backtesting - Graph</t>
  </si>
  <si>
    <t>HY Backtesting - Data Tables</t>
  </si>
  <si>
    <t>HY Backtesting - Paste Tables</t>
  </si>
  <si>
    <t>HY Backtesting - Graph</t>
  </si>
  <si>
    <t>2018 Game Change - Data Tables</t>
  </si>
  <si>
    <t>2018 Game Change - Paste Tables</t>
  </si>
  <si>
    <t>2018 Game Change - Graph</t>
  </si>
  <si>
    <t>HY</t>
  </si>
  <si>
    <t>FY</t>
  </si>
  <si>
    <t>Entries</t>
  </si>
  <si>
    <t>Price</t>
  </si>
  <si>
    <t>Combinations</t>
  </si>
  <si>
    <t>HY Current</t>
  </si>
  <si>
    <t>Filter</t>
  </si>
  <si>
    <t>HY Last</t>
  </si>
  <si>
    <t>FY Current</t>
  </si>
  <si>
    <t>FY Last</t>
  </si>
  <si>
    <t>Entries From</t>
  </si>
  <si>
    <t>Entries To</t>
  </si>
  <si>
    <t>Commission</t>
  </si>
  <si>
    <t>FY's</t>
  </si>
  <si>
    <t>FY23 - Current Accelerated - Pre GC</t>
  </si>
  <si>
    <t>1H23 ROY - Base Case - Current accelerated - pre game change</t>
  </si>
  <si>
    <t>FY23 - E&amp;P entries July 2022</t>
  </si>
  <si>
    <t>1H23 - E&amp;P entries July 2022</t>
  </si>
  <si>
    <t>FY18 - old sequence, old 2018 Game conditions, FY18 pre change tickets</t>
  </si>
  <si>
    <t>12 months pre GC - 1st sequence</t>
  </si>
  <si>
    <t>FY17</t>
  </si>
  <si>
    <t>EST</t>
  </si>
  <si>
    <t>Simulation Period</t>
  </si>
  <si>
    <t>1H24</t>
  </si>
  <si>
    <t>Check</t>
  </si>
  <si>
    <t>100m premium</t>
  </si>
  <si>
    <t>NA</t>
  </si>
  <si>
    <t>1H23</t>
  </si>
  <si>
    <t>Simulation From</t>
  </si>
  <si>
    <t>Simulation To</t>
  </si>
  <si>
    <t>Inputs</t>
  </si>
  <si>
    <t>Simulation Inputs</t>
  </si>
  <si>
    <t>Ticket Price ($)</t>
  </si>
  <si>
    <t>Linear Weight</t>
  </si>
  <si>
    <t>Polynomial Weight</t>
  </si>
  <si>
    <t>Combinations (m)</t>
  </si>
  <si>
    <t>Sim Weighting</t>
  </si>
  <si>
    <t>Week no.</t>
  </si>
  <si>
    <t>Jackpot size</t>
  </si>
  <si>
    <t>No. of tickets</t>
  </si>
  <si>
    <t>Entries est.</t>
  </si>
  <si>
    <t>Linear Est</t>
  </si>
  <si>
    <t>Polynomial (^2) Est</t>
  </si>
  <si>
    <t>Count</t>
  </si>
  <si>
    <t>FY24</t>
  </si>
  <si>
    <t>FY25</t>
  </si>
  <si>
    <t>Div 1 Combinations</t>
  </si>
  <si>
    <t>HY's</t>
  </si>
  <si>
    <t>2H17</t>
  </si>
  <si>
    <t>FY23 - Non Accelerated - Pre GC</t>
  </si>
  <si>
    <t>2H23 - Bear Case - pre game change</t>
  </si>
  <si>
    <t>FY23 - September 2022, L6M</t>
  </si>
  <si>
    <t>1H23 - September 2022, L6M</t>
  </si>
  <si>
    <t>FY18 - new sequence, new 2018 Game conditions, FY18 ave tickets</t>
  </si>
  <si>
    <t>2H18 - old sequence</t>
  </si>
  <si>
    <t>12 months pre GC - 2nd sequence</t>
  </si>
  <si>
    <t>2H23</t>
  </si>
  <si>
    <t>2H24</t>
  </si>
  <si>
    <t>1H25</t>
  </si>
  <si>
    <t>2H25</t>
  </si>
  <si>
    <t>COVID</t>
  </si>
  <si>
    <t>OZL FY22 Game Change</t>
  </si>
  <si>
    <t>FY23 - Current Accelerated - Post GC</t>
  </si>
  <si>
    <t>2H23 - Base Case - pre game change</t>
  </si>
  <si>
    <t>2H18 - new sequence</t>
  </si>
  <si>
    <t xml:space="preserve">12 months post GC </t>
  </si>
  <si>
    <t>FY23 - September 2022, accelerated</t>
  </si>
  <si>
    <t>FY23 - Non Accelerated - Post GC</t>
  </si>
  <si>
    <t>2H23 - Bull Case - pre game change</t>
  </si>
  <si>
    <t>FY23 - October 2022, accelerated</t>
  </si>
  <si>
    <t>* commision change Sep-30, have used a WA</t>
  </si>
  <si>
    <t>FY23 - Current Accelerated - Game Change - Bear Case</t>
  </si>
  <si>
    <t>FY21 - normal</t>
  </si>
  <si>
    <t>2H23 - Bear Case - post game change</t>
  </si>
  <si>
    <t>FY23 - October 2022, normal</t>
  </si>
  <si>
    <t>* prior jackpot of 15 is not a category of this sequence</t>
  </si>
  <si>
    <t>FY23 - Current Accelerated - Game Change - Base Case</t>
  </si>
  <si>
    <t>FY21 - accelerated</t>
  </si>
  <si>
    <t>2H23 - Base Case - post game change</t>
  </si>
  <si>
    <t>FY22 - 3m</t>
  </si>
  <si>
    <t>FY23 - Current Accelerated - Game Change - Bull Case</t>
  </si>
  <si>
    <t>2H23 - Bull Case - post game change</t>
  </si>
  <si>
    <t>FY23 - October 2022, normal - FY22 Sales</t>
  </si>
  <si>
    <t>* LJ  25 not a category</t>
  </si>
  <si>
    <t>FY22 - 4m</t>
  </si>
  <si>
    <t>FY23 - Current Accelerated - Game Change - Bearest</t>
  </si>
  <si>
    <t>FY24 - Bear Case - post game change</t>
  </si>
  <si>
    <t>FY23 - December 2022, accelerated</t>
  </si>
  <si>
    <t>FY24 - Base Case - post game change</t>
  </si>
  <si>
    <t>poly</t>
  </si>
  <si>
    <t>lin</t>
  </si>
  <si>
    <t>FY24 - Bull Case - post game change</t>
  </si>
  <si>
    <t>2H22 - 3m</t>
  </si>
  <si>
    <t>FY19 Entries Check</t>
  </si>
  <si>
    <t>2H22 - 4m</t>
  </si>
  <si>
    <t>Since April-1</t>
  </si>
  <si>
    <t>1H23 p1</t>
  </si>
  <si>
    <t>1H23 p2</t>
  </si>
  <si>
    <t>na</t>
  </si>
  <si>
    <t>OzLotto Jackpot Results</t>
  </si>
  <si>
    <t>50th percentile from 6th May (jackpot = 5m)</t>
  </si>
  <si>
    <t>50th percentile from 6th May (jackpot = 2m)</t>
  </si>
  <si>
    <t>Historical FY OzLotto sales</t>
  </si>
  <si>
    <t>FY OzLotto results vs Monte Carlo Simulation 50th Percentile</t>
  </si>
  <si>
    <t>FY22 OzLotto results vs Monte Carlo Simulation Projections</t>
  </si>
  <si>
    <t>HY OzLotto sales</t>
  </si>
  <si>
    <t>HY OzLotto results vs Monte Carlo Simulation 50th Percentile</t>
  </si>
  <si>
    <t>2H22 OzLotto results vs Monte Carlo Simulation Projections</t>
  </si>
  <si>
    <t>OzLotto Monte Carlo Simulation Results for remaineder of FY22</t>
  </si>
  <si>
    <t>Monte Carlo OzLotto Simulation Results for remainder of 2H22</t>
  </si>
  <si>
    <t>FY OzLotto results vs Monte Carlo Simulation Percentiles</t>
  </si>
  <si>
    <t>HY OzLotto results vs Monte Carlo Simulation Percentiles</t>
  </si>
  <si>
    <t>OzLotto sales projections for remainder of FY22 using ytd Average</t>
  </si>
  <si>
    <t>OzLotto sales projections for remainder of 2H22 using average to date</t>
  </si>
  <si>
    <t>FY23 YTD Oz Lotto sales (A$bn)</t>
  </si>
  <si>
    <t>FY OzLotto results vs Monte Carlo Simulation Standard Deviations</t>
  </si>
  <si>
    <t>HY OzLotto results vs Monte Carlo Simulation Standard Deviations</t>
  </si>
  <si>
    <t>FY22 Post GC</t>
  </si>
  <si>
    <t>FY22 Pre GC</t>
  </si>
  <si>
    <t>FY21 - fast</t>
  </si>
  <si>
    <t>FY21 - slow</t>
  </si>
  <si>
    <t>FY20 - fast</t>
  </si>
  <si>
    <t>FY20 - slow</t>
  </si>
  <si>
    <t>Backtest is actual &lt;100m then linerar ex 100m + 30%</t>
  </si>
  <si>
    <t>~</t>
  </si>
  <si>
    <t>FY Sales. FY26 Full Year vs Monte Carlo Simulations</t>
  </si>
  <si>
    <t>this one is interesting if lined up next to prior one. We are travelling just under 75th percentile (prior graph). The yearly average is considerably less then our predicted 75th percentile for rest of year. Why? Jackpot currently at 3m</t>
  </si>
  <si>
    <t>1 to 10</t>
  </si>
  <si>
    <t>Jackpots &gt;15</t>
  </si>
  <si>
    <t>Jakcpots &gt;50</t>
  </si>
  <si>
    <t>11 to 26</t>
  </si>
  <si>
    <t>Powerball Jackpot Results</t>
  </si>
  <si>
    <t>OLD</t>
  </si>
  <si>
    <t>Cumulative Sales</t>
  </si>
  <si>
    <t>FY18 Old Sequence</t>
  </si>
  <si>
    <t>FY18 New Sequence</t>
  </si>
  <si>
    <t>50th %ile. using accelerated seq.</t>
  </si>
  <si>
    <t>50th %ile. using standard seq.</t>
  </si>
  <si>
    <t>wks</t>
  </si>
  <si>
    <t>Historical FY Powerball sales</t>
  </si>
  <si>
    <t>FY Powerball results vs Monte Carlo Simulation 50th Percentile</t>
  </si>
  <si>
    <t>FY22 Powerball results vs Monte Carlo Simulation Projections</t>
  </si>
  <si>
    <t>HY Powerball sales</t>
  </si>
  <si>
    <t>HY Powerball results vs Monte Carlo Simulation 50th Percentile</t>
  </si>
  <si>
    <t>2H22 Powerball results vs Monte Carlo Simulation Projections</t>
  </si>
  <si>
    <t>FY18*</t>
  </si>
  <si>
    <t>FY22*</t>
  </si>
  <si>
    <t>Powerball Monte Carlo Simulation Results for remaineder of FY22</t>
  </si>
  <si>
    <t>Monte Carlo Powerball Simulation Results for remainder of 2H22</t>
  </si>
  <si>
    <t>&gt;15m</t>
  </si>
  <si>
    <t>&gt;50m</t>
  </si>
  <si>
    <t>technically wrong but irrellevant&gt;&gt;&gt;</t>
  </si>
  <si>
    <t>FY Powerball results vs Monte Carlo Simulation Percentiles</t>
  </si>
  <si>
    <t>HY Powerball results vs Monte Carlo Simulation Percentiles</t>
  </si>
  <si>
    <t>Powerball sales projections for remainder of FY22 using ytd Average</t>
  </si>
  <si>
    <t>Powerball sales projections for remainder of 2H22 using average to date</t>
  </si>
  <si>
    <t>25th 75th gret</t>
  </si>
  <si>
    <t>pink</t>
  </si>
  <si>
    <t>Main Percentiles</t>
  </si>
  <si>
    <t>Minumum</t>
  </si>
  <si>
    <t/>
  </si>
  <si>
    <t>Jackpots &gt;=15m</t>
  </si>
  <si>
    <t>Maximum</t>
  </si>
  <si>
    <t>Powerball sales - Accelerated Sequence - 1H23 (A$bn)</t>
  </si>
  <si>
    <t>Powerball sales - Normal Sequence - 1H23 (A$bn)</t>
  </si>
  <si>
    <t>Powerball sales - 1H23 (A$bn)</t>
  </si>
  <si>
    <t>&gt;=15m</t>
  </si>
  <si>
    <t>&gt;=50m</t>
  </si>
  <si>
    <t>FY Powerball results vs Monte Carlo Simulation Standard Deviations</t>
  </si>
  <si>
    <t>HY Powerball results vs Monte Carlo Simulation Standard Deviations</t>
  </si>
  <si>
    <t>Jackpots &gt;=50m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</si>
</sst>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164" formatCode="_(&quot;$&quot;* #,##0.00_);_(&quot;$&quot;* \(#,##0.00\);_(&quot;$&quot;* &quot;-&quot;??_);_(@_)"/>
    <numFmt numFmtId="165" formatCode="_(* #,##0.00_);_(* \(#,##0.00\);_(* &quot;-&quot;??_);_(@_)"/>
    <numFmt numFmtId="166" formatCode="0.0000"/>
    <numFmt numFmtId="167" formatCode="0.000"/>
    <numFmt numFmtId="168" formatCode="d\-mmm\-yy_);\(###0\);&quot;-  &quot;;&quot; &quot;@&quot; &quot;"/>
    <numFmt numFmtId="169" formatCode="_-* #,##0_-;\-* #,##0_-;_-* &quot;-&quot;??_-;_-@_-"/>
    <numFmt numFmtId="170" formatCode="_-* #,##0.000_-;\-* #,##0.000_-;_-* &quot;-&quot;??_-;_-@_-"/>
    <numFmt numFmtId="171" formatCode="_-* #,##0.0000_-;\-* #,##0.0000_-;_-* &quot;-&quot;??_-;_-@_-"/>
    <numFmt numFmtId="172" formatCode="#,##0_);\(#,##0\)_);&quot;-  &quot;;&quot; &quot;@&quot; &quot;"/>
    <numFmt numFmtId="173" formatCode="0.0000000000"/>
    <numFmt numFmtId="174" formatCode="\+0;\-0;0"/>
    <numFmt numFmtId="175" formatCode="0.0%"/>
    <numFmt numFmtId="176" formatCode="#,##0.000"/>
    <numFmt numFmtId="177" formatCode="#,##0.0"/>
    <numFmt numFmtId="178" formatCode="0.00000"/>
    <numFmt numFmtId="179" formatCode="#,##0.0_);\(#,##0.0\)_);&quot;-  &quot;;&quot; &quot;@&quot; &quot;"/>
    <numFmt numFmtId="180" formatCode="###0_);\(###0\);&quot;-  &quot;;&quot; &quot;@&quot; &quot;"/>
    <numFmt numFmtId="181" formatCode="0.00%_);\(0.00%\)_);&quot;-  &quot;;&quot; &quot;@&quot; &quot;"/>
    <numFmt numFmtId="182" formatCode="#,##0.0000_);\(#,##0.0000\);&quot;-  &quot;;&quot; &quot;@&quot; &quot;"/>
    <numFmt numFmtId="183" formatCode="d\-mmm\-yyyy_);\(###0\);&quot;-  &quot;;&quot; &quot;@&quot; &quot;"/>
    <numFmt numFmtId="184" formatCode="0.0%_);\(0.0%\);0.0%_);@_)"/>
    <numFmt numFmtId="185" formatCode="0.0"/>
  </numFmts>
  <fonts count="47" x14ac:knownFonts="1">
    <font>
      <sz val="11"/>
      <color theme="1"/>
      <name val="Calibri"/>
      <family val="2"/>
      <scheme val="minor"/>
    </font>
    <font>
      <sz val="11"/>
      <color theme="1"/>
      <name val="Calibri"/>
      <family val="2"/>
      <scheme val="minor"/>
    </font>
    <font>
      <b/>
      <sz val="11"/>
      <color theme="3"/>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u/>
      <sz val="11"/>
      <color theme="1"/>
      <name val="Calibri"/>
      <family val="2"/>
      <scheme val="minor"/>
    </font>
    <font>
      <sz val="11"/>
      <color rgb="FF0000FF"/>
      <name val="Calibri"/>
      <family val="2"/>
      <scheme val="minor"/>
    </font>
    <font>
      <b/>
      <sz val="14"/>
      <color theme="0"/>
      <name val="Calibri"/>
      <family val="2"/>
      <scheme val="minor"/>
    </font>
    <font>
      <b/>
      <sz val="10"/>
      <color theme="0"/>
      <name val="Calibri"/>
      <family val="2"/>
      <scheme val="minor"/>
    </font>
    <font>
      <sz val="10"/>
      <color rgb="FFFF0000"/>
      <name val="Calibri"/>
      <family val="2"/>
      <scheme val="minor"/>
    </font>
    <font>
      <sz val="11"/>
      <name val="Calibri"/>
      <family val="2"/>
      <scheme val="minor"/>
    </font>
    <font>
      <sz val="10"/>
      <color theme="0"/>
      <name val="Calibri"/>
      <family val="2"/>
      <scheme val="minor"/>
    </font>
    <font>
      <b/>
      <sz val="10"/>
      <color theme="1"/>
      <name val="Calibri"/>
      <family val="2"/>
      <scheme val="minor"/>
    </font>
    <font>
      <b/>
      <sz val="11"/>
      <name val="Calibri"/>
      <family val="2"/>
      <scheme val="minor"/>
    </font>
    <font>
      <sz val="10"/>
      <color rgb="FF0000FF"/>
      <name val="Calibri"/>
      <family val="2"/>
      <scheme val="minor"/>
    </font>
    <font>
      <b/>
      <sz val="10"/>
      <color theme="3"/>
      <name val="Calibri"/>
      <family val="2"/>
      <scheme val="minor"/>
    </font>
    <font>
      <sz val="10"/>
      <name val="Calibri"/>
      <family val="2"/>
      <scheme val="minor"/>
    </font>
    <font>
      <b/>
      <sz val="10"/>
      <name val="Calibri"/>
      <family val="2"/>
      <scheme val="minor"/>
    </font>
    <font>
      <b/>
      <u/>
      <sz val="10"/>
      <color theme="0"/>
      <name val="Calibri"/>
      <family val="2"/>
      <scheme val="minor"/>
    </font>
    <font>
      <i/>
      <sz val="11"/>
      <color theme="0"/>
      <name val="Calibri"/>
      <family val="2"/>
      <scheme val="minor"/>
    </font>
    <font>
      <i/>
      <sz val="10"/>
      <color theme="1"/>
      <name val="Calibri"/>
      <family val="2"/>
      <scheme val="minor"/>
    </font>
    <font>
      <i/>
      <sz val="11"/>
      <color theme="1"/>
      <name val="Calibri"/>
      <family val="2"/>
      <scheme val="minor"/>
    </font>
    <font>
      <u/>
      <sz val="10"/>
      <color theme="0"/>
      <name val="Calibri"/>
      <family val="2"/>
      <scheme val="minor"/>
    </font>
    <font>
      <b/>
      <sz val="9"/>
      <color indexed="81"/>
      <name val="Tahoma"/>
      <family val="2"/>
    </font>
    <font>
      <sz val="9"/>
      <color indexed="81"/>
      <name val="Tahoma"/>
      <family val="2"/>
    </font>
    <font>
      <sz val="18"/>
      <color theme="3"/>
      <name val="Calibri Light"/>
      <family val="2"/>
      <scheme val="major"/>
    </font>
    <font>
      <b/>
      <sz val="15"/>
      <color theme="3"/>
      <name val="Calibri"/>
      <family val="2"/>
      <scheme val="minor"/>
    </font>
    <font>
      <b/>
      <sz val="13"/>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i/>
      <sz val="11"/>
      <color rgb="FF7F7F7F"/>
      <name val="Calibri"/>
      <family val="2"/>
      <scheme val="minor"/>
    </font>
    <font>
      <u/>
      <sz val="11"/>
      <color theme="10"/>
      <name val="Calibri"/>
      <family val="2"/>
      <scheme val="minor"/>
    </font>
    <font>
      <sz val="10"/>
      <name val="Arial"/>
      <family val="2"/>
    </font>
    <font>
      <b/>
      <sz val="18"/>
      <color theme="3"/>
      <name val="Calibri Light"/>
      <family val="2"/>
      <scheme val="major"/>
    </font>
    <font>
      <sz val="11"/>
      <color rgb="FF9C6500"/>
      <name val="Calibri"/>
      <family val="2"/>
      <scheme val="minor"/>
    </font>
    <font>
      <sz val="8"/>
      <name val="Arial"/>
      <family val="2"/>
    </font>
    <font>
      <u/>
      <sz val="10"/>
      <color indexed="12"/>
      <name val="Arial"/>
      <family val="2"/>
    </font>
    <font>
      <sz val="11"/>
      <color theme="1"/>
      <name val="Aptos Narrow"/>
      <family val="2"/>
    </font>
    <font>
      <i/>
      <sz val="9"/>
      <color theme="1"/>
      <name val="Calibri"/>
      <family val="2"/>
      <scheme val="minor"/>
    </font>
  </fonts>
  <fills count="57">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6"/>
        <bgColor indexed="64"/>
      </patternFill>
    </fill>
    <fill>
      <patternFill patternType="solid">
        <fgColor theme="4"/>
        <bgColor indexed="64"/>
      </patternFill>
    </fill>
    <fill>
      <patternFill patternType="solid">
        <fgColor theme="2"/>
        <bgColor indexed="64"/>
      </patternFill>
    </fill>
    <fill>
      <patternFill patternType="solid">
        <fgColor theme="3"/>
        <bgColor indexed="64"/>
      </patternFill>
    </fill>
    <fill>
      <patternFill patternType="solid">
        <fgColor theme="7" tint="0.59999389629810485"/>
        <bgColor indexed="64"/>
      </patternFill>
    </fill>
    <fill>
      <patternFill patternType="solid">
        <fgColor theme="2" tint="0.59999389629810485"/>
        <bgColor indexed="64"/>
      </patternFill>
    </fill>
    <fill>
      <patternFill patternType="solid">
        <fgColor theme="9" tint="0.59999389629810485"/>
        <bgColor indexed="64"/>
      </patternFill>
    </fill>
    <fill>
      <patternFill patternType="solid">
        <fgColor rgb="FFFFFFCC"/>
        <bgColor indexed="64"/>
      </patternFill>
    </fill>
    <fill>
      <patternFill patternType="solid">
        <fgColor theme="6" tint="0.79998168889431442"/>
        <bgColor indexed="64"/>
      </patternFill>
    </fill>
    <fill>
      <patternFill patternType="solid">
        <fgColor theme="7"/>
        <bgColor indexed="64"/>
      </patternFill>
    </fill>
    <fill>
      <patternFill patternType="solid">
        <fgColor theme="8"/>
        <bgColor indexed="64"/>
      </patternFill>
    </fill>
    <fill>
      <patternFill patternType="solid">
        <fgColor rgb="FF7030A0"/>
        <bgColor indexed="64"/>
      </patternFill>
    </fill>
    <fill>
      <patternFill patternType="solid">
        <fgColor rgb="FFCC99FF"/>
        <bgColor indexed="64"/>
      </patternFill>
    </fill>
    <fill>
      <patternFill patternType="solid">
        <fgColor theme="1" tint="0.249977111117893"/>
        <bgColor indexed="64"/>
      </patternFill>
    </fill>
    <fill>
      <patternFill patternType="solid">
        <fgColor theme="6" tint="0.59999389629810485"/>
        <bgColor indexed="64"/>
      </patternFill>
    </fill>
    <fill>
      <patternFill patternType="solid">
        <fgColor theme="2" tint="0.79998168889431442"/>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
      <patternFill patternType="solid">
        <fgColor rgb="FFFF66FF"/>
        <bgColor indexed="64"/>
      </patternFill>
    </fill>
  </fills>
  <borders count="20">
    <border>
      <left/>
      <right/>
      <top/>
      <bottom/>
      <diagonal/>
    </border>
    <border>
      <left style="thin">
        <color indexed="64"/>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thin">
        <color indexed="64"/>
      </bottom>
      <diagonal/>
    </border>
    <border>
      <left style="thin">
        <color indexed="64"/>
      </left>
      <right/>
      <top style="thin">
        <color indexed="64"/>
      </top>
      <bottom style="thin">
        <color indexed="64"/>
      </bottom>
      <diagonal/>
    </border>
  </borders>
  <cellStyleXfs count="95">
    <xf numFmtId="0" fontId="0" fillId="0" borderId="0"/>
    <xf numFmtId="165" fontId="1" fillId="0" borderId="0" applyFont="0" applyFill="0" applyBorder="0" applyAlignment="0" applyProtection="0"/>
    <xf numFmtId="168" fontId="1" fillId="0" borderId="0" applyFont="0" applyFill="0" applyBorder="0" applyProtection="0">
      <alignment vertical="top"/>
    </xf>
    <xf numFmtId="165" fontId="1" fillId="0" borderId="0" applyFont="0" applyFill="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0" fontId="28" fillId="0" borderId="0" applyNumberFormat="0" applyFill="0" applyBorder="0" applyAlignment="0" applyProtection="0"/>
    <xf numFmtId="0" fontId="29" fillId="0" borderId="9" applyNumberFormat="0" applyFill="0" applyAlignment="0" applyProtection="0"/>
    <xf numFmtId="0" fontId="30" fillId="0" borderId="10" applyNumberFormat="0" applyFill="0" applyAlignment="0" applyProtection="0"/>
    <xf numFmtId="0" fontId="2" fillId="0" borderId="11" applyNumberFormat="0" applyFill="0" applyAlignment="0" applyProtection="0"/>
    <xf numFmtId="0" fontId="2" fillId="0" borderId="0" applyNumberFormat="0" applyFill="0" applyBorder="0" applyAlignment="0" applyProtection="0"/>
    <xf numFmtId="0" fontId="31" fillId="24" borderId="0" applyNumberFormat="0" applyBorder="0" applyAlignment="0" applyProtection="0"/>
    <xf numFmtId="0" fontId="32" fillId="25" borderId="0" applyNumberFormat="0" applyBorder="0" applyAlignment="0" applyProtection="0"/>
    <xf numFmtId="0" fontId="33" fillId="26" borderId="0" applyNumberFormat="0" applyBorder="0" applyAlignment="0" applyProtection="0"/>
    <xf numFmtId="0" fontId="34" fillId="27" borderId="12" applyNumberFormat="0" applyAlignment="0" applyProtection="0"/>
    <xf numFmtId="0" fontId="35" fillId="28" borderId="13" applyNumberFormat="0" applyAlignment="0" applyProtection="0"/>
    <xf numFmtId="0" fontId="36" fillId="28" borderId="12" applyNumberFormat="0" applyAlignment="0" applyProtection="0"/>
    <xf numFmtId="0" fontId="37" fillId="0" borderId="14" applyNumberFormat="0" applyFill="0" applyAlignment="0" applyProtection="0"/>
    <xf numFmtId="0" fontId="3" fillId="29" borderId="15" applyNumberFormat="0" applyAlignment="0" applyProtection="0"/>
    <xf numFmtId="0" fontId="4" fillId="0" borderId="0" applyNumberFormat="0" applyFill="0" applyBorder="0" applyAlignment="0" applyProtection="0"/>
    <xf numFmtId="0" fontId="1" fillId="30" borderId="16" applyNumberFormat="0" applyFont="0" applyAlignment="0" applyProtection="0"/>
    <xf numFmtId="0" fontId="38" fillId="0" borderId="0" applyNumberFormat="0" applyFill="0" applyBorder="0" applyAlignment="0" applyProtection="0"/>
    <xf numFmtId="0" fontId="5" fillId="0" borderId="17" applyNumberFormat="0" applyFill="0" applyAlignment="0" applyProtection="0"/>
    <xf numFmtId="0" fontId="6"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6"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38" borderId="0" applyNumberFormat="0" applyBorder="0" applyAlignment="0" applyProtection="0"/>
    <xf numFmtId="0" fontId="6"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2" borderId="0" applyNumberFormat="0" applyBorder="0" applyAlignment="0" applyProtection="0"/>
    <xf numFmtId="0" fontId="6"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46" borderId="0" applyNumberFormat="0" applyBorder="0" applyAlignment="0" applyProtection="0"/>
    <xf numFmtId="0" fontId="6"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50" borderId="0" applyNumberFormat="0" applyBorder="0" applyAlignment="0" applyProtection="0"/>
    <xf numFmtId="0" fontId="6"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4" borderId="0" applyNumberFormat="0" applyBorder="0" applyAlignment="0" applyProtection="0"/>
    <xf numFmtId="165" fontId="1" fillId="0" borderId="0" applyFont="0" applyFill="0" applyBorder="0" applyAlignment="0" applyProtection="0"/>
    <xf numFmtId="9" fontId="1" fillId="0" borderId="0" applyFont="0" applyFill="0" applyBorder="0" applyAlignment="0" applyProtection="0"/>
    <xf numFmtId="165" fontId="1" fillId="0" borderId="0" applyFont="0" applyFill="0" applyBorder="0" applyAlignment="0" applyProtection="0"/>
    <xf numFmtId="0" fontId="1" fillId="0" borderId="0"/>
    <xf numFmtId="179" fontId="1" fillId="0" borderId="0" applyFont="0" applyFill="0" applyBorder="0" applyProtection="0">
      <alignment vertical="top"/>
    </xf>
    <xf numFmtId="180" fontId="1" fillId="0" borderId="0" applyFont="0" applyFill="0" applyBorder="0" applyProtection="0">
      <alignment vertical="top"/>
    </xf>
    <xf numFmtId="165" fontId="1" fillId="0" borderId="0" applyFont="0" applyFill="0" applyBorder="0" applyAlignment="0" applyProtection="0"/>
    <xf numFmtId="181" fontId="1" fillId="0" borderId="0" applyFont="0" applyFill="0" applyBorder="0" applyProtection="0">
      <alignment vertical="top"/>
    </xf>
    <xf numFmtId="179" fontId="1" fillId="0" borderId="0" applyFont="0" applyFill="0" applyBorder="0" applyProtection="0">
      <alignment vertical="top"/>
    </xf>
    <xf numFmtId="179" fontId="1" fillId="0" borderId="0" applyFont="0" applyFill="0" applyBorder="0" applyProtection="0">
      <alignment vertical="top"/>
    </xf>
    <xf numFmtId="179" fontId="1" fillId="0" borderId="0" applyFont="0" applyFill="0" applyBorder="0" applyProtection="0">
      <alignment vertical="top"/>
    </xf>
    <xf numFmtId="179" fontId="1" fillId="0" borderId="0" applyFont="0" applyFill="0" applyBorder="0" applyProtection="0">
      <alignment vertical="top"/>
    </xf>
    <xf numFmtId="182" fontId="1" fillId="0" borderId="0" applyFont="0" applyFill="0" applyBorder="0" applyProtection="0">
      <alignment vertical="top"/>
    </xf>
    <xf numFmtId="183" fontId="1" fillId="0" borderId="0" applyFont="0" applyFill="0" applyBorder="0" applyProtection="0">
      <alignment vertical="top"/>
    </xf>
    <xf numFmtId="179" fontId="1" fillId="0" borderId="0" applyFont="0" applyFill="0" applyBorder="0" applyProtection="0">
      <alignment vertical="top"/>
    </xf>
    <xf numFmtId="9" fontId="1" fillId="0" borderId="0" applyFont="0" applyFill="0" applyBorder="0" applyAlignment="0" applyProtection="0"/>
    <xf numFmtId="164" fontId="1" fillId="0" borderId="0" applyFont="0" applyFill="0" applyBorder="0" applyAlignment="0" applyProtection="0"/>
    <xf numFmtId="0" fontId="39" fillId="0" borderId="0" applyNumberFormat="0" applyFill="0" applyBorder="0" applyAlignment="0" applyProtection="0"/>
    <xf numFmtId="0" fontId="1" fillId="0" borderId="0"/>
    <xf numFmtId="0" fontId="1" fillId="0" borderId="0"/>
    <xf numFmtId="164" fontId="1" fillId="0" borderId="0" applyFont="0" applyFill="0" applyBorder="0" applyAlignment="0" applyProtection="0"/>
    <xf numFmtId="0" fontId="1" fillId="0" borderId="0"/>
    <xf numFmtId="0" fontId="1" fillId="0" borderId="0"/>
    <xf numFmtId="165" fontId="1" fillId="0" borderId="0" applyFont="0" applyFill="0" applyBorder="0" applyAlignment="0" applyProtection="0"/>
    <xf numFmtId="0" fontId="1" fillId="0" borderId="0"/>
    <xf numFmtId="0" fontId="6" fillId="34" borderId="0" applyNumberFormat="0" applyBorder="0" applyAlignment="0" applyProtection="0"/>
    <xf numFmtId="0" fontId="6" fillId="38" borderId="0" applyNumberFormat="0" applyBorder="0" applyAlignment="0" applyProtection="0"/>
    <xf numFmtId="0" fontId="6" fillId="42" borderId="0" applyNumberFormat="0" applyBorder="0" applyAlignment="0" applyProtection="0"/>
    <xf numFmtId="0" fontId="6" fillId="46" borderId="0" applyNumberFormat="0" applyBorder="0" applyAlignment="0" applyProtection="0"/>
    <xf numFmtId="0" fontId="6" fillId="50" borderId="0" applyNumberFormat="0" applyBorder="0" applyAlignment="0" applyProtection="0"/>
    <xf numFmtId="0" fontId="6" fillId="54" borderId="0" applyNumberFormat="0" applyBorder="0" applyAlignment="0" applyProtection="0"/>
    <xf numFmtId="0" fontId="42" fillId="26" borderId="0" applyNumberFormat="0" applyBorder="0" applyAlignment="0" applyProtection="0"/>
    <xf numFmtId="0" fontId="1" fillId="0" borderId="0"/>
    <xf numFmtId="0" fontId="41" fillId="0" borderId="0" applyNumberFormat="0" applyFill="0" applyBorder="0" applyAlignment="0" applyProtection="0"/>
    <xf numFmtId="22" fontId="40" fillId="0" borderId="0"/>
    <xf numFmtId="0" fontId="43" fillId="0" borderId="0" applyFont="0" applyFill="0" applyBorder="0" applyProtection="0">
      <alignment vertical="top"/>
    </xf>
    <xf numFmtId="0" fontId="1" fillId="0" borderId="0"/>
    <xf numFmtId="0" fontId="40" fillId="0" borderId="0"/>
    <xf numFmtId="0" fontId="44" fillId="0" borderId="0" applyNumberFormat="0" applyFill="0" applyBorder="0" applyAlignment="0" applyProtection="0">
      <alignment vertical="top"/>
      <protection locked="0"/>
    </xf>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79" fontId="1" fillId="0" borderId="0" applyFont="0" applyFill="0" applyBorder="0" applyProtection="0">
      <alignment vertical="top"/>
    </xf>
    <xf numFmtId="179" fontId="1" fillId="0" borderId="0" applyFont="0" applyFill="0" applyBorder="0" applyProtection="0">
      <alignment vertical="top"/>
    </xf>
    <xf numFmtId="179" fontId="39" fillId="0" borderId="0" applyNumberFormat="0" applyFill="0" applyBorder="0" applyAlignment="0" applyProtection="0">
      <alignment vertical="top"/>
    </xf>
  </cellStyleXfs>
  <cellXfs count="260">
    <xf numFmtId="0" fontId="0" fillId="0" borderId="0" xfId="0"/>
    <xf numFmtId="0" fontId="7" fillId="0" borderId="0" xfId="0" applyFont="1" applyAlignment="1">
      <alignment horizontal="left"/>
    </xf>
    <xf numFmtId="0" fontId="7" fillId="0" borderId="0" xfId="0" applyFont="1" applyAlignment="1">
      <alignment vertical="top"/>
    </xf>
    <xf numFmtId="0" fontId="0" fillId="2" borderId="0" xfId="0" applyFill="1"/>
    <xf numFmtId="2" fontId="8" fillId="0" borderId="0" xfId="0" applyNumberFormat="1" applyFont="1" applyAlignment="1">
      <alignment horizontal="centerContinuous"/>
    </xf>
    <xf numFmtId="2" fontId="0" fillId="0" borderId="0" xfId="0" applyNumberFormat="1" applyAlignment="1">
      <alignment horizontal="centerContinuous"/>
    </xf>
    <xf numFmtId="0" fontId="4" fillId="0" borderId="0" xfId="0" applyFont="1"/>
    <xf numFmtId="166" fontId="9" fillId="3" borderId="0" xfId="0" applyNumberFormat="1" applyFont="1" applyFill="1" applyAlignment="1">
      <alignment horizontal="center"/>
    </xf>
    <xf numFmtId="166" fontId="7" fillId="0" borderId="0" xfId="0" applyNumberFormat="1" applyFont="1"/>
    <xf numFmtId="167" fontId="7" fillId="0" borderId="0" xfId="0" applyNumberFormat="1" applyFont="1"/>
    <xf numFmtId="166" fontId="9" fillId="3" borderId="0" xfId="0" applyNumberFormat="1" applyFont="1" applyFill="1"/>
    <xf numFmtId="167" fontId="0" fillId="0" borderId="0" xfId="0" applyNumberFormat="1"/>
    <xf numFmtId="167" fontId="0" fillId="0" borderId="0" xfId="0" applyNumberFormat="1" applyAlignment="1">
      <alignment horizontal="centerContinuous"/>
    </xf>
    <xf numFmtId="0" fontId="10" fillId="4" borderId="0" xfId="0" applyFont="1" applyFill="1" applyAlignment="1">
      <alignment horizontal="centerContinuous" vertical="top"/>
    </xf>
    <xf numFmtId="0" fontId="6" fillId="4" borderId="0" xfId="0" applyFont="1" applyFill="1" applyAlignment="1">
      <alignment horizontal="centerContinuous"/>
    </xf>
    <xf numFmtId="0" fontId="6" fillId="0" borderId="0" xfId="0" applyFont="1" applyAlignment="1">
      <alignment horizontal="centerContinuous"/>
    </xf>
    <xf numFmtId="0" fontId="10" fillId="5" borderId="0" xfId="0" applyFont="1" applyFill="1" applyAlignment="1">
      <alignment horizontal="centerContinuous" vertical="top"/>
    </xf>
    <xf numFmtId="0" fontId="6" fillId="5" borderId="0" xfId="0" applyFont="1" applyFill="1" applyAlignment="1">
      <alignment horizontal="centerContinuous"/>
    </xf>
    <xf numFmtId="2" fontId="10" fillId="5" borderId="0" xfId="0" applyNumberFormat="1" applyFont="1" applyFill="1" applyAlignment="1">
      <alignment horizontal="centerContinuous" vertical="top"/>
    </xf>
    <xf numFmtId="2" fontId="6" fillId="5" borderId="0" xfId="0" applyNumberFormat="1" applyFont="1" applyFill="1" applyAlignment="1">
      <alignment horizontal="centerContinuous"/>
    </xf>
    <xf numFmtId="0" fontId="6" fillId="6" borderId="0" xfId="0" applyFont="1" applyFill="1" applyAlignment="1">
      <alignment horizontal="centerContinuous"/>
    </xf>
    <xf numFmtId="0" fontId="10" fillId="6" borderId="0" xfId="0" applyFont="1" applyFill="1" applyAlignment="1">
      <alignment horizontal="centerContinuous" vertical="top"/>
    </xf>
    <xf numFmtId="0" fontId="0" fillId="6" borderId="0" xfId="0" applyFill="1" applyAlignment="1">
      <alignment horizontal="centerContinuous"/>
    </xf>
    <xf numFmtId="2" fontId="10" fillId="6" borderId="0" xfId="0" applyNumberFormat="1" applyFont="1" applyFill="1" applyAlignment="1">
      <alignment horizontal="centerContinuous" vertical="top"/>
    </xf>
    <xf numFmtId="2" fontId="6" fillId="6" borderId="0" xfId="0" applyNumberFormat="1" applyFont="1" applyFill="1" applyAlignment="1">
      <alignment horizontal="centerContinuous"/>
    </xf>
    <xf numFmtId="0" fontId="7" fillId="2" borderId="0" xfId="0" applyFont="1" applyFill="1" applyAlignment="1">
      <alignment vertical="top"/>
    </xf>
    <xf numFmtId="0" fontId="3" fillId="7" borderId="0" xfId="0" applyFont="1" applyFill="1" applyAlignment="1">
      <alignment horizontal="center" vertical="center" wrapText="1"/>
    </xf>
    <xf numFmtId="0" fontId="3" fillId="0" borderId="0" xfId="0" applyFont="1" applyAlignment="1">
      <alignment horizontal="center" vertical="center" wrapText="1"/>
    </xf>
    <xf numFmtId="0" fontId="11" fillId="7" borderId="0" xfId="0" applyFont="1" applyFill="1" applyAlignment="1">
      <alignment horizontal="center" vertical="center" wrapText="1"/>
    </xf>
    <xf numFmtId="0" fontId="3" fillId="7" borderId="0" xfId="0" applyFont="1" applyFill="1" applyAlignment="1">
      <alignment horizontal="center" vertical="center"/>
    </xf>
    <xf numFmtId="0" fontId="6" fillId="0" borderId="0" xfId="0" applyFont="1" applyAlignment="1">
      <alignment horizontal="center"/>
    </xf>
    <xf numFmtId="0" fontId="11" fillId="0" borderId="0" xfId="0" applyFont="1" applyAlignment="1">
      <alignment horizontal="center"/>
    </xf>
    <xf numFmtId="0" fontId="7" fillId="0" borderId="0" xfId="0" applyFont="1"/>
    <xf numFmtId="167" fontId="12" fillId="0" borderId="0" xfId="0" applyNumberFormat="1" applyFont="1"/>
    <xf numFmtId="0" fontId="13" fillId="0" borderId="0" xfId="0" applyFont="1" applyAlignment="1">
      <alignment horizontal="center"/>
    </xf>
    <xf numFmtId="167" fontId="14" fillId="0" borderId="0" xfId="0" applyNumberFormat="1" applyFont="1" applyAlignment="1">
      <alignment horizontal="center"/>
    </xf>
    <xf numFmtId="0" fontId="7" fillId="0" borderId="0" xfId="0" applyFont="1" applyAlignment="1">
      <alignment horizontal="center" vertical="center"/>
    </xf>
    <xf numFmtId="0" fontId="15" fillId="0" borderId="0" xfId="0" applyFont="1" applyAlignment="1">
      <alignment horizontal="center" vertical="center"/>
    </xf>
    <xf numFmtId="168" fontId="12" fillId="0" borderId="0" xfId="2" applyFont="1" applyFill="1" applyAlignment="1">
      <alignment horizontal="left" vertical="top"/>
    </xf>
    <xf numFmtId="170" fontId="7" fillId="0" borderId="0" xfId="0" applyNumberFormat="1" applyFont="1"/>
    <xf numFmtId="0" fontId="2" fillId="0" borderId="0" xfId="0" applyFont="1"/>
    <xf numFmtId="168" fontId="7" fillId="0" borderId="0" xfId="2" applyFont="1" applyFill="1" applyAlignment="1">
      <alignment horizontal="left" vertical="top"/>
    </xf>
    <xf numFmtId="171" fontId="7" fillId="0" borderId="0" xfId="0" applyNumberFormat="1" applyFont="1"/>
    <xf numFmtId="172" fontId="15" fillId="0" borderId="0" xfId="0" applyNumberFormat="1" applyFont="1" applyAlignment="1">
      <alignment horizontal="center" vertical="center" wrapText="1"/>
    </xf>
    <xf numFmtId="0" fontId="0" fillId="0" borderId="0" xfId="0" applyAlignment="1">
      <alignment horizontal="left"/>
    </xf>
    <xf numFmtId="0" fontId="5" fillId="0" borderId="0" xfId="0" applyFont="1" applyAlignment="1">
      <alignment horizontal="center"/>
    </xf>
    <xf numFmtId="0" fontId="5" fillId="8" borderId="0" xfId="0" applyFont="1" applyFill="1" applyAlignment="1">
      <alignment horizontal="center"/>
    </xf>
    <xf numFmtId="0" fontId="2" fillId="2" borderId="0" xfId="0" applyFont="1" applyFill="1"/>
    <xf numFmtId="168" fontId="12" fillId="0" borderId="0" xfId="2" applyFont="1" applyAlignment="1">
      <alignment horizontal="left" vertical="top"/>
    </xf>
    <xf numFmtId="169" fontId="12" fillId="0" borderId="0" xfId="1" applyNumberFormat="1" applyFont="1" applyFill="1" applyAlignment="1">
      <alignment vertical="center"/>
    </xf>
    <xf numFmtId="169" fontId="12" fillId="0" borderId="0" xfId="1" applyNumberFormat="1" applyFont="1" applyFill="1" applyAlignment="1">
      <alignment horizontal="right"/>
    </xf>
    <xf numFmtId="0" fontId="5" fillId="9" borderId="0" xfId="0" applyFont="1" applyFill="1"/>
    <xf numFmtId="0" fontId="0" fillId="9" borderId="0" xfId="0" applyFill="1"/>
    <xf numFmtId="171" fontId="0" fillId="0" borderId="0" xfId="0" applyNumberFormat="1"/>
    <xf numFmtId="0" fontId="0" fillId="9" borderId="0" xfId="0" applyFill="1" applyAlignment="1">
      <alignment horizontal="left"/>
    </xf>
    <xf numFmtId="0" fontId="13" fillId="0" borderId="0" xfId="0" applyFont="1"/>
    <xf numFmtId="165" fontId="13" fillId="0" borderId="0" xfId="0" applyNumberFormat="1" applyFont="1"/>
    <xf numFmtId="165" fontId="0" fillId="0" borderId="0" xfId="0" applyNumberFormat="1"/>
    <xf numFmtId="166" fontId="9" fillId="2" borderId="0" xfId="0" applyNumberFormat="1" applyFont="1" applyFill="1"/>
    <xf numFmtId="0" fontId="16" fillId="10" borderId="0" xfId="0" applyFont="1" applyFill="1"/>
    <xf numFmtId="0" fontId="13" fillId="10" borderId="0" xfId="0" applyFont="1" applyFill="1"/>
    <xf numFmtId="169" fontId="4" fillId="0" borderId="0" xfId="0" applyNumberFormat="1" applyFont="1"/>
    <xf numFmtId="0" fontId="13" fillId="10" borderId="0" xfId="0" applyFont="1" applyFill="1" applyAlignment="1">
      <alignment horizontal="left" vertical="center"/>
    </xf>
    <xf numFmtId="166" fontId="0" fillId="0" borderId="0" xfId="0" applyNumberFormat="1"/>
    <xf numFmtId="0" fontId="13" fillId="10" borderId="0" xfId="0" applyFont="1" applyFill="1" applyAlignment="1">
      <alignment horizontal="left"/>
    </xf>
    <xf numFmtId="0" fontId="16" fillId="10" borderId="0" xfId="0" applyFont="1" applyFill="1" applyAlignment="1">
      <alignment horizontal="left"/>
    </xf>
    <xf numFmtId="167" fontId="7" fillId="10" borderId="0" xfId="0" applyNumberFormat="1" applyFont="1" applyFill="1"/>
    <xf numFmtId="0" fontId="0" fillId="10" borderId="0" xfId="0" applyFill="1" applyAlignment="1">
      <alignment horizontal="center"/>
    </xf>
    <xf numFmtId="1" fontId="12" fillId="0" borderId="0" xfId="0" applyNumberFormat="1" applyFont="1" applyAlignment="1">
      <alignment horizontal="center"/>
    </xf>
    <xf numFmtId="167" fontId="7" fillId="0" borderId="0" xfId="0" applyNumberFormat="1" applyFont="1" applyAlignment="1">
      <alignment horizontal="center"/>
    </xf>
    <xf numFmtId="168" fontId="15" fillId="0" borderId="0" xfId="2" applyFont="1" applyFill="1" applyAlignment="1">
      <alignment horizontal="left" vertical="top"/>
    </xf>
    <xf numFmtId="0" fontId="7" fillId="0" borderId="0" xfId="0" applyFont="1" applyAlignment="1">
      <alignment horizontal="right"/>
    </xf>
    <xf numFmtId="0" fontId="0" fillId="10" borderId="0" xfId="0" applyFill="1"/>
    <xf numFmtId="0" fontId="0" fillId="10" borderId="0" xfId="0" applyFill="1" applyAlignment="1">
      <alignment horizontal="left"/>
    </xf>
    <xf numFmtId="173" fontId="0" fillId="0" borderId="0" xfId="0" applyNumberFormat="1"/>
    <xf numFmtId="169" fontId="0" fillId="0" borderId="0" xfId="0" applyNumberFormat="1"/>
    <xf numFmtId="167" fontId="17" fillId="0" borderId="0" xfId="0" applyNumberFormat="1" applyFont="1"/>
    <xf numFmtId="0" fontId="5" fillId="10" borderId="0" xfId="0" applyFont="1" applyFill="1" applyAlignment="1">
      <alignment horizontal="left"/>
    </xf>
    <xf numFmtId="174" fontId="0" fillId="10" borderId="0" xfId="0" applyNumberFormat="1" applyFill="1" applyAlignment="1">
      <alignment horizontal="left"/>
    </xf>
    <xf numFmtId="10" fontId="0" fillId="0" borderId="0" xfId="0" applyNumberFormat="1"/>
    <xf numFmtId="175" fontId="0" fillId="0" borderId="0" xfId="0" applyNumberFormat="1"/>
    <xf numFmtId="0" fontId="7" fillId="0" borderId="0" xfId="0" applyFont="1" applyAlignment="1">
      <alignment horizontal="left" vertical="top"/>
    </xf>
    <xf numFmtId="170" fontId="7" fillId="10" borderId="0" xfId="0" applyNumberFormat="1" applyFont="1" applyFill="1"/>
    <xf numFmtId="175" fontId="7" fillId="0" borderId="0" xfId="0" applyNumberFormat="1" applyFont="1"/>
    <xf numFmtId="167" fontId="19" fillId="0" borderId="0" xfId="0" applyNumberFormat="1" applyFont="1" applyAlignment="1">
      <alignment horizontal="center"/>
    </xf>
    <xf numFmtId="0" fontId="0" fillId="0" borderId="0" xfId="0" applyAlignment="1">
      <alignment vertical="top"/>
    </xf>
    <xf numFmtId="0" fontId="7" fillId="0" borderId="0" xfId="0" applyFont="1" applyAlignment="1">
      <alignment horizontal="center" vertical="top"/>
    </xf>
    <xf numFmtId="0" fontId="3" fillId="5" borderId="0" xfId="0" applyFont="1" applyFill="1" applyAlignment="1">
      <alignment horizontal="centerContinuous" vertical="top"/>
    </xf>
    <xf numFmtId="0" fontId="0" fillId="5" borderId="0" xfId="0" applyFill="1" applyAlignment="1">
      <alignment horizontal="centerContinuous" vertical="top"/>
    </xf>
    <xf numFmtId="0" fontId="7" fillId="5" borderId="0" xfId="0" applyFont="1" applyFill="1" applyAlignment="1">
      <alignment horizontal="centerContinuous" vertical="top"/>
    </xf>
    <xf numFmtId="0" fontId="3" fillId="13" borderId="0" xfId="0" applyFont="1" applyFill="1" applyAlignment="1">
      <alignment horizontal="centerContinuous" vertical="top"/>
    </xf>
    <xf numFmtId="0" fontId="0" fillId="13" borderId="0" xfId="0" applyFill="1" applyAlignment="1">
      <alignment horizontal="centerContinuous" vertical="top"/>
    </xf>
    <xf numFmtId="0" fontId="7" fillId="13" borderId="0" xfId="0" applyFont="1" applyFill="1" applyAlignment="1">
      <alignment horizontal="centerContinuous" vertical="top"/>
    </xf>
    <xf numFmtId="0" fontId="3" fillId="14" borderId="0" xfId="0" applyFont="1" applyFill="1" applyAlignment="1">
      <alignment horizontal="centerContinuous" vertical="top"/>
    </xf>
    <xf numFmtId="0" fontId="0" fillId="14" borderId="0" xfId="0" applyFill="1" applyAlignment="1">
      <alignment horizontal="centerContinuous" vertical="top"/>
    </xf>
    <xf numFmtId="0" fontId="7" fillId="14" borderId="0" xfId="0" applyFont="1" applyFill="1" applyAlignment="1">
      <alignment horizontal="centerContinuous" vertical="top"/>
    </xf>
    <xf numFmtId="0" fontId="3" fillId="7" borderId="0" xfId="0" applyFont="1" applyFill="1" applyAlignment="1">
      <alignment horizontal="centerContinuous" vertical="top"/>
    </xf>
    <xf numFmtId="0" fontId="0" fillId="7" borderId="0" xfId="0" applyFill="1" applyAlignment="1">
      <alignment horizontal="centerContinuous" vertical="top"/>
    </xf>
    <xf numFmtId="0" fontId="7" fillId="7" borderId="0" xfId="0" applyFont="1" applyFill="1" applyAlignment="1">
      <alignment horizontal="centerContinuous" vertical="top"/>
    </xf>
    <xf numFmtId="0" fontId="3" fillId="4" borderId="0" xfId="0" applyFont="1" applyFill="1" applyAlignment="1">
      <alignment horizontal="centerContinuous" vertical="top"/>
    </xf>
    <xf numFmtId="0" fontId="0" fillId="4" borderId="0" xfId="0" applyFill="1" applyAlignment="1">
      <alignment horizontal="centerContinuous" vertical="top"/>
    </xf>
    <xf numFmtId="0" fontId="7" fillId="4" borderId="0" xfId="0" applyFont="1" applyFill="1" applyAlignment="1">
      <alignment horizontal="centerContinuous" vertical="top"/>
    </xf>
    <xf numFmtId="0" fontId="3" fillId="15" borderId="0" xfId="0" applyFont="1" applyFill="1" applyAlignment="1">
      <alignment horizontal="centerContinuous" vertical="top"/>
    </xf>
    <xf numFmtId="0" fontId="0" fillId="15" borderId="0" xfId="0" applyFill="1" applyAlignment="1">
      <alignment horizontal="centerContinuous" vertical="top"/>
    </xf>
    <xf numFmtId="0" fontId="7" fillId="15" borderId="0" xfId="0" applyFont="1" applyFill="1" applyAlignment="1">
      <alignment horizontal="centerContinuous" vertical="top"/>
    </xf>
    <xf numFmtId="0" fontId="13" fillId="0" borderId="0" xfId="0" applyFont="1" applyAlignment="1">
      <alignment vertical="top"/>
    </xf>
    <xf numFmtId="0" fontId="3" fillId="0" borderId="0" xfId="0" applyFont="1" applyAlignment="1">
      <alignment horizontal="centerContinuous" vertical="top"/>
    </xf>
    <xf numFmtId="0" fontId="0" fillId="0" borderId="0" xfId="0" applyAlignment="1">
      <alignment horizontal="centerContinuous" vertical="top"/>
    </xf>
    <xf numFmtId="0" fontId="7" fillId="0" borderId="0" xfId="0" applyFont="1" applyAlignment="1">
      <alignment horizontal="centerContinuous" vertical="top"/>
    </xf>
    <xf numFmtId="0" fontId="16" fillId="0" borderId="2" xfId="0" applyFont="1" applyBorder="1" applyAlignment="1">
      <alignment horizontal="center" vertical="center"/>
    </xf>
    <xf numFmtId="0" fontId="15" fillId="0" borderId="2" xfId="0" applyFont="1" applyBorder="1" applyAlignment="1">
      <alignment horizontal="center" vertical="center" wrapText="1"/>
    </xf>
    <xf numFmtId="0" fontId="15" fillId="0" borderId="2" xfId="0" applyFont="1" applyBorder="1" applyAlignment="1">
      <alignment horizontal="center" vertical="center"/>
    </xf>
    <xf numFmtId="172" fontId="15" fillId="0" borderId="2" xfId="0" applyNumberFormat="1" applyFont="1" applyBorder="1" applyAlignment="1">
      <alignment horizontal="center" vertical="center" wrapText="1"/>
    </xf>
    <xf numFmtId="172" fontId="7" fillId="0" borderId="0" xfId="0" applyNumberFormat="1" applyFont="1" applyAlignment="1">
      <alignment horizontal="center" vertical="center" wrapText="1"/>
    </xf>
    <xf numFmtId="49" fontId="20" fillId="0" borderId="0" xfId="0" applyNumberFormat="1" applyFont="1" applyAlignment="1">
      <alignment horizontal="center" vertical="center"/>
    </xf>
    <xf numFmtId="15" fontId="17" fillId="3" borderId="0" xfId="0" applyNumberFormat="1" applyFont="1" applyFill="1" applyAlignment="1">
      <alignment horizontal="center" vertical="center"/>
    </xf>
    <xf numFmtId="0" fontId="13" fillId="0" borderId="0" xfId="0" applyFont="1" applyAlignment="1">
      <alignment vertical="center"/>
    </xf>
    <xf numFmtId="0" fontId="21" fillId="6" borderId="0" xfId="0" applyFont="1" applyFill="1" applyAlignment="1">
      <alignment horizontal="centerContinuous" vertical="center"/>
    </xf>
    <xf numFmtId="168" fontId="12" fillId="0" borderId="0" xfId="2" applyFont="1" applyFill="1" applyAlignment="1">
      <alignment horizontal="center" vertical="top"/>
    </xf>
    <xf numFmtId="2" fontId="7" fillId="0" borderId="0" xfId="0" applyNumberFormat="1" applyFont="1" applyAlignment="1">
      <alignment horizontal="center" vertical="top"/>
    </xf>
    <xf numFmtId="166" fontId="7" fillId="0" borderId="0" xfId="0" applyNumberFormat="1" applyFont="1" applyAlignment="1">
      <alignment horizontal="center" vertical="top"/>
    </xf>
    <xf numFmtId="0" fontId="20" fillId="11" borderId="0" xfId="0" applyFont="1" applyFill="1" applyAlignment="1">
      <alignment horizontal="centerContinuous" vertical="center"/>
    </xf>
    <xf numFmtId="0" fontId="19" fillId="11" borderId="0" xfId="0" applyFont="1" applyFill="1" applyAlignment="1">
      <alignment horizontal="centerContinuous" vertical="center"/>
    </xf>
    <xf numFmtId="0" fontId="11" fillId="6" borderId="0" xfId="0" applyFont="1" applyFill="1" applyAlignment="1">
      <alignment horizontal="centerContinuous" vertical="center"/>
    </xf>
    <xf numFmtId="0" fontId="7" fillId="6" borderId="0" xfId="0" applyFont="1" applyFill="1" applyAlignment="1">
      <alignment horizontal="centerContinuous" vertical="center"/>
    </xf>
    <xf numFmtId="0" fontId="11" fillId="13" borderId="0" xfId="0" applyFont="1" applyFill="1" applyAlignment="1">
      <alignment horizontal="centerContinuous" vertical="center"/>
    </xf>
    <xf numFmtId="0" fontId="7" fillId="13" borderId="0" xfId="0" applyFont="1" applyFill="1" applyAlignment="1">
      <alignment horizontal="centerContinuous" vertical="center"/>
    </xf>
    <xf numFmtId="0" fontId="11" fillId="16" borderId="0" xfId="0" applyFont="1" applyFill="1" applyAlignment="1">
      <alignment horizontal="centerContinuous" vertical="center"/>
    </xf>
    <xf numFmtId="0" fontId="7" fillId="16" borderId="0" xfId="0" applyFont="1" applyFill="1" applyAlignment="1">
      <alignment horizontal="centerContinuous" vertical="center"/>
    </xf>
    <xf numFmtId="168" fontId="17" fillId="0" borderId="0" xfId="2" applyFont="1" applyAlignment="1">
      <alignment horizontal="center" vertical="top"/>
    </xf>
    <xf numFmtId="175" fontId="17" fillId="0" borderId="0" xfId="2" applyNumberFormat="1" applyFont="1" applyAlignment="1">
      <alignment horizontal="center" vertical="top"/>
    </xf>
    <xf numFmtId="168" fontId="19" fillId="0" borderId="0" xfId="2" applyFont="1" applyAlignment="1">
      <alignment horizontal="center" vertical="top"/>
    </xf>
    <xf numFmtId="15" fontId="17" fillId="0" borderId="0" xfId="0" applyNumberFormat="1" applyFont="1" applyAlignment="1">
      <alignment horizontal="center" vertical="center"/>
    </xf>
    <xf numFmtId="0" fontId="7" fillId="0" borderId="0" xfId="0" applyFont="1" applyAlignment="1">
      <alignment horizontal="centerContinuous" vertical="center"/>
    </xf>
    <xf numFmtId="15" fontId="19" fillId="0" borderId="0" xfId="0" applyNumberFormat="1" applyFont="1" applyAlignment="1">
      <alignment horizontal="center" vertical="center"/>
    </xf>
    <xf numFmtId="4" fontId="17" fillId="3" borderId="0" xfId="0" applyNumberFormat="1" applyFont="1" applyFill="1" applyAlignment="1">
      <alignment horizontal="center" vertical="center"/>
    </xf>
    <xf numFmtId="2" fontId="3" fillId="5" borderId="3" xfId="0" applyNumberFormat="1" applyFont="1" applyFill="1" applyBorder="1" applyAlignment="1">
      <alignment horizontal="centerContinuous" vertical="center"/>
    </xf>
    <xf numFmtId="2" fontId="6" fillId="5" borderId="4" xfId="0" applyNumberFormat="1" applyFont="1" applyFill="1" applyBorder="1" applyAlignment="1">
      <alignment horizontal="centerContinuous" vertical="center"/>
    </xf>
    <xf numFmtId="2" fontId="22" fillId="5" borderId="4" xfId="0" applyNumberFormat="1" applyFont="1" applyFill="1" applyBorder="1" applyAlignment="1">
      <alignment horizontal="centerContinuous" vertical="center"/>
    </xf>
    <xf numFmtId="2" fontId="22" fillId="5" borderId="5" xfId="0" applyNumberFormat="1" applyFont="1" applyFill="1" applyBorder="1" applyAlignment="1">
      <alignment horizontal="centerContinuous" vertical="center"/>
    </xf>
    <xf numFmtId="3" fontId="19" fillId="0" borderId="0" xfId="4" applyNumberFormat="1" applyFont="1" applyAlignment="1">
      <alignment horizontal="center" vertical="center"/>
    </xf>
    <xf numFmtId="0" fontId="11" fillId="17" borderId="3" xfId="0" applyFont="1" applyFill="1" applyBorder="1" applyAlignment="1">
      <alignment horizontal="centerContinuous" vertical="top"/>
    </xf>
    <xf numFmtId="0" fontId="7" fillId="0" borderId="4" xfId="0" applyFont="1" applyBorder="1" applyAlignment="1">
      <alignment vertical="top"/>
    </xf>
    <xf numFmtId="0" fontId="11" fillId="17" borderId="4" xfId="0" applyFont="1" applyFill="1" applyBorder="1" applyAlignment="1">
      <alignment horizontal="center" vertical="top"/>
    </xf>
    <xf numFmtId="0" fontId="11" fillId="17" borderId="5" xfId="0" applyFont="1" applyFill="1" applyBorder="1" applyAlignment="1">
      <alignment horizontal="center" vertical="top"/>
    </xf>
    <xf numFmtId="3" fontId="17" fillId="3" borderId="0" xfId="4" applyNumberFormat="1" applyFont="1" applyFill="1" applyAlignment="1">
      <alignment horizontal="center" vertical="center"/>
    </xf>
    <xf numFmtId="3" fontId="17" fillId="0" borderId="0" xfId="4" applyNumberFormat="1" applyFont="1" applyAlignment="1">
      <alignment horizontal="center" vertical="center"/>
    </xf>
    <xf numFmtId="0" fontId="11" fillId="17" borderId="3" xfId="0" applyFont="1" applyFill="1" applyBorder="1" applyAlignment="1">
      <alignment horizontal="center" vertical="top"/>
    </xf>
    <xf numFmtId="15" fontId="7" fillId="18" borderId="4" xfId="0" applyNumberFormat="1" applyFont="1" applyFill="1" applyBorder="1" applyAlignment="1">
      <alignment horizontal="center" vertical="top"/>
    </xf>
    <xf numFmtId="0" fontId="11" fillId="17" borderId="0" xfId="0" applyFont="1" applyFill="1" applyAlignment="1">
      <alignment horizontal="center" vertical="top"/>
    </xf>
    <xf numFmtId="0" fontId="11" fillId="17" borderId="6" xfId="0" applyFont="1" applyFill="1" applyBorder="1" applyAlignment="1">
      <alignment horizontal="center" vertical="top"/>
    </xf>
    <xf numFmtId="4" fontId="17" fillId="0" borderId="0" xfId="2" applyNumberFormat="1" applyFont="1" applyAlignment="1">
      <alignment horizontal="center" vertical="top"/>
    </xf>
    <xf numFmtId="10" fontId="7" fillId="0" borderId="0" xfId="0" applyNumberFormat="1" applyFont="1" applyAlignment="1">
      <alignment horizontal="center" vertical="top"/>
    </xf>
    <xf numFmtId="0" fontId="11" fillId="17" borderId="1" xfId="0" applyFont="1" applyFill="1" applyBorder="1" applyAlignment="1">
      <alignment horizontal="center" vertical="top"/>
    </xf>
    <xf numFmtId="0" fontId="23" fillId="0" borderId="0" xfId="0" applyFont="1" applyAlignment="1">
      <alignment vertical="top"/>
    </xf>
    <xf numFmtId="0" fontId="7" fillId="18" borderId="0" xfId="0" applyFont="1" applyFill="1" applyAlignment="1">
      <alignment horizontal="center" vertical="top"/>
    </xf>
    <xf numFmtId="166" fontId="7" fillId="18" borderId="6" xfId="0" applyNumberFormat="1" applyFont="1" applyFill="1" applyBorder="1" applyAlignment="1">
      <alignment horizontal="center" vertical="top"/>
    </xf>
    <xf numFmtId="10" fontId="17" fillId="0" borderId="0" xfId="4" applyNumberFormat="1" applyFont="1" applyAlignment="1">
      <alignment horizontal="center" vertical="center"/>
    </xf>
    <xf numFmtId="15" fontId="7" fillId="18" borderId="0" xfId="0" applyNumberFormat="1" applyFont="1" applyFill="1" applyAlignment="1">
      <alignment horizontal="center" vertical="top"/>
    </xf>
    <xf numFmtId="4" fontId="17" fillId="3" borderId="0" xfId="4" applyNumberFormat="1" applyFont="1" applyFill="1" applyAlignment="1">
      <alignment horizontal="center" vertical="center"/>
    </xf>
    <xf numFmtId="10" fontId="17" fillId="3" borderId="0" xfId="4" applyNumberFormat="1" applyFont="1" applyFill="1" applyAlignment="1">
      <alignment horizontal="center" vertical="center"/>
    </xf>
    <xf numFmtId="176" fontId="17" fillId="3" borderId="0" xfId="0" applyNumberFormat="1" applyFont="1" applyFill="1" applyAlignment="1">
      <alignment horizontal="center" vertical="center"/>
    </xf>
    <xf numFmtId="10" fontId="17" fillId="3" borderId="0" xfId="0" applyNumberFormat="1" applyFont="1" applyFill="1" applyAlignment="1">
      <alignment horizontal="center" vertical="center"/>
    </xf>
    <xf numFmtId="10" fontId="19" fillId="0" borderId="0" xfId="0" applyNumberFormat="1" applyFont="1" applyAlignment="1">
      <alignment horizontal="center" vertical="center"/>
    </xf>
    <xf numFmtId="10" fontId="17" fillId="0" borderId="0" xfId="0" applyNumberFormat="1" applyFont="1" applyAlignment="1">
      <alignment horizontal="center" vertical="center"/>
    </xf>
    <xf numFmtId="2" fontId="7" fillId="18" borderId="0" xfId="0" applyNumberFormat="1" applyFont="1" applyFill="1" applyAlignment="1">
      <alignment horizontal="center" vertical="top"/>
    </xf>
    <xf numFmtId="0" fontId="17" fillId="0" borderId="0" xfId="0" applyFont="1" applyAlignment="1">
      <alignment horizontal="center" vertical="top"/>
    </xf>
    <xf numFmtId="3" fontId="7" fillId="0" borderId="0" xfId="4" applyNumberFormat="1" applyFont="1" applyAlignment="1">
      <alignment horizontal="center" vertical="center"/>
    </xf>
    <xf numFmtId="177" fontId="7" fillId="0" borderId="0" xfId="4" applyNumberFormat="1" applyFont="1" applyAlignment="1">
      <alignment horizontal="center" vertical="center"/>
    </xf>
    <xf numFmtId="10" fontId="7" fillId="18" borderId="0" xfId="0" applyNumberFormat="1" applyFont="1" applyFill="1" applyAlignment="1">
      <alignment horizontal="center" vertical="top"/>
    </xf>
    <xf numFmtId="166" fontId="7" fillId="18" borderId="0" xfId="0" applyNumberFormat="1" applyFont="1" applyFill="1" applyAlignment="1">
      <alignment horizontal="center" vertical="top"/>
    </xf>
    <xf numFmtId="0" fontId="0" fillId="0" borderId="1" xfId="0" applyBorder="1"/>
    <xf numFmtId="49" fontId="20" fillId="0" borderId="1" xfId="0" applyNumberFormat="1" applyFont="1" applyBorder="1" applyAlignment="1">
      <alignment horizontal="center" vertical="center"/>
    </xf>
    <xf numFmtId="3" fontId="19" fillId="3" borderId="0" xfId="4" applyNumberFormat="1" applyFont="1" applyFill="1" applyAlignment="1">
      <alignment horizontal="center" vertical="center"/>
    </xf>
    <xf numFmtId="15" fontId="7" fillId="19" borderId="0" xfId="0" applyNumberFormat="1" applyFont="1" applyFill="1" applyAlignment="1">
      <alignment horizontal="center" vertical="top"/>
    </xf>
    <xf numFmtId="176" fontId="7" fillId="19" borderId="0" xfId="0" applyNumberFormat="1" applyFont="1" applyFill="1" applyAlignment="1">
      <alignment horizontal="center" vertical="top"/>
    </xf>
    <xf numFmtId="0" fontId="19" fillId="0" borderId="1" xfId="0" applyFont="1" applyBorder="1" applyAlignment="1">
      <alignment vertical="top"/>
    </xf>
    <xf numFmtId="10" fontId="7" fillId="19" borderId="0" xfId="0" applyNumberFormat="1" applyFont="1" applyFill="1" applyAlignment="1">
      <alignment horizontal="center" vertical="top"/>
    </xf>
    <xf numFmtId="166" fontId="17" fillId="0" borderId="0" xfId="0" applyNumberFormat="1" applyFont="1" applyAlignment="1">
      <alignment horizontal="center" vertical="center"/>
    </xf>
    <xf numFmtId="49" fontId="20" fillId="0" borderId="7" xfId="0" applyNumberFormat="1" applyFont="1" applyBorder="1" applyAlignment="1">
      <alignment horizontal="center" vertical="center"/>
    </xf>
    <xf numFmtId="176" fontId="7" fillId="19" borderId="2" xfId="0" applyNumberFormat="1" applyFont="1" applyFill="1" applyBorder="1" applyAlignment="1">
      <alignment horizontal="center" vertical="top"/>
    </xf>
    <xf numFmtId="0" fontId="7" fillId="0" borderId="2" xfId="0" applyFont="1" applyBorder="1"/>
    <xf numFmtId="0" fontId="7" fillId="0" borderId="8" xfId="0" applyFont="1" applyBorder="1"/>
    <xf numFmtId="0" fontId="7" fillId="0" borderId="6" xfId="0" applyFont="1" applyBorder="1"/>
    <xf numFmtId="3" fontId="7" fillId="3" borderId="0" xfId="4" applyNumberFormat="1" applyFont="1" applyFill="1" applyAlignment="1">
      <alignment horizontal="center" vertical="center"/>
    </xf>
    <xf numFmtId="4" fontId="7" fillId="19" borderId="2" xfId="0" applyNumberFormat="1" applyFont="1" applyFill="1" applyBorder="1" applyAlignment="1">
      <alignment horizontal="center" vertical="top"/>
    </xf>
    <xf numFmtId="0" fontId="7" fillId="0" borderId="1" xfId="0" applyFont="1" applyBorder="1" applyAlignment="1">
      <alignment vertical="top"/>
    </xf>
    <xf numFmtId="0" fontId="7" fillId="0" borderId="6" xfId="0" applyFont="1" applyBorder="1" applyAlignment="1">
      <alignment vertical="top"/>
    </xf>
    <xf numFmtId="0" fontId="19" fillId="0" borderId="0" xfId="0" applyFont="1" applyAlignment="1">
      <alignment vertical="top"/>
    </xf>
    <xf numFmtId="0" fontId="19" fillId="0" borderId="7" xfId="0" applyFont="1" applyBorder="1" applyAlignment="1">
      <alignment vertical="top"/>
    </xf>
    <xf numFmtId="0" fontId="19" fillId="0" borderId="2" xfId="0" applyFont="1" applyBorder="1" applyAlignment="1">
      <alignment vertical="top"/>
    </xf>
    <xf numFmtId="0" fontId="19" fillId="0" borderId="8" xfId="0" applyFont="1" applyBorder="1" applyAlignment="1">
      <alignment vertical="top"/>
    </xf>
    <xf numFmtId="0" fontId="24" fillId="0" borderId="0" xfId="0" applyFont="1" applyAlignment="1">
      <alignment vertical="top"/>
    </xf>
    <xf numFmtId="0" fontId="20" fillId="20" borderId="0" xfId="0" applyFont="1" applyFill="1" applyAlignment="1">
      <alignment horizontal="centerContinuous" vertical="center"/>
    </xf>
    <xf numFmtId="0" fontId="19" fillId="20" borderId="0" xfId="0" applyFont="1" applyFill="1" applyAlignment="1">
      <alignment horizontal="centerContinuous" vertical="center"/>
    </xf>
    <xf numFmtId="0" fontId="25" fillId="6" borderId="0" xfId="0" applyFont="1" applyFill="1" applyAlignment="1">
      <alignment horizontal="centerContinuous" vertical="center"/>
    </xf>
    <xf numFmtId="175" fontId="17" fillId="3" borderId="0" xfId="0" applyNumberFormat="1" applyFont="1" applyFill="1" applyAlignment="1">
      <alignment horizontal="center" vertical="center"/>
    </xf>
    <xf numFmtId="0" fontId="20" fillId="21" borderId="0" xfId="0" applyFont="1" applyFill="1" applyAlignment="1">
      <alignment horizontal="centerContinuous" vertical="center"/>
    </xf>
    <xf numFmtId="0" fontId="19" fillId="21" borderId="0" xfId="0" applyFont="1" applyFill="1" applyAlignment="1">
      <alignment horizontal="centerContinuous" vertical="center"/>
    </xf>
    <xf numFmtId="0" fontId="24" fillId="0" borderId="1" xfId="0" applyFont="1" applyBorder="1" applyAlignment="1">
      <alignment vertical="top"/>
    </xf>
    <xf numFmtId="0" fontId="20" fillId="22" borderId="0" xfId="0" applyFont="1" applyFill="1" applyAlignment="1">
      <alignment horizontal="centerContinuous" vertical="center"/>
    </xf>
    <xf numFmtId="0" fontId="19" fillId="22" borderId="0" xfId="0" applyFont="1" applyFill="1" applyAlignment="1">
      <alignment horizontal="centerContinuous" vertical="center"/>
    </xf>
    <xf numFmtId="3" fontId="17" fillId="0" borderId="0" xfId="0" applyNumberFormat="1" applyFont="1" applyAlignment="1">
      <alignment horizontal="center" vertical="top"/>
    </xf>
    <xf numFmtId="166" fontId="0" fillId="0" borderId="0" xfId="0" applyNumberFormat="1" applyAlignment="1">
      <alignment vertical="top"/>
    </xf>
    <xf numFmtId="0" fontId="17" fillId="0" borderId="0" xfId="0" applyFont="1" applyAlignment="1">
      <alignment horizontal="center" vertical="center"/>
    </xf>
    <xf numFmtId="169" fontId="19" fillId="0" borderId="0" xfId="0" applyNumberFormat="1" applyFont="1" applyAlignment="1">
      <alignment horizontal="center" vertical="center"/>
    </xf>
    <xf numFmtId="3" fontId="17" fillId="3" borderId="0" xfId="4" applyNumberFormat="1" applyFont="1" applyFill="1" applyAlignment="1">
      <alignment horizontal="right" vertical="center"/>
    </xf>
    <xf numFmtId="0" fontId="19" fillId="0" borderId="0" xfId="0" applyFont="1" applyAlignment="1">
      <alignment horizontal="center" vertical="center"/>
    </xf>
    <xf numFmtId="0" fontId="20" fillId="9" borderId="0" xfId="0" applyFont="1" applyFill="1" applyAlignment="1">
      <alignment horizontal="centerContinuous" vertical="center"/>
    </xf>
    <xf numFmtId="0" fontId="19" fillId="9" borderId="0" xfId="0" applyFont="1" applyFill="1" applyAlignment="1">
      <alignment horizontal="centerContinuous" vertical="center"/>
    </xf>
    <xf numFmtId="169" fontId="19" fillId="0" borderId="0" xfId="1" applyNumberFormat="1" applyFont="1" applyFill="1" applyAlignment="1">
      <alignment horizontal="right"/>
    </xf>
    <xf numFmtId="166" fontId="13" fillId="0" borderId="0" xfId="0" applyNumberFormat="1" applyFont="1"/>
    <xf numFmtId="169" fontId="7" fillId="0" borderId="0" xfId="5" applyNumberFormat="1" applyFont="1" applyFill="1" applyAlignment="1"/>
    <xf numFmtId="0" fontId="7" fillId="0" borderId="0" xfId="0" applyFont="1" applyAlignment="1">
      <alignment horizontal="center" vertical="center" wrapText="1"/>
    </xf>
    <xf numFmtId="169" fontId="12" fillId="0" borderId="0" xfId="5" applyNumberFormat="1" applyFont="1" applyFill="1" applyAlignment="1">
      <alignment vertical="center"/>
    </xf>
    <xf numFmtId="169" fontId="12" fillId="0" borderId="0" xfId="5" applyNumberFormat="1" applyFont="1" applyFill="1" applyAlignment="1">
      <alignment horizontal="right"/>
    </xf>
    <xf numFmtId="169" fontId="12" fillId="10" borderId="0" xfId="5" applyNumberFormat="1" applyFont="1" applyFill="1" applyAlignment="1">
      <alignment horizontal="right"/>
    </xf>
    <xf numFmtId="178" fontId="7" fillId="0" borderId="0" xfId="0" applyNumberFormat="1" applyFont="1"/>
    <xf numFmtId="167" fontId="7" fillId="2" borderId="0" xfId="0" applyNumberFormat="1" applyFont="1" applyFill="1"/>
    <xf numFmtId="169" fontId="18" fillId="0" borderId="0" xfId="6" applyNumberFormat="1" applyFont="1" applyFill="1" applyAlignment="1">
      <alignment horizontal="left"/>
    </xf>
    <xf numFmtId="0" fontId="0" fillId="2" borderId="0" xfId="0" applyFill="1" applyAlignment="1">
      <alignment vertical="top"/>
    </xf>
    <xf numFmtId="166" fontId="0" fillId="12" borderId="0" xfId="0" applyNumberFormat="1" applyFill="1" applyAlignment="1">
      <alignment vertical="top"/>
    </xf>
    <xf numFmtId="166" fontId="0" fillId="23" borderId="0" xfId="0" applyNumberFormat="1" applyFill="1" applyAlignment="1">
      <alignment vertical="top"/>
    </xf>
    <xf numFmtId="9" fontId="0" fillId="0" borderId="0" xfId="0" applyNumberFormat="1" applyAlignment="1">
      <alignment vertical="top"/>
    </xf>
    <xf numFmtId="4" fontId="7" fillId="0" borderId="0" xfId="4" applyNumberFormat="1" applyFont="1" applyAlignment="1">
      <alignment horizontal="center" vertical="center"/>
    </xf>
    <xf numFmtId="3" fontId="0" fillId="0" borderId="0" xfId="0" applyNumberFormat="1" applyAlignment="1">
      <alignment vertical="top"/>
    </xf>
    <xf numFmtId="172" fontId="19" fillId="0" borderId="0" xfId="0" applyNumberFormat="1" applyFont="1" applyAlignment="1">
      <alignment horizontal="right" vertical="top"/>
    </xf>
    <xf numFmtId="172" fontId="17" fillId="0" borderId="0" xfId="0" applyNumberFormat="1" applyFont="1" applyAlignment="1">
      <alignment horizontal="right" vertical="top"/>
    </xf>
    <xf numFmtId="166" fontId="19" fillId="0" borderId="0" xfId="0" applyNumberFormat="1" applyFont="1" applyAlignment="1">
      <alignment horizontal="center" vertical="center"/>
    </xf>
    <xf numFmtId="168" fontId="17" fillId="3" borderId="0" xfId="2" applyFont="1" applyFill="1" applyAlignment="1">
      <alignment horizontal="left" vertical="top"/>
    </xf>
    <xf numFmtId="167" fontId="17" fillId="3" borderId="0" xfId="0" applyNumberFormat="1" applyFont="1" applyFill="1"/>
    <xf numFmtId="168" fontId="17" fillId="0" borderId="0" xfId="2" applyFont="1" applyFill="1" applyAlignment="1">
      <alignment horizontal="left" vertical="top"/>
    </xf>
    <xf numFmtId="184" fontId="0" fillId="0" borderId="0" xfId="0" applyNumberFormat="1"/>
    <xf numFmtId="0" fontId="45" fillId="0" borderId="0" xfId="0" applyFont="1"/>
    <xf numFmtId="0" fontId="0" fillId="55" borderId="0" xfId="0" applyFill="1"/>
    <xf numFmtId="0" fontId="0" fillId="56" borderId="0" xfId="0" applyFill="1"/>
    <xf numFmtId="0" fontId="7" fillId="56" borderId="0" xfId="0" applyFont="1" applyFill="1" applyAlignment="1">
      <alignment horizontal="left"/>
    </xf>
    <xf numFmtId="0" fontId="7" fillId="56" borderId="0" xfId="0" applyFont="1" applyFill="1" applyAlignment="1">
      <alignment vertical="top"/>
    </xf>
    <xf numFmtId="16" fontId="0" fillId="0" borderId="0" xfId="0" applyNumberFormat="1"/>
    <xf numFmtId="0" fontId="7" fillId="2" borderId="0" xfId="0" applyFont="1" applyFill="1" applyAlignment="1">
      <alignment horizontal="left"/>
    </xf>
    <xf numFmtId="169" fontId="12" fillId="0" borderId="0" xfId="1" applyNumberFormat="1" applyFont="1" applyFill="1" applyAlignment="1"/>
    <xf numFmtId="169" fontId="7" fillId="0" borderId="0" xfId="1" applyNumberFormat="1" applyFont="1" applyFill="1" applyAlignment="1"/>
    <xf numFmtId="0" fontId="46" fillId="0" borderId="0" xfId="0" applyFont="1"/>
    <xf numFmtId="0" fontId="15" fillId="0" borderId="0" xfId="0" applyFont="1" applyAlignment="1">
      <alignment horizontal="center" vertical="center" wrapText="1"/>
    </xf>
    <xf numFmtId="172" fontId="15" fillId="0" borderId="0" xfId="0" applyNumberFormat="1" applyFont="1" applyAlignment="1">
      <alignment horizontal="center" vertical="center"/>
    </xf>
    <xf numFmtId="165" fontId="13" fillId="2" borderId="0" xfId="0" applyNumberFormat="1" applyFont="1" applyFill="1"/>
    <xf numFmtId="185" fontId="13" fillId="0" borderId="0" xfId="0" applyNumberFormat="1" applyFont="1"/>
    <xf numFmtId="169" fontId="12" fillId="10" borderId="0" xfId="1" applyNumberFormat="1" applyFont="1" applyFill="1" applyAlignment="1">
      <alignment horizontal="right"/>
    </xf>
    <xf numFmtId="167" fontId="12" fillId="0" borderId="0" xfId="0" applyNumberFormat="1" applyFont="1" applyAlignment="1">
      <alignment horizontal="center"/>
    </xf>
    <xf numFmtId="0" fontId="15" fillId="11" borderId="0" xfId="0" applyFont="1" applyFill="1" applyAlignment="1">
      <alignment horizontal="center" vertical="center"/>
    </xf>
    <xf numFmtId="166" fontId="7" fillId="0" borderId="1" xfId="0" applyNumberFormat="1" applyFont="1" applyBorder="1" applyAlignment="1">
      <alignment horizontal="center" vertical="center"/>
    </xf>
    <xf numFmtId="166" fontId="7" fillId="0" borderId="0" xfId="0" applyNumberFormat="1" applyFont="1" applyAlignment="1">
      <alignment horizontal="center" vertical="center"/>
    </xf>
    <xf numFmtId="0" fontId="7" fillId="11" borderId="0" xfId="0" applyFont="1" applyFill="1" applyAlignment="1">
      <alignment horizontal="center" vertical="center"/>
    </xf>
    <xf numFmtId="2" fontId="7" fillId="11" borderId="0" xfId="0" applyNumberFormat="1" applyFont="1" applyFill="1" applyAlignment="1">
      <alignment horizontal="center" vertical="center"/>
    </xf>
    <xf numFmtId="0" fontId="16" fillId="0" borderId="0" xfId="0" applyFont="1" applyAlignment="1">
      <alignment horizontal="left" vertical="center"/>
    </xf>
    <xf numFmtId="0" fontId="8" fillId="0" borderId="0" xfId="0" applyFont="1" applyAlignment="1">
      <alignment horizontal="center"/>
    </xf>
    <xf numFmtId="2" fontId="15" fillId="12" borderId="18" xfId="0" applyNumberFormat="1" applyFont="1" applyFill="1" applyBorder="1" applyAlignment="1">
      <alignment horizontal="center" vertical="center"/>
    </xf>
    <xf numFmtId="166" fontId="7" fillId="12" borderId="19" xfId="0" applyNumberFormat="1" applyFont="1" applyFill="1" applyBorder="1" applyAlignment="1">
      <alignment horizontal="center" vertical="center"/>
    </xf>
    <xf numFmtId="166" fontId="7" fillId="12" borderId="18" xfId="0" applyNumberFormat="1" applyFont="1" applyFill="1" applyBorder="1" applyAlignment="1">
      <alignment horizontal="center" vertical="center"/>
    </xf>
    <xf numFmtId="169" fontId="18" fillId="0" borderId="0" xfId="3" applyNumberFormat="1" applyFont="1" applyFill="1" applyAlignment="1">
      <alignment horizontal="left"/>
    </xf>
  </cellXfs>
  <cellStyles count="95">
    <cellStyle name="_Capital CSL template" xfId="85" xr:uid="{46746321-0F0A-4B1F-9BAA-5C01B681AABB}"/>
    <cellStyle name="20% - Accent1" xfId="25" builtinId="30" customBuiltin="1"/>
    <cellStyle name="20% - Accent2" xfId="29" builtinId="34" customBuiltin="1"/>
    <cellStyle name="20% - Accent3" xfId="33" builtinId="38" customBuiltin="1"/>
    <cellStyle name="20% - Accent4" xfId="37" builtinId="42" customBuiltin="1"/>
    <cellStyle name="20% - Accent5" xfId="41" builtinId="46" customBuiltin="1"/>
    <cellStyle name="20% - Accent6" xfId="45" builtinId="50" customBuiltin="1"/>
    <cellStyle name="40% - Accent1" xfId="26" builtinId="31" customBuiltin="1"/>
    <cellStyle name="40% - Accent2" xfId="30" builtinId="35" customBuiltin="1"/>
    <cellStyle name="40% - Accent3" xfId="34" builtinId="39" customBuiltin="1"/>
    <cellStyle name="40% - Accent4" xfId="38" builtinId="43" customBuiltin="1"/>
    <cellStyle name="40% - Accent5" xfId="42" builtinId="47" customBuiltin="1"/>
    <cellStyle name="40% - Accent6" xfId="46" builtinId="51" customBuiltin="1"/>
    <cellStyle name="60% - Accent1" xfId="27" builtinId="32" customBuiltin="1"/>
    <cellStyle name="60% - Accent1 2" xfId="73" xr:uid="{D49AE2C5-0691-4629-95CB-84A8D4F7C717}"/>
    <cellStyle name="60% - Accent2" xfId="31" builtinId="36" customBuiltin="1"/>
    <cellStyle name="60% - Accent2 2" xfId="74" xr:uid="{84583B35-AA26-4FE4-A5FC-D3CD2EF7C474}"/>
    <cellStyle name="60% - Accent3" xfId="35" builtinId="40" customBuiltin="1"/>
    <cellStyle name="60% - Accent3 2" xfId="75" xr:uid="{C5C1FB07-E995-4ED2-990F-AAD55C3AD7DF}"/>
    <cellStyle name="60% - Accent4" xfId="39" builtinId="44" customBuiltin="1"/>
    <cellStyle name="60% - Accent4 2" xfId="76" xr:uid="{877C8EFA-A5AF-4161-AABC-E393212E5A84}"/>
    <cellStyle name="60% - Accent5" xfId="43" builtinId="48" customBuiltin="1"/>
    <cellStyle name="60% - Accent5 2" xfId="77" xr:uid="{AC18E4A2-489D-4F08-AB46-3F6D4C7CE3DE}"/>
    <cellStyle name="60% - Accent6" xfId="47" builtinId="52" customBuiltin="1"/>
    <cellStyle name="60% - Accent6 2" xfId="78" xr:uid="{FFC7506E-10E5-46C1-87F0-50E49C9BEB3C}"/>
    <cellStyle name="Accent1" xfId="24" builtinId="29" customBuiltin="1"/>
    <cellStyle name="Accent2" xfId="28" builtinId="33" customBuiltin="1"/>
    <cellStyle name="Accent3" xfId="32" builtinId="37" customBuiltin="1"/>
    <cellStyle name="Accent4" xfId="36" builtinId="41" customBuiltin="1"/>
    <cellStyle name="Accent5" xfId="40" builtinId="45" customBuiltin="1"/>
    <cellStyle name="Accent6" xfId="44" builtinId="49" customBuiltin="1"/>
    <cellStyle name="Bad" xfId="13" builtinId="27" customBuiltin="1"/>
    <cellStyle name="blp_datetime" xfId="82" xr:uid="{214F0672-9352-410D-B556-104A04EB8938}"/>
    <cellStyle name="Calculation" xfId="17" builtinId="22" customBuiltin="1"/>
    <cellStyle name="Check Cell" xfId="19" builtinId="23" customBuiltin="1"/>
    <cellStyle name="Comma" xfId="1" builtinId="3"/>
    <cellStyle name="Comma 2" xfId="5" xr:uid="{69ABD5BB-EA05-4B0D-A57B-BEF642FA7732}"/>
    <cellStyle name="Comma 2 2" xfId="89" xr:uid="{D5EBA84F-1B63-478F-9E60-77C7FBEB0395}"/>
    <cellStyle name="Comma 2 3" xfId="50" xr:uid="{24380773-12FA-4845-B234-C806E1BBB782}"/>
    <cellStyle name="Comma 3" xfId="3" xr:uid="{A78E59E8-A66C-45C9-82D2-07A9CC9C829C}"/>
    <cellStyle name="Comma 3 2" xfId="6" xr:uid="{556DD6B6-2045-4E77-A2CD-69F9C8B93A6E}"/>
    <cellStyle name="Comma 3 2 2" xfId="91" xr:uid="{74F1B9DB-577F-49FF-8F37-79F3E7887945}"/>
    <cellStyle name="Comma 3 3" xfId="71" xr:uid="{03109729-8540-4ED6-9A30-117749E7A5A9}"/>
    <cellStyle name="Comma 3 4" xfId="54" xr:uid="{7AF3D7AD-CC1D-49A4-A1C0-CFC5DB8F548F}"/>
    <cellStyle name="Comma 4" xfId="87" xr:uid="{CFCF6AD3-8C0E-43AB-B85A-1E781526EEC5}"/>
    <cellStyle name="Comma 5" xfId="48" xr:uid="{05E0DCC0-6B1C-4B89-9DFA-C25A4AE362CA}"/>
    <cellStyle name="Currency 2" xfId="64" xr:uid="{FC03B0B0-BD51-4459-9DC0-034011C35CF4}"/>
    <cellStyle name="Currency 2 2" xfId="68" xr:uid="{BFAE7F94-9438-42AF-963A-FC61F13C1371}"/>
    <cellStyle name="Currency 2 2 2" xfId="90" xr:uid="{C5058390-3DA4-44D8-A87E-2AAE95A383F3}"/>
    <cellStyle name="Currency 2 3" xfId="88" xr:uid="{08D05FC1-7BB6-431A-BAC3-074FDE4B0A23}"/>
    <cellStyle name="DateLong" xfId="61" xr:uid="{B5EF851D-AE25-43B9-B354-2FAA1A3C16D2}"/>
    <cellStyle name="DateShort" xfId="2" xr:uid="{F7CA8E11-9E26-4A5B-9E6C-153A3FD56FB4}"/>
    <cellStyle name="Explanatory Text" xfId="22" builtinId="53" customBuiltin="1"/>
    <cellStyle name="Factor" xfId="60" xr:uid="{E85B3428-B049-40B1-B6E4-983513047411}"/>
    <cellStyle name="Good" xfId="12" builtinId="26" customBuiltin="1"/>
    <cellStyle name="Heading 1" xfId="8" builtinId="16" customBuiltin="1"/>
    <cellStyle name="Heading 2" xfId="9" builtinId="17" customBuiltin="1"/>
    <cellStyle name="Heading 3" xfId="10" builtinId="18" customBuiltin="1"/>
    <cellStyle name="Heading 4" xfId="11" builtinId="19" customBuiltin="1"/>
    <cellStyle name="Hyperlink 2" xfId="65" xr:uid="{4D2AF6E3-860E-4F0D-B555-D3790A361526}"/>
    <cellStyle name="Hyperlink 3" xfId="94" xr:uid="{F458DD65-A7F6-45EC-9911-79D96A39127D}"/>
    <cellStyle name="Hyperlink 4" xfId="86" xr:uid="{84E0D64E-5CE8-4E34-A345-087B1027B556}"/>
    <cellStyle name="Input" xfId="15" builtinId="20" customBuiltin="1"/>
    <cellStyle name="Linked Cell" xfId="18" builtinId="24" customBuiltin="1"/>
    <cellStyle name="Neutral" xfId="14" builtinId="28" customBuiltin="1"/>
    <cellStyle name="Neutral 2" xfId="79" xr:uid="{566248ED-04AF-42D4-9BD3-ACFB4BDA552D}"/>
    <cellStyle name="Normal" xfId="0" builtinId="0"/>
    <cellStyle name="Normal 10" xfId="57" xr:uid="{56D3F109-4C00-4EC8-85EC-0B77D90CBC58}"/>
    <cellStyle name="Normal 11" xfId="92" xr:uid="{D3278E62-2A4C-4916-B96F-51F833F74252}"/>
    <cellStyle name="Normal 12" xfId="59" xr:uid="{1D5B0EA9-65A7-43AC-BCFC-EF76843C9225}"/>
    <cellStyle name="Normal 13" xfId="93" xr:uid="{69F23D80-0691-4C2C-B46E-EA506F26D337}"/>
    <cellStyle name="Normal 1351" xfId="51" xr:uid="{BA0A2BAC-9D56-48B0-81B5-821A1466E3F6}"/>
    <cellStyle name="Normal 1352" xfId="67" xr:uid="{F976FA83-191B-4EB2-8887-A90EF2288E99}"/>
    <cellStyle name="Normal 2" xfId="4" xr:uid="{36A97626-6138-414A-839E-03A428F76994}"/>
    <cellStyle name="Normal 3" xfId="52" xr:uid="{E89B9916-7EF8-410E-9462-10246660E5CA}"/>
    <cellStyle name="Normal 3 2" xfId="66" xr:uid="{CD96A752-25C0-4D4B-8D7F-107BF5F5A9D9}"/>
    <cellStyle name="Normal 3 3" xfId="70" xr:uid="{A5B83F95-B70F-4091-85A7-8699F06FFBD9}"/>
    <cellStyle name="Normal 34" xfId="69" xr:uid="{A350BEFF-18C9-46F8-A02B-519F9D72C617}"/>
    <cellStyle name="Normal 4" xfId="72" xr:uid="{14AF731D-BD17-4102-84F0-BA9711025EE9}"/>
    <cellStyle name="Normal 5" xfId="80" xr:uid="{33496BCD-C093-4360-AB19-BE146C8F3928}"/>
    <cellStyle name="Normal 5 2" xfId="84" xr:uid="{505ACFC8-FD3F-4AC8-9664-69C2A1CAC202}"/>
    <cellStyle name="Normal 6" xfId="56" xr:uid="{5C14521B-403D-44B0-92CB-949266BC27E2}"/>
    <cellStyle name="Normal 7" xfId="83" xr:uid="{3E24C7AA-6A92-4FAF-BEBF-2EA8919C4AE5}"/>
    <cellStyle name="Normal 8" xfId="62" xr:uid="{19ADDF01-0B77-4729-8188-8182FD0401A6}"/>
    <cellStyle name="Normal 9" xfId="58" xr:uid="{13B6BEEB-1062-4E4B-9D7E-E411CC341B97}"/>
    <cellStyle name="Note" xfId="21" builtinId="10" customBuiltin="1"/>
    <cellStyle name="Output" xfId="16" builtinId="21" customBuiltin="1"/>
    <cellStyle name="Percent 2" xfId="55" xr:uid="{949912B1-1730-4363-B98F-F4CF14EC5778}"/>
    <cellStyle name="Percent 2 2" xfId="63" xr:uid="{EC9CD453-7D51-4610-8C5E-C3A40F42CE20}"/>
    <cellStyle name="Percent 3" xfId="49" xr:uid="{706C9098-40C7-46D6-BE87-2343EA63048D}"/>
    <cellStyle name="Title" xfId="7" builtinId="15" customBuiltin="1"/>
    <cellStyle name="Title 2" xfId="81" xr:uid="{4338A94C-AE50-4908-8DF6-11F182A08084}"/>
    <cellStyle name="Total" xfId="23" builtinId="25" customBuiltin="1"/>
    <cellStyle name="Warning Text" xfId="20" builtinId="11" customBuiltin="1"/>
    <cellStyle name="Year" xfId="53" xr:uid="{D701ABC2-D32C-4DAF-9008-164C38B02CC7}"/>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haredStrings" Target="sharedStrings.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5.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6.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7.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8.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9.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0.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1.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2.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3.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4.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5.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6.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7.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8.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9.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30.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1.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2.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3.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4.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5.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6.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7.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8.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9.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40.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41.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42.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3.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4.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5.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6.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7.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8.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9.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50.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51.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52.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3.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4.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5.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6.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7.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8.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9.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61.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63.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66.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69.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70.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73.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74.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77.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81.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92.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111.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113.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117.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120.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123.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124.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127.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128.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_rels/chart156.xml.rels><?xml version="1.0" encoding="UTF-8" standalone="yes"?>
<Relationships xmlns="http://schemas.openxmlformats.org/package/2006/relationships"><Relationship Id="rId2" Type="http://schemas.microsoft.com/office/2011/relationships/chartColorStyle" Target="colors73.xml"/><Relationship Id="rId1" Type="http://schemas.microsoft.com/office/2011/relationships/chartStyle" Target="style73.xml"/></Relationships>
</file>

<file path=xl/charts/_rels/chart157.xml.rels><?xml version="1.0" encoding="UTF-8" standalone="yes"?>
<Relationships xmlns="http://schemas.openxmlformats.org/package/2006/relationships"><Relationship Id="rId2" Type="http://schemas.microsoft.com/office/2011/relationships/chartColorStyle" Target="colors74.xml"/><Relationship Id="rId1" Type="http://schemas.microsoft.com/office/2011/relationships/chartStyle" Target="style74.xml"/></Relationships>
</file>

<file path=xl/charts/_rels/chart158.xml.rels><?xml version="1.0" encoding="UTF-8" standalone="yes"?>
<Relationships xmlns="http://schemas.openxmlformats.org/package/2006/relationships"><Relationship Id="rId2" Type="http://schemas.microsoft.com/office/2011/relationships/chartColorStyle" Target="colors75.xml"/><Relationship Id="rId1" Type="http://schemas.microsoft.com/office/2011/relationships/chartStyle" Target="style75.xml"/></Relationships>
</file>

<file path=xl/charts/_rels/chart159.xml.rels><?xml version="1.0" encoding="UTF-8" standalone="yes"?>
<Relationships xmlns="http://schemas.openxmlformats.org/package/2006/relationships"><Relationship Id="rId2" Type="http://schemas.microsoft.com/office/2011/relationships/chartColorStyle" Target="colors76.xml"/><Relationship Id="rId1" Type="http://schemas.microsoft.com/office/2011/relationships/chartStyle" Target="style76.xml"/></Relationships>
</file>

<file path=xl/charts/_rels/chart160.xml.rels><?xml version="1.0" encoding="UTF-8" standalone="yes"?>
<Relationships xmlns="http://schemas.openxmlformats.org/package/2006/relationships"><Relationship Id="rId2" Type="http://schemas.microsoft.com/office/2011/relationships/chartColorStyle" Target="colors77.xml"/><Relationship Id="rId1" Type="http://schemas.microsoft.com/office/2011/relationships/chartStyle" Target="style77.xml"/></Relationships>
</file>

<file path=xl/charts/_rels/chart161.xml.rels><?xml version="1.0" encoding="UTF-8" standalone="yes"?>
<Relationships xmlns="http://schemas.openxmlformats.org/package/2006/relationships"><Relationship Id="rId2" Type="http://schemas.microsoft.com/office/2011/relationships/chartColorStyle" Target="colors78.xml"/><Relationship Id="rId1" Type="http://schemas.microsoft.com/office/2011/relationships/chartStyle" Target="style78.xml"/></Relationships>
</file>

<file path=xl/charts/_rels/chart162.xml.rels><?xml version="1.0" encoding="UTF-8" standalone="yes"?>
<Relationships xmlns="http://schemas.openxmlformats.org/package/2006/relationships"><Relationship Id="rId2" Type="http://schemas.microsoft.com/office/2011/relationships/chartColorStyle" Target="colors79.xml"/><Relationship Id="rId1" Type="http://schemas.microsoft.com/office/2011/relationships/chartStyle" Target="style79.xml"/></Relationships>
</file>

<file path=xl/charts/_rels/chart163.xml.rels><?xml version="1.0" encoding="UTF-8" standalone="yes"?>
<Relationships xmlns="http://schemas.openxmlformats.org/package/2006/relationships"><Relationship Id="rId2" Type="http://schemas.microsoft.com/office/2011/relationships/chartColorStyle" Target="colors80.xml"/><Relationship Id="rId1" Type="http://schemas.microsoft.com/office/2011/relationships/chartStyle" Target="style80.xml"/></Relationships>
</file>

<file path=xl/charts/_rels/chart164.xml.rels><?xml version="1.0" encoding="UTF-8" standalone="yes"?>
<Relationships xmlns="http://schemas.openxmlformats.org/package/2006/relationships"><Relationship Id="rId2" Type="http://schemas.microsoft.com/office/2011/relationships/chartColorStyle" Target="colors81.xml"/><Relationship Id="rId1" Type="http://schemas.microsoft.com/office/2011/relationships/chartStyle" Target="style81.xml"/></Relationships>
</file>

<file path=xl/charts/_rels/chart165.xml.rels><?xml version="1.0" encoding="UTF-8" standalone="yes"?>
<Relationships xmlns="http://schemas.openxmlformats.org/package/2006/relationships"><Relationship Id="rId2" Type="http://schemas.microsoft.com/office/2011/relationships/chartColorStyle" Target="colors82.xml"/><Relationship Id="rId1" Type="http://schemas.microsoft.com/office/2011/relationships/chartStyle" Target="style82.xml"/></Relationships>
</file>

<file path=xl/charts/_rels/chart166.xml.rels><?xml version="1.0" encoding="UTF-8" standalone="yes"?>
<Relationships xmlns="http://schemas.openxmlformats.org/package/2006/relationships"><Relationship Id="rId2" Type="http://schemas.microsoft.com/office/2011/relationships/chartColorStyle" Target="colors83.xml"/><Relationship Id="rId1" Type="http://schemas.microsoft.com/office/2011/relationships/chartStyle" Target="style83.xml"/></Relationships>
</file>

<file path=xl/charts/_rels/chart167.xml.rels><?xml version="1.0" encoding="UTF-8" standalone="yes"?>
<Relationships xmlns="http://schemas.openxmlformats.org/package/2006/relationships"><Relationship Id="rId2" Type="http://schemas.microsoft.com/office/2011/relationships/chartColorStyle" Target="colors84.xml"/><Relationship Id="rId1" Type="http://schemas.microsoft.com/office/2011/relationships/chartStyle" Target="style84.xml"/></Relationships>
</file>

<file path=xl/charts/_rels/chart168.xml.rels><?xml version="1.0" encoding="UTF-8" standalone="yes"?>
<Relationships xmlns="http://schemas.openxmlformats.org/package/2006/relationships"><Relationship Id="rId2" Type="http://schemas.microsoft.com/office/2011/relationships/chartColorStyle" Target="colors85.xml"/><Relationship Id="rId1" Type="http://schemas.microsoft.com/office/2011/relationships/chartStyle" Target="style85.xml"/></Relationships>
</file>

<file path=xl/charts/_rels/chart169.xml.rels><?xml version="1.0" encoding="UTF-8" standalone="yes"?>
<Relationships xmlns="http://schemas.openxmlformats.org/package/2006/relationships"><Relationship Id="rId2" Type="http://schemas.microsoft.com/office/2011/relationships/chartColorStyle" Target="colors86.xml"/><Relationship Id="rId1" Type="http://schemas.microsoft.com/office/2011/relationships/chartStyle" Target="style86.xml"/></Relationships>
</file>

<file path=xl/charts/_rels/chart170.xml.rels><?xml version="1.0" encoding="UTF-8" standalone="yes"?>
<Relationships xmlns="http://schemas.openxmlformats.org/package/2006/relationships"><Relationship Id="rId2" Type="http://schemas.microsoft.com/office/2011/relationships/chartColorStyle" Target="colors87.xml"/><Relationship Id="rId1" Type="http://schemas.microsoft.com/office/2011/relationships/chartStyle" Target="style87.xml"/></Relationships>
</file>

<file path=xl/charts/_rels/chart171.xml.rels><?xml version="1.0" encoding="UTF-8" standalone="yes"?>
<Relationships xmlns="http://schemas.openxmlformats.org/package/2006/relationships"><Relationship Id="rId2" Type="http://schemas.microsoft.com/office/2011/relationships/chartColorStyle" Target="colors88.xml"/><Relationship Id="rId1" Type="http://schemas.microsoft.com/office/2011/relationships/chartStyle" Target="style88.xml"/></Relationships>
</file>

<file path=xl/charts/_rels/chart172.xml.rels><?xml version="1.0" encoding="UTF-8" standalone="yes"?>
<Relationships xmlns="http://schemas.openxmlformats.org/package/2006/relationships"><Relationship Id="rId2" Type="http://schemas.microsoft.com/office/2011/relationships/chartColorStyle" Target="colors89.xml"/><Relationship Id="rId1" Type="http://schemas.microsoft.com/office/2011/relationships/chartStyle" Target="style89.xml"/></Relationships>
</file>

<file path=xl/charts/_rels/chart173.xml.rels><?xml version="1.0" encoding="UTF-8" standalone="yes"?>
<Relationships xmlns="http://schemas.openxmlformats.org/package/2006/relationships"><Relationship Id="rId2" Type="http://schemas.microsoft.com/office/2011/relationships/chartColorStyle" Target="colors90.xml"/><Relationship Id="rId1" Type="http://schemas.microsoft.com/office/2011/relationships/chartStyle" Target="style90.xml"/></Relationships>
</file>

<file path=xl/charts/_rels/chart174.xml.rels><?xml version="1.0" encoding="UTF-8" standalone="yes"?>
<Relationships xmlns="http://schemas.openxmlformats.org/package/2006/relationships"><Relationship Id="rId2" Type="http://schemas.microsoft.com/office/2011/relationships/chartColorStyle" Target="colors91.xml"/><Relationship Id="rId1" Type="http://schemas.microsoft.com/office/2011/relationships/chartStyle" Target="style91.xml"/></Relationships>
</file>

<file path=xl/charts/_rels/chart175.xml.rels><?xml version="1.0" encoding="UTF-8" standalone="yes"?>
<Relationships xmlns="http://schemas.openxmlformats.org/package/2006/relationships"><Relationship Id="rId2" Type="http://schemas.microsoft.com/office/2011/relationships/chartColorStyle" Target="colors92.xml"/><Relationship Id="rId1" Type="http://schemas.microsoft.com/office/2011/relationships/chartStyle" Target="style92.xml"/></Relationships>
</file>

<file path=xl/charts/_rels/chart176.xml.rels><?xml version="1.0" encoding="UTF-8" standalone="yes"?>
<Relationships xmlns="http://schemas.openxmlformats.org/package/2006/relationships"><Relationship Id="rId2" Type="http://schemas.microsoft.com/office/2011/relationships/chartColorStyle" Target="colors93.xml"/><Relationship Id="rId1" Type="http://schemas.microsoft.com/office/2011/relationships/chartStyle" Target="style93.xml"/></Relationships>
</file>

<file path=xl/charts/_rels/chart177.xml.rels><?xml version="1.0" encoding="UTF-8" standalone="yes"?>
<Relationships xmlns="http://schemas.openxmlformats.org/package/2006/relationships"><Relationship Id="rId2" Type="http://schemas.microsoft.com/office/2011/relationships/chartColorStyle" Target="colors94.xml"/><Relationship Id="rId1" Type="http://schemas.microsoft.com/office/2011/relationships/chartStyle" Target="style94.xml"/></Relationships>
</file>

<file path=xl/charts/_rels/chart178.xml.rels><?xml version="1.0" encoding="UTF-8" standalone="yes"?>
<Relationships xmlns="http://schemas.openxmlformats.org/package/2006/relationships"><Relationship Id="rId2" Type="http://schemas.microsoft.com/office/2011/relationships/chartColorStyle" Target="colors95.xml"/><Relationship Id="rId1" Type="http://schemas.microsoft.com/office/2011/relationships/chartStyle" Target="style95.xml"/></Relationships>
</file>

<file path=xl/charts/_rels/chart179.xml.rels><?xml version="1.0" encoding="UTF-8" standalone="yes"?>
<Relationships xmlns="http://schemas.openxmlformats.org/package/2006/relationships"><Relationship Id="rId2" Type="http://schemas.microsoft.com/office/2011/relationships/chartColorStyle" Target="colors96.xml"/><Relationship Id="rId1" Type="http://schemas.microsoft.com/office/2011/relationships/chartStyle" Target="style96.xml"/></Relationships>
</file>

<file path=xl/charts/_rels/chart180.xml.rels><?xml version="1.0" encoding="UTF-8" standalone="yes"?>
<Relationships xmlns="http://schemas.openxmlformats.org/package/2006/relationships"><Relationship Id="rId2" Type="http://schemas.microsoft.com/office/2011/relationships/chartColorStyle" Target="colors97.xml"/><Relationship Id="rId1" Type="http://schemas.microsoft.com/office/2011/relationships/chartStyle" Target="style97.xml"/></Relationships>
</file>

<file path=xl/charts/_rels/chart181.xml.rels><?xml version="1.0" encoding="UTF-8" standalone="yes"?>
<Relationships xmlns="http://schemas.openxmlformats.org/package/2006/relationships"><Relationship Id="rId2" Type="http://schemas.microsoft.com/office/2011/relationships/chartColorStyle" Target="colors98.xml"/><Relationship Id="rId1" Type="http://schemas.microsoft.com/office/2011/relationships/chartStyle" Target="style98.xml"/></Relationships>
</file>

<file path=xl/charts/_rels/chart182.xml.rels><?xml version="1.0" encoding="UTF-8" standalone="yes"?>
<Relationships xmlns="http://schemas.openxmlformats.org/package/2006/relationships"><Relationship Id="rId2" Type="http://schemas.microsoft.com/office/2011/relationships/chartColorStyle" Target="colors99.xml"/><Relationship Id="rId1" Type="http://schemas.microsoft.com/office/2011/relationships/chartStyle" Target="style99.xml"/></Relationships>
</file>

<file path=xl/charts/_rels/chart183.xml.rels><?xml version="1.0" encoding="UTF-8" standalone="yes"?>
<Relationships xmlns="http://schemas.openxmlformats.org/package/2006/relationships"><Relationship Id="rId2" Type="http://schemas.microsoft.com/office/2011/relationships/chartColorStyle" Target="colors100.xml"/><Relationship Id="rId1" Type="http://schemas.microsoft.com/office/2011/relationships/chartStyle" Target="style100.xml"/></Relationships>
</file>

<file path=xl/charts/_rels/chart184.xml.rels><?xml version="1.0" encoding="UTF-8" standalone="yes"?>
<Relationships xmlns="http://schemas.openxmlformats.org/package/2006/relationships"><Relationship Id="rId2" Type="http://schemas.microsoft.com/office/2011/relationships/chartColorStyle" Target="colors101.xml"/><Relationship Id="rId1" Type="http://schemas.microsoft.com/office/2011/relationships/chartStyle" Target="style101.xml"/></Relationships>
</file>

<file path=xl/charts/_rels/chart185.xml.rels><?xml version="1.0" encoding="UTF-8" standalone="yes"?>
<Relationships xmlns="http://schemas.openxmlformats.org/package/2006/relationships"><Relationship Id="rId2" Type="http://schemas.microsoft.com/office/2011/relationships/chartColorStyle" Target="colors102.xml"/><Relationship Id="rId1" Type="http://schemas.microsoft.com/office/2011/relationships/chartStyle" Target="style102.xml"/></Relationships>
</file>

<file path=xl/charts/_rels/chart186.xml.rels><?xml version="1.0" encoding="UTF-8" standalone="yes"?>
<Relationships xmlns="http://schemas.openxmlformats.org/package/2006/relationships"><Relationship Id="rId2" Type="http://schemas.microsoft.com/office/2011/relationships/chartColorStyle" Target="colors103.xml"/><Relationship Id="rId1" Type="http://schemas.microsoft.com/office/2011/relationships/chartStyle" Target="style103.xml"/></Relationships>
</file>

<file path=xl/charts/_rels/chart187.xml.rels><?xml version="1.0" encoding="UTF-8" standalone="yes"?>
<Relationships xmlns="http://schemas.openxmlformats.org/package/2006/relationships"><Relationship Id="rId2" Type="http://schemas.microsoft.com/office/2011/relationships/chartColorStyle" Target="colors104.xml"/><Relationship Id="rId1" Type="http://schemas.microsoft.com/office/2011/relationships/chartStyle" Target="style104.xml"/></Relationships>
</file>

<file path=xl/charts/_rels/chart188.xml.rels><?xml version="1.0" encoding="UTF-8" standalone="yes"?>
<Relationships xmlns="http://schemas.openxmlformats.org/package/2006/relationships"><Relationship Id="rId2" Type="http://schemas.microsoft.com/office/2011/relationships/chartColorStyle" Target="colors105.xml"/><Relationship Id="rId1" Type="http://schemas.microsoft.com/office/2011/relationships/chartStyle" Target="style105.xml"/></Relationships>
</file>

<file path=xl/charts/_rels/chart189.xml.rels><?xml version="1.0" encoding="UTF-8" standalone="yes"?>
<Relationships xmlns="http://schemas.openxmlformats.org/package/2006/relationships"><Relationship Id="rId2" Type="http://schemas.microsoft.com/office/2011/relationships/chartColorStyle" Target="colors106.xml"/><Relationship Id="rId1" Type="http://schemas.microsoft.com/office/2011/relationships/chartStyle" Target="style106.xml"/></Relationships>
</file>

<file path=xl/charts/_rels/chart190.xml.rels><?xml version="1.0" encoding="UTF-8" standalone="yes"?>
<Relationships xmlns="http://schemas.openxmlformats.org/package/2006/relationships"><Relationship Id="rId2" Type="http://schemas.microsoft.com/office/2011/relationships/chartColorStyle" Target="colors107.xml"/><Relationship Id="rId1" Type="http://schemas.microsoft.com/office/2011/relationships/chartStyle" Target="style107.xml"/></Relationships>
</file>

<file path=xl/charts/_rels/chart191.xml.rels><?xml version="1.0" encoding="UTF-8" standalone="yes"?>
<Relationships xmlns="http://schemas.openxmlformats.org/package/2006/relationships"><Relationship Id="rId2" Type="http://schemas.microsoft.com/office/2011/relationships/chartColorStyle" Target="colors108.xml"/><Relationship Id="rId1" Type="http://schemas.microsoft.com/office/2011/relationships/chartStyle" Target="style108.xml"/></Relationships>
</file>

<file path=xl/charts/_rels/chart192.xml.rels><?xml version="1.0" encoding="UTF-8" standalone="yes"?>
<Relationships xmlns="http://schemas.openxmlformats.org/package/2006/relationships"><Relationship Id="rId2" Type="http://schemas.microsoft.com/office/2011/relationships/chartColorStyle" Target="colors109.xml"/><Relationship Id="rId1" Type="http://schemas.microsoft.com/office/2011/relationships/chartStyle" Target="style109.xml"/></Relationships>
</file>

<file path=xl/charts/_rels/chart193.xml.rels><?xml version="1.0" encoding="UTF-8" standalone="yes"?>
<Relationships xmlns="http://schemas.openxmlformats.org/package/2006/relationships"><Relationship Id="rId2" Type="http://schemas.microsoft.com/office/2011/relationships/chartColorStyle" Target="colors110.xml"/><Relationship Id="rId1" Type="http://schemas.microsoft.com/office/2011/relationships/chartStyle" Target="style110.xml"/></Relationships>
</file>

<file path=xl/charts/_rels/chart194.xml.rels><?xml version="1.0" encoding="UTF-8" standalone="yes"?>
<Relationships xmlns="http://schemas.openxmlformats.org/package/2006/relationships"><Relationship Id="rId2" Type="http://schemas.microsoft.com/office/2011/relationships/chartColorStyle" Target="colors111.xml"/><Relationship Id="rId1" Type="http://schemas.microsoft.com/office/2011/relationships/chartStyle" Target="style111.xml"/></Relationships>
</file>

<file path=xl/charts/_rels/chart195.xml.rels><?xml version="1.0" encoding="UTF-8" standalone="yes"?>
<Relationships xmlns="http://schemas.openxmlformats.org/package/2006/relationships"><Relationship Id="rId2" Type="http://schemas.microsoft.com/office/2011/relationships/chartColorStyle" Target="colors112.xml"/><Relationship Id="rId1" Type="http://schemas.microsoft.com/office/2011/relationships/chartStyle" Target="style112.xml"/></Relationships>
</file>

<file path=xl/charts/_rels/chart196.xml.rels><?xml version="1.0" encoding="UTF-8" standalone="yes"?>
<Relationships xmlns="http://schemas.openxmlformats.org/package/2006/relationships"><Relationship Id="rId2" Type="http://schemas.microsoft.com/office/2011/relationships/chartColorStyle" Target="colors113.xml"/><Relationship Id="rId1" Type="http://schemas.microsoft.com/office/2011/relationships/chartStyle" Target="style113.xml"/></Relationships>
</file>

<file path=xl/charts/_rels/chart197.xml.rels><?xml version="1.0" encoding="UTF-8" standalone="yes"?>
<Relationships xmlns="http://schemas.openxmlformats.org/package/2006/relationships"><Relationship Id="rId2" Type="http://schemas.microsoft.com/office/2011/relationships/chartColorStyle" Target="colors114.xml"/><Relationship Id="rId1" Type="http://schemas.microsoft.com/office/2011/relationships/chartStyle" Target="style114.xml"/></Relationships>
</file>

<file path=xl/charts/_rels/chart198.xml.rels><?xml version="1.0" encoding="UTF-8" standalone="yes"?>
<Relationships xmlns="http://schemas.openxmlformats.org/package/2006/relationships"><Relationship Id="rId2" Type="http://schemas.microsoft.com/office/2011/relationships/chartColorStyle" Target="colors115.xml"/><Relationship Id="rId1" Type="http://schemas.microsoft.com/office/2011/relationships/chartStyle" Target="style115.xml"/></Relationships>
</file>

<file path=xl/charts/_rels/chart199.xml.rels><?xml version="1.0" encoding="UTF-8" standalone="yes"?>
<Relationships xmlns="http://schemas.openxmlformats.org/package/2006/relationships"><Relationship Id="rId2" Type="http://schemas.microsoft.com/office/2011/relationships/chartColorStyle" Target="colors116.xml"/><Relationship Id="rId1" Type="http://schemas.microsoft.com/office/2011/relationships/chartStyle" Target="style116.xml"/></Relationships>
</file>

<file path=xl/charts/_rels/chart200.xml.rels><?xml version="1.0" encoding="UTF-8" standalone="yes"?>
<Relationships xmlns="http://schemas.openxmlformats.org/package/2006/relationships"><Relationship Id="rId2" Type="http://schemas.microsoft.com/office/2011/relationships/chartColorStyle" Target="colors117.xml"/><Relationship Id="rId1" Type="http://schemas.microsoft.com/office/2011/relationships/chartStyle" Target="style117.xml"/></Relationships>
</file>

<file path=xl/charts/_rels/chart201.xml.rels><?xml version="1.0" encoding="UTF-8" standalone="yes"?>
<Relationships xmlns="http://schemas.openxmlformats.org/package/2006/relationships"><Relationship Id="rId2" Type="http://schemas.microsoft.com/office/2011/relationships/chartColorStyle" Target="colors118.xml"/><Relationship Id="rId1" Type="http://schemas.microsoft.com/office/2011/relationships/chartStyle" Target="style118.xml"/></Relationships>
</file>

<file path=xl/charts/_rels/chart202.xml.rels><?xml version="1.0" encoding="UTF-8" standalone="yes"?>
<Relationships xmlns="http://schemas.openxmlformats.org/package/2006/relationships"><Relationship Id="rId2" Type="http://schemas.microsoft.com/office/2011/relationships/chartColorStyle" Target="colors119.xml"/><Relationship Id="rId1" Type="http://schemas.microsoft.com/office/2011/relationships/chartStyle" Target="style119.xml"/></Relationships>
</file>

<file path=xl/charts/_rels/chart203.xml.rels><?xml version="1.0" encoding="UTF-8" standalone="yes"?>
<Relationships xmlns="http://schemas.openxmlformats.org/package/2006/relationships"><Relationship Id="rId2" Type="http://schemas.microsoft.com/office/2011/relationships/chartColorStyle" Target="colors120.xml"/><Relationship Id="rId1" Type="http://schemas.microsoft.com/office/2011/relationships/chartStyle" Target="style120.xml"/></Relationships>
</file>

<file path=xl/charts/_rels/chart204.xml.rels><?xml version="1.0" encoding="UTF-8" standalone="yes"?>
<Relationships xmlns="http://schemas.openxmlformats.org/package/2006/relationships"><Relationship Id="rId2" Type="http://schemas.microsoft.com/office/2011/relationships/chartColorStyle" Target="colors121.xml"/><Relationship Id="rId1" Type="http://schemas.microsoft.com/office/2011/relationships/chartStyle" Target="style121.xml"/></Relationships>
</file>

<file path=xl/charts/_rels/chart205.xml.rels><?xml version="1.0" encoding="UTF-8" standalone="yes"?>
<Relationships xmlns="http://schemas.openxmlformats.org/package/2006/relationships"><Relationship Id="rId2" Type="http://schemas.microsoft.com/office/2011/relationships/chartColorStyle" Target="colors122.xml"/><Relationship Id="rId1" Type="http://schemas.microsoft.com/office/2011/relationships/chartStyle" Target="style122.xml"/></Relationships>
</file>

<file path=xl/charts/_rels/chart206.xml.rels><?xml version="1.0" encoding="UTF-8" standalone="yes"?>
<Relationships xmlns="http://schemas.openxmlformats.org/package/2006/relationships"><Relationship Id="rId2" Type="http://schemas.microsoft.com/office/2011/relationships/chartColorStyle" Target="colors123.xml"/><Relationship Id="rId1" Type="http://schemas.microsoft.com/office/2011/relationships/chartStyle" Target="style123.xml"/></Relationships>
</file>

<file path=xl/charts/_rels/chart207.xml.rels><?xml version="1.0" encoding="UTF-8" standalone="yes"?>
<Relationships xmlns="http://schemas.openxmlformats.org/package/2006/relationships"><Relationship Id="rId2" Type="http://schemas.microsoft.com/office/2011/relationships/chartColorStyle" Target="colors124.xml"/><Relationship Id="rId1" Type="http://schemas.microsoft.com/office/2011/relationships/chartStyle" Target="style124.xml"/></Relationships>
</file>

<file path=xl/charts/_rels/chart208.xml.rels><?xml version="1.0" encoding="UTF-8" standalone="yes"?>
<Relationships xmlns="http://schemas.openxmlformats.org/package/2006/relationships"><Relationship Id="rId2" Type="http://schemas.microsoft.com/office/2011/relationships/chartColorStyle" Target="colors125.xml"/><Relationship Id="rId1" Type="http://schemas.microsoft.com/office/2011/relationships/chartStyle" Target="style125.xml"/></Relationships>
</file>

<file path=xl/charts/_rels/chart209.xml.rels><?xml version="1.0" encoding="UTF-8" standalone="yes"?>
<Relationships xmlns="http://schemas.openxmlformats.org/package/2006/relationships"><Relationship Id="rId2" Type="http://schemas.microsoft.com/office/2011/relationships/chartColorStyle" Target="colors126.xml"/><Relationship Id="rId1" Type="http://schemas.microsoft.com/office/2011/relationships/chartStyle" Target="style12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'PBL Summary'!#REF!</c:f>
              <c:strCache>
                <c:ptCount val="1"/>
                <c:pt idx="0">
                  <c:v>#REF!</c:v>
                </c:pt>
              </c:strCache>
            </c:strRef>
          </c:tx>
          <c:spPr>
            <a:ln>
              <a:solidFill>
                <a:schemeClr val="tx2"/>
              </a:solidFill>
            </a:ln>
          </c:spPr>
          <c:marker>
            <c:symbol val="none"/>
          </c:marker>
          <c:cat>
            <c:numRef>
              <c:f>'PBL Summary'!$S$8:$S$60</c:f>
              <c:numCache>
                <c:formatCode>d\-mmm\-yy_);\(###0\);"-  ";" "@" "</c:formatCode>
                <c:ptCount val="53"/>
                <c:pt idx="0">
                  <c:v>45477</c:v>
                </c:pt>
                <c:pt idx="1">
                  <c:v>45484</c:v>
                </c:pt>
                <c:pt idx="2">
                  <c:v>45491</c:v>
                </c:pt>
                <c:pt idx="3">
                  <c:v>45498</c:v>
                </c:pt>
                <c:pt idx="4">
                  <c:v>45505</c:v>
                </c:pt>
                <c:pt idx="5">
                  <c:v>45512</c:v>
                </c:pt>
                <c:pt idx="6">
                  <c:v>45519</c:v>
                </c:pt>
                <c:pt idx="7">
                  <c:v>45526</c:v>
                </c:pt>
                <c:pt idx="8">
                  <c:v>45533</c:v>
                </c:pt>
                <c:pt idx="9">
                  <c:v>45540</c:v>
                </c:pt>
                <c:pt idx="10">
                  <c:v>45547</c:v>
                </c:pt>
                <c:pt idx="11">
                  <c:v>45554</c:v>
                </c:pt>
                <c:pt idx="12">
                  <c:v>45561</c:v>
                </c:pt>
                <c:pt idx="13">
                  <c:v>45568</c:v>
                </c:pt>
                <c:pt idx="14">
                  <c:v>45575</c:v>
                </c:pt>
                <c:pt idx="15">
                  <c:v>45582</c:v>
                </c:pt>
                <c:pt idx="16">
                  <c:v>45589</c:v>
                </c:pt>
                <c:pt idx="17">
                  <c:v>45596</c:v>
                </c:pt>
                <c:pt idx="18">
                  <c:v>45603</c:v>
                </c:pt>
                <c:pt idx="19">
                  <c:v>45610</c:v>
                </c:pt>
                <c:pt idx="20">
                  <c:v>45617</c:v>
                </c:pt>
                <c:pt idx="21">
                  <c:v>45624</c:v>
                </c:pt>
                <c:pt idx="22">
                  <c:v>45631</c:v>
                </c:pt>
                <c:pt idx="23">
                  <c:v>45638</c:v>
                </c:pt>
                <c:pt idx="24">
                  <c:v>45645</c:v>
                </c:pt>
                <c:pt idx="25">
                  <c:v>45652</c:v>
                </c:pt>
                <c:pt idx="26">
                  <c:v>45659</c:v>
                </c:pt>
                <c:pt idx="27">
                  <c:v>45666</c:v>
                </c:pt>
                <c:pt idx="28">
                  <c:v>45673</c:v>
                </c:pt>
                <c:pt idx="29">
                  <c:v>45680</c:v>
                </c:pt>
                <c:pt idx="30">
                  <c:v>45687</c:v>
                </c:pt>
                <c:pt idx="31">
                  <c:v>45694</c:v>
                </c:pt>
                <c:pt idx="32">
                  <c:v>45701</c:v>
                </c:pt>
                <c:pt idx="33">
                  <c:v>45708</c:v>
                </c:pt>
                <c:pt idx="34">
                  <c:v>45715</c:v>
                </c:pt>
                <c:pt idx="35">
                  <c:v>45722</c:v>
                </c:pt>
                <c:pt idx="36">
                  <c:v>45729</c:v>
                </c:pt>
                <c:pt idx="37">
                  <c:v>45736</c:v>
                </c:pt>
                <c:pt idx="38">
                  <c:v>45743</c:v>
                </c:pt>
                <c:pt idx="39">
                  <c:v>45750</c:v>
                </c:pt>
                <c:pt idx="40">
                  <c:v>45757</c:v>
                </c:pt>
                <c:pt idx="41">
                  <c:v>45764</c:v>
                </c:pt>
                <c:pt idx="42">
                  <c:v>45771</c:v>
                </c:pt>
                <c:pt idx="43">
                  <c:v>45778</c:v>
                </c:pt>
                <c:pt idx="44">
                  <c:v>45785</c:v>
                </c:pt>
                <c:pt idx="45">
                  <c:v>45792</c:v>
                </c:pt>
                <c:pt idx="46">
                  <c:v>45799</c:v>
                </c:pt>
                <c:pt idx="47">
                  <c:v>45806</c:v>
                </c:pt>
                <c:pt idx="48">
                  <c:v>45813</c:v>
                </c:pt>
                <c:pt idx="49">
                  <c:v>45820</c:v>
                </c:pt>
                <c:pt idx="50">
                  <c:v>45827</c:v>
                </c:pt>
                <c:pt idx="51">
                  <c:v>45834</c:v>
                </c:pt>
              </c:numCache>
            </c:numRef>
          </c:cat>
          <c:val>
            <c:numRef>
              <c:f>'PBL Summary'!$T$8:$T$60</c:f>
              <c:numCache>
                <c:formatCode>0.000</c:formatCode>
                <c:ptCount val="53"/>
                <c:pt idx="0">
                  <c:v>3.8117855737822823E-2</c:v>
                </c:pt>
                <c:pt idx="1">
                  <c:v>7.3507496964367453E-2</c:v>
                </c:pt>
                <c:pt idx="2">
                  <c:v>0.11149819943942467</c:v>
                </c:pt>
                <c:pt idx="3">
                  <c:v>0.14936957389486763</c:v>
                </c:pt>
                <c:pt idx="4">
                  <c:v>0.20291048607819551</c:v>
                </c:pt>
                <c:pt idx="5">
                  <c:v>0.27060181442471398</c:v>
                </c:pt>
                <c:pt idx="6">
                  <c:v>0.36496592642432168</c:v>
                </c:pt>
                <c:pt idx="7">
                  <c:v>0.56405793687374961</c:v>
                </c:pt>
                <c:pt idx="8">
                  <c:v>0.59132073716430211</c:v>
                </c:pt>
                <c:pt idx="9">
                  <c:v>0.61927954708349142</c:v>
                </c:pt>
                <c:pt idx="10">
                  <c:v>0.66360829092422369</c:v>
                </c:pt>
                <c:pt idx="11">
                  <c:v>0.72107712553069636</c:v>
                </c:pt>
                <c:pt idx="12">
                  <c:v>0.74897760053756146</c:v>
                </c:pt>
                <c:pt idx="13">
                  <c:v>0.79352683226727705</c:v>
                </c:pt>
                <c:pt idx="14">
                  <c:v>0.83577560829892139</c:v>
                </c:pt>
                <c:pt idx="15">
                  <c:v>0.89477976738868925</c:v>
                </c:pt>
                <c:pt idx="16">
                  <c:v>0.96325979754154967</c:v>
                </c:pt>
                <c:pt idx="17">
                  <c:v>1.0058395081267082</c:v>
                </c:pt>
                <c:pt idx="18">
                  <c:v>1.0624266875112132</c:v>
                </c:pt>
                <c:pt idx="19">
                  <c:v>1.1296929783830014</c:v>
                </c:pt>
                <c:pt idx="20">
                  <c:v>1.2233563217890817</c:v>
                </c:pt>
                <c:pt idx="21">
                  <c:v>1.4069614365286698</c:v>
                </c:pt>
                <c:pt idx="22">
                  <c:v>1.4345289190909449</c:v>
                </c:pt>
                <c:pt idx="23">
                  <c:v>1.475594429634129</c:v>
                </c:pt>
                <c:pt idx="24">
                  <c:v>1.5048491768542664</c:v>
                </c:pt>
                <c:pt idx="25">
                  <c:v>1.5459474521247469</c:v>
                </c:pt>
                <c:pt idx="26">
                  <c:v>1.5968338719016677</c:v>
                </c:pt>
                <c:pt idx="27">
                  <c:v>1.6231268962358945</c:v>
                </c:pt>
                <c:pt idx="28">
                  <c:v>1.660991554130762</c:v>
                </c:pt>
                <c:pt idx="29">
                  <c:v>1.7084831626025503</c:v>
                </c:pt>
                <c:pt idx="30">
                  <c:v>1.7723419118500168</c:v>
                </c:pt>
                <c:pt idx="31">
                  <c:v>1.8671378320708734</c:v>
                </c:pt>
                <c:pt idx="32">
                  <c:v>1.9064217682766922</c:v>
                </c:pt>
                <c:pt idx="33">
                  <c:v>1.9587768114030732</c:v>
                </c:pt>
                <c:pt idx="34">
                  <c:v>2.0224824717046097</c:v>
                </c:pt>
                <c:pt idx="35">
                  <c:v>2.0626000573237011</c:v>
                </c:pt>
                <c:pt idx="36">
                  <c:v>2.1024210431873165</c:v>
                </c:pt>
                <c:pt idx="37">
                  <c:v>2.1408858111364504</c:v>
                </c:pt>
                <c:pt idx="38">
                  <c:v>2.1900735165748286</c:v>
                </c:pt>
                <c:pt idx="39">
                  <c:v>2.2251647541973196</c:v>
                </c:pt>
                <c:pt idx="40">
                  <c:v>2.2695393853085322</c:v>
                </c:pt>
                <c:pt idx="41">
                  <c:v>2.3269505284791108</c:v>
                </c:pt>
                <c:pt idx="42">
                  <c:v>2.3659474656800259</c:v>
                </c:pt>
                <c:pt idx="43">
                  <c:v>2.4152266955323114</c:v>
                </c:pt>
                <c:pt idx="44">
                  <c:v>2.4724912643271746</c:v>
                </c:pt>
                <c:pt idx="45">
                  <c:v>2.5077430380391981</c:v>
                </c:pt>
                <c:pt idx="46">
                  <c:v>2.5521466686063681</c:v>
                </c:pt>
                <c:pt idx="47">
                  <c:v>2.6041292935416265</c:v>
                </c:pt>
                <c:pt idx="48">
                  <c:v>2.6828343093992353</c:v>
                </c:pt>
                <c:pt idx="49">
                  <c:v>2.8650114347354516</c:v>
                </c:pt>
                <c:pt idx="50">
                  <c:v>2.8924600538942782</c:v>
                </c:pt>
                <c:pt idx="51">
                  <c:v>2.9319854918675299</c:v>
                </c:pt>
              </c:numCache>
            </c:numRef>
          </c:val>
          <c:smooth val="0"/>
          <c:extLst>
            <c:ext xmlns:c16="http://schemas.microsoft.com/office/drawing/2014/chart" uri="{C3380CC4-5D6E-409C-BE32-E72D297353CC}">
              <c16:uniqueId val="{00000000-D510-4F35-8FC9-7A075BD4EFD2}"/>
            </c:ext>
          </c:extLst>
        </c:ser>
        <c:ser>
          <c:idx val="3"/>
          <c:order val="1"/>
          <c:tx>
            <c:strRef>
              <c:f>'PBL Summary'!#REF!</c:f>
              <c:strCache>
                <c:ptCount val="1"/>
                <c:pt idx="0">
                  <c:v>#REF!</c:v>
                </c:pt>
              </c:strCache>
              <c:extLst xmlns:c15="http://schemas.microsoft.com/office/drawing/2012/chart"/>
            </c:strRef>
          </c:tx>
          <c:marker>
            <c:symbol val="none"/>
          </c:marker>
          <c:cat>
            <c:numRef>
              <c:f>'PBL Summary'!$S$8:$S$60</c:f>
              <c:numCache>
                <c:formatCode>d\-mmm\-yy_);\(###0\);"-  ";" "@" "</c:formatCode>
                <c:ptCount val="53"/>
                <c:pt idx="0">
                  <c:v>45477</c:v>
                </c:pt>
                <c:pt idx="1">
                  <c:v>45484</c:v>
                </c:pt>
                <c:pt idx="2">
                  <c:v>45491</c:v>
                </c:pt>
                <c:pt idx="3">
                  <c:v>45498</c:v>
                </c:pt>
                <c:pt idx="4">
                  <c:v>45505</c:v>
                </c:pt>
                <c:pt idx="5">
                  <c:v>45512</c:v>
                </c:pt>
                <c:pt idx="6">
                  <c:v>45519</c:v>
                </c:pt>
                <c:pt idx="7">
                  <c:v>45526</c:v>
                </c:pt>
                <c:pt idx="8">
                  <c:v>45533</c:v>
                </c:pt>
                <c:pt idx="9">
                  <c:v>45540</c:v>
                </c:pt>
                <c:pt idx="10">
                  <c:v>45547</c:v>
                </c:pt>
                <c:pt idx="11">
                  <c:v>45554</c:v>
                </c:pt>
                <c:pt idx="12">
                  <c:v>45561</c:v>
                </c:pt>
                <c:pt idx="13">
                  <c:v>45568</c:v>
                </c:pt>
                <c:pt idx="14">
                  <c:v>45575</c:v>
                </c:pt>
                <c:pt idx="15">
                  <c:v>45582</c:v>
                </c:pt>
                <c:pt idx="16">
                  <c:v>45589</c:v>
                </c:pt>
                <c:pt idx="17">
                  <c:v>45596</c:v>
                </c:pt>
                <c:pt idx="18">
                  <c:v>45603</c:v>
                </c:pt>
                <c:pt idx="19">
                  <c:v>45610</c:v>
                </c:pt>
                <c:pt idx="20">
                  <c:v>45617</c:v>
                </c:pt>
                <c:pt idx="21">
                  <c:v>45624</c:v>
                </c:pt>
                <c:pt idx="22">
                  <c:v>45631</c:v>
                </c:pt>
                <c:pt idx="23">
                  <c:v>45638</c:v>
                </c:pt>
                <c:pt idx="24">
                  <c:v>45645</c:v>
                </c:pt>
                <c:pt idx="25">
                  <c:v>45652</c:v>
                </c:pt>
                <c:pt idx="26">
                  <c:v>45659</c:v>
                </c:pt>
                <c:pt idx="27">
                  <c:v>45666</c:v>
                </c:pt>
                <c:pt idx="28">
                  <c:v>45673</c:v>
                </c:pt>
                <c:pt idx="29">
                  <c:v>45680</c:v>
                </c:pt>
                <c:pt idx="30">
                  <c:v>45687</c:v>
                </c:pt>
                <c:pt idx="31">
                  <c:v>45694</c:v>
                </c:pt>
                <c:pt idx="32">
                  <c:v>45701</c:v>
                </c:pt>
                <c:pt idx="33">
                  <c:v>45708</c:v>
                </c:pt>
                <c:pt idx="34">
                  <c:v>45715</c:v>
                </c:pt>
                <c:pt idx="35">
                  <c:v>45722</c:v>
                </c:pt>
                <c:pt idx="36">
                  <c:v>45729</c:v>
                </c:pt>
                <c:pt idx="37">
                  <c:v>45736</c:v>
                </c:pt>
                <c:pt idx="38">
                  <c:v>45743</c:v>
                </c:pt>
                <c:pt idx="39">
                  <c:v>45750</c:v>
                </c:pt>
                <c:pt idx="40">
                  <c:v>45757</c:v>
                </c:pt>
                <c:pt idx="41">
                  <c:v>45764</c:v>
                </c:pt>
                <c:pt idx="42">
                  <c:v>45771</c:v>
                </c:pt>
                <c:pt idx="43">
                  <c:v>45778</c:v>
                </c:pt>
                <c:pt idx="44">
                  <c:v>45785</c:v>
                </c:pt>
                <c:pt idx="45">
                  <c:v>45792</c:v>
                </c:pt>
                <c:pt idx="46">
                  <c:v>45799</c:v>
                </c:pt>
                <c:pt idx="47">
                  <c:v>45806</c:v>
                </c:pt>
                <c:pt idx="48">
                  <c:v>45813</c:v>
                </c:pt>
                <c:pt idx="49">
                  <c:v>45820</c:v>
                </c:pt>
                <c:pt idx="50">
                  <c:v>45827</c:v>
                </c:pt>
                <c:pt idx="51">
                  <c:v>45834</c:v>
                </c:pt>
              </c:numCache>
              <c:extLst xmlns:c15="http://schemas.microsoft.com/office/drawing/2012/chart"/>
            </c:numRef>
          </c:cat>
          <c:val>
            <c:numRef>
              <c:f>'PBL Summary'!#REF!</c:f>
              <c:numCache>
                <c:formatCode>General</c:formatCode>
                <c:ptCount val="1"/>
                <c:pt idx="0">
                  <c:v>1</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6-D510-4F35-8FC9-7A075BD4EFD2}"/>
            </c:ext>
          </c:extLst>
        </c:ser>
        <c:ser>
          <c:idx val="5"/>
          <c:order val="2"/>
          <c:tx>
            <c:strRef>
              <c:f>'PBL Summary'!#REF!</c:f>
              <c:strCache>
                <c:ptCount val="1"/>
                <c:pt idx="0">
                  <c:v>#REF!</c:v>
                </c:pt>
              </c:strCache>
              <c:extLst xmlns:c15="http://schemas.microsoft.com/office/drawing/2012/chart"/>
            </c:strRef>
          </c:tx>
          <c:marker>
            <c:symbol val="none"/>
          </c:marker>
          <c:cat>
            <c:numRef>
              <c:f>'PBL Summary'!$S$8:$S$60</c:f>
              <c:numCache>
                <c:formatCode>d\-mmm\-yy_);\(###0\);"-  ";" "@" "</c:formatCode>
                <c:ptCount val="53"/>
                <c:pt idx="0">
                  <c:v>45477</c:v>
                </c:pt>
                <c:pt idx="1">
                  <c:v>45484</c:v>
                </c:pt>
                <c:pt idx="2">
                  <c:v>45491</c:v>
                </c:pt>
                <c:pt idx="3">
                  <c:v>45498</c:v>
                </c:pt>
                <c:pt idx="4">
                  <c:v>45505</c:v>
                </c:pt>
                <c:pt idx="5">
                  <c:v>45512</c:v>
                </c:pt>
                <c:pt idx="6">
                  <c:v>45519</c:v>
                </c:pt>
                <c:pt idx="7">
                  <c:v>45526</c:v>
                </c:pt>
                <c:pt idx="8">
                  <c:v>45533</c:v>
                </c:pt>
                <c:pt idx="9">
                  <c:v>45540</c:v>
                </c:pt>
                <c:pt idx="10">
                  <c:v>45547</c:v>
                </c:pt>
                <c:pt idx="11">
                  <c:v>45554</c:v>
                </c:pt>
                <c:pt idx="12">
                  <c:v>45561</c:v>
                </c:pt>
                <c:pt idx="13">
                  <c:v>45568</c:v>
                </c:pt>
                <c:pt idx="14">
                  <c:v>45575</c:v>
                </c:pt>
                <c:pt idx="15">
                  <c:v>45582</c:v>
                </c:pt>
                <c:pt idx="16">
                  <c:v>45589</c:v>
                </c:pt>
                <c:pt idx="17">
                  <c:v>45596</c:v>
                </c:pt>
                <c:pt idx="18">
                  <c:v>45603</c:v>
                </c:pt>
                <c:pt idx="19">
                  <c:v>45610</c:v>
                </c:pt>
                <c:pt idx="20">
                  <c:v>45617</c:v>
                </c:pt>
                <c:pt idx="21">
                  <c:v>45624</c:v>
                </c:pt>
                <c:pt idx="22">
                  <c:v>45631</c:v>
                </c:pt>
                <c:pt idx="23">
                  <c:v>45638</c:v>
                </c:pt>
                <c:pt idx="24">
                  <c:v>45645</c:v>
                </c:pt>
                <c:pt idx="25">
                  <c:v>45652</c:v>
                </c:pt>
                <c:pt idx="26">
                  <c:v>45659</c:v>
                </c:pt>
                <c:pt idx="27">
                  <c:v>45666</c:v>
                </c:pt>
                <c:pt idx="28">
                  <c:v>45673</c:v>
                </c:pt>
                <c:pt idx="29">
                  <c:v>45680</c:v>
                </c:pt>
                <c:pt idx="30">
                  <c:v>45687</c:v>
                </c:pt>
                <c:pt idx="31">
                  <c:v>45694</c:v>
                </c:pt>
                <c:pt idx="32">
                  <c:v>45701</c:v>
                </c:pt>
                <c:pt idx="33">
                  <c:v>45708</c:v>
                </c:pt>
                <c:pt idx="34">
                  <c:v>45715</c:v>
                </c:pt>
                <c:pt idx="35">
                  <c:v>45722</c:v>
                </c:pt>
                <c:pt idx="36">
                  <c:v>45729</c:v>
                </c:pt>
                <c:pt idx="37">
                  <c:v>45736</c:v>
                </c:pt>
                <c:pt idx="38">
                  <c:v>45743</c:v>
                </c:pt>
                <c:pt idx="39">
                  <c:v>45750</c:v>
                </c:pt>
                <c:pt idx="40">
                  <c:v>45757</c:v>
                </c:pt>
                <c:pt idx="41">
                  <c:v>45764</c:v>
                </c:pt>
                <c:pt idx="42">
                  <c:v>45771</c:v>
                </c:pt>
                <c:pt idx="43">
                  <c:v>45778</c:v>
                </c:pt>
                <c:pt idx="44">
                  <c:v>45785</c:v>
                </c:pt>
                <c:pt idx="45">
                  <c:v>45792</c:v>
                </c:pt>
                <c:pt idx="46">
                  <c:v>45799</c:v>
                </c:pt>
                <c:pt idx="47">
                  <c:v>45806</c:v>
                </c:pt>
                <c:pt idx="48">
                  <c:v>45813</c:v>
                </c:pt>
                <c:pt idx="49">
                  <c:v>45820</c:v>
                </c:pt>
                <c:pt idx="50">
                  <c:v>45827</c:v>
                </c:pt>
                <c:pt idx="51">
                  <c:v>45834</c:v>
                </c:pt>
              </c:numCache>
              <c:extLst xmlns:c15="http://schemas.microsoft.com/office/drawing/2012/chart"/>
            </c:numRef>
          </c:cat>
          <c:val>
            <c:numRef>
              <c:f>'PBL Summary'!#REF!</c:f>
              <c:numCache>
                <c:formatCode>General</c:formatCode>
                <c:ptCount val="1"/>
                <c:pt idx="0">
                  <c:v>1</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7-D510-4F35-8FC9-7A075BD4EFD2}"/>
            </c:ext>
          </c:extLst>
        </c:ser>
        <c:ser>
          <c:idx val="7"/>
          <c:order val="3"/>
          <c:tx>
            <c:strRef>
              <c:f>'PBL Summary'!#REF!</c:f>
              <c:strCache>
                <c:ptCount val="1"/>
                <c:pt idx="0">
                  <c:v>#REF!</c:v>
                </c:pt>
              </c:strCache>
            </c:strRef>
          </c:tx>
          <c:spPr>
            <a:ln>
              <a:solidFill>
                <a:schemeClr val="bg2">
                  <a:lumMod val="60000"/>
                  <a:lumOff val="40000"/>
                </a:schemeClr>
              </a:solidFill>
              <a:prstDash val="sysDot"/>
            </a:ln>
          </c:spPr>
          <c:marker>
            <c:symbol val="none"/>
          </c:marker>
          <c:cat>
            <c:numRef>
              <c:f>'PBL Summary'!$S$8:$S$60</c:f>
              <c:numCache>
                <c:formatCode>d\-mmm\-yy_);\(###0\);"-  ";" "@" "</c:formatCode>
                <c:ptCount val="53"/>
                <c:pt idx="0">
                  <c:v>45477</c:v>
                </c:pt>
                <c:pt idx="1">
                  <c:v>45484</c:v>
                </c:pt>
                <c:pt idx="2">
                  <c:v>45491</c:v>
                </c:pt>
                <c:pt idx="3">
                  <c:v>45498</c:v>
                </c:pt>
                <c:pt idx="4">
                  <c:v>45505</c:v>
                </c:pt>
                <c:pt idx="5">
                  <c:v>45512</c:v>
                </c:pt>
                <c:pt idx="6">
                  <c:v>45519</c:v>
                </c:pt>
                <c:pt idx="7">
                  <c:v>45526</c:v>
                </c:pt>
                <c:pt idx="8">
                  <c:v>45533</c:v>
                </c:pt>
                <c:pt idx="9">
                  <c:v>45540</c:v>
                </c:pt>
                <c:pt idx="10">
                  <c:v>45547</c:v>
                </c:pt>
                <c:pt idx="11">
                  <c:v>45554</c:v>
                </c:pt>
                <c:pt idx="12">
                  <c:v>45561</c:v>
                </c:pt>
                <c:pt idx="13">
                  <c:v>45568</c:v>
                </c:pt>
                <c:pt idx="14">
                  <c:v>45575</c:v>
                </c:pt>
                <c:pt idx="15">
                  <c:v>45582</c:v>
                </c:pt>
                <c:pt idx="16">
                  <c:v>45589</c:v>
                </c:pt>
                <c:pt idx="17">
                  <c:v>45596</c:v>
                </c:pt>
                <c:pt idx="18">
                  <c:v>45603</c:v>
                </c:pt>
                <c:pt idx="19">
                  <c:v>45610</c:v>
                </c:pt>
                <c:pt idx="20">
                  <c:v>45617</c:v>
                </c:pt>
                <c:pt idx="21">
                  <c:v>45624</c:v>
                </c:pt>
                <c:pt idx="22">
                  <c:v>45631</c:v>
                </c:pt>
                <c:pt idx="23">
                  <c:v>45638</c:v>
                </c:pt>
                <c:pt idx="24">
                  <c:v>45645</c:v>
                </c:pt>
                <c:pt idx="25">
                  <c:v>45652</c:v>
                </c:pt>
                <c:pt idx="26">
                  <c:v>45659</c:v>
                </c:pt>
                <c:pt idx="27">
                  <c:v>45666</c:v>
                </c:pt>
                <c:pt idx="28">
                  <c:v>45673</c:v>
                </c:pt>
                <c:pt idx="29">
                  <c:v>45680</c:v>
                </c:pt>
                <c:pt idx="30">
                  <c:v>45687</c:v>
                </c:pt>
                <c:pt idx="31">
                  <c:v>45694</c:v>
                </c:pt>
                <c:pt idx="32">
                  <c:v>45701</c:v>
                </c:pt>
                <c:pt idx="33">
                  <c:v>45708</c:v>
                </c:pt>
                <c:pt idx="34">
                  <c:v>45715</c:v>
                </c:pt>
                <c:pt idx="35">
                  <c:v>45722</c:v>
                </c:pt>
                <c:pt idx="36">
                  <c:v>45729</c:v>
                </c:pt>
                <c:pt idx="37">
                  <c:v>45736</c:v>
                </c:pt>
                <c:pt idx="38">
                  <c:v>45743</c:v>
                </c:pt>
                <c:pt idx="39">
                  <c:v>45750</c:v>
                </c:pt>
                <c:pt idx="40">
                  <c:v>45757</c:v>
                </c:pt>
                <c:pt idx="41">
                  <c:v>45764</c:v>
                </c:pt>
                <c:pt idx="42">
                  <c:v>45771</c:v>
                </c:pt>
                <c:pt idx="43">
                  <c:v>45778</c:v>
                </c:pt>
                <c:pt idx="44">
                  <c:v>45785</c:v>
                </c:pt>
                <c:pt idx="45">
                  <c:v>45792</c:v>
                </c:pt>
                <c:pt idx="46">
                  <c:v>45799</c:v>
                </c:pt>
                <c:pt idx="47">
                  <c:v>45806</c:v>
                </c:pt>
                <c:pt idx="48">
                  <c:v>45813</c:v>
                </c:pt>
                <c:pt idx="49">
                  <c:v>45820</c:v>
                </c:pt>
                <c:pt idx="50">
                  <c:v>45827</c:v>
                </c:pt>
                <c:pt idx="51">
                  <c:v>45834</c:v>
                </c:pt>
              </c:numCache>
            </c:numRef>
          </c:cat>
          <c:val>
            <c:numRef>
              <c:f>'PBL Summary'!$W$8:$W$60</c:f>
              <c:numCache>
                <c:formatCode>0.000</c:formatCode>
                <c:ptCount val="53"/>
                <c:pt idx="0">
                  <c:v>5.5955098451754989E-2</c:v>
                </c:pt>
                <c:pt idx="1">
                  <c:v>0.11191019690350998</c:v>
                </c:pt>
                <c:pt idx="2">
                  <c:v>0.16786529535526495</c:v>
                </c:pt>
                <c:pt idx="3">
                  <c:v>0.22382039380701996</c:v>
                </c:pt>
                <c:pt idx="4">
                  <c:v>0.27977549225877496</c:v>
                </c:pt>
                <c:pt idx="5">
                  <c:v>0.33573059071052996</c:v>
                </c:pt>
                <c:pt idx="6">
                  <c:v>0.39168568916228497</c:v>
                </c:pt>
                <c:pt idx="7">
                  <c:v>0.44764078761403997</c:v>
                </c:pt>
                <c:pt idx="8">
                  <c:v>0.50359588606579497</c:v>
                </c:pt>
                <c:pt idx="9">
                  <c:v>0.55955098451754992</c:v>
                </c:pt>
                <c:pt idx="10">
                  <c:v>0.61550608296930487</c:v>
                </c:pt>
                <c:pt idx="11">
                  <c:v>0.67146118142105982</c:v>
                </c:pt>
                <c:pt idx="12">
                  <c:v>0.72741627987281476</c:v>
                </c:pt>
                <c:pt idx="13">
                  <c:v>0.78337137832456971</c:v>
                </c:pt>
                <c:pt idx="14">
                  <c:v>0.83932647677632466</c:v>
                </c:pt>
                <c:pt idx="15">
                  <c:v>0.89528157522807961</c:v>
                </c:pt>
                <c:pt idx="16">
                  <c:v>0.95123667367983455</c:v>
                </c:pt>
                <c:pt idx="17">
                  <c:v>1.0071917721315895</c:v>
                </c:pt>
                <c:pt idx="18">
                  <c:v>1.0631468705833444</c:v>
                </c:pt>
                <c:pt idx="19">
                  <c:v>1.1191019690350994</c:v>
                </c:pt>
                <c:pt idx="20">
                  <c:v>1.1750570674868543</c:v>
                </c:pt>
                <c:pt idx="21">
                  <c:v>1.2310121659386093</c:v>
                </c:pt>
                <c:pt idx="22">
                  <c:v>1.2869672643903642</c:v>
                </c:pt>
                <c:pt idx="23">
                  <c:v>1.3429223628421192</c:v>
                </c:pt>
                <c:pt idx="24">
                  <c:v>1.3988774612938741</c:v>
                </c:pt>
                <c:pt idx="25">
                  <c:v>1.4548325597456291</c:v>
                </c:pt>
                <c:pt idx="26">
                  <c:v>1.510787658197384</c:v>
                </c:pt>
                <c:pt idx="27">
                  <c:v>1.566742756649139</c:v>
                </c:pt>
                <c:pt idx="28">
                  <c:v>1.6226978551008939</c:v>
                </c:pt>
                <c:pt idx="29">
                  <c:v>1.6786529535526489</c:v>
                </c:pt>
                <c:pt idx="30">
                  <c:v>1.7346080520044038</c:v>
                </c:pt>
                <c:pt idx="31">
                  <c:v>1.7905631504561588</c:v>
                </c:pt>
                <c:pt idx="32">
                  <c:v>1.8465182489079137</c:v>
                </c:pt>
                <c:pt idx="33">
                  <c:v>1.9024733473596687</c:v>
                </c:pt>
                <c:pt idx="34">
                  <c:v>1.9584284458114236</c:v>
                </c:pt>
                <c:pt idx="35">
                  <c:v>2.0143835442631786</c:v>
                </c:pt>
                <c:pt idx="36">
                  <c:v>2.0703386427149337</c:v>
                </c:pt>
                <c:pt idx="37">
                  <c:v>2.1262937411666889</c:v>
                </c:pt>
                <c:pt idx="38">
                  <c:v>2.1822488396184441</c:v>
                </c:pt>
                <c:pt idx="39">
                  <c:v>2.2382039380701992</c:v>
                </c:pt>
                <c:pt idx="40">
                  <c:v>2.2941590365219544</c:v>
                </c:pt>
                <c:pt idx="41">
                  <c:v>2.3501141349737096</c:v>
                </c:pt>
                <c:pt idx="42">
                  <c:v>2.4060692334254647</c:v>
                </c:pt>
                <c:pt idx="43">
                  <c:v>2.4620243318772199</c:v>
                </c:pt>
                <c:pt idx="44">
                  <c:v>2.5179794303289751</c:v>
                </c:pt>
                <c:pt idx="45">
                  <c:v>2.5739345287807303</c:v>
                </c:pt>
                <c:pt idx="46">
                  <c:v>2.6298896272324854</c:v>
                </c:pt>
                <c:pt idx="47">
                  <c:v>2.6858447256842406</c:v>
                </c:pt>
                <c:pt idx="48">
                  <c:v>2.7417998241359958</c:v>
                </c:pt>
                <c:pt idx="49">
                  <c:v>2.7977549225877509</c:v>
                </c:pt>
                <c:pt idx="50">
                  <c:v>2.8537100210395061</c:v>
                </c:pt>
                <c:pt idx="51">
                  <c:v>2.9096651194912613</c:v>
                </c:pt>
              </c:numCache>
            </c:numRef>
          </c:val>
          <c:smooth val="0"/>
          <c:extLst xmlns:c15="http://schemas.microsoft.com/office/drawing/2012/chart">
            <c:ext xmlns:c16="http://schemas.microsoft.com/office/drawing/2014/chart" uri="{C3380CC4-5D6E-409C-BE32-E72D297353CC}">
              <c16:uniqueId val="{00000001-D510-4F35-8FC9-7A075BD4EFD2}"/>
            </c:ext>
          </c:extLst>
        </c:ser>
        <c:ser>
          <c:idx val="1"/>
          <c:order val="4"/>
          <c:tx>
            <c:strRef>
              <c:f>'PBL Summary'!#REF!</c:f>
              <c:strCache>
                <c:ptCount val="1"/>
                <c:pt idx="0">
                  <c:v>#REF!</c:v>
                </c:pt>
              </c:strCache>
              <c:extLst xmlns:c15="http://schemas.microsoft.com/office/drawing/2012/chart"/>
            </c:strRef>
          </c:tx>
          <c:marker>
            <c:symbol val="none"/>
          </c:marker>
          <c:cat>
            <c:numRef>
              <c:f>'PBL Summary'!$S$8:$S$60</c:f>
              <c:numCache>
                <c:formatCode>d\-mmm\-yy_);\(###0\);"-  ";" "@" "</c:formatCode>
                <c:ptCount val="53"/>
                <c:pt idx="0">
                  <c:v>45477</c:v>
                </c:pt>
                <c:pt idx="1">
                  <c:v>45484</c:v>
                </c:pt>
                <c:pt idx="2">
                  <c:v>45491</c:v>
                </c:pt>
                <c:pt idx="3">
                  <c:v>45498</c:v>
                </c:pt>
                <c:pt idx="4">
                  <c:v>45505</c:v>
                </c:pt>
                <c:pt idx="5">
                  <c:v>45512</c:v>
                </c:pt>
                <c:pt idx="6">
                  <c:v>45519</c:v>
                </c:pt>
                <c:pt idx="7">
                  <c:v>45526</c:v>
                </c:pt>
                <c:pt idx="8">
                  <c:v>45533</c:v>
                </c:pt>
                <c:pt idx="9">
                  <c:v>45540</c:v>
                </c:pt>
                <c:pt idx="10">
                  <c:v>45547</c:v>
                </c:pt>
                <c:pt idx="11">
                  <c:v>45554</c:v>
                </c:pt>
                <c:pt idx="12">
                  <c:v>45561</c:v>
                </c:pt>
                <c:pt idx="13">
                  <c:v>45568</c:v>
                </c:pt>
                <c:pt idx="14">
                  <c:v>45575</c:v>
                </c:pt>
                <c:pt idx="15">
                  <c:v>45582</c:v>
                </c:pt>
                <c:pt idx="16">
                  <c:v>45589</c:v>
                </c:pt>
                <c:pt idx="17">
                  <c:v>45596</c:v>
                </c:pt>
                <c:pt idx="18">
                  <c:v>45603</c:v>
                </c:pt>
                <c:pt idx="19">
                  <c:v>45610</c:v>
                </c:pt>
                <c:pt idx="20">
                  <c:v>45617</c:v>
                </c:pt>
                <c:pt idx="21">
                  <c:v>45624</c:v>
                </c:pt>
                <c:pt idx="22">
                  <c:v>45631</c:v>
                </c:pt>
                <c:pt idx="23">
                  <c:v>45638</c:v>
                </c:pt>
                <c:pt idx="24">
                  <c:v>45645</c:v>
                </c:pt>
                <c:pt idx="25">
                  <c:v>45652</c:v>
                </c:pt>
                <c:pt idx="26">
                  <c:v>45659</c:v>
                </c:pt>
                <c:pt idx="27">
                  <c:v>45666</c:v>
                </c:pt>
                <c:pt idx="28">
                  <c:v>45673</c:v>
                </c:pt>
                <c:pt idx="29">
                  <c:v>45680</c:v>
                </c:pt>
                <c:pt idx="30">
                  <c:v>45687</c:v>
                </c:pt>
                <c:pt idx="31">
                  <c:v>45694</c:v>
                </c:pt>
                <c:pt idx="32">
                  <c:v>45701</c:v>
                </c:pt>
                <c:pt idx="33">
                  <c:v>45708</c:v>
                </c:pt>
                <c:pt idx="34">
                  <c:v>45715</c:v>
                </c:pt>
                <c:pt idx="35">
                  <c:v>45722</c:v>
                </c:pt>
                <c:pt idx="36">
                  <c:v>45729</c:v>
                </c:pt>
                <c:pt idx="37">
                  <c:v>45736</c:v>
                </c:pt>
                <c:pt idx="38">
                  <c:v>45743</c:v>
                </c:pt>
                <c:pt idx="39">
                  <c:v>45750</c:v>
                </c:pt>
                <c:pt idx="40">
                  <c:v>45757</c:v>
                </c:pt>
                <c:pt idx="41">
                  <c:v>45764</c:v>
                </c:pt>
                <c:pt idx="42">
                  <c:v>45771</c:v>
                </c:pt>
                <c:pt idx="43">
                  <c:v>45778</c:v>
                </c:pt>
                <c:pt idx="44">
                  <c:v>45785</c:v>
                </c:pt>
                <c:pt idx="45">
                  <c:v>45792</c:v>
                </c:pt>
                <c:pt idx="46">
                  <c:v>45799</c:v>
                </c:pt>
                <c:pt idx="47">
                  <c:v>45806</c:v>
                </c:pt>
                <c:pt idx="48">
                  <c:v>45813</c:v>
                </c:pt>
                <c:pt idx="49">
                  <c:v>45820</c:v>
                </c:pt>
                <c:pt idx="50">
                  <c:v>45827</c:v>
                </c:pt>
                <c:pt idx="51">
                  <c:v>45834</c:v>
                </c:pt>
              </c:numCache>
              <c:extLst xmlns:c15="http://schemas.microsoft.com/office/drawing/2012/chart"/>
            </c:numRef>
          </c:cat>
          <c:val>
            <c:numRef>
              <c:f>'PBL Summary'!#REF!</c:f>
              <c:numCache>
                <c:formatCode>General</c:formatCode>
                <c:ptCount val="1"/>
                <c:pt idx="0">
                  <c:v>1</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8-D510-4F35-8FC9-7A075BD4EFD2}"/>
            </c:ext>
          </c:extLst>
        </c:ser>
        <c:ser>
          <c:idx val="2"/>
          <c:order val="5"/>
          <c:tx>
            <c:v>5/25/50/75/95th percentile</c:v>
          </c:tx>
          <c:spPr>
            <a:ln>
              <a:solidFill>
                <a:schemeClr val="bg2">
                  <a:lumMod val="60000"/>
                  <a:lumOff val="40000"/>
                </a:schemeClr>
              </a:solidFill>
              <a:prstDash val="sysDot"/>
            </a:ln>
          </c:spPr>
          <c:marker>
            <c:symbol val="none"/>
          </c:marker>
          <c:cat>
            <c:numRef>
              <c:f>'PBL Summary'!$S$8:$S$60</c:f>
              <c:numCache>
                <c:formatCode>d\-mmm\-yy_);\(###0\);"-  ";" "@" "</c:formatCode>
                <c:ptCount val="53"/>
                <c:pt idx="0">
                  <c:v>45477</c:v>
                </c:pt>
                <c:pt idx="1">
                  <c:v>45484</c:v>
                </c:pt>
                <c:pt idx="2">
                  <c:v>45491</c:v>
                </c:pt>
                <c:pt idx="3">
                  <c:v>45498</c:v>
                </c:pt>
                <c:pt idx="4">
                  <c:v>45505</c:v>
                </c:pt>
                <c:pt idx="5">
                  <c:v>45512</c:v>
                </c:pt>
                <c:pt idx="6">
                  <c:v>45519</c:v>
                </c:pt>
                <c:pt idx="7">
                  <c:v>45526</c:v>
                </c:pt>
                <c:pt idx="8">
                  <c:v>45533</c:v>
                </c:pt>
                <c:pt idx="9">
                  <c:v>45540</c:v>
                </c:pt>
                <c:pt idx="10">
                  <c:v>45547</c:v>
                </c:pt>
                <c:pt idx="11">
                  <c:v>45554</c:v>
                </c:pt>
                <c:pt idx="12">
                  <c:v>45561</c:v>
                </c:pt>
                <c:pt idx="13">
                  <c:v>45568</c:v>
                </c:pt>
                <c:pt idx="14">
                  <c:v>45575</c:v>
                </c:pt>
                <c:pt idx="15">
                  <c:v>45582</c:v>
                </c:pt>
                <c:pt idx="16">
                  <c:v>45589</c:v>
                </c:pt>
                <c:pt idx="17">
                  <c:v>45596</c:v>
                </c:pt>
                <c:pt idx="18">
                  <c:v>45603</c:v>
                </c:pt>
                <c:pt idx="19">
                  <c:v>45610</c:v>
                </c:pt>
                <c:pt idx="20">
                  <c:v>45617</c:v>
                </c:pt>
                <c:pt idx="21">
                  <c:v>45624</c:v>
                </c:pt>
                <c:pt idx="22">
                  <c:v>45631</c:v>
                </c:pt>
                <c:pt idx="23">
                  <c:v>45638</c:v>
                </c:pt>
                <c:pt idx="24">
                  <c:v>45645</c:v>
                </c:pt>
                <c:pt idx="25">
                  <c:v>45652</c:v>
                </c:pt>
                <c:pt idx="26">
                  <c:v>45659</c:v>
                </c:pt>
                <c:pt idx="27">
                  <c:v>45666</c:v>
                </c:pt>
                <c:pt idx="28">
                  <c:v>45673</c:v>
                </c:pt>
                <c:pt idx="29">
                  <c:v>45680</c:v>
                </c:pt>
                <c:pt idx="30">
                  <c:v>45687</c:v>
                </c:pt>
                <c:pt idx="31">
                  <c:v>45694</c:v>
                </c:pt>
                <c:pt idx="32">
                  <c:v>45701</c:v>
                </c:pt>
                <c:pt idx="33">
                  <c:v>45708</c:v>
                </c:pt>
                <c:pt idx="34">
                  <c:v>45715</c:v>
                </c:pt>
                <c:pt idx="35">
                  <c:v>45722</c:v>
                </c:pt>
                <c:pt idx="36">
                  <c:v>45729</c:v>
                </c:pt>
                <c:pt idx="37">
                  <c:v>45736</c:v>
                </c:pt>
                <c:pt idx="38">
                  <c:v>45743</c:v>
                </c:pt>
                <c:pt idx="39">
                  <c:v>45750</c:v>
                </c:pt>
                <c:pt idx="40">
                  <c:v>45757</c:v>
                </c:pt>
                <c:pt idx="41">
                  <c:v>45764</c:v>
                </c:pt>
                <c:pt idx="42">
                  <c:v>45771</c:v>
                </c:pt>
                <c:pt idx="43">
                  <c:v>45778</c:v>
                </c:pt>
                <c:pt idx="44">
                  <c:v>45785</c:v>
                </c:pt>
                <c:pt idx="45">
                  <c:v>45792</c:v>
                </c:pt>
                <c:pt idx="46">
                  <c:v>45799</c:v>
                </c:pt>
                <c:pt idx="47">
                  <c:v>45806</c:v>
                </c:pt>
                <c:pt idx="48">
                  <c:v>45813</c:v>
                </c:pt>
                <c:pt idx="49">
                  <c:v>45820</c:v>
                </c:pt>
                <c:pt idx="50">
                  <c:v>45827</c:v>
                </c:pt>
                <c:pt idx="51">
                  <c:v>45834</c:v>
                </c:pt>
              </c:numCache>
            </c:numRef>
          </c:cat>
          <c:val>
            <c:numRef>
              <c:f>'PBL Summary'!$Y$8:$Y$60</c:f>
              <c:numCache>
                <c:formatCode>0.000</c:formatCode>
                <c:ptCount val="53"/>
                <c:pt idx="0">
                  <c:v>6.3040095867171603E-2</c:v>
                </c:pt>
                <c:pt idx="1">
                  <c:v>0.12608019173434321</c:v>
                </c:pt>
                <c:pt idx="2">
                  <c:v>0.18912028760151481</c:v>
                </c:pt>
                <c:pt idx="3">
                  <c:v>0.25216038346868641</c:v>
                </c:pt>
                <c:pt idx="4">
                  <c:v>0.31520047933585804</c:v>
                </c:pt>
                <c:pt idx="5">
                  <c:v>0.37824057520302967</c:v>
                </c:pt>
                <c:pt idx="6">
                  <c:v>0.4412806710702013</c:v>
                </c:pt>
                <c:pt idx="7">
                  <c:v>0.50432076693737293</c:v>
                </c:pt>
                <c:pt idx="8">
                  <c:v>0.56736086280454456</c:v>
                </c:pt>
                <c:pt idx="9">
                  <c:v>0.63040095867171619</c:v>
                </c:pt>
                <c:pt idx="10">
                  <c:v>0.69344105453888782</c:v>
                </c:pt>
                <c:pt idx="11">
                  <c:v>0.75648115040605945</c:v>
                </c:pt>
                <c:pt idx="12">
                  <c:v>0.81952124627323109</c:v>
                </c:pt>
                <c:pt idx="13">
                  <c:v>0.88256134214040272</c:v>
                </c:pt>
                <c:pt idx="14">
                  <c:v>0.94560143800757435</c:v>
                </c:pt>
                <c:pt idx="15">
                  <c:v>1.0086415338747459</c:v>
                </c:pt>
                <c:pt idx="16">
                  <c:v>1.0716816297419174</c:v>
                </c:pt>
                <c:pt idx="17">
                  <c:v>1.1347217256090889</c:v>
                </c:pt>
                <c:pt idx="18">
                  <c:v>1.1977618214762604</c:v>
                </c:pt>
                <c:pt idx="19">
                  <c:v>1.2608019173434319</c:v>
                </c:pt>
                <c:pt idx="20">
                  <c:v>1.3238420132106035</c:v>
                </c:pt>
                <c:pt idx="21">
                  <c:v>1.386882109077775</c:v>
                </c:pt>
                <c:pt idx="22">
                  <c:v>1.4499222049449465</c:v>
                </c:pt>
                <c:pt idx="23">
                  <c:v>1.512962300812118</c:v>
                </c:pt>
                <c:pt idx="24">
                  <c:v>1.5760023966792895</c:v>
                </c:pt>
                <c:pt idx="25">
                  <c:v>1.6390424925464611</c:v>
                </c:pt>
                <c:pt idx="26">
                  <c:v>1.7020825884136326</c:v>
                </c:pt>
                <c:pt idx="27">
                  <c:v>1.7651226842808041</c:v>
                </c:pt>
                <c:pt idx="28">
                  <c:v>1.8281627801479756</c:v>
                </c:pt>
                <c:pt idx="29">
                  <c:v>1.8912028760151471</c:v>
                </c:pt>
                <c:pt idx="30">
                  <c:v>1.9542429718823187</c:v>
                </c:pt>
                <c:pt idx="31">
                  <c:v>2.0172830677494904</c:v>
                </c:pt>
                <c:pt idx="32">
                  <c:v>2.0803231636166619</c:v>
                </c:pt>
                <c:pt idx="33">
                  <c:v>2.1433632594838334</c:v>
                </c:pt>
                <c:pt idx="34">
                  <c:v>2.206403355351005</c:v>
                </c:pt>
                <c:pt idx="35">
                  <c:v>2.2694434512181765</c:v>
                </c:pt>
                <c:pt idx="36">
                  <c:v>2.332483547085348</c:v>
                </c:pt>
                <c:pt idx="37">
                  <c:v>2.3955236429525195</c:v>
                </c:pt>
                <c:pt idx="38">
                  <c:v>2.458563738819691</c:v>
                </c:pt>
                <c:pt idx="39">
                  <c:v>2.5216038346868626</c:v>
                </c:pt>
                <c:pt idx="40">
                  <c:v>2.5846439305540341</c:v>
                </c:pt>
                <c:pt idx="41">
                  <c:v>2.6476840264212056</c:v>
                </c:pt>
                <c:pt idx="42">
                  <c:v>2.7107241222883771</c:v>
                </c:pt>
                <c:pt idx="43">
                  <c:v>2.7737642181555486</c:v>
                </c:pt>
                <c:pt idx="44">
                  <c:v>2.8368043140227202</c:v>
                </c:pt>
                <c:pt idx="45">
                  <c:v>2.8998444098898917</c:v>
                </c:pt>
                <c:pt idx="46">
                  <c:v>2.9628845057570632</c:v>
                </c:pt>
                <c:pt idx="47">
                  <c:v>3.0259246016242347</c:v>
                </c:pt>
                <c:pt idx="48">
                  <c:v>3.0889646974914062</c:v>
                </c:pt>
                <c:pt idx="49">
                  <c:v>3.1520047933585777</c:v>
                </c:pt>
                <c:pt idx="50">
                  <c:v>3.2150448892257493</c:v>
                </c:pt>
                <c:pt idx="51">
                  <c:v>3.2780849850929208</c:v>
                </c:pt>
              </c:numCache>
            </c:numRef>
          </c:val>
          <c:smooth val="0"/>
          <c:extLst>
            <c:ext xmlns:c16="http://schemas.microsoft.com/office/drawing/2014/chart" uri="{C3380CC4-5D6E-409C-BE32-E72D297353CC}">
              <c16:uniqueId val="{00000002-D510-4F35-8FC9-7A075BD4EFD2}"/>
            </c:ext>
          </c:extLst>
        </c:ser>
        <c:ser>
          <c:idx val="4"/>
          <c:order val="6"/>
          <c:tx>
            <c:strRef>
              <c:f>'PBL Summary'!#REF!</c:f>
              <c:strCache>
                <c:ptCount val="1"/>
                <c:pt idx="0">
                  <c:v>#REF!</c:v>
                </c:pt>
              </c:strCache>
            </c:strRef>
          </c:tx>
          <c:spPr>
            <a:ln>
              <a:solidFill>
                <a:schemeClr val="bg2">
                  <a:lumMod val="60000"/>
                  <a:lumOff val="40000"/>
                </a:schemeClr>
              </a:solidFill>
              <a:prstDash val="sysDot"/>
            </a:ln>
          </c:spPr>
          <c:marker>
            <c:symbol val="none"/>
          </c:marker>
          <c:cat>
            <c:numRef>
              <c:f>'PBL Summary'!$S$8:$S$60</c:f>
              <c:numCache>
                <c:formatCode>d\-mmm\-yy_);\(###0\);"-  ";" "@" "</c:formatCode>
                <c:ptCount val="53"/>
                <c:pt idx="0">
                  <c:v>45477</c:v>
                </c:pt>
                <c:pt idx="1">
                  <c:v>45484</c:v>
                </c:pt>
                <c:pt idx="2">
                  <c:v>45491</c:v>
                </c:pt>
                <c:pt idx="3">
                  <c:v>45498</c:v>
                </c:pt>
                <c:pt idx="4">
                  <c:v>45505</c:v>
                </c:pt>
                <c:pt idx="5">
                  <c:v>45512</c:v>
                </c:pt>
                <c:pt idx="6">
                  <c:v>45519</c:v>
                </c:pt>
                <c:pt idx="7">
                  <c:v>45526</c:v>
                </c:pt>
                <c:pt idx="8">
                  <c:v>45533</c:v>
                </c:pt>
                <c:pt idx="9">
                  <c:v>45540</c:v>
                </c:pt>
                <c:pt idx="10">
                  <c:v>45547</c:v>
                </c:pt>
                <c:pt idx="11">
                  <c:v>45554</c:v>
                </c:pt>
                <c:pt idx="12">
                  <c:v>45561</c:v>
                </c:pt>
                <c:pt idx="13">
                  <c:v>45568</c:v>
                </c:pt>
                <c:pt idx="14">
                  <c:v>45575</c:v>
                </c:pt>
                <c:pt idx="15">
                  <c:v>45582</c:v>
                </c:pt>
                <c:pt idx="16">
                  <c:v>45589</c:v>
                </c:pt>
                <c:pt idx="17">
                  <c:v>45596</c:v>
                </c:pt>
                <c:pt idx="18">
                  <c:v>45603</c:v>
                </c:pt>
                <c:pt idx="19">
                  <c:v>45610</c:v>
                </c:pt>
                <c:pt idx="20">
                  <c:v>45617</c:v>
                </c:pt>
                <c:pt idx="21">
                  <c:v>45624</c:v>
                </c:pt>
                <c:pt idx="22">
                  <c:v>45631</c:v>
                </c:pt>
                <c:pt idx="23">
                  <c:v>45638</c:v>
                </c:pt>
                <c:pt idx="24">
                  <c:v>45645</c:v>
                </c:pt>
                <c:pt idx="25">
                  <c:v>45652</c:v>
                </c:pt>
                <c:pt idx="26">
                  <c:v>45659</c:v>
                </c:pt>
                <c:pt idx="27">
                  <c:v>45666</c:v>
                </c:pt>
                <c:pt idx="28">
                  <c:v>45673</c:v>
                </c:pt>
                <c:pt idx="29">
                  <c:v>45680</c:v>
                </c:pt>
                <c:pt idx="30">
                  <c:v>45687</c:v>
                </c:pt>
                <c:pt idx="31">
                  <c:v>45694</c:v>
                </c:pt>
                <c:pt idx="32">
                  <c:v>45701</c:v>
                </c:pt>
                <c:pt idx="33">
                  <c:v>45708</c:v>
                </c:pt>
                <c:pt idx="34">
                  <c:v>45715</c:v>
                </c:pt>
                <c:pt idx="35">
                  <c:v>45722</c:v>
                </c:pt>
                <c:pt idx="36">
                  <c:v>45729</c:v>
                </c:pt>
                <c:pt idx="37">
                  <c:v>45736</c:v>
                </c:pt>
                <c:pt idx="38">
                  <c:v>45743</c:v>
                </c:pt>
                <c:pt idx="39">
                  <c:v>45750</c:v>
                </c:pt>
                <c:pt idx="40">
                  <c:v>45757</c:v>
                </c:pt>
                <c:pt idx="41">
                  <c:v>45764</c:v>
                </c:pt>
                <c:pt idx="42">
                  <c:v>45771</c:v>
                </c:pt>
                <c:pt idx="43">
                  <c:v>45778</c:v>
                </c:pt>
                <c:pt idx="44">
                  <c:v>45785</c:v>
                </c:pt>
                <c:pt idx="45">
                  <c:v>45792</c:v>
                </c:pt>
                <c:pt idx="46">
                  <c:v>45799</c:v>
                </c:pt>
                <c:pt idx="47">
                  <c:v>45806</c:v>
                </c:pt>
                <c:pt idx="48">
                  <c:v>45813</c:v>
                </c:pt>
                <c:pt idx="49">
                  <c:v>45820</c:v>
                </c:pt>
                <c:pt idx="50">
                  <c:v>45827</c:v>
                </c:pt>
                <c:pt idx="51">
                  <c:v>45834</c:v>
                </c:pt>
              </c:numCache>
            </c:numRef>
          </c:cat>
          <c:val>
            <c:numRef>
              <c:f>'PBL Summary'!$Z$8:$Z$60</c:f>
              <c:numCache>
                <c:formatCode>0.000</c:formatCode>
                <c:ptCount val="53"/>
                <c:pt idx="0">
                  <c:v>6.8853421493868625E-2</c:v>
                </c:pt>
                <c:pt idx="1">
                  <c:v>0.13770684298773725</c:v>
                </c:pt>
                <c:pt idx="2">
                  <c:v>0.20656026448160586</c:v>
                </c:pt>
                <c:pt idx="3">
                  <c:v>0.2754136859754745</c:v>
                </c:pt>
                <c:pt idx="4">
                  <c:v>0.34426710746934314</c:v>
                </c:pt>
                <c:pt idx="5">
                  <c:v>0.41312052896321177</c:v>
                </c:pt>
                <c:pt idx="6">
                  <c:v>0.48197395045708041</c:v>
                </c:pt>
                <c:pt idx="7">
                  <c:v>0.550827371950949</c:v>
                </c:pt>
                <c:pt idx="8">
                  <c:v>0.61968079344481763</c:v>
                </c:pt>
                <c:pt idx="9">
                  <c:v>0.68853421493868627</c:v>
                </c:pt>
                <c:pt idx="10">
                  <c:v>0.75738763643255491</c:v>
                </c:pt>
                <c:pt idx="11">
                  <c:v>0.82624105792642355</c:v>
                </c:pt>
                <c:pt idx="12">
                  <c:v>0.89509447942029219</c:v>
                </c:pt>
                <c:pt idx="13">
                  <c:v>0.96394790091416083</c:v>
                </c:pt>
                <c:pt idx="14">
                  <c:v>1.0328013224080295</c:v>
                </c:pt>
                <c:pt idx="15">
                  <c:v>1.101654743901898</c:v>
                </c:pt>
                <c:pt idx="16">
                  <c:v>1.1705081653957665</c:v>
                </c:pt>
                <c:pt idx="17">
                  <c:v>1.239361586889635</c:v>
                </c:pt>
                <c:pt idx="18">
                  <c:v>1.3082150083835036</c:v>
                </c:pt>
                <c:pt idx="19">
                  <c:v>1.3770684298773721</c:v>
                </c:pt>
                <c:pt idx="20">
                  <c:v>1.4459218513712406</c:v>
                </c:pt>
                <c:pt idx="21">
                  <c:v>1.5147752728651092</c:v>
                </c:pt>
                <c:pt idx="22">
                  <c:v>1.5836286943589777</c:v>
                </c:pt>
                <c:pt idx="23">
                  <c:v>1.6524821158528462</c:v>
                </c:pt>
                <c:pt idx="24">
                  <c:v>1.7213355373467147</c:v>
                </c:pt>
                <c:pt idx="25">
                  <c:v>1.7901889588405833</c:v>
                </c:pt>
                <c:pt idx="26">
                  <c:v>1.8590423803344518</c:v>
                </c:pt>
                <c:pt idx="27">
                  <c:v>1.9278958018283203</c:v>
                </c:pt>
                <c:pt idx="28">
                  <c:v>1.9967492233221888</c:v>
                </c:pt>
                <c:pt idx="29">
                  <c:v>2.0656026448160576</c:v>
                </c:pt>
                <c:pt idx="30">
                  <c:v>2.1344560663099261</c:v>
                </c:pt>
                <c:pt idx="31">
                  <c:v>2.2033094878037947</c:v>
                </c:pt>
                <c:pt idx="32">
                  <c:v>2.2721629092976632</c:v>
                </c:pt>
                <c:pt idx="33">
                  <c:v>2.3410163307915317</c:v>
                </c:pt>
                <c:pt idx="34">
                  <c:v>2.4098697522854002</c:v>
                </c:pt>
                <c:pt idx="35">
                  <c:v>2.4787231737792688</c:v>
                </c:pt>
                <c:pt idx="36">
                  <c:v>2.5475765952731373</c:v>
                </c:pt>
                <c:pt idx="37">
                  <c:v>2.6164300167670058</c:v>
                </c:pt>
                <c:pt idx="38">
                  <c:v>2.6852834382608743</c:v>
                </c:pt>
                <c:pt idx="39">
                  <c:v>2.7541368597547429</c:v>
                </c:pt>
                <c:pt idx="40">
                  <c:v>2.8229902812486114</c:v>
                </c:pt>
                <c:pt idx="41">
                  <c:v>2.8918437027424799</c:v>
                </c:pt>
                <c:pt idx="42">
                  <c:v>2.9606971242363485</c:v>
                </c:pt>
                <c:pt idx="43">
                  <c:v>3.029550545730217</c:v>
                </c:pt>
                <c:pt idx="44">
                  <c:v>3.0984039672240855</c:v>
                </c:pt>
                <c:pt idx="45">
                  <c:v>3.167257388717954</c:v>
                </c:pt>
                <c:pt idx="46">
                  <c:v>3.2361108102118226</c:v>
                </c:pt>
                <c:pt idx="47">
                  <c:v>3.3049642317056911</c:v>
                </c:pt>
                <c:pt idx="48">
                  <c:v>3.3738176531995596</c:v>
                </c:pt>
                <c:pt idx="49">
                  <c:v>3.4426710746934281</c:v>
                </c:pt>
                <c:pt idx="50">
                  <c:v>3.5115244961872967</c:v>
                </c:pt>
                <c:pt idx="51">
                  <c:v>3.5803779176811652</c:v>
                </c:pt>
              </c:numCache>
            </c:numRef>
          </c:val>
          <c:smooth val="0"/>
          <c:extLst>
            <c:ext xmlns:c16="http://schemas.microsoft.com/office/drawing/2014/chart" uri="{C3380CC4-5D6E-409C-BE32-E72D297353CC}">
              <c16:uniqueId val="{00000003-D510-4F35-8FC9-7A075BD4EFD2}"/>
            </c:ext>
          </c:extLst>
        </c:ser>
        <c:ser>
          <c:idx val="6"/>
          <c:order val="7"/>
          <c:tx>
            <c:strRef>
              <c:f>'PBL Summary'!#REF!</c:f>
              <c:strCache>
                <c:ptCount val="1"/>
                <c:pt idx="0">
                  <c:v>#REF!</c:v>
                </c:pt>
              </c:strCache>
            </c:strRef>
          </c:tx>
          <c:spPr>
            <a:ln>
              <a:solidFill>
                <a:schemeClr val="bg2">
                  <a:lumMod val="60000"/>
                  <a:lumOff val="40000"/>
                </a:schemeClr>
              </a:solidFill>
              <a:prstDash val="sysDot"/>
            </a:ln>
          </c:spPr>
          <c:marker>
            <c:symbol val="none"/>
          </c:marker>
          <c:cat>
            <c:numRef>
              <c:f>'PBL Summary'!$S$8:$S$60</c:f>
              <c:numCache>
                <c:formatCode>d\-mmm\-yy_);\(###0\);"-  ";" "@" "</c:formatCode>
                <c:ptCount val="53"/>
                <c:pt idx="0">
                  <c:v>45477</c:v>
                </c:pt>
                <c:pt idx="1">
                  <c:v>45484</c:v>
                </c:pt>
                <c:pt idx="2">
                  <c:v>45491</c:v>
                </c:pt>
                <c:pt idx="3">
                  <c:v>45498</c:v>
                </c:pt>
                <c:pt idx="4">
                  <c:v>45505</c:v>
                </c:pt>
                <c:pt idx="5">
                  <c:v>45512</c:v>
                </c:pt>
                <c:pt idx="6">
                  <c:v>45519</c:v>
                </c:pt>
                <c:pt idx="7">
                  <c:v>45526</c:v>
                </c:pt>
                <c:pt idx="8">
                  <c:v>45533</c:v>
                </c:pt>
                <c:pt idx="9">
                  <c:v>45540</c:v>
                </c:pt>
                <c:pt idx="10">
                  <c:v>45547</c:v>
                </c:pt>
                <c:pt idx="11">
                  <c:v>45554</c:v>
                </c:pt>
                <c:pt idx="12">
                  <c:v>45561</c:v>
                </c:pt>
                <c:pt idx="13">
                  <c:v>45568</c:v>
                </c:pt>
                <c:pt idx="14">
                  <c:v>45575</c:v>
                </c:pt>
                <c:pt idx="15">
                  <c:v>45582</c:v>
                </c:pt>
                <c:pt idx="16">
                  <c:v>45589</c:v>
                </c:pt>
                <c:pt idx="17">
                  <c:v>45596</c:v>
                </c:pt>
                <c:pt idx="18">
                  <c:v>45603</c:v>
                </c:pt>
                <c:pt idx="19">
                  <c:v>45610</c:v>
                </c:pt>
                <c:pt idx="20">
                  <c:v>45617</c:v>
                </c:pt>
                <c:pt idx="21">
                  <c:v>45624</c:v>
                </c:pt>
                <c:pt idx="22">
                  <c:v>45631</c:v>
                </c:pt>
                <c:pt idx="23">
                  <c:v>45638</c:v>
                </c:pt>
                <c:pt idx="24">
                  <c:v>45645</c:v>
                </c:pt>
                <c:pt idx="25">
                  <c:v>45652</c:v>
                </c:pt>
                <c:pt idx="26">
                  <c:v>45659</c:v>
                </c:pt>
                <c:pt idx="27">
                  <c:v>45666</c:v>
                </c:pt>
                <c:pt idx="28">
                  <c:v>45673</c:v>
                </c:pt>
                <c:pt idx="29">
                  <c:v>45680</c:v>
                </c:pt>
                <c:pt idx="30">
                  <c:v>45687</c:v>
                </c:pt>
                <c:pt idx="31">
                  <c:v>45694</c:v>
                </c:pt>
                <c:pt idx="32">
                  <c:v>45701</c:v>
                </c:pt>
                <c:pt idx="33">
                  <c:v>45708</c:v>
                </c:pt>
                <c:pt idx="34">
                  <c:v>45715</c:v>
                </c:pt>
                <c:pt idx="35">
                  <c:v>45722</c:v>
                </c:pt>
                <c:pt idx="36">
                  <c:v>45729</c:v>
                </c:pt>
                <c:pt idx="37">
                  <c:v>45736</c:v>
                </c:pt>
                <c:pt idx="38">
                  <c:v>45743</c:v>
                </c:pt>
                <c:pt idx="39">
                  <c:v>45750</c:v>
                </c:pt>
                <c:pt idx="40">
                  <c:v>45757</c:v>
                </c:pt>
                <c:pt idx="41">
                  <c:v>45764</c:v>
                </c:pt>
                <c:pt idx="42">
                  <c:v>45771</c:v>
                </c:pt>
                <c:pt idx="43">
                  <c:v>45778</c:v>
                </c:pt>
                <c:pt idx="44">
                  <c:v>45785</c:v>
                </c:pt>
                <c:pt idx="45">
                  <c:v>45792</c:v>
                </c:pt>
                <c:pt idx="46">
                  <c:v>45799</c:v>
                </c:pt>
                <c:pt idx="47">
                  <c:v>45806</c:v>
                </c:pt>
                <c:pt idx="48">
                  <c:v>45813</c:v>
                </c:pt>
                <c:pt idx="49">
                  <c:v>45820</c:v>
                </c:pt>
                <c:pt idx="50">
                  <c:v>45827</c:v>
                </c:pt>
                <c:pt idx="51">
                  <c:v>45834</c:v>
                </c:pt>
              </c:numCache>
            </c:numRef>
          </c:cat>
          <c:val>
            <c:numRef>
              <c:f>'PBL Summary'!$AA$8:$AA$60</c:f>
              <c:numCache>
                <c:formatCode>0.000</c:formatCode>
                <c:ptCount val="53"/>
                <c:pt idx="0">
                  <c:v>7.5776125345343073E-2</c:v>
                </c:pt>
                <c:pt idx="1">
                  <c:v>0.15155225069068615</c:v>
                </c:pt>
                <c:pt idx="2">
                  <c:v>0.22732837603602923</c:v>
                </c:pt>
                <c:pt idx="3">
                  <c:v>0.30310450138137229</c:v>
                </c:pt>
                <c:pt idx="4">
                  <c:v>0.37888062672671535</c:v>
                </c:pt>
                <c:pt idx="5">
                  <c:v>0.45465675207205841</c:v>
                </c:pt>
                <c:pt idx="6">
                  <c:v>0.53043287741740153</c:v>
                </c:pt>
                <c:pt idx="7">
                  <c:v>0.60620900276274459</c:v>
                </c:pt>
                <c:pt idx="8">
                  <c:v>0.68198512810808765</c:v>
                </c:pt>
                <c:pt idx="9">
                  <c:v>0.75776125345343071</c:v>
                </c:pt>
                <c:pt idx="10">
                  <c:v>0.83353737879877376</c:v>
                </c:pt>
                <c:pt idx="11">
                  <c:v>0.90931350414411682</c:v>
                </c:pt>
                <c:pt idx="12">
                  <c:v>0.98508962948945988</c:v>
                </c:pt>
                <c:pt idx="13">
                  <c:v>1.0608657548348031</c:v>
                </c:pt>
                <c:pt idx="14">
                  <c:v>1.1366418801801461</c:v>
                </c:pt>
                <c:pt idx="15">
                  <c:v>1.2124180055254892</c:v>
                </c:pt>
                <c:pt idx="16">
                  <c:v>1.2881941308708322</c:v>
                </c:pt>
                <c:pt idx="17">
                  <c:v>1.3639702562161753</c:v>
                </c:pt>
                <c:pt idx="18">
                  <c:v>1.4397463815615184</c:v>
                </c:pt>
                <c:pt idx="19">
                  <c:v>1.5155225069068614</c:v>
                </c:pt>
                <c:pt idx="20">
                  <c:v>1.5912986322522045</c:v>
                </c:pt>
                <c:pt idx="21">
                  <c:v>1.6670747575975475</c:v>
                </c:pt>
                <c:pt idx="22">
                  <c:v>1.7428508829428906</c:v>
                </c:pt>
                <c:pt idx="23">
                  <c:v>1.8186270082882336</c:v>
                </c:pt>
                <c:pt idx="24">
                  <c:v>1.8944031336335767</c:v>
                </c:pt>
                <c:pt idx="25">
                  <c:v>1.9701792589789198</c:v>
                </c:pt>
                <c:pt idx="26">
                  <c:v>2.0459553843242628</c:v>
                </c:pt>
                <c:pt idx="27">
                  <c:v>2.1217315096696061</c:v>
                </c:pt>
                <c:pt idx="28">
                  <c:v>2.1975076350149494</c:v>
                </c:pt>
                <c:pt idx="29">
                  <c:v>2.2732837603602927</c:v>
                </c:pt>
                <c:pt idx="30">
                  <c:v>2.349059885705636</c:v>
                </c:pt>
                <c:pt idx="31">
                  <c:v>2.4248360110509792</c:v>
                </c:pt>
                <c:pt idx="32">
                  <c:v>2.5006121363963225</c:v>
                </c:pt>
                <c:pt idx="33">
                  <c:v>2.5763882617416658</c:v>
                </c:pt>
                <c:pt idx="34">
                  <c:v>2.6521643870870091</c:v>
                </c:pt>
                <c:pt idx="35">
                  <c:v>2.7279405124323524</c:v>
                </c:pt>
                <c:pt idx="36">
                  <c:v>2.8037166377776956</c:v>
                </c:pt>
                <c:pt idx="37">
                  <c:v>2.8794927631230389</c:v>
                </c:pt>
                <c:pt idx="38">
                  <c:v>2.9552688884683822</c:v>
                </c:pt>
                <c:pt idx="39">
                  <c:v>3.0310450138137255</c:v>
                </c:pt>
                <c:pt idx="40">
                  <c:v>3.1068211391590688</c:v>
                </c:pt>
                <c:pt idx="41">
                  <c:v>3.182597264504412</c:v>
                </c:pt>
                <c:pt idx="42">
                  <c:v>3.2583733898497553</c:v>
                </c:pt>
                <c:pt idx="43">
                  <c:v>3.3341495151950986</c:v>
                </c:pt>
                <c:pt idx="44">
                  <c:v>3.4099256405404419</c:v>
                </c:pt>
                <c:pt idx="45">
                  <c:v>3.4857017658857852</c:v>
                </c:pt>
                <c:pt idx="46">
                  <c:v>3.5614778912311285</c:v>
                </c:pt>
                <c:pt idx="47">
                  <c:v>3.6372540165764717</c:v>
                </c:pt>
                <c:pt idx="48">
                  <c:v>3.713030141921815</c:v>
                </c:pt>
                <c:pt idx="49">
                  <c:v>3.7888062672671583</c:v>
                </c:pt>
                <c:pt idx="50">
                  <c:v>3.8645823926125016</c:v>
                </c:pt>
                <c:pt idx="51">
                  <c:v>3.9403585179578449</c:v>
                </c:pt>
              </c:numCache>
            </c:numRef>
          </c:val>
          <c:smooth val="0"/>
          <c:extLst xmlns:c15="http://schemas.microsoft.com/office/drawing/2012/chart">
            <c:ext xmlns:c16="http://schemas.microsoft.com/office/drawing/2014/chart" uri="{C3380CC4-5D6E-409C-BE32-E72D297353CC}">
              <c16:uniqueId val="{00000004-D510-4F35-8FC9-7A075BD4EFD2}"/>
            </c:ext>
          </c:extLst>
        </c:ser>
        <c:ser>
          <c:idx val="8"/>
          <c:order val="8"/>
          <c:tx>
            <c:strRef>
              <c:f>'PBL Summary'!#REF!</c:f>
              <c:strCache>
                <c:ptCount val="1"/>
                <c:pt idx="0">
                  <c:v>#REF!</c:v>
                </c:pt>
              </c:strCache>
              <c:extLst xmlns:c15="http://schemas.microsoft.com/office/drawing/2012/chart"/>
            </c:strRef>
          </c:tx>
          <c:marker>
            <c:symbol val="none"/>
          </c:marker>
          <c:cat>
            <c:numRef>
              <c:f>'PBL Summary'!$S$8:$S$60</c:f>
              <c:numCache>
                <c:formatCode>d\-mmm\-yy_);\(###0\);"-  ";" "@" "</c:formatCode>
                <c:ptCount val="53"/>
                <c:pt idx="0">
                  <c:v>45477</c:v>
                </c:pt>
                <c:pt idx="1">
                  <c:v>45484</c:v>
                </c:pt>
                <c:pt idx="2">
                  <c:v>45491</c:v>
                </c:pt>
                <c:pt idx="3">
                  <c:v>45498</c:v>
                </c:pt>
                <c:pt idx="4">
                  <c:v>45505</c:v>
                </c:pt>
                <c:pt idx="5">
                  <c:v>45512</c:v>
                </c:pt>
                <c:pt idx="6">
                  <c:v>45519</c:v>
                </c:pt>
                <c:pt idx="7">
                  <c:v>45526</c:v>
                </c:pt>
                <c:pt idx="8">
                  <c:v>45533</c:v>
                </c:pt>
                <c:pt idx="9">
                  <c:v>45540</c:v>
                </c:pt>
                <c:pt idx="10">
                  <c:v>45547</c:v>
                </c:pt>
                <c:pt idx="11">
                  <c:v>45554</c:v>
                </c:pt>
                <c:pt idx="12">
                  <c:v>45561</c:v>
                </c:pt>
                <c:pt idx="13">
                  <c:v>45568</c:v>
                </c:pt>
                <c:pt idx="14">
                  <c:v>45575</c:v>
                </c:pt>
                <c:pt idx="15">
                  <c:v>45582</c:v>
                </c:pt>
                <c:pt idx="16">
                  <c:v>45589</c:v>
                </c:pt>
                <c:pt idx="17">
                  <c:v>45596</c:v>
                </c:pt>
                <c:pt idx="18">
                  <c:v>45603</c:v>
                </c:pt>
                <c:pt idx="19">
                  <c:v>45610</c:v>
                </c:pt>
                <c:pt idx="20">
                  <c:v>45617</c:v>
                </c:pt>
                <c:pt idx="21">
                  <c:v>45624</c:v>
                </c:pt>
                <c:pt idx="22">
                  <c:v>45631</c:v>
                </c:pt>
                <c:pt idx="23">
                  <c:v>45638</c:v>
                </c:pt>
                <c:pt idx="24">
                  <c:v>45645</c:v>
                </c:pt>
                <c:pt idx="25">
                  <c:v>45652</c:v>
                </c:pt>
                <c:pt idx="26">
                  <c:v>45659</c:v>
                </c:pt>
                <c:pt idx="27">
                  <c:v>45666</c:v>
                </c:pt>
                <c:pt idx="28">
                  <c:v>45673</c:v>
                </c:pt>
                <c:pt idx="29">
                  <c:v>45680</c:v>
                </c:pt>
                <c:pt idx="30">
                  <c:v>45687</c:v>
                </c:pt>
                <c:pt idx="31">
                  <c:v>45694</c:v>
                </c:pt>
                <c:pt idx="32">
                  <c:v>45701</c:v>
                </c:pt>
                <c:pt idx="33">
                  <c:v>45708</c:v>
                </c:pt>
                <c:pt idx="34">
                  <c:v>45715</c:v>
                </c:pt>
                <c:pt idx="35">
                  <c:v>45722</c:v>
                </c:pt>
                <c:pt idx="36">
                  <c:v>45729</c:v>
                </c:pt>
                <c:pt idx="37">
                  <c:v>45736</c:v>
                </c:pt>
                <c:pt idx="38">
                  <c:v>45743</c:v>
                </c:pt>
                <c:pt idx="39">
                  <c:v>45750</c:v>
                </c:pt>
                <c:pt idx="40">
                  <c:v>45757</c:v>
                </c:pt>
                <c:pt idx="41">
                  <c:v>45764</c:v>
                </c:pt>
                <c:pt idx="42">
                  <c:v>45771</c:v>
                </c:pt>
                <c:pt idx="43">
                  <c:v>45778</c:v>
                </c:pt>
                <c:pt idx="44">
                  <c:v>45785</c:v>
                </c:pt>
                <c:pt idx="45">
                  <c:v>45792</c:v>
                </c:pt>
                <c:pt idx="46">
                  <c:v>45799</c:v>
                </c:pt>
                <c:pt idx="47">
                  <c:v>45806</c:v>
                </c:pt>
                <c:pt idx="48">
                  <c:v>45813</c:v>
                </c:pt>
                <c:pt idx="49">
                  <c:v>45820</c:v>
                </c:pt>
                <c:pt idx="50">
                  <c:v>45827</c:v>
                </c:pt>
                <c:pt idx="51">
                  <c:v>45834</c:v>
                </c:pt>
              </c:numCache>
              <c:extLst xmlns:c15="http://schemas.microsoft.com/office/drawing/2012/chart"/>
            </c:numRef>
          </c:cat>
          <c:val>
            <c:numRef>
              <c:f>'PBL Summary'!#REF!</c:f>
              <c:numCache>
                <c:formatCode>General</c:formatCode>
                <c:ptCount val="1"/>
                <c:pt idx="0">
                  <c:v>1</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9-D510-4F35-8FC9-7A075BD4EFD2}"/>
            </c:ext>
          </c:extLst>
        </c:ser>
        <c:ser>
          <c:idx val="9"/>
          <c:order val="9"/>
          <c:tx>
            <c:strRef>
              <c:f>'PBL Summary'!#REF!</c:f>
              <c:strCache>
                <c:ptCount val="1"/>
                <c:pt idx="0">
                  <c:v>#REF!</c:v>
                </c:pt>
              </c:strCache>
            </c:strRef>
          </c:tx>
          <c:spPr>
            <a:ln>
              <a:solidFill>
                <a:schemeClr val="bg2">
                  <a:lumMod val="60000"/>
                  <a:lumOff val="40000"/>
                </a:schemeClr>
              </a:solidFill>
              <a:prstDash val="sysDot"/>
            </a:ln>
          </c:spPr>
          <c:marker>
            <c:symbol val="none"/>
          </c:marker>
          <c:cat>
            <c:numRef>
              <c:f>'PBL Summary'!$S$8:$S$60</c:f>
              <c:numCache>
                <c:formatCode>d\-mmm\-yy_);\(###0\);"-  ";" "@" "</c:formatCode>
                <c:ptCount val="53"/>
                <c:pt idx="0">
                  <c:v>45477</c:v>
                </c:pt>
                <c:pt idx="1">
                  <c:v>45484</c:v>
                </c:pt>
                <c:pt idx="2">
                  <c:v>45491</c:v>
                </c:pt>
                <c:pt idx="3">
                  <c:v>45498</c:v>
                </c:pt>
                <c:pt idx="4">
                  <c:v>45505</c:v>
                </c:pt>
                <c:pt idx="5">
                  <c:v>45512</c:v>
                </c:pt>
                <c:pt idx="6">
                  <c:v>45519</c:v>
                </c:pt>
                <c:pt idx="7">
                  <c:v>45526</c:v>
                </c:pt>
                <c:pt idx="8">
                  <c:v>45533</c:v>
                </c:pt>
                <c:pt idx="9">
                  <c:v>45540</c:v>
                </c:pt>
                <c:pt idx="10">
                  <c:v>45547</c:v>
                </c:pt>
                <c:pt idx="11">
                  <c:v>45554</c:v>
                </c:pt>
                <c:pt idx="12">
                  <c:v>45561</c:v>
                </c:pt>
                <c:pt idx="13">
                  <c:v>45568</c:v>
                </c:pt>
                <c:pt idx="14">
                  <c:v>45575</c:v>
                </c:pt>
                <c:pt idx="15">
                  <c:v>45582</c:v>
                </c:pt>
                <c:pt idx="16">
                  <c:v>45589</c:v>
                </c:pt>
                <c:pt idx="17">
                  <c:v>45596</c:v>
                </c:pt>
                <c:pt idx="18">
                  <c:v>45603</c:v>
                </c:pt>
                <c:pt idx="19">
                  <c:v>45610</c:v>
                </c:pt>
                <c:pt idx="20">
                  <c:v>45617</c:v>
                </c:pt>
                <c:pt idx="21">
                  <c:v>45624</c:v>
                </c:pt>
                <c:pt idx="22">
                  <c:v>45631</c:v>
                </c:pt>
                <c:pt idx="23">
                  <c:v>45638</c:v>
                </c:pt>
                <c:pt idx="24">
                  <c:v>45645</c:v>
                </c:pt>
                <c:pt idx="25">
                  <c:v>45652</c:v>
                </c:pt>
                <c:pt idx="26">
                  <c:v>45659</c:v>
                </c:pt>
                <c:pt idx="27">
                  <c:v>45666</c:v>
                </c:pt>
                <c:pt idx="28">
                  <c:v>45673</c:v>
                </c:pt>
                <c:pt idx="29">
                  <c:v>45680</c:v>
                </c:pt>
                <c:pt idx="30">
                  <c:v>45687</c:v>
                </c:pt>
                <c:pt idx="31">
                  <c:v>45694</c:v>
                </c:pt>
                <c:pt idx="32">
                  <c:v>45701</c:v>
                </c:pt>
                <c:pt idx="33">
                  <c:v>45708</c:v>
                </c:pt>
                <c:pt idx="34">
                  <c:v>45715</c:v>
                </c:pt>
                <c:pt idx="35">
                  <c:v>45722</c:v>
                </c:pt>
                <c:pt idx="36">
                  <c:v>45729</c:v>
                </c:pt>
                <c:pt idx="37">
                  <c:v>45736</c:v>
                </c:pt>
                <c:pt idx="38">
                  <c:v>45743</c:v>
                </c:pt>
                <c:pt idx="39">
                  <c:v>45750</c:v>
                </c:pt>
                <c:pt idx="40">
                  <c:v>45757</c:v>
                </c:pt>
                <c:pt idx="41">
                  <c:v>45764</c:v>
                </c:pt>
                <c:pt idx="42">
                  <c:v>45771</c:v>
                </c:pt>
                <c:pt idx="43">
                  <c:v>45778</c:v>
                </c:pt>
                <c:pt idx="44">
                  <c:v>45785</c:v>
                </c:pt>
                <c:pt idx="45">
                  <c:v>45792</c:v>
                </c:pt>
                <c:pt idx="46">
                  <c:v>45799</c:v>
                </c:pt>
                <c:pt idx="47">
                  <c:v>45806</c:v>
                </c:pt>
                <c:pt idx="48">
                  <c:v>45813</c:v>
                </c:pt>
                <c:pt idx="49">
                  <c:v>45820</c:v>
                </c:pt>
                <c:pt idx="50">
                  <c:v>45827</c:v>
                </c:pt>
                <c:pt idx="51">
                  <c:v>45834</c:v>
                </c:pt>
              </c:numCache>
            </c:numRef>
          </c:cat>
          <c:val>
            <c:numRef>
              <c:f>'PBL Summary'!$AC$8:$AC$60</c:f>
              <c:numCache>
                <c:formatCode>0.000</c:formatCode>
                <c:ptCount val="53"/>
                <c:pt idx="0">
                  <c:v>8.7307986484982752E-2</c:v>
                </c:pt>
                <c:pt idx="1">
                  <c:v>0.1746159729699655</c:v>
                </c:pt>
                <c:pt idx="2">
                  <c:v>0.26192395945494829</c:v>
                </c:pt>
                <c:pt idx="3">
                  <c:v>0.34923194593993101</c:v>
                </c:pt>
                <c:pt idx="4">
                  <c:v>0.43653993242491373</c:v>
                </c:pt>
                <c:pt idx="5">
                  <c:v>0.52384791890989646</c:v>
                </c:pt>
                <c:pt idx="6">
                  <c:v>0.61115590539487918</c:v>
                </c:pt>
                <c:pt idx="7">
                  <c:v>0.69846389187986191</c:v>
                </c:pt>
                <c:pt idx="8">
                  <c:v>0.78577187836484463</c:v>
                </c:pt>
                <c:pt idx="9">
                  <c:v>0.87307986484982736</c:v>
                </c:pt>
                <c:pt idx="10">
                  <c:v>0.96038785133481008</c:v>
                </c:pt>
                <c:pt idx="11">
                  <c:v>1.0476958378197929</c:v>
                </c:pt>
                <c:pt idx="12">
                  <c:v>1.1350038243047758</c:v>
                </c:pt>
                <c:pt idx="13">
                  <c:v>1.2223118107897586</c:v>
                </c:pt>
                <c:pt idx="14">
                  <c:v>1.3096197972747414</c:v>
                </c:pt>
                <c:pt idx="15">
                  <c:v>1.3969277837597243</c:v>
                </c:pt>
                <c:pt idx="16">
                  <c:v>1.4842357702447071</c:v>
                </c:pt>
                <c:pt idx="17">
                  <c:v>1.5715437567296899</c:v>
                </c:pt>
                <c:pt idx="18">
                  <c:v>1.6588517432146728</c:v>
                </c:pt>
                <c:pt idx="19">
                  <c:v>1.7461597296996556</c:v>
                </c:pt>
                <c:pt idx="20">
                  <c:v>1.8334677161846384</c:v>
                </c:pt>
                <c:pt idx="21">
                  <c:v>1.9207757026696213</c:v>
                </c:pt>
                <c:pt idx="22">
                  <c:v>2.0080836891546041</c:v>
                </c:pt>
                <c:pt idx="23">
                  <c:v>2.0953916756395867</c:v>
                </c:pt>
                <c:pt idx="24">
                  <c:v>2.1826996621245693</c:v>
                </c:pt>
                <c:pt idx="25">
                  <c:v>2.270007648609552</c:v>
                </c:pt>
                <c:pt idx="26">
                  <c:v>2.3573156350945346</c:v>
                </c:pt>
                <c:pt idx="27">
                  <c:v>2.4446236215795172</c:v>
                </c:pt>
                <c:pt idx="28">
                  <c:v>2.5319316080644998</c:v>
                </c:pt>
                <c:pt idx="29">
                  <c:v>2.6192395945494824</c:v>
                </c:pt>
                <c:pt idx="30">
                  <c:v>2.706547581034465</c:v>
                </c:pt>
                <c:pt idx="31">
                  <c:v>2.7938555675194476</c:v>
                </c:pt>
                <c:pt idx="32">
                  <c:v>2.8811635540044302</c:v>
                </c:pt>
                <c:pt idx="33">
                  <c:v>2.9684715404894129</c:v>
                </c:pt>
                <c:pt idx="34">
                  <c:v>3.0557795269743955</c:v>
                </c:pt>
                <c:pt idx="35">
                  <c:v>3.1430875134593781</c:v>
                </c:pt>
                <c:pt idx="36">
                  <c:v>3.2303954999443607</c:v>
                </c:pt>
                <c:pt idx="37">
                  <c:v>3.3177034864293433</c:v>
                </c:pt>
                <c:pt idx="38">
                  <c:v>3.4050114729143259</c:v>
                </c:pt>
                <c:pt idx="39">
                  <c:v>3.4923194593993085</c:v>
                </c:pt>
                <c:pt idx="40">
                  <c:v>3.5796274458842912</c:v>
                </c:pt>
                <c:pt idx="41">
                  <c:v>3.6669354323692738</c:v>
                </c:pt>
                <c:pt idx="42">
                  <c:v>3.7542434188542564</c:v>
                </c:pt>
                <c:pt idx="43">
                  <c:v>3.841551405339239</c:v>
                </c:pt>
                <c:pt idx="44">
                  <c:v>3.9288593918242216</c:v>
                </c:pt>
                <c:pt idx="45">
                  <c:v>4.0161673783092047</c:v>
                </c:pt>
                <c:pt idx="46">
                  <c:v>4.1034753647941873</c:v>
                </c:pt>
                <c:pt idx="47">
                  <c:v>4.1907833512791699</c:v>
                </c:pt>
                <c:pt idx="48">
                  <c:v>4.2780913377641525</c:v>
                </c:pt>
                <c:pt idx="49">
                  <c:v>4.3653993242491351</c:v>
                </c:pt>
                <c:pt idx="50">
                  <c:v>4.4527073107341177</c:v>
                </c:pt>
                <c:pt idx="51">
                  <c:v>4.5400152972191004</c:v>
                </c:pt>
              </c:numCache>
            </c:numRef>
          </c:val>
          <c:smooth val="0"/>
          <c:extLst xmlns:c15="http://schemas.microsoft.com/office/drawing/2012/chart">
            <c:ext xmlns:c16="http://schemas.microsoft.com/office/drawing/2014/chart" uri="{C3380CC4-5D6E-409C-BE32-E72D297353CC}">
              <c16:uniqueId val="{00000005-D510-4F35-8FC9-7A075BD4EFD2}"/>
            </c:ext>
          </c:extLst>
        </c:ser>
        <c:ser>
          <c:idx val="10"/>
          <c:order val="10"/>
          <c:tx>
            <c:strRef>
              <c:f>'PBL Summary'!#REF!</c:f>
              <c:strCache>
                <c:ptCount val="1"/>
                <c:pt idx="0">
                  <c:v>#REF!</c:v>
                </c:pt>
              </c:strCache>
              <c:extLst xmlns:c15="http://schemas.microsoft.com/office/drawing/2012/chart"/>
            </c:strRef>
          </c:tx>
          <c:marker>
            <c:symbol val="none"/>
          </c:marker>
          <c:cat>
            <c:numRef>
              <c:f>'PBL Summary'!$S$8:$S$60</c:f>
              <c:numCache>
                <c:formatCode>d\-mmm\-yy_);\(###0\);"-  ";" "@" "</c:formatCode>
                <c:ptCount val="53"/>
                <c:pt idx="0">
                  <c:v>45477</c:v>
                </c:pt>
                <c:pt idx="1">
                  <c:v>45484</c:v>
                </c:pt>
                <c:pt idx="2">
                  <c:v>45491</c:v>
                </c:pt>
                <c:pt idx="3">
                  <c:v>45498</c:v>
                </c:pt>
                <c:pt idx="4">
                  <c:v>45505</c:v>
                </c:pt>
                <c:pt idx="5">
                  <c:v>45512</c:v>
                </c:pt>
                <c:pt idx="6">
                  <c:v>45519</c:v>
                </c:pt>
                <c:pt idx="7">
                  <c:v>45526</c:v>
                </c:pt>
                <c:pt idx="8">
                  <c:v>45533</c:v>
                </c:pt>
                <c:pt idx="9">
                  <c:v>45540</c:v>
                </c:pt>
                <c:pt idx="10">
                  <c:v>45547</c:v>
                </c:pt>
                <c:pt idx="11">
                  <c:v>45554</c:v>
                </c:pt>
                <c:pt idx="12">
                  <c:v>45561</c:v>
                </c:pt>
                <c:pt idx="13">
                  <c:v>45568</c:v>
                </c:pt>
                <c:pt idx="14">
                  <c:v>45575</c:v>
                </c:pt>
                <c:pt idx="15">
                  <c:v>45582</c:v>
                </c:pt>
                <c:pt idx="16">
                  <c:v>45589</c:v>
                </c:pt>
                <c:pt idx="17">
                  <c:v>45596</c:v>
                </c:pt>
                <c:pt idx="18">
                  <c:v>45603</c:v>
                </c:pt>
                <c:pt idx="19">
                  <c:v>45610</c:v>
                </c:pt>
                <c:pt idx="20">
                  <c:v>45617</c:v>
                </c:pt>
                <c:pt idx="21">
                  <c:v>45624</c:v>
                </c:pt>
                <c:pt idx="22">
                  <c:v>45631</c:v>
                </c:pt>
                <c:pt idx="23">
                  <c:v>45638</c:v>
                </c:pt>
                <c:pt idx="24">
                  <c:v>45645</c:v>
                </c:pt>
                <c:pt idx="25">
                  <c:v>45652</c:v>
                </c:pt>
                <c:pt idx="26">
                  <c:v>45659</c:v>
                </c:pt>
                <c:pt idx="27">
                  <c:v>45666</c:v>
                </c:pt>
                <c:pt idx="28">
                  <c:v>45673</c:v>
                </c:pt>
                <c:pt idx="29">
                  <c:v>45680</c:v>
                </c:pt>
                <c:pt idx="30">
                  <c:v>45687</c:v>
                </c:pt>
                <c:pt idx="31">
                  <c:v>45694</c:v>
                </c:pt>
                <c:pt idx="32">
                  <c:v>45701</c:v>
                </c:pt>
                <c:pt idx="33">
                  <c:v>45708</c:v>
                </c:pt>
                <c:pt idx="34">
                  <c:v>45715</c:v>
                </c:pt>
                <c:pt idx="35">
                  <c:v>45722</c:v>
                </c:pt>
                <c:pt idx="36">
                  <c:v>45729</c:v>
                </c:pt>
                <c:pt idx="37">
                  <c:v>45736</c:v>
                </c:pt>
                <c:pt idx="38">
                  <c:v>45743</c:v>
                </c:pt>
                <c:pt idx="39">
                  <c:v>45750</c:v>
                </c:pt>
                <c:pt idx="40">
                  <c:v>45757</c:v>
                </c:pt>
                <c:pt idx="41">
                  <c:v>45764</c:v>
                </c:pt>
                <c:pt idx="42">
                  <c:v>45771</c:v>
                </c:pt>
                <c:pt idx="43">
                  <c:v>45778</c:v>
                </c:pt>
                <c:pt idx="44">
                  <c:v>45785</c:v>
                </c:pt>
                <c:pt idx="45">
                  <c:v>45792</c:v>
                </c:pt>
                <c:pt idx="46">
                  <c:v>45799</c:v>
                </c:pt>
                <c:pt idx="47">
                  <c:v>45806</c:v>
                </c:pt>
                <c:pt idx="48">
                  <c:v>45813</c:v>
                </c:pt>
                <c:pt idx="49">
                  <c:v>45820</c:v>
                </c:pt>
                <c:pt idx="50">
                  <c:v>45827</c:v>
                </c:pt>
                <c:pt idx="51">
                  <c:v>45834</c:v>
                </c:pt>
              </c:numCache>
              <c:extLst xmlns:c15="http://schemas.microsoft.com/office/drawing/2012/chart"/>
            </c:numRef>
          </c:cat>
          <c:val>
            <c:numRef>
              <c:f>'PBL Summary'!#REF!</c:f>
              <c:numCache>
                <c:formatCode>General</c:formatCode>
                <c:ptCount val="1"/>
                <c:pt idx="0">
                  <c:v>1</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A-D510-4F35-8FC9-7A075BD4EFD2}"/>
            </c:ext>
          </c:extLst>
        </c:ser>
        <c:ser>
          <c:idx val="11"/>
          <c:order val="11"/>
          <c:tx>
            <c:strRef>
              <c:f>'PBL Summary'!#REF!</c:f>
              <c:strCache>
                <c:ptCount val="1"/>
                <c:pt idx="0">
                  <c:v>#REF!</c:v>
                </c:pt>
              </c:strCache>
              <c:extLst xmlns:c15="http://schemas.microsoft.com/office/drawing/2012/chart"/>
            </c:strRef>
          </c:tx>
          <c:marker>
            <c:symbol val="none"/>
          </c:marker>
          <c:cat>
            <c:numRef>
              <c:f>'PBL Summary'!$S$8:$S$60</c:f>
              <c:numCache>
                <c:formatCode>d\-mmm\-yy_);\(###0\);"-  ";" "@" "</c:formatCode>
                <c:ptCount val="53"/>
                <c:pt idx="0">
                  <c:v>45477</c:v>
                </c:pt>
                <c:pt idx="1">
                  <c:v>45484</c:v>
                </c:pt>
                <c:pt idx="2">
                  <c:v>45491</c:v>
                </c:pt>
                <c:pt idx="3">
                  <c:v>45498</c:v>
                </c:pt>
                <c:pt idx="4">
                  <c:v>45505</c:v>
                </c:pt>
                <c:pt idx="5">
                  <c:v>45512</c:v>
                </c:pt>
                <c:pt idx="6">
                  <c:v>45519</c:v>
                </c:pt>
                <c:pt idx="7">
                  <c:v>45526</c:v>
                </c:pt>
                <c:pt idx="8">
                  <c:v>45533</c:v>
                </c:pt>
                <c:pt idx="9">
                  <c:v>45540</c:v>
                </c:pt>
                <c:pt idx="10">
                  <c:v>45547</c:v>
                </c:pt>
                <c:pt idx="11">
                  <c:v>45554</c:v>
                </c:pt>
                <c:pt idx="12">
                  <c:v>45561</c:v>
                </c:pt>
                <c:pt idx="13">
                  <c:v>45568</c:v>
                </c:pt>
                <c:pt idx="14">
                  <c:v>45575</c:v>
                </c:pt>
                <c:pt idx="15">
                  <c:v>45582</c:v>
                </c:pt>
                <c:pt idx="16">
                  <c:v>45589</c:v>
                </c:pt>
                <c:pt idx="17">
                  <c:v>45596</c:v>
                </c:pt>
                <c:pt idx="18">
                  <c:v>45603</c:v>
                </c:pt>
                <c:pt idx="19">
                  <c:v>45610</c:v>
                </c:pt>
                <c:pt idx="20">
                  <c:v>45617</c:v>
                </c:pt>
                <c:pt idx="21">
                  <c:v>45624</c:v>
                </c:pt>
                <c:pt idx="22">
                  <c:v>45631</c:v>
                </c:pt>
                <c:pt idx="23">
                  <c:v>45638</c:v>
                </c:pt>
                <c:pt idx="24">
                  <c:v>45645</c:v>
                </c:pt>
                <c:pt idx="25">
                  <c:v>45652</c:v>
                </c:pt>
                <c:pt idx="26">
                  <c:v>45659</c:v>
                </c:pt>
                <c:pt idx="27">
                  <c:v>45666</c:v>
                </c:pt>
                <c:pt idx="28">
                  <c:v>45673</c:v>
                </c:pt>
                <c:pt idx="29">
                  <c:v>45680</c:v>
                </c:pt>
                <c:pt idx="30">
                  <c:v>45687</c:v>
                </c:pt>
                <c:pt idx="31">
                  <c:v>45694</c:v>
                </c:pt>
                <c:pt idx="32">
                  <c:v>45701</c:v>
                </c:pt>
                <c:pt idx="33">
                  <c:v>45708</c:v>
                </c:pt>
                <c:pt idx="34">
                  <c:v>45715</c:v>
                </c:pt>
                <c:pt idx="35">
                  <c:v>45722</c:v>
                </c:pt>
                <c:pt idx="36">
                  <c:v>45729</c:v>
                </c:pt>
                <c:pt idx="37">
                  <c:v>45736</c:v>
                </c:pt>
                <c:pt idx="38">
                  <c:v>45743</c:v>
                </c:pt>
                <c:pt idx="39">
                  <c:v>45750</c:v>
                </c:pt>
                <c:pt idx="40">
                  <c:v>45757</c:v>
                </c:pt>
                <c:pt idx="41">
                  <c:v>45764</c:v>
                </c:pt>
                <c:pt idx="42">
                  <c:v>45771</c:v>
                </c:pt>
                <c:pt idx="43">
                  <c:v>45778</c:v>
                </c:pt>
                <c:pt idx="44">
                  <c:v>45785</c:v>
                </c:pt>
                <c:pt idx="45">
                  <c:v>45792</c:v>
                </c:pt>
                <c:pt idx="46">
                  <c:v>45799</c:v>
                </c:pt>
                <c:pt idx="47">
                  <c:v>45806</c:v>
                </c:pt>
                <c:pt idx="48">
                  <c:v>45813</c:v>
                </c:pt>
                <c:pt idx="49">
                  <c:v>45820</c:v>
                </c:pt>
                <c:pt idx="50">
                  <c:v>45827</c:v>
                </c:pt>
                <c:pt idx="51">
                  <c:v>45834</c:v>
                </c:pt>
              </c:numCache>
              <c:extLst xmlns:c15="http://schemas.microsoft.com/office/drawing/2012/chart"/>
            </c:numRef>
          </c:cat>
          <c:val>
            <c:numRef>
              <c:f>'PBL Summary'!#REF!</c:f>
              <c:numCache>
                <c:formatCode>General</c:formatCode>
                <c:ptCount val="1"/>
                <c:pt idx="0">
                  <c:v>1</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B-D510-4F35-8FC9-7A075BD4EFD2}"/>
            </c:ext>
          </c:extLst>
        </c:ser>
        <c:dLbls>
          <c:showLegendKey val="0"/>
          <c:showVal val="0"/>
          <c:showCatName val="0"/>
          <c:showSerName val="0"/>
          <c:showPercent val="0"/>
          <c:showBubbleSize val="0"/>
        </c:dLbls>
        <c:smooth val="0"/>
        <c:axId val="1388952432"/>
        <c:axId val="1388953088"/>
        <c:extLst/>
      </c:lineChart>
      <c:dateAx>
        <c:axId val="1388952432"/>
        <c:scaling>
          <c:orientation val="minMax"/>
        </c:scaling>
        <c:delete val="0"/>
        <c:axPos val="b"/>
        <c:numFmt formatCode="mmm\-yy_);\(###0\);&quot;-  &quot;;&quot; &quot;@&quot; &quot;" sourceLinked="0"/>
        <c:majorTickMark val="none"/>
        <c:minorTickMark val="none"/>
        <c:tickLblPos val="nextTo"/>
        <c:spPr>
          <a:noFill/>
          <a:ln w="9525" cap="flat" cmpd="sng" algn="ctr">
            <a:noFill/>
            <a:round/>
          </a:ln>
          <a:effectLst/>
        </c:spPr>
        <c:txPr>
          <a:bodyPr rot="-5400000" vert="horz"/>
          <a:lstStyle/>
          <a:p>
            <a:pPr>
              <a:defRPr/>
            </a:pPr>
            <a:endParaRPr lang="en-US"/>
          </a:p>
        </c:txPr>
        <c:crossAx val="1388953088"/>
        <c:crosses val="autoZero"/>
        <c:auto val="1"/>
        <c:lblOffset val="100"/>
        <c:baseTimeUnit val="days"/>
        <c:majorUnit val="1"/>
        <c:majorTimeUnit val="months"/>
      </c:dateAx>
      <c:valAx>
        <c:axId val="1388953088"/>
        <c:scaling>
          <c:orientation val="minMax"/>
          <c:max val="4.5"/>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vert="horz"/>
          <a:lstStyle/>
          <a:p>
            <a:pPr>
              <a:defRPr/>
            </a:pPr>
            <a:endParaRPr lang="en-US"/>
          </a:p>
        </c:txPr>
        <c:crossAx val="1388952432"/>
        <c:crosses val="autoZero"/>
        <c:crossBetween val="between"/>
      </c:valAx>
    </c:plotArea>
    <c:legend>
      <c:legendPos val="b"/>
      <c:legendEntry>
        <c:idx val="3"/>
        <c:delete val="1"/>
      </c:legendEntry>
      <c:legendEntry>
        <c:idx val="6"/>
        <c:delete val="1"/>
      </c:legendEntry>
      <c:legendEntry>
        <c:idx val="7"/>
        <c:delete val="1"/>
      </c:legendEntry>
      <c:legendEntry>
        <c:idx val="9"/>
        <c:delete val="1"/>
      </c:legendEntry>
      <c:overlay val="0"/>
      <c:spPr>
        <a:noFill/>
        <a:ln>
          <a:noFill/>
        </a:ln>
        <a:effectLst/>
      </c:spPr>
      <c:txPr>
        <a:bodyPr rot="0" vert="horz"/>
        <a:lstStyle/>
        <a:p>
          <a:pPr>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'PBL Summary'!#REF!</c:f>
              <c:strCache>
                <c:ptCount val="1"/>
                <c:pt idx="0">
                  <c:v>#REF!</c:v>
                </c:pt>
              </c:strCache>
            </c:strRef>
          </c:tx>
          <c:spPr>
            <a:ln>
              <a:solidFill>
                <a:schemeClr val="tx2"/>
              </a:solidFill>
            </a:ln>
          </c:spPr>
          <c:marker>
            <c:symbol val="none"/>
          </c:marker>
          <c:cat>
            <c:numRef>
              <c:f>'PBL Summary'!$B$8:$B$60</c:f>
              <c:numCache>
                <c:formatCode>d\-mmm\-yy_);\(###0\);"-  ";" "@" "</c:formatCode>
                <c:ptCount val="53"/>
                <c:pt idx="0">
                  <c:v>45841</c:v>
                </c:pt>
                <c:pt idx="1">
                  <c:v>45848</c:v>
                </c:pt>
                <c:pt idx="2">
                  <c:v>45855</c:v>
                </c:pt>
                <c:pt idx="3">
                  <c:v>45862</c:v>
                </c:pt>
                <c:pt idx="4">
                  <c:v>45869</c:v>
                </c:pt>
                <c:pt idx="5">
                  <c:v>45876</c:v>
                </c:pt>
                <c:pt idx="6">
                  <c:v>45883</c:v>
                </c:pt>
                <c:pt idx="7">
                  <c:v>45890</c:v>
                </c:pt>
                <c:pt idx="8">
                  <c:v>45897</c:v>
                </c:pt>
                <c:pt idx="9">
                  <c:v>45904</c:v>
                </c:pt>
                <c:pt idx="10">
                  <c:v>45911</c:v>
                </c:pt>
                <c:pt idx="11">
                  <c:v>45918</c:v>
                </c:pt>
                <c:pt idx="12">
                  <c:v>45925</c:v>
                </c:pt>
                <c:pt idx="13">
                  <c:v>45932</c:v>
                </c:pt>
                <c:pt idx="14">
                  <c:v>45939</c:v>
                </c:pt>
                <c:pt idx="15">
                  <c:v>45946</c:v>
                </c:pt>
                <c:pt idx="16">
                  <c:v>45953</c:v>
                </c:pt>
                <c:pt idx="17">
                  <c:v>45960</c:v>
                </c:pt>
                <c:pt idx="18">
                  <c:v>45967</c:v>
                </c:pt>
                <c:pt idx="19">
                  <c:v>45974</c:v>
                </c:pt>
                <c:pt idx="20">
                  <c:v>45981</c:v>
                </c:pt>
                <c:pt idx="21">
                  <c:v>45988</c:v>
                </c:pt>
                <c:pt idx="22">
                  <c:v>45995</c:v>
                </c:pt>
                <c:pt idx="23">
                  <c:v>46002</c:v>
                </c:pt>
                <c:pt idx="24">
                  <c:v>46009</c:v>
                </c:pt>
                <c:pt idx="25">
                  <c:v>46016</c:v>
                </c:pt>
              </c:numCache>
            </c:numRef>
          </c:cat>
          <c:val>
            <c:numRef>
              <c:f>'PBL Summary'!$C$8:$C$60</c:f>
              <c:numCache>
                <c:formatCode>0.000</c:formatCode>
                <c:ptCount val="53"/>
                <c:pt idx="0">
                  <c:v>2.7363571392640895E-2</c:v>
                </c:pt>
                <c:pt idx="1">
                  <c:v>6.9103400977044371E-2</c:v>
                </c:pt>
                <c:pt idx="2">
                  <c:v>0.12094884715456784</c:v>
                </c:pt>
                <c:pt idx="3">
                  <c:v>0.18174940468201475</c:v>
                </c:pt>
                <c:pt idx="4">
                  <c:v>0.20861682392960276</c:v>
                </c:pt>
                <c:pt idx="5">
                  <c:v>0.24776279176671767</c:v>
                </c:pt>
                <c:pt idx="6">
                  <c:v>0.30199165700858344</c:v>
                </c:pt>
                <c:pt idx="7">
                  <c:v>0.36537692849224829</c:v>
                </c:pt>
                <c:pt idx="8">
                  <c:v>0.45506235485381591</c:v>
                </c:pt>
                <c:pt idx="9">
                  <c:v>0.59242059367835509</c:v>
                </c:pt>
                <c:pt idx="10">
                  <c:v>0.6200240218505555</c:v>
                </c:pt>
                <c:pt idx="11">
                  <c:v>0.66169152422729383</c:v>
                </c:pt>
                <c:pt idx="12">
                  <c:v>0.71608250840628107</c:v>
                </c:pt>
                <c:pt idx="13">
                  <c:v>0.78060292673138598</c:v>
                </c:pt>
                <c:pt idx="14">
                  <c:v>0.87198709947887409</c:v>
                </c:pt>
                <c:pt idx="15">
                  <c:v>0.90088765549244787</c:v>
                </c:pt>
                <c:pt idx="16">
                  <c:v>0.94413120426934583</c:v>
                </c:pt>
                <c:pt idx="17">
                  <c:v>0.99803686698782346</c:v>
                </c:pt>
                <c:pt idx="18">
                  <c:v>1.0670066596328251</c:v>
                </c:pt>
                <c:pt idx="19">
                  <c:v>1.1661566498179092</c:v>
                </c:pt>
                <c:pt idx="20">
                  <c:v>1.1988021588869033</c:v>
                </c:pt>
                <c:pt idx="21">
                  <c:v>1.2300273550067382</c:v>
                </c:pt>
                <c:pt idx="22">
                  <c:v>1.2604920006417746</c:v>
                </c:pt>
                <c:pt idx="23">
                  <c:v>1.3031097435807781</c:v>
                </c:pt>
                <c:pt idx="24">
                  <c:v>1.3454875933339994</c:v>
                </c:pt>
                <c:pt idx="25">
                  <c:v>1.4110872544968049</c:v>
                </c:pt>
              </c:numCache>
            </c:numRef>
          </c:val>
          <c:smooth val="0"/>
          <c:extLst>
            <c:ext xmlns:c16="http://schemas.microsoft.com/office/drawing/2014/chart" uri="{C3380CC4-5D6E-409C-BE32-E72D297353CC}">
              <c16:uniqueId val="{00000067-61F8-4092-BD99-E46CE12B4577}"/>
            </c:ext>
          </c:extLst>
        </c:ser>
        <c:ser>
          <c:idx val="7"/>
          <c:order val="1"/>
          <c:tx>
            <c:strRef>
              <c:f>'PBL Summary'!#REF!</c:f>
              <c:strCache>
                <c:ptCount val="1"/>
                <c:pt idx="0">
                  <c:v>#REF!</c:v>
                </c:pt>
              </c:strCache>
            </c:strRef>
          </c:tx>
          <c:spPr>
            <a:ln w="19050">
              <a:solidFill>
                <a:schemeClr val="bg2">
                  <a:lumMod val="60000"/>
                  <a:lumOff val="40000"/>
                </a:schemeClr>
              </a:solidFill>
              <a:prstDash val="sysDot"/>
            </a:ln>
          </c:spPr>
          <c:marker>
            <c:symbol val="none"/>
          </c:marker>
          <c:cat>
            <c:numRef>
              <c:f>'PBL Summary'!$B$8:$B$60</c:f>
              <c:numCache>
                <c:formatCode>d\-mmm\-yy_);\(###0\);"-  ";" "@" "</c:formatCode>
                <c:ptCount val="53"/>
                <c:pt idx="0">
                  <c:v>45841</c:v>
                </c:pt>
                <c:pt idx="1">
                  <c:v>45848</c:v>
                </c:pt>
                <c:pt idx="2">
                  <c:v>45855</c:v>
                </c:pt>
                <c:pt idx="3">
                  <c:v>45862</c:v>
                </c:pt>
                <c:pt idx="4">
                  <c:v>45869</c:v>
                </c:pt>
                <c:pt idx="5">
                  <c:v>45876</c:v>
                </c:pt>
                <c:pt idx="6">
                  <c:v>45883</c:v>
                </c:pt>
                <c:pt idx="7">
                  <c:v>45890</c:v>
                </c:pt>
                <c:pt idx="8">
                  <c:v>45897</c:v>
                </c:pt>
                <c:pt idx="9">
                  <c:v>45904</c:v>
                </c:pt>
                <c:pt idx="10">
                  <c:v>45911</c:v>
                </c:pt>
                <c:pt idx="11">
                  <c:v>45918</c:v>
                </c:pt>
                <c:pt idx="12">
                  <c:v>45925</c:v>
                </c:pt>
                <c:pt idx="13">
                  <c:v>45932</c:v>
                </c:pt>
                <c:pt idx="14">
                  <c:v>45939</c:v>
                </c:pt>
                <c:pt idx="15">
                  <c:v>45946</c:v>
                </c:pt>
                <c:pt idx="16">
                  <c:v>45953</c:v>
                </c:pt>
                <c:pt idx="17">
                  <c:v>45960</c:v>
                </c:pt>
                <c:pt idx="18">
                  <c:v>45967</c:v>
                </c:pt>
                <c:pt idx="19">
                  <c:v>45974</c:v>
                </c:pt>
                <c:pt idx="20">
                  <c:v>45981</c:v>
                </c:pt>
                <c:pt idx="21">
                  <c:v>45988</c:v>
                </c:pt>
                <c:pt idx="22">
                  <c:v>45995</c:v>
                </c:pt>
                <c:pt idx="23">
                  <c:v>46002</c:v>
                </c:pt>
                <c:pt idx="24">
                  <c:v>46009</c:v>
                </c:pt>
                <c:pt idx="25">
                  <c:v>46016</c:v>
                </c:pt>
              </c:numCache>
            </c:numRef>
          </c:cat>
          <c:val>
            <c:numRef>
              <c:f>'PBL Summary'!$F$8:$F$60</c:f>
              <c:numCache>
                <c:formatCode>0.000</c:formatCode>
                <c:ptCount val="53"/>
                <c:pt idx="0">
                  <c:v>4.5397175090041493E-2</c:v>
                </c:pt>
                <c:pt idx="1">
                  <c:v>9.0794350180082986E-2</c:v>
                </c:pt>
                <c:pt idx="2">
                  <c:v>0.13619152527012449</c:v>
                </c:pt>
                <c:pt idx="3">
                  <c:v>0.18158870036016597</c:v>
                </c:pt>
                <c:pt idx="4">
                  <c:v>0.22698587545020746</c:v>
                </c:pt>
                <c:pt idx="5">
                  <c:v>0.27238305054024897</c:v>
                </c:pt>
                <c:pt idx="6">
                  <c:v>0.31778022563029046</c:v>
                </c:pt>
                <c:pt idx="7">
                  <c:v>0.36317740072033194</c:v>
                </c:pt>
                <c:pt idx="8">
                  <c:v>0.40857457581037343</c:v>
                </c:pt>
                <c:pt idx="9">
                  <c:v>0.45397175090041492</c:v>
                </c:pt>
                <c:pt idx="10">
                  <c:v>0.4993689259904564</c:v>
                </c:pt>
                <c:pt idx="11">
                  <c:v>0.54476610108049794</c:v>
                </c:pt>
                <c:pt idx="12">
                  <c:v>0.59016327617053943</c:v>
                </c:pt>
                <c:pt idx="13">
                  <c:v>0.63556045126058092</c:v>
                </c:pt>
                <c:pt idx="14">
                  <c:v>0.6809576263506224</c:v>
                </c:pt>
                <c:pt idx="15">
                  <c:v>0.72635480144066389</c:v>
                </c:pt>
                <c:pt idx="16">
                  <c:v>0.77175197653070537</c:v>
                </c:pt>
                <c:pt idx="17">
                  <c:v>0.81714915162074686</c:v>
                </c:pt>
                <c:pt idx="18">
                  <c:v>0.86254632671078835</c:v>
                </c:pt>
                <c:pt idx="19">
                  <c:v>0.90794350180082983</c:v>
                </c:pt>
                <c:pt idx="20">
                  <c:v>0.95334067689087132</c:v>
                </c:pt>
                <c:pt idx="21">
                  <c:v>0.99873785198091281</c:v>
                </c:pt>
                <c:pt idx="22">
                  <c:v>1.0441350270709544</c:v>
                </c:pt>
                <c:pt idx="23">
                  <c:v>1.0895322021609959</c:v>
                </c:pt>
                <c:pt idx="24">
                  <c:v>1.1349293772510374</c:v>
                </c:pt>
                <c:pt idx="25">
                  <c:v>1.1803265523410789</c:v>
                </c:pt>
              </c:numCache>
            </c:numRef>
          </c:val>
          <c:smooth val="0"/>
          <c:extLst xmlns:c15="http://schemas.microsoft.com/office/drawing/2012/chart">
            <c:ext xmlns:c16="http://schemas.microsoft.com/office/drawing/2014/chart" uri="{C3380CC4-5D6E-409C-BE32-E72D297353CC}">
              <c16:uniqueId val="{00000069-61F8-4092-BD99-E46CE12B4577}"/>
            </c:ext>
          </c:extLst>
        </c:ser>
        <c:ser>
          <c:idx val="2"/>
          <c:order val="2"/>
          <c:tx>
            <c:v>5/25/50/75/95th percentile</c:v>
          </c:tx>
          <c:spPr>
            <a:ln w="19050">
              <a:solidFill>
                <a:schemeClr val="bg2">
                  <a:lumMod val="60000"/>
                  <a:lumOff val="40000"/>
                </a:schemeClr>
              </a:solidFill>
              <a:prstDash val="sysDot"/>
            </a:ln>
          </c:spPr>
          <c:marker>
            <c:symbol val="none"/>
          </c:marker>
          <c:cat>
            <c:numRef>
              <c:f>'PBL Summary'!$B$8:$B$60</c:f>
              <c:numCache>
                <c:formatCode>d\-mmm\-yy_);\(###0\);"-  ";" "@" "</c:formatCode>
                <c:ptCount val="53"/>
                <c:pt idx="0">
                  <c:v>45841</c:v>
                </c:pt>
                <c:pt idx="1">
                  <c:v>45848</c:v>
                </c:pt>
                <c:pt idx="2">
                  <c:v>45855</c:v>
                </c:pt>
                <c:pt idx="3">
                  <c:v>45862</c:v>
                </c:pt>
                <c:pt idx="4">
                  <c:v>45869</c:v>
                </c:pt>
                <c:pt idx="5">
                  <c:v>45876</c:v>
                </c:pt>
                <c:pt idx="6">
                  <c:v>45883</c:v>
                </c:pt>
                <c:pt idx="7">
                  <c:v>45890</c:v>
                </c:pt>
                <c:pt idx="8">
                  <c:v>45897</c:v>
                </c:pt>
                <c:pt idx="9">
                  <c:v>45904</c:v>
                </c:pt>
                <c:pt idx="10">
                  <c:v>45911</c:v>
                </c:pt>
                <c:pt idx="11">
                  <c:v>45918</c:v>
                </c:pt>
                <c:pt idx="12">
                  <c:v>45925</c:v>
                </c:pt>
                <c:pt idx="13">
                  <c:v>45932</c:v>
                </c:pt>
                <c:pt idx="14">
                  <c:v>45939</c:v>
                </c:pt>
                <c:pt idx="15">
                  <c:v>45946</c:v>
                </c:pt>
                <c:pt idx="16">
                  <c:v>45953</c:v>
                </c:pt>
                <c:pt idx="17">
                  <c:v>45960</c:v>
                </c:pt>
                <c:pt idx="18">
                  <c:v>45967</c:v>
                </c:pt>
                <c:pt idx="19">
                  <c:v>45974</c:v>
                </c:pt>
                <c:pt idx="20">
                  <c:v>45981</c:v>
                </c:pt>
                <c:pt idx="21">
                  <c:v>45988</c:v>
                </c:pt>
                <c:pt idx="22">
                  <c:v>45995</c:v>
                </c:pt>
                <c:pt idx="23">
                  <c:v>46002</c:v>
                </c:pt>
                <c:pt idx="24">
                  <c:v>46009</c:v>
                </c:pt>
                <c:pt idx="25">
                  <c:v>46016</c:v>
                </c:pt>
              </c:numCache>
            </c:numRef>
          </c:cat>
          <c:val>
            <c:numRef>
              <c:f>'PBL Summary'!$H$8:$H$60</c:f>
              <c:numCache>
                <c:formatCode>0.000</c:formatCode>
                <c:ptCount val="53"/>
                <c:pt idx="0">
                  <c:v>5.1603631730858246E-2</c:v>
                </c:pt>
                <c:pt idx="1">
                  <c:v>0.10320726346171649</c:v>
                </c:pt>
                <c:pt idx="2">
                  <c:v>0.15481089519257474</c:v>
                </c:pt>
                <c:pt idx="3">
                  <c:v>0.20641452692343298</c:v>
                </c:pt>
                <c:pt idx="4">
                  <c:v>0.25801815865429123</c:v>
                </c:pt>
                <c:pt idx="5">
                  <c:v>0.30962179038514948</c:v>
                </c:pt>
                <c:pt idx="6">
                  <c:v>0.36122542211600772</c:v>
                </c:pt>
                <c:pt idx="7">
                  <c:v>0.41282905384686597</c:v>
                </c:pt>
                <c:pt idx="8">
                  <c:v>0.46443268557772421</c:v>
                </c:pt>
                <c:pt idx="9">
                  <c:v>0.51603631730858246</c:v>
                </c:pt>
                <c:pt idx="10">
                  <c:v>0.56763994903944071</c:v>
                </c:pt>
                <c:pt idx="11">
                  <c:v>0.61924358077029895</c:v>
                </c:pt>
                <c:pt idx="12">
                  <c:v>0.6708472125011572</c:v>
                </c:pt>
                <c:pt idx="13">
                  <c:v>0.72245084423201544</c:v>
                </c:pt>
                <c:pt idx="14">
                  <c:v>0.77405447596287369</c:v>
                </c:pt>
                <c:pt idx="15">
                  <c:v>0.82565810769373194</c:v>
                </c:pt>
                <c:pt idx="16">
                  <c:v>0.87726173942459018</c:v>
                </c:pt>
                <c:pt idx="17">
                  <c:v>0.92886537115544843</c:v>
                </c:pt>
                <c:pt idx="18">
                  <c:v>0.98046900288630667</c:v>
                </c:pt>
                <c:pt idx="19">
                  <c:v>1.0320726346171649</c:v>
                </c:pt>
                <c:pt idx="20">
                  <c:v>1.0836762663480233</c:v>
                </c:pt>
                <c:pt idx="21">
                  <c:v>1.1352798980788816</c:v>
                </c:pt>
                <c:pt idx="22">
                  <c:v>1.18688352980974</c:v>
                </c:pt>
                <c:pt idx="23">
                  <c:v>1.2384871615405983</c:v>
                </c:pt>
                <c:pt idx="24">
                  <c:v>1.2900907932714567</c:v>
                </c:pt>
                <c:pt idx="25">
                  <c:v>1.3416944250023151</c:v>
                </c:pt>
              </c:numCache>
            </c:numRef>
          </c:val>
          <c:smooth val="0"/>
          <c:extLst>
            <c:ext xmlns:c16="http://schemas.microsoft.com/office/drawing/2014/chart" uri="{C3380CC4-5D6E-409C-BE32-E72D297353CC}">
              <c16:uniqueId val="{0000006B-61F8-4092-BD99-E46CE12B4577}"/>
            </c:ext>
          </c:extLst>
        </c:ser>
        <c:ser>
          <c:idx val="4"/>
          <c:order val="3"/>
          <c:tx>
            <c:strRef>
              <c:f>'PBL Summary'!#REF!</c:f>
              <c:strCache>
                <c:ptCount val="1"/>
                <c:pt idx="0">
                  <c:v>#REF!</c:v>
                </c:pt>
              </c:strCache>
            </c:strRef>
          </c:tx>
          <c:spPr>
            <a:ln w="19050" cap="rnd">
              <a:solidFill>
                <a:schemeClr val="bg2">
                  <a:lumMod val="60000"/>
                  <a:lumOff val="40000"/>
                </a:schemeClr>
              </a:solidFill>
              <a:prstDash val="sysDot"/>
              <a:round/>
            </a:ln>
            <a:effectLst/>
          </c:spPr>
          <c:marker>
            <c:symbol val="none"/>
          </c:marker>
          <c:cat>
            <c:numRef>
              <c:f>'PBL Summary'!$B$8:$B$60</c:f>
              <c:numCache>
                <c:formatCode>d\-mmm\-yy_);\(###0\);"-  ";" "@" "</c:formatCode>
                <c:ptCount val="53"/>
                <c:pt idx="0">
                  <c:v>45841</c:v>
                </c:pt>
                <c:pt idx="1">
                  <c:v>45848</c:v>
                </c:pt>
                <c:pt idx="2">
                  <c:v>45855</c:v>
                </c:pt>
                <c:pt idx="3">
                  <c:v>45862</c:v>
                </c:pt>
                <c:pt idx="4">
                  <c:v>45869</c:v>
                </c:pt>
                <c:pt idx="5">
                  <c:v>45876</c:v>
                </c:pt>
                <c:pt idx="6">
                  <c:v>45883</c:v>
                </c:pt>
                <c:pt idx="7">
                  <c:v>45890</c:v>
                </c:pt>
                <c:pt idx="8">
                  <c:v>45897</c:v>
                </c:pt>
                <c:pt idx="9">
                  <c:v>45904</c:v>
                </c:pt>
                <c:pt idx="10">
                  <c:v>45911</c:v>
                </c:pt>
                <c:pt idx="11">
                  <c:v>45918</c:v>
                </c:pt>
                <c:pt idx="12">
                  <c:v>45925</c:v>
                </c:pt>
                <c:pt idx="13">
                  <c:v>45932</c:v>
                </c:pt>
                <c:pt idx="14">
                  <c:v>45939</c:v>
                </c:pt>
                <c:pt idx="15">
                  <c:v>45946</c:v>
                </c:pt>
                <c:pt idx="16">
                  <c:v>45953</c:v>
                </c:pt>
                <c:pt idx="17">
                  <c:v>45960</c:v>
                </c:pt>
                <c:pt idx="18">
                  <c:v>45967</c:v>
                </c:pt>
                <c:pt idx="19">
                  <c:v>45974</c:v>
                </c:pt>
                <c:pt idx="20">
                  <c:v>45981</c:v>
                </c:pt>
                <c:pt idx="21">
                  <c:v>45988</c:v>
                </c:pt>
                <c:pt idx="22">
                  <c:v>45995</c:v>
                </c:pt>
                <c:pt idx="23">
                  <c:v>46002</c:v>
                </c:pt>
                <c:pt idx="24">
                  <c:v>46009</c:v>
                </c:pt>
                <c:pt idx="25">
                  <c:v>46016</c:v>
                </c:pt>
              </c:numCache>
            </c:numRef>
          </c:cat>
          <c:val>
            <c:numRef>
              <c:f>'PBL Summary'!$I$8:$I$60</c:f>
              <c:numCache>
                <c:formatCode>0.000</c:formatCode>
                <c:ptCount val="53"/>
                <c:pt idx="0">
                  <c:v>5.8043397021066458E-2</c:v>
                </c:pt>
                <c:pt idx="1">
                  <c:v>0.11608679404213292</c:v>
                </c:pt>
                <c:pt idx="2">
                  <c:v>0.17413019106319938</c:v>
                </c:pt>
                <c:pt idx="3">
                  <c:v>0.23217358808426583</c:v>
                </c:pt>
                <c:pt idx="4">
                  <c:v>0.29021698510533228</c:v>
                </c:pt>
                <c:pt idx="5">
                  <c:v>0.34826038212639876</c:v>
                </c:pt>
                <c:pt idx="6">
                  <c:v>0.40630377914746524</c:v>
                </c:pt>
                <c:pt idx="7">
                  <c:v>0.46434717616853172</c:v>
                </c:pt>
                <c:pt idx="8">
                  <c:v>0.52239057318959814</c:v>
                </c:pt>
                <c:pt idx="9">
                  <c:v>0.58043397021066456</c:v>
                </c:pt>
                <c:pt idx="10">
                  <c:v>0.63847736723173099</c:v>
                </c:pt>
                <c:pt idx="11">
                  <c:v>0.69652076425279741</c:v>
                </c:pt>
                <c:pt idx="12">
                  <c:v>0.75456416127386383</c:v>
                </c:pt>
                <c:pt idx="13">
                  <c:v>0.81260755829493025</c:v>
                </c:pt>
                <c:pt idx="14">
                  <c:v>0.87065095531599668</c:v>
                </c:pt>
                <c:pt idx="15">
                  <c:v>0.9286943523370631</c:v>
                </c:pt>
                <c:pt idx="16">
                  <c:v>0.98673774935812952</c:v>
                </c:pt>
                <c:pt idx="17">
                  <c:v>1.0447811463791961</c:v>
                </c:pt>
                <c:pt idx="18">
                  <c:v>1.1028245434002626</c:v>
                </c:pt>
                <c:pt idx="19">
                  <c:v>1.1608679404213291</c:v>
                </c:pt>
                <c:pt idx="20">
                  <c:v>1.2189113374423957</c:v>
                </c:pt>
                <c:pt idx="21">
                  <c:v>1.2769547344634622</c:v>
                </c:pt>
                <c:pt idx="22">
                  <c:v>1.3349981314845287</c:v>
                </c:pt>
                <c:pt idx="23">
                  <c:v>1.3930415285055953</c:v>
                </c:pt>
                <c:pt idx="24">
                  <c:v>1.4510849255266618</c:v>
                </c:pt>
                <c:pt idx="25">
                  <c:v>1.5091283225477283</c:v>
                </c:pt>
              </c:numCache>
            </c:numRef>
          </c:val>
          <c:smooth val="0"/>
          <c:extLst>
            <c:ext xmlns:c16="http://schemas.microsoft.com/office/drawing/2014/chart" uri="{C3380CC4-5D6E-409C-BE32-E72D297353CC}">
              <c16:uniqueId val="{0000006D-61F8-4092-BD99-E46CE12B4577}"/>
            </c:ext>
          </c:extLst>
        </c:ser>
        <c:ser>
          <c:idx val="6"/>
          <c:order val="4"/>
          <c:tx>
            <c:strRef>
              <c:f>'PBL Summary'!#REF!</c:f>
              <c:strCache>
                <c:ptCount val="1"/>
                <c:pt idx="0">
                  <c:v>#REF!</c:v>
                </c:pt>
              </c:strCache>
            </c:strRef>
          </c:tx>
          <c:spPr>
            <a:ln>
              <a:solidFill>
                <a:schemeClr val="bg2">
                  <a:lumMod val="60000"/>
                  <a:lumOff val="40000"/>
                </a:schemeClr>
              </a:solidFill>
              <a:prstDash val="sysDot"/>
            </a:ln>
          </c:spPr>
          <c:marker>
            <c:symbol val="none"/>
          </c:marker>
          <c:cat>
            <c:numRef>
              <c:f>'PBL Summary'!$B$8:$B$60</c:f>
              <c:numCache>
                <c:formatCode>d\-mmm\-yy_);\(###0\);"-  ";" "@" "</c:formatCode>
                <c:ptCount val="53"/>
                <c:pt idx="0">
                  <c:v>45841</c:v>
                </c:pt>
                <c:pt idx="1">
                  <c:v>45848</c:v>
                </c:pt>
                <c:pt idx="2">
                  <c:v>45855</c:v>
                </c:pt>
                <c:pt idx="3">
                  <c:v>45862</c:v>
                </c:pt>
                <c:pt idx="4">
                  <c:v>45869</c:v>
                </c:pt>
                <c:pt idx="5">
                  <c:v>45876</c:v>
                </c:pt>
                <c:pt idx="6">
                  <c:v>45883</c:v>
                </c:pt>
                <c:pt idx="7">
                  <c:v>45890</c:v>
                </c:pt>
                <c:pt idx="8">
                  <c:v>45897</c:v>
                </c:pt>
                <c:pt idx="9">
                  <c:v>45904</c:v>
                </c:pt>
                <c:pt idx="10">
                  <c:v>45911</c:v>
                </c:pt>
                <c:pt idx="11">
                  <c:v>45918</c:v>
                </c:pt>
                <c:pt idx="12">
                  <c:v>45925</c:v>
                </c:pt>
                <c:pt idx="13">
                  <c:v>45932</c:v>
                </c:pt>
                <c:pt idx="14">
                  <c:v>45939</c:v>
                </c:pt>
                <c:pt idx="15">
                  <c:v>45946</c:v>
                </c:pt>
                <c:pt idx="16">
                  <c:v>45953</c:v>
                </c:pt>
                <c:pt idx="17">
                  <c:v>45960</c:v>
                </c:pt>
                <c:pt idx="18">
                  <c:v>45967</c:v>
                </c:pt>
                <c:pt idx="19">
                  <c:v>45974</c:v>
                </c:pt>
                <c:pt idx="20">
                  <c:v>45981</c:v>
                </c:pt>
                <c:pt idx="21">
                  <c:v>45988</c:v>
                </c:pt>
                <c:pt idx="22">
                  <c:v>45995</c:v>
                </c:pt>
                <c:pt idx="23">
                  <c:v>46002</c:v>
                </c:pt>
                <c:pt idx="24">
                  <c:v>46009</c:v>
                </c:pt>
                <c:pt idx="25">
                  <c:v>46016</c:v>
                </c:pt>
              </c:numCache>
            </c:numRef>
          </c:cat>
          <c:val>
            <c:numRef>
              <c:f>'PBL Summary'!$J$8:$J$60</c:f>
              <c:numCache>
                <c:formatCode>0.000</c:formatCode>
                <c:ptCount val="53"/>
                <c:pt idx="0">
                  <c:v>6.6707209392596042E-2</c:v>
                </c:pt>
                <c:pt idx="1">
                  <c:v>0.13341441878519208</c:v>
                </c:pt>
                <c:pt idx="2">
                  <c:v>0.20012162817778811</c:v>
                </c:pt>
                <c:pt idx="3">
                  <c:v>0.26682883757038417</c:v>
                </c:pt>
                <c:pt idx="4">
                  <c:v>0.33353604696298023</c:v>
                </c:pt>
                <c:pt idx="5">
                  <c:v>0.40024325635557628</c:v>
                </c:pt>
                <c:pt idx="6">
                  <c:v>0.46695046574817234</c:v>
                </c:pt>
                <c:pt idx="7">
                  <c:v>0.53365767514076834</c:v>
                </c:pt>
                <c:pt idx="8">
                  <c:v>0.60036488453336434</c:v>
                </c:pt>
                <c:pt idx="9">
                  <c:v>0.66707209392596034</c:v>
                </c:pt>
                <c:pt idx="10">
                  <c:v>0.73377930331855634</c:v>
                </c:pt>
                <c:pt idx="11">
                  <c:v>0.80048651271115234</c:v>
                </c:pt>
                <c:pt idx="12">
                  <c:v>0.86719372210374834</c:v>
                </c:pt>
                <c:pt idx="13">
                  <c:v>0.93390093149634434</c:v>
                </c:pt>
                <c:pt idx="14">
                  <c:v>1.0006081408889405</c:v>
                </c:pt>
                <c:pt idx="15">
                  <c:v>1.0673153502815365</c:v>
                </c:pt>
                <c:pt idx="16">
                  <c:v>1.1340225596741325</c:v>
                </c:pt>
                <c:pt idx="17">
                  <c:v>1.2007297690667285</c:v>
                </c:pt>
                <c:pt idx="18">
                  <c:v>1.2674369784593245</c:v>
                </c:pt>
                <c:pt idx="19">
                  <c:v>1.3341441878519205</c:v>
                </c:pt>
                <c:pt idx="20">
                  <c:v>1.4008513972445165</c:v>
                </c:pt>
                <c:pt idx="21">
                  <c:v>1.4675586066371125</c:v>
                </c:pt>
                <c:pt idx="22">
                  <c:v>1.5342658160297085</c:v>
                </c:pt>
                <c:pt idx="23">
                  <c:v>1.6009730254223045</c:v>
                </c:pt>
                <c:pt idx="24">
                  <c:v>1.6676802348149005</c:v>
                </c:pt>
                <c:pt idx="25">
                  <c:v>1.7343874442074965</c:v>
                </c:pt>
              </c:numCache>
            </c:numRef>
          </c:val>
          <c:smooth val="0"/>
          <c:extLst xmlns:c15="http://schemas.microsoft.com/office/drawing/2012/chart">
            <c:ext xmlns:c16="http://schemas.microsoft.com/office/drawing/2014/chart" uri="{C3380CC4-5D6E-409C-BE32-E72D297353CC}">
              <c16:uniqueId val="{0000006F-61F8-4092-BD99-E46CE12B4577}"/>
            </c:ext>
          </c:extLst>
        </c:ser>
        <c:ser>
          <c:idx val="8"/>
          <c:order val="5"/>
          <c:tx>
            <c:strRef>
              <c:f>'PBL Summary'!#REF!</c:f>
              <c:strCache>
                <c:ptCount val="1"/>
                <c:pt idx="0">
                  <c:v>#REF!</c:v>
                </c:pt>
              </c:strCache>
            </c:strRef>
          </c:tx>
          <c:spPr>
            <a:ln w="19050" cap="rnd">
              <a:solidFill>
                <a:schemeClr val="bg2">
                  <a:lumMod val="60000"/>
                  <a:lumOff val="40000"/>
                </a:schemeClr>
              </a:solidFill>
              <a:prstDash val="sysDot"/>
              <a:round/>
            </a:ln>
            <a:effectLst/>
          </c:spPr>
          <c:marker>
            <c:symbol val="none"/>
          </c:marker>
          <c:cat>
            <c:numRef>
              <c:f>'PBL Summary'!$B$8:$B$60</c:f>
              <c:numCache>
                <c:formatCode>d\-mmm\-yy_);\(###0\);"-  ";" "@" "</c:formatCode>
                <c:ptCount val="53"/>
                <c:pt idx="0">
                  <c:v>45841</c:v>
                </c:pt>
                <c:pt idx="1">
                  <c:v>45848</c:v>
                </c:pt>
                <c:pt idx="2">
                  <c:v>45855</c:v>
                </c:pt>
                <c:pt idx="3">
                  <c:v>45862</c:v>
                </c:pt>
                <c:pt idx="4">
                  <c:v>45869</c:v>
                </c:pt>
                <c:pt idx="5">
                  <c:v>45876</c:v>
                </c:pt>
                <c:pt idx="6">
                  <c:v>45883</c:v>
                </c:pt>
                <c:pt idx="7">
                  <c:v>45890</c:v>
                </c:pt>
                <c:pt idx="8">
                  <c:v>45897</c:v>
                </c:pt>
                <c:pt idx="9">
                  <c:v>45904</c:v>
                </c:pt>
                <c:pt idx="10">
                  <c:v>45911</c:v>
                </c:pt>
                <c:pt idx="11">
                  <c:v>45918</c:v>
                </c:pt>
                <c:pt idx="12">
                  <c:v>45925</c:v>
                </c:pt>
                <c:pt idx="13">
                  <c:v>45932</c:v>
                </c:pt>
                <c:pt idx="14">
                  <c:v>45939</c:v>
                </c:pt>
                <c:pt idx="15">
                  <c:v>45946</c:v>
                </c:pt>
                <c:pt idx="16">
                  <c:v>45953</c:v>
                </c:pt>
                <c:pt idx="17">
                  <c:v>45960</c:v>
                </c:pt>
                <c:pt idx="18">
                  <c:v>45967</c:v>
                </c:pt>
                <c:pt idx="19">
                  <c:v>45974</c:v>
                </c:pt>
                <c:pt idx="20">
                  <c:v>45981</c:v>
                </c:pt>
                <c:pt idx="21">
                  <c:v>45988</c:v>
                </c:pt>
                <c:pt idx="22">
                  <c:v>45995</c:v>
                </c:pt>
                <c:pt idx="23">
                  <c:v>46002</c:v>
                </c:pt>
                <c:pt idx="24">
                  <c:v>46009</c:v>
                </c:pt>
                <c:pt idx="25">
                  <c:v>46016</c:v>
                </c:pt>
              </c:numCache>
            </c:numRef>
          </c:cat>
          <c:val>
            <c:numRef>
              <c:f>'PBL Summary'!$L$8:$L$60</c:f>
              <c:numCache>
                <c:formatCode>0.000</c:formatCode>
                <c:ptCount val="53"/>
                <c:pt idx="0">
                  <c:v>8.2309620944215067E-2</c:v>
                </c:pt>
                <c:pt idx="1">
                  <c:v>0.16461924188843013</c:v>
                </c:pt>
                <c:pt idx="2">
                  <c:v>0.2469288628326452</c:v>
                </c:pt>
                <c:pt idx="3">
                  <c:v>0.32923848377686027</c:v>
                </c:pt>
                <c:pt idx="4">
                  <c:v>0.41154810472107534</c:v>
                </c:pt>
                <c:pt idx="5">
                  <c:v>0.4938577256652904</c:v>
                </c:pt>
                <c:pt idx="6">
                  <c:v>0.57616734660950542</c:v>
                </c:pt>
                <c:pt idx="7">
                  <c:v>0.65847696755372054</c:v>
                </c:pt>
                <c:pt idx="8">
                  <c:v>0.74078658849793566</c:v>
                </c:pt>
                <c:pt idx="9">
                  <c:v>0.82309620944215078</c:v>
                </c:pt>
                <c:pt idx="10">
                  <c:v>0.90540583038636591</c:v>
                </c:pt>
                <c:pt idx="11">
                  <c:v>0.98771545133058103</c:v>
                </c:pt>
                <c:pt idx="12">
                  <c:v>1.0700250722747962</c:v>
                </c:pt>
                <c:pt idx="13">
                  <c:v>1.1523346932190113</c:v>
                </c:pt>
                <c:pt idx="14">
                  <c:v>1.2346443141632264</c:v>
                </c:pt>
                <c:pt idx="15">
                  <c:v>1.3169539351074415</c:v>
                </c:pt>
                <c:pt idx="16">
                  <c:v>1.3992635560516566</c:v>
                </c:pt>
                <c:pt idx="17">
                  <c:v>1.4815731769958718</c:v>
                </c:pt>
                <c:pt idx="18">
                  <c:v>1.5638827979400869</c:v>
                </c:pt>
                <c:pt idx="19">
                  <c:v>1.646192418884302</c:v>
                </c:pt>
                <c:pt idx="20">
                  <c:v>1.7285020398285171</c:v>
                </c:pt>
                <c:pt idx="21">
                  <c:v>1.8108116607727323</c:v>
                </c:pt>
                <c:pt idx="22">
                  <c:v>1.8931212817169474</c:v>
                </c:pt>
                <c:pt idx="23">
                  <c:v>1.9754309026611625</c:v>
                </c:pt>
                <c:pt idx="24">
                  <c:v>2.0577405236053776</c:v>
                </c:pt>
                <c:pt idx="25">
                  <c:v>2.1400501445495927</c:v>
                </c:pt>
              </c:numCache>
            </c:numRef>
          </c:val>
          <c:smooth val="0"/>
          <c:extLst xmlns:c15="http://schemas.microsoft.com/office/drawing/2012/chart">
            <c:ext xmlns:c16="http://schemas.microsoft.com/office/drawing/2014/chart" uri="{C3380CC4-5D6E-409C-BE32-E72D297353CC}">
              <c16:uniqueId val="{00000079-61F8-4092-BD99-E46CE12B4577}"/>
            </c:ext>
          </c:extLst>
        </c:ser>
        <c:dLbls>
          <c:showLegendKey val="0"/>
          <c:showVal val="0"/>
          <c:showCatName val="0"/>
          <c:showSerName val="0"/>
          <c:showPercent val="0"/>
          <c:showBubbleSize val="0"/>
        </c:dLbls>
        <c:smooth val="0"/>
        <c:axId val="1388952432"/>
        <c:axId val="1388953088"/>
        <c:extLst/>
      </c:lineChart>
      <c:dateAx>
        <c:axId val="1388952432"/>
        <c:scaling>
          <c:orientation val="minMax"/>
        </c:scaling>
        <c:delete val="0"/>
        <c:axPos val="b"/>
        <c:numFmt formatCode="mmm\-yy_);\(###0\);&quot;-  &quot;;&quot; &quot;@&quot; &quot;" sourceLinked="0"/>
        <c:majorTickMark val="none"/>
        <c:minorTickMark val="none"/>
        <c:tickLblPos val="nextTo"/>
        <c:spPr>
          <a:noFill/>
          <a:ln w="9525" cap="flat" cmpd="sng" algn="ctr">
            <a:noFill/>
            <a:round/>
          </a:ln>
          <a:effectLst/>
        </c:spPr>
        <c:txPr>
          <a:bodyPr rot="-5400000" vert="horz"/>
          <a:lstStyle/>
          <a:p>
            <a:pPr>
              <a:defRPr/>
            </a:pPr>
            <a:endParaRPr lang="en-US"/>
          </a:p>
        </c:txPr>
        <c:crossAx val="1388953088"/>
        <c:crosses val="autoZero"/>
        <c:auto val="1"/>
        <c:lblOffset val="100"/>
        <c:baseTimeUnit val="days"/>
        <c:majorUnit val="1"/>
        <c:majorTimeUnit val="months"/>
      </c:dateAx>
      <c:valAx>
        <c:axId val="1388953088"/>
        <c:scaling>
          <c:orientation val="minMax"/>
          <c:max val="2.5"/>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vert="horz"/>
          <a:lstStyle/>
          <a:p>
            <a:pPr>
              <a:defRPr/>
            </a:pPr>
            <a:endParaRPr lang="en-US"/>
          </a:p>
        </c:txPr>
        <c:crossAx val="1388952432"/>
        <c:crosses val="autoZero"/>
        <c:crossBetween val="between"/>
      </c:valAx>
    </c:plotArea>
    <c:legend>
      <c:legendPos val="b"/>
      <c:legendEntry>
        <c:idx val="1"/>
        <c:delete val="1"/>
      </c:legendEntry>
      <c:legendEntry>
        <c:idx val="3"/>
        <c:delete val="1"/>
      </c:legendEntry>
      <c:legendEntry>
        <c:idx val="4"/>
        <c:delete val="1"/>
      </c:legendEntry>
      <c:legendEntry>
        <c:idx val="5"/>
        <c:delete val="1"/>
      </c:legendEntry>
      <c:overlay val="0"/>
      <c:spPr>
        <a:noFill/>
        <a:ln>
          <a:noFill/>
        </a:ln>
        <a:effectLst/>
      </c:spPr>
      <c:txPr>
        <a:bodyPr rot="0" vert="horz"/>
        <a:lstStyle/>
        <a:p>
          <a:pPr>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'PBL Summary'!$AR$6</c:f>
              <c:strCache>
                <c:ptCount val="1"/>
                <c:pt idx="0">
                  <c:v>Actual</c:v>
                </c:pt>
              </c:strCache>
            </c:strRef>
          </c:tx>
          <c:spPr>
            <a:ln>
              <a:solidFill>
                <a:schemeClr val="tx2"/>
              </a:solidFill>
            </a:ln>
          </c:spPr>
          <c:marker>
            <c:symbol val="none"/>
          </c:marker>
          <c:cat>
            <c:numRef>
              <c:f>'PBL Summary'!$AQ$8:$AQ$59</c:f>
              <c:numCache>
                <c:formatCode>d\-mmm\-yy_);\(###0\);"-  ";" "@" "</c:formatCode>
                <c:ptCount val="52"/>
                <c:pt idx="0">
                  <c:v>45841</c:v>
                </c:pt>
                <c:pt idx="1">
                  <c:v>45848</c:v>
                </c:pt>
                <c:pt idx="2">
                  <c:v>45855</c:v>
                </c:pt>
                <c:pt idx="3">
                  <c:v>45862</c:v>
                </c:pt>
                <c:pt idx="4">
                  <c:v>45869</c:v>
                </c:pt>
                <c:pt idx="5">
                  <c:v>45876</c:v>
                </c:pt>
                <c:pt idx="6">
                  <c:v>45883</c:v>
                </c:pt>
                <c:pt idx="7">
                  <c:v>45890</c:v>
                </c:pt>
                <c:pt idx="8">
                  <c:v>45897</c:v>
                </c:pt>
                <c:pt idx="9">
                  <c:v>45904</c:v>
                </c:pt>
                <c:pt idx="10">
                  <c:v>45911</c:v>
                </c:pt>
                <c:pt idx="11">
                  <c:v>45918</c:v>
                </c:pt>
                <c:pt idx="12">
                  <c:v>45925</c:v>
                </c:pt>
                <c:pt idx="13">
                  <c:v>45932</c:v>
                </c:pt>
                <c:pt idx="14">
                  <c:v>45939</c:v>
                </c:pt>
                <c:pt idx="15">
                  <c:v>45946</c:v>
                </c:pt>
                <c:pt idx="16">
                  <c:v>45953</c:v>
                </c:pt>
                <c:pt idx="17">
                  <c:v>45960</c:v>
                </c:pt>
                <c:pt idx="18">
                  <c:v>45967</c:v>
                </c:pt>
                <c:pt idx="19">
                  <c:v>45974</c:v>
                </c:pt>
                <c:pt idx="20">
                  <c:v>45981</c:v>
                </c:pt>
                <c:pt idx="21">
                  <c:v>45988</c:v>
                </c:pt>
                <c:pt idx="22">
                  <c:v>45995</c:v>
                </c:pt>
                <c:pt idx="23">
                  <c:v>46002</c:v>
                </c:pt>
                <c:pt idx="24">
                  <c:v>46009</c:v>
                </c:pt>
                <c:pt idx="25">
                  <c:v>46016</c:v>
                </c:pt>
                <c:pt idx="26">
                  <c:v>46023</c:v>
                </c:pt>
                <c:pt idx="27">
                  <c:v>46030</c:v>
                </c:pt>
                <c:pt idx="28">
                  <c:v>46037</c:v>
                </c:pt>
                <c:pt idx="29">
                  <c:v>46044</c:v>
                </c:pt>
                <c:pt idx="30">
                  <c:v>46051</c:v>
                </c:pt>
                <c:pt idx="31">
                  <c:v>46058</c:v>
                </c:pt>
                <c:pt idx="32">
                  <c:v>46065</c:v>
                </c:pt>
                <c:pt idx="33">
                  <c:v>46072</c:v>
                </c:pt>
                <c:pt idx="34">
                  <c:v>46079</c:v>
                </c:pt>
                <c:pt idx="35">
                  <c:v>46086</c:v>
                </c:pt>
                <c:pt idx="36">
                  <c:v>46093</c:v>
                </c:pt>
                <c:pt idx="37">
                  <c:v>46100</c:v>
                </c:pt>
                <c:pt idx="38">
                  <c:v>46107</c:v>
                </c:pt>
                <c:pt idx="39">
                  <c:v>46114</c:v>
                </c:pt>
                <c:pt idx="40">
                  <c:v>46121</c:v>
                </c:pt>
                <c:pt idx="41">
                  <c:v>46128</c:v>
                </c:pt>
                <c:pt idx="42">
                  <c:v>46135</c:v>
                </c:pt>
                <c:pt idx="43">
                  <c:v>46142</c:v>
                </c:pt>
                <c:pt idx="44">
                  <c:v>46149</c:v>
                </c:pt>
                <c:pt idx="45">
                  <c:v>46156</c:v>
                </c:pt>
                <c:pt idx="46">
                  <c:v>46163</c:v>
                </c:pt>
                <c:pt idx="47">
                  <c:v>46170</c:v>
                </c:pt>
                <c:pt idx="48">
                  <c:v>46177</c:v>
                </c:pt>
                <c:pt idx="49">
                  <c:v>46184</c:v>
                </c:pt>
                <c:pt idx="50">
                  <c:v>46191</c:v>
                </c:pt>
                <c:pt idx="51">
                  <c:v>46198</c:v>
                </c:pt>
              </c:numCache>
            </c:numRef>
          </c:cat>
          <c:val>
            <c:numRef>
              <c:f>'PBL Summary'!$AR$8:$AR$59</c:f>
              <c:numCache>
                <c:formatCode>0.000</c:formatCode>
                <c:ptCount val="52"/>
                <c:pt idx="0">
                  <c:v>2.7363571000000003E-2</c:v>
                </c:pt>
                <c:pt idx="1">
                  <c:v>6.9103401000000009E-2</c:v>
                </c:pt>
                <c:pt idx="2">
                  <c:v>0.12094884700000001</c:v>
                </c:pt>
                <c:pt idx="3">
                  <c:v>0.181749405</c:v>
                </c:pt>
                <c:pt idx="4">
                  <c:v>0.20861682400000001</c:v>
                </c:pt>
                <c:pt idx="5">
                  <c:v>0.24776279200000001</c:v>
                </c:pt>
                <c:pt idx="6">
                  <c:v>0.30199165700000002</c:v>
                </c:pt>
                <c:pt idx="7">
                  <c:v>0.36537692800000005</c:v>
                </c:pt>
                <c:pt idx="8">
                  <c:v>0.45506235500000003</c:v>
                </c:pt>
                <c:pt idx="9">
                  <c:v>0.59242059400000002</c:v>
                </c:pt>
                <c:pt idx="10">
                  <c:v>0.62002402200000006</c:v>
                </c:pt>
                <c:pt idx="11">
                  <c:v>0.66169152400000009</c:v>
                </c:pt>
                <c:pt idx="12">
                  <c:v>0.71608250800000006</c:v>
                </c:pt>
                <c:pt idx="13">
                  <c:v>0.780602927</c:v>
                </c:pt>
                <c:pt idx="14">
                  <c:v>0.87198709900000004</c:v>
                </c:pt>
                <c:pt idx="15">
                  <c:v>0.90088765500000001</c:v>
                </c:pt>
                <c:pt idx="16">
                  <c:v>0.94413120400000006</c:v>
                </c:pt>
                <c:pt idx="17">
                  <c:v>0.99803686700000005</c:v>
                </c:pt>
                <c:pt idx="18">
                  <c:v>1.0670066600000001</c:v>
                </c:pt>
                <c:pt idx="19">
                  <c:v>1.16615665</c:v>
                </c:pt>
                <c:pt idx="20">
                  <c:v>1.198802159</c:v>
                </c:pt>
                <c:pt idx="21">
                  <c:v>1.230027355</c:v>
                </c:pt>
                <c:pt idx="22">
                  <c:v>1.260492001</c:v>
                </c:pt>
                <c:pt idx="23">
                  <c:v>1.3031097440000001</c:v>
                </c:pt>
                <c:pt idx="24">
                  <c:v>1.3454875930000001</c:v>
                </c:pt>
                <c:pt idx="25">
                  <c:v>1.4110872540000001</c:v>
                </c:pt>
                <c:pt idx="26">
                  <c:v>1.4506526800000001</c:v>
                </c:pt>
                <c:pt idx="27">
                  <c:v>1.5067113680000002</c:v>
                </c:pt>
                <c:pt idx="28">
                  <c:v>1.5495302210000002</c:v>
                </c:pt>
                <c:pt idx="29">
                  <c:v>1.6075424710000001</c:v>
                </c:pt>
                <c:pt idx="30">
                  <c:v>1.6759616290000001</c:v>
                </c:pt>
                <c:pt idx="31">
                  <c:v>1.7727575290000002</c:v>
                </c:pt>
                <c:pt idx="32">
                  <c:v>1.9154543020000001</c:v>
                </c:pt>
                <c:pt idx="33">
                  <c:v>1.953671248</c:v>
                </c:pt>
                <c:pt idx="34">
                  <c:v>2.0057259960000002</c:v>
                </c:pt>
                <c:pt idx="35">
                  <c:v>2.0712986880000002</c:v>
                </c:pt>
                <c:pt idx="36">
                  <c:v>2.1625613889999999</c:v>
                </c:pt>
                <c:pt idx="37">
                  <c:v>2.2029817760000001</c:v>
                </c:pt>
                <c:pt idx="38">
                  <c:v>2.2430520870000001</c:v>
                </c:pt>
                <c:pt idx="39">
                  <c:v>2.300409003</c:v>
                </c:pt>
                <c:pt idx="40">
                  <c:v>2.3662267860000004</c:v>
                </c:pt>
                <c:pt idx="41">
                  <c:v>2.446017747</c:v>
                </c:pt>
                <c:pt idx="42">
                  <c:v>2.4789150370000002</c:v>
                </c:pt>
                <c:pt idx="43">
                  <c:v>2.5113870450000002</c:v>
                </c:pt>
                <c:pt idx="44">
                  <c:v>2.5549270450000003</c:v>
                </c:pt>
                <c:pt idx="45">
                  <c:v>2.6118330869999999</c:v>
                </c:pt>
                <c:pt idx="46">
                  <c:v>2.6892289980000004</c:v>
                </c:pt>
                <c:pt idx="47">
                  <c:v>2.7947287300000001</c:v>
                </c:pt>
                <c:pt idx="48">
                  <c:v>2.8271323080000004</c:v>
                </c:pt>
                <c:pt idx="49">
                  <c:v>2.8721988000000001</c:v>
                </c:pt>
                <c:pt idx="50">
                  <c:v>2.9284968020000002</c:v>
                </c:pt>
                <c:pt idx="51">
                  <c:v>3.0039091950000003</c:v>
                </c:pt>
              </c:numCache>
            </c:numRef>
          </c:val>
          <c:smooth val="0"/>
          <c:extLst>
            <c:ext xmlns:c16="http://schemas.microsoft.com/office/drawing/2014/chart" uri="{C3380CC4-5D6E-409C-BE32-E72D297353CC}">
              <c16:uniqueId val="{00000000-490D-48D4-8388-F206D0455A80}"/>
            </c:ext>
          </c:extLst>
        </c:ser>
        <c:ser>
          <c:idx val="3"/>
          <c:order val="1"/>
          <c:tx>
            <c:strRef>
              <c:f>'PBL Summary'!$AU$6</c:f>
              <c:strCache>
                <c:ptCount val="1"/>
                <c:pt idx="0">
                  <c:v>5th Percentile</c:v>
                </c:pt>
              </c:strCache>
            </c:strRef>
          </c:tx>
          <c:spPr>
            <a:ln>
              <a:solidFill>
                <a:schemeClr val="bg2">
                  <a:lumMod val="40000"/>
                  <a:lumOff val="60000"/>
                </a:schemeClr>
              </a:solidFill>
              <a:prstDash val="sysDot"/>
            </a:ln>
          </c:spPr>
          <c:marker>
            <c:symbol val="none"/>
          </c:marker>
          <c:cat>
            <c:numRef>
              <c:f>'PBL Summary'!$AQ$8:$AQ$59</c:f>
              <c:numCache>
                <c:formatCode>d\-mmm\-yy_);\(###0\);"-  ";" "@" "</c:formatCode>
                <c:ptCount val="52"/>
                <c:pt idx="0">
                  <c:v>45841</c:v>
                </c:pt>
                <c:pt idx="1">
                  <c:v>45848</c:v>
                </c:pt>
                <c:pt idx="2">
                  <c:v>45855</c:v>
                </c:pt>
                <c:pt idx="3">
                  <c:v>45862</c:v>
                </c:pt>
                <c:pt idx="4">
                  <c:v>45869</c:v>
                </c:pt>
                <c:pt idx="5">
                  <c:v>45876</c:v>
                </c:pt>
                <c:pt idx="6">
                  <c:v>45883</c:v>
                </c:pt>
                <c:pt idx="7">
                  <c:v>45890</c:v>
                </c:pt>
                <c:pt idx="8">
                  <c:v>45897</c:v>
                </c:pt>
                <c:pt idx="9">
                  <c:v>45904</c:v>
                </c:pt>
                <c:pt idx="10">
                  <c:v>45911</c:v>
                </c:pt>
                <c:pt idx="11">
                  <c:v>45918</c:v>
                </c:pt>
                <c:pt idx="12">
                  <c:v>45925</c:v>
                </c:pt>
                <c:pt idx="13">
                  <c:v>45932</c:v>
                </c:pt>
                <c:pt idx="14">
                  <c:v>45939</c:v>
                </c:pt>
                <c:pt idx="15">
                  <c:v>45946</c:v>
                </c:pt>
                <c:pt idx="16">
                  <c:v>45953</c:v>
                </c:pt>
                <c:pt idx="17">
                  <c:v>45960</c:v>
                </c:pt>
                <c:pt idx="18">
                  <c:v>45967</c:v>
                </c:pt>
                <c:pt idx="19">
                  <c:v>45974</c:v>
                </c:pt>
                <c:pt idx="20">
                  <c:v>45981</c:v>
                </c:pt>
                <c:pt idx="21">
                  <c:v>45988</c:v>
                </c:pt>
                <c:pt idx="22">
                  <c:v>45995</c:v>
                </c:pt>
                <c:pt idx="23">
                  <c:v>46002</c:v>
                </c:pt>
                <c:pt idx="24">
                  <c:v>46009</c:v>
                </c:pt>
                <c:pt idx="25">
                  <c:v>46016</c:v>
                </c:pt>
                <c:pt idx="26">
                  <c:v>46023</c:v>
                </c:pt>
                <c:pt idx="27">
                  <c:v>46030</c:v>
                </c:pt>
                <c:pt idx="28">
                  <c:v>46037</c:v>
                </c:pt>
                <c:pt idx="29">
                  <c:v>46044</c:v>
                </c:pt>
                <c:pt idx="30">
                  <c:v>46051</c:v>
                </c:pt>
                <c:pt idx="31">
                  <c:v>46058</c:v>
                </c:pt>
                <c:pt idx="32">
                  <c:v>46065</c:v>
                </c:pt>
                <c:pt idx="33">
                  <c:v>46072</c:v>
                </c:pt>
                <c:pt idx="34">
                  <c:v>46079</c:v>
                </c:pt>
                <c:pt idx="35">
                  <c:v>46086</c:v>
                </c:pt>
                <c:pt idx="36">
                  <c:v>46093</c:v>
                </c:pt>
                <c:pt idx="37">
                  <c:v>46100</c:v>
                </c:pt>
                <c:pt idx="38">
                  <c:v>46107</c:v>
                </c:pt>
                <c:pt idx="39">
                  <c:v>46114</c:v>
                </c:pt>
                <c:pt idx="40">
                  <c:v>46121</c:v>
                </c:pt>
                <c:pt idx="41">
                  <c:v>46128</c:v>
                </c:pt>
                <c:pt idx="42">
                  <c:v>46135</c:v>
                </c:pt>
                <c:pt idx="43">
                  <c:v>46142</c:v>
                </c:pt>
                <c:pt idx="44">
                  <c:v>46149</c:v>
                </c:pt>
                <c:pt idx="45">
                  <c:v>46156</c:v>
                </c:pt>
                <c:pt idx="46">
                  <c:v>46163</c:v>
                </c:pt>
                <c:pt idx="47">
                  <c:v>46170</c:v>
                </c:pt>
                <c:pt idx="48">
                  <c:v>46177</c:v>
                </c:pt>
                <c:pt idx="49">
                  <c:v>46184</c:v>
                </c:pt>
                <c:pt idx="50">
                  <c:v>46191</c:v>
                </c:pt>
                <c:pt idx="51">
                  <c:v>46198</c:v>
                </c:pt>
              </c:numCache>
            </c:numRef>
          </c:cat>
          <c:val>
            <c:numRef>
              <c:f>'PBL Summary'!$AU$8:$AU$59</c:f>
              <c:numCache>
                <c:formatCode>0.000</c:formatCode>
                <c:ptCount val="52"/>
                <c:pt idx="0">
                  <c:v>5.4865780352056914E-2</c:v>
                </c:pt>
                <c:pt idx="1">
                  <c:v>0.10973156070411383</c:v>
                </c:pt>
                <c:pt idx="2">
                  <c:v>0.16459734105617074</c:v>
                </c:pt>
                <c:pt idx="3">
                  <c:v>0.21946312140822766</c:v>
                </c:pt>
                <c:pt idx="4">
                  <c:v>0.27432890176028457</c:v>
                </c:pt>
                <c:pt idx="5">
                  <c:v>0.32919468211234149</c:v>
                </c:pt>
                <c:pt idx="6">
                  <c:v>0.3840604624643984</c:v>
                </c:pt>
                <c:pt idx="7">
                  <c:v>0.43892624281645531</c:v>
                </c:pt>
                <c:pt idx="8">
                  <c:v>0.49379202316851223</c:v>
                </c:pt>
                <c:pt idx="9">
                  <c:v>0.54865780352056914</c:v>
                </c:pt>
                <c:pt idx="10">
                  <c:v>0.60352358387262606</c:v>
                </c:pt>
                <c:pt idx="11">
                  <c:v>0.65838936422468297</c:v>
                </c:pt>
                <c:pt idx="12">
                  <c:v>0.71325514457673989</c:v>
                </c:pt>
                <c:pt idx="13">
                  <c:v>0.7681209249287968</c:v>
                </c:pt>
                <c:pt idx="14">
                  <c:v>0.82298670528085371</c:v>
                </c:pt>
                <c:pt idx="15">
                  <c:v>0.87785248563291063</c:v>
                </c:pt>
                <c:pt idx="16">
                  <c:v>0.93271826598496754</c:v>
                </c:pt>
                <c:pt idx="17">
                  <c:v>0.98758404633702446</c:v>
                </c:pt>
                <c:pt idx="18">
                  <c:v>1.0424498266890814</c:v>
                </c:pt>
                <c:pt idx="19">
                  <c:v>1.0973156070411383</c:v>
                </c:pt>
                <c:pt idx="20">
                  <c:v>1.1521813873931952</c:v>
                </c:pt>
                <c:pt idx="21">
                  <c:v>1.2070471677452521</c:v>
                </c:pt>
                <c:pt idx="22">
                  <c:v>1.261912948097309</c:v>
                </c:pt>
                <c:pt idx="23">
                  <c:v>1.3167787284493659</c:v>
                </c:pt>
                <c:pt idx="24">
                  <c:v>1.3716445088014229</c:v>
                </c:pt>
                <c:pt idx="25">
                  <c:v>1.4265102891534798</c:v>
                </c:pt>
                <c:pt idx="26">
                  <c:v>1.4813760695055367</c:v>
                </c:pt>
                <c:pt idx="27">
                  <c:v>1.5362418498575936</c:v>
                </c:pt>
                <c:pt idx="28">
                  <c:v>1.5911076302096505</c:v>
                </c:pt>
                <c:pt idx="29">
                  <c:v>1.6459734105617074</c:v>
                </c:pt>
                <c:pt idx="30">
                  <c:v>1.7008391909137643</c:v>
                </c:pt>
                <c:pt idx="31">
                  <c:v>1.7557049712658213</c:v>
                </c:pt>
                <c:pt idx="32">
                  <c:v>1.8105707516178782</c:v>
                </c:pt>
                <c:pt idx="33">
                  <c:v>1.8654365319699351</c:v>
                </c:pt>
                <c:pt idx="34">
                  <c:v>1.920302312321992</c:v>
                </c:pt>
                <c:pt idx="35">
                  <c:v>1.9751680926740489</c:v>
                </c:pt>
                <c:pt idx="36">
                  <c:v>2.0300338730261061</c:v>
                </c:pt>
                <c:pt idx="37">
                  <c:v>2.0848996533781632</c:v>
                </c:pt>
                <c:pt idx="38">
                  <c:v>2.1397654337302203</c:v>
                </c:pt>
                <c:pt idx="39">
                  <c:v>2.1946312140822775</c:v>
                </c:pt>
                <c:pt idx="40">
                  <c:v>2.2494969944343346</c:v>
                </c:pt>
                <c:pt idx="41">
                  <c:v>2.3043627747863917</c:v>
                </c:pt>
                <c:pt idx="42">
                  <c:v>2.3592285551384489</c:v>
                </c:pt>
                <c:pt idx="43">
                  <c:v>2.414094335490506</c:v>
                </c:pt>
                <c:pt idx="44">
                  <c:v>2.4689601158425631</c:v>
                </c:pt>
                <c:pt idx="45">
                  <c:v>2.5238258961946203</c:v>
                </c:pt>
                <c:pt idx="46">
                  <c:v>2.5786916765466774</c:v>
                </c:pt>
                <c:pt idx="47">
                  <c:v>2.6335574568987346</c:v>
                </c:pt>
                <c:pt idx="48">
                  <c:v>2.6884232372507917</c:v>
                </c:pt>
                <c:pt idx="49">
                  <c:v>2.7432890176028488</c:v>
                </c:pt>
                <c:pt idx="50">
                  <c:v>2.798154797954906</c:v>
                </c:pt>
                <c:pt idx="51">
                  <c:v>2.8530205783069631</c:v>
                </c:pt>
              </c:numCache>
            </c:numRef>
          </c:val>
          <c:smooth val="0"/>
          <c:extLst xmlns:c15="http://schemas.microsoft.com/office/drawing/2012/chart">
            <c:ext xmlns:c16="http://schemas.microsoft.com/office/drawing/2014/chart" uri="{C3380CC4-5D6E-409C-BE32-E72D297353CC}">
              <c16:uniqueId val="{00000006-490D-48D4-8388-F206D0455A80}"/>
            </c:ext>
          </c:extLst>
        </c:ser>
        <c:ser>
          <c:idx val="5"/>
          <c:order val="2"/>
          <c:tx>
            <c:strRef>
              <c:f>'PBL Summary'!$AW$6</c:f>
              <c:strCache>
                <c:ptCount val="1"/>
                <c:pt idx="0">
                  <c:v>25th Percentile</c:v>
                </c:pt>
              </c:strCache>
            </c:strRef>
          </c:tx>
          <c:spPr>
            <a:ln>
              <a:solidFill>
                <a:schemeClr val="bg2">
                  <a:lumMod val="40000"/>
                  <a:lumOff val="60000"/>
                </a:schemeClr>
              </a:solidFill>
              <a:prstDash val="sysDot"/>
            </a:ln>
          </c:spPr>
          <c:marker>
            <c:symbol val="none"/>
          </c:marker>
          <c:cat>
            <c:numRef>
              <c:f>'PBL Summary'!$AQ$8:$AQ$59</c:f>
              <c:numCache>
                <c:formatCode>d\-mmm\-yy_);\(###0\);"-  ";" "@" "</c:formatCode>
                <c:ptCount val="52"/>
                <c:pt idx="0">
                  <c:v>45841</c:v>
                </c:pt>
                <c:pt idx="1">
                  <c:v>45848</c:v>
                </c:pt>
                <c:pt idx="2">
                  <c:v>45855</c:v>
                </c:pt>
                <c:pt idx="3">
                  <c:v>45862</c:v>
                </c:pt>
                <c:pt idx="4">
                  <c:v>45869</c:v>
                </c:pt>
                <c:pt idx="5">
                  <c:v>45876</c:v>
                </c:pt>
                <c:pt idx="6">
                  <c:v>45883</c:v>
                </c:pt>
                <c:pt idx="7">
                  <c:v>45890</c:v>
                </c:pt>
                <c:pt idx="8">
                  <c:v>45897</c:v>
                </c:pt>
                <c:pt idx="9">
                  <c:v>45904</c:v>
                </c:pt>
                <c:pt idx="10">
                  <c:v>45911</c:v>
                </c:pt>
                <c:pt idx="11">
                  <c:v>45918</c:v>
                </c:pt>
                <c:pt idx="12">
                  <c:v>45925</c:v>
                </c:pt>
                <c:pt idx="13">
                  <c:v>45932</c:v>
                </c:pt>
                <c:pt idx="14">
                  <c:v>45939</c:v>
                </c:pt>
                <c:pt idx="15">
                  <c:v>45946</c:v>
                </c:pt>
                <c:pt idx="16">
                  <c:v>45953</c:v>
                </c:pt>
                <c:pt idx="17">
                  <c:v>45960</c:v>
                </c:pt>
                <c:pt idx="18">
                  <c:v>45967</c:v>
                </c:pt>
                <c:pt idx="19">
                  <c:v>45974</c:v>
                </c:pt>
                <c:pt idx="20">
                  <c:v>45981</c:v>
                </c:pt>
                <c:pt idx="21">
                  <c:v>45988</c:v>
                </c:pt>
                <c:pt idx="22">
                  <c:v>45995</c:v>
                </c:pt>
                <c:pt idx="23">
                  <c:v>46002</c:v>
                </c:pt>
                <c:pt idx="24">
                  <c:v>46009</c:v>
                </c:pt>
                <c:pt idx="25">
                  <c:v>46016</c:v>
                </c:pt>
                <c:pt idx="26">
                  <c:v>46023</c:v>
                </c:pt>
                <c:pt idx="27">
                  <c:v>46030</c:v>
                </c:pt>
                <c:pt idx="28">
                  <c:v>46037</c:v>
                </c:pt>
                <c:pt idx="29">
                  <c:v>46044</c:v>
                </c:pt>
                <c:pt idx="30">
                  <c:v>46051</c:v>
                </c:pt>
                <c:pt idx="31">
                  <c:v>46058</c:v>
                </c:pt>
                <c:pt idx="32">
                  <c:v>46065</c:v>
                </c:pt>
                <c:pt idx="33">
                  <c:v>46072</c:v>
                </c:pt>
                <c:pt idx="34">
                  <c:v>46079</c:v>
                </c:pt>
                <c:pt idx="35">
                  <c:v>46086</c:v>
                </c:pt>
                <c:pt idx="36">
                  <c:v>46093</c:v>
                </c:pt>
                <c:pt idx="37">
                  <c:v>46100</c:v>
                </c:pt>
                <c:pt idx="38">
                  <c:v>46107</c:v>
                </c:pt>
                <c:pt idx="39">
                  <c:v>46114</c:v>
                </c:pt>
                <c:pt idx="40">
                  <c:v>46121</c:v>
                </c:pt>
                <c:pt idx="41">
                  <c:v>46128</c:v>
                </c:pt>
                <c:pt idx="42">
                  <c:v>46135</c:v>
                </c:pt>
                <c:pt idx="43">
                  <c:v>46142</c:v>
                </c:pt>
                <c:pt idx="44">
                  <c:v>46149</c:v>
                </c:pt>
                <c:pt idx="45">
                  <c:v>46156</c:v>
                </c:pt>
                <c:pt idx="46">
                  <c:v>46163</c:v>
                </c:pt>
                <c:pt idx="47">
                  <c:v>46170</c:v>
                </c:pt>
                <c:pt idx="48">
                  <c:v>46177</c:v>
                </c:pt>
                <c:pt idx="49">
                  <c:v>46184</c:v>
                </c:pt>
                <c:pt idx="50">
                  <c:v>46191</c:v>
                </c:pt>
                <c:pt idx="51">
                  <c:v>46198</c:v>
                </c:pt>
              </c:numCache>
            </c:numRef>
          </c:cat>
          <c:val>
            <c:numRef>
              <c:f>'PBL Summary'!$AW$8:$AW$59</c:f>
              <c:numCache>
                <c:formatCode>0.000</c:formatCode>
                <c:ptCount val="52"/>
                <c:pt idx="0">
                  <c:v>6.1283068336750575E-2</c:v>
                </c:pt>
                <c:pt idx="1">
                  <c:v>0.12256613667350115</c:v>
                </c:pt>
                <c:pt idx="2">
                  <c:v>0.18384920501025173</c:v>
                </c:pt>
                <c:pt idx="3">
                  <c:v>0.2451322733470023</c:v>
                </c:pt>
                <c:pt idx="4">
                  <c:v>0.3064153416837529</c:v>
                </c:pt>
                <c:pt idx="5">
                  <c:v>0.36769841002050346</c:v>
                </c:pt>
                <c:pt idx="6">
                  <c:v>0.42898147835725403</c:v>
                </c:pt>
                <c:pt idx="7">
                  <c:v>0.4902645466940046</c:v>
                </c:pt>
                <c:pt idx="8">
                  <c:v>0.55154761503075522</c:v>
                </c:pt>
                <c:pt idx="9">
                  <c:v>0.61283068336750579</c:v>
                </c:pt>
                <c:pt idx="10">
                  <c:v>0.67411375170425636</c:v>
                </c:pt>
                <c:pt idx="11">
                  <c:v>0.73539682004100693</c:v>
                </c:pt>
                <c:pt idx="12">
                  <c:v>0.79667988837775749</c:v>
                </c:pt>
                <c:pt idx="13">
                  <c:v>0.85796295671450806</c:v>
                </c:pt>
                <c:pt idx="14">
                  <c:v>0.91924602505125863</c:v>
                </c:pt>
                <c:pt idx="15">
                  <c:v>0.9805290933880092</c:v>
                </c:pt>
                <c:pt idx="16">
                  <c:v>1.0418121617247598</c:v>
                </c:pt>
                <c:pt idx="17">
                  <c:v>1.1030952300615104</c:v>
                </c:pt>
                <c:pt idx="18">
                  <c:v>1.1643782983982611</c:v>
                </c:pt>
                <c:pt idx="19">
                  <c:v>1.2256613667350118</c:v>
                </c:pt>
                <c:pt idx="20">
                  <c:v>1.2869444350717625</c:v>
                </c:pt>
                <c:pt idx="21">
                  <c:v>1.3482275034085132</c:v>
                </c:pt>
                <c:pt idx="22">
                  <c:v>1.4095105717452638</c:v>
                </c:pt>
                <c:pt idx="23">
                  <c:v>1.4707936400820145</c:v>
                </c:pt>
                <c:pt idx="24">
                  <c:v>1.5320767084187652</c:v>
                </c:pt>
                <c:pt idx="25">
                  <c:v>1.5933597767555159</c:v>
                </c:pt>
                <c:pt idx="26">
                  <c:v>1.6546428450922666</c:v>
                </c:pt>
                <c:pt idx="27">
                  <c:v>1.7159259134290172</c:v>
                </c:pt>
                <c:pt idx="28">
                  <c:v>1.7772089817657679</c:v>
                </c:pt>
                <c:pt idx="29">
                  <c:v>1.8384920501025186</c:v>
                </c:pt>
                <c:pt idx="30">
                  <c:v>1.8997751184392693</c:v>
                </c:pt>
                <c:pt idx="31">
                  <c:v>1.96105818677602</c:v>
                </c:pt>
                <c:pt idx="32">
                  <c:v>2.0223412551127704</c:v>
                </c:pt>
                <c:pt idx="33">
                  <c:v>2.0836243234495209</c:v>
                </c:pt>
                <c:pt idx="34">
                  <c:v>2.1449073917862713</c:v>
                </c:pt>
                <c:pt idx="35">
                  <c:v>2.2061904601230218</c:v>
                </c:pt>
                <c:pt idx="36">
                  <c:v>2.2674735284597722</c:v>
                </c:pt>
                <c:pt idx="37">
                  <c:v>2.3287565967965227</c:v>
                </c:pt>
                <c:pt idx="38">
                  <c:v>2.3900396651332732</c:v>
                </c:pt>
                <c:pt idx="39">
                  <c:v>2.4513227334700236</c:v>
                </c:pt>
                <c:pt idx="40">
                  <c:v>2.5126058018067741</c:v>
                </c:pt>
                <c:pt idx="41">
                  <c:v>2.5738888701435245</c:v>
                </c:pt>
                <c:pt idx="42">
                  <c:v>2.635171938480275</c:v>
                </c:pt>
                <c:pt idx="43">
                  <c:v>2.6964550068170254</c:v>
                </c:pt>
                <c:pt idx="44">
                  <c:v>2.7577380751537759</c:v>
                </c:pt>
                <c:pt idx="45">
                  <c:v>2.8190211434905263</c:v>
                </c:pt>
                <c:pt idx="46">
                  <c:v>2.8803042118272768</c:v>
                </c:pt>
                <c:pt idx="47">
                  <c:v>2.9415872801640273</c:v>
                </c:pt>
                <c:pt idx="48">
                  <c:v>3.0028703485007777</c:v>
                </c:pt>
                <c:pt idx="49">
                  <c:v>3.0641534168375282</c:v>
                </c:pt>
                <c:pt idx="50">
                  <c:v>3.1254364851742786</c:v>
                </c:pt>
                <c:pt idx="51">
                  <c:v>3.1867195535110291</c:v>
                </c:pt>
              </c:numCache>
            </c:numRef>
          </c:val>
          <c:smooth val="0"/>
          <c:extLst xmlns:c15="http://schemas.microsoft.com/office/drawing/2012/chart">
            <c:ext xmlns:c16="http://schemas.microsoft.com/office/drawing/2014/chart" uri="{C3380CC4-5D6E-409C-BE32-E72D297353CC}">
              <c16:uniqueId val="{00000007-490D-48D4-8388-F206D0455A80}"/>
            </c:ext>
          </c:extLst>
        </c:ser>
        <c:ser>
          <c:idx val="2"/>
          <c:order val="3"/>
          <c:tx>
            <c:strRef>
              <c:f>'PBL Summary'!$AX$5</c:f>
              <c:strCache>
                <c:ptCount val="1"/>
                <c:pt idx="0">
                  <c:v>5/25/50/75/95th percentile</c:v>
                </c:pt>
              </c:strCache>
            </c:strRef>
          </c:tx>
          <c:spPr>
            <a:ln>
              <a:solidFill>
                <a:schemeClr val="bg2">
                  <a:lumMod val="40000"/>
                  <a:lumOff val="60000"/>
                </a:schemeClr>
              </a:solidFill>
              <a:prstDash val="sysDot"/>
            </a:ln>
          </c:spPr>
          <c:marker>
            <c:symbol val="none"/>
          </c:marker>
          <c:cat>
            <c:numRef>
              <c:f>'PBL Summary'!$AQ$8:$AQ$59</c:f>
              <c:numCache>
                <c:formatCode>d\-mmm\-yy_);\(###0\);"-  ";" "@" "</c:formatCode>
                <c:ptCount val="52"/>
                <c:pt idx="0">
                  <c:v>45841</c:v>
                </c:pt>
                <c:pt idx="1">
                  <c:v>45848</c:v>
                </c:pt>
                <c:pt idx="2">
                  <c:v>45855</c:v>
                </c:pt>
                <c:pt idx="3">
                  <c:v>45862</c:v>
                </c:pt>
                <c:pt idx="4">
                  <c:v>45869</c:v>
                </c:pt>
                <c:pt idx="5">
                  <c:v>45876</c:v>
                </c:pt>
                <c:pt idx="6">
                  <c:v>45883</c:v>
                </c:pt>
                <c:pt idx="7">
                  <c:v>45890</c:v>
                </c:pt>
                <c:pt idx="8">
                  <c:v>45897</c:v>
                </c:pt>
                <c:pt idx="9">
                  <c:v>45904</c:v>
                </c:pt>
                <c:pt idx="10">
                  <c:v>45911</c:v>
                </c:pt>
                <c:pt idx="11">
                  <c:v>45918</c:v>
                </c:pt>
                <c:pt idx="12">
                  <c:v>45925</c:v>
                </c:pt>
                <c:pt idx="13">
                  <c:v>45932</c:v>
                </c:pt>
                <c:pt idx="14">
                  <c:v>45939</c:v>
                </c:pt>
                <c:pt idx="15">
                  <c:v>45946</c:v>
                </c:pt>
                <c:pt idx="16">
                  <c:v>45953</c:v>
                </c:pt>
                <c:pt idx="17">
                  <c:v>45960</c:v>
                </c:pt>
                <c:pt idx="18">
                  <c:v>45967</c:v>
                </c:pt>
                <c:pt idx="19">
                  <c:v>45974</c:v>
                </c:pt>
                <c:pt idx="20">
                  <c:v>45981</c:v>
                </c:pt>
                <c:pt idx="21">
                  <c:v>45988</c:v>
                </c:pt>
                <c:pt idx="22">
                  <c:v>45995</c:v>
                </c:pt>
                <c:pt idx="23">
                  <c:v>46002</c:v>
                </c:pt>
                <c:pt idx="24">
                  <c:v>46009</c:v>
                </c:pt>
                <c:pt idx="25">
                  <c:v>46016</c:v>
                </c:pt>
                <c:pt idx="26">
                  <c:v>46023</c:v>
                </c:pt>
                <c:pt idx="27">
                  <c:v>46030</c:v>
                </c:pt>
                <c:pt idx="28">
                  <c:v>46037</c:v>
                </c:pt>
                <c:pt idx="29">
                  <c:v>46044</c:v>
                </c:pt>
                <c:pt idx="30">
                  <c:v>46051</c:v>
                </c:pt>
                <c:pt idx="31">
                  <c:v>46058</c:v>
                </c:pt>
                <c:pt idx="32">
                  <c:v>46065</c:v>
                </c:pt>
                <c:pt idx="33">
                  <c:v>46072</c:v>
                </c:pt>
                <c:pt idx="34">
                  <c:v>46079</c:v>
                </c:pt>
                <c:pt idx="35">
                  <c:v>46086</c:v>
                </c:pt>
                <c:pt idx="36">
                  <c:v>46093</c:v>
                </c:pt>
                <c:pt idx="37">
                  <c:v>46100</c:v>
                </c:pt>
                <c:pt idx="38">
                  <c:v>46107</c:v>
                </c:pt>
                <c:pt idx="39">
                  <c:v>46114</c:v>
                </c:pt>
                <c:pt idx="40">
                  <c:v>46121</c:v>
                </c:pt>
                <c:pt idx="41">
                  <c:v>46128</c:v>
                </c:pt>
                <c:pt idx="42">
                  <c:v>46135</c:v>
                </c:pt>
                <c:pt idx="43">
                  <c:v>46142</c:v>
                </c:pt>
                <c:pt idx="44">
                  <c:v>46149</c:v>
                </c:pt>
                <c:pt idx="45">
                  <c:v>46156</c:v>
                </c:pt>
                <c:pt idx="46">
                  <c:v>46163</c:v>
                </c:pt>
                <c:pt idx="47">
                  <c:v>46170</c:v>
                </c:pt>
                <c:pt idx="48">
                  <c:v>46177</c:v>
                </c:pt>
                <c:pt idx="49">
                  <c:v>46184</c:v>
                </c:pt>
                <c:pt idx="50">
                  <c:v>46191</c:v>
                </c:pt>
                <c:pt idx="51">
                  <c:v>46198</c:v>
                </c:pt>
              </c:numCache>
            </c:numRef>
          </c:cat>
          <c:val>
            <c:numRef>
              <c:f>'PBL Summary'!$AX$8:$AX$59</c:f>
              <c:numCache>
                <c:formatCode>0.000</c:formatCode>
                <c:ptCount val="52"/>
                <c:pt idx="0">
                  <c:v>6.7007659123605373E-2</c:v>
                </c:pt>
                <c:pt idx="1">
                  <c:v>0.13401531824721075</c:v>
                </c:pt>
                <c:pt idx="2">
                  <c:v>0.20102297737081612</c:v>
                </c:pt>
                <c:pt idx="3">
                  <c:v>0.26803063649442149</c:v>
                </c:pt>
                <c:pt idx="4">
                  <c:v>0.33503829561802689</c:v>
                </c:pt>
                <c:pt idx="5">
                  <c:v>0.40204595474163229</c:v>
                </c:pt>
                <c:pt idx="6">
                  <c:v>0.4690536138652377</c:v>
                </c:pt>
                <c:pt idx="7">
                  <c:v>0.5360612729888431</c:v>
                </c:pt>
                <c:pt idx="8">
                  <c:v>0.6030689321124485</c:v>
                </c:pt>
                <c:pt idx="9">
                  <c:v>0.6700765912360539</c:v>
                </c:pt>
                <c:pt idx="10">
                  <c:v>0.7370842503596593</c:v>
                </c:pt>
                <c:pt idx="11">
                  <c:v>0.8040919094832647</c:v>
                </c:pt>
                <c:pt idx="12">
                  <c:v>0.8710995686068701</c:v>
                </c:pt>
                <c:pt idx="13">
                  <c:v>0.9381072277304755</c:v>
                </c:pt>
                <c:pt idx="14">
                  <c:v>1.0051148868540809</c:v>
                </c:pt>
                <c:pt idx="15">
                  <c:v>1.0721225459776862</c:v>
                </c:pt>
                <c:pt idx="16">
                  <c:v>1.1391302051012915</c:v>
                </c:pt>
                <c:pt idx="17">
                  <c:v>1.2061378642248968</c:v>
                </c:pt>
                <c:pt idx="18">
                  <c:v>1.2731455233485021</c:v>
                </c:pt>
                <c:pt idx="19">
                  <c:v>1.3401531824721074</c:v>
                </c:pt>
                <c:pt idx="20">
                  <c:v>1.4071608415957126</c:v>
                </c:pt>
                <c:pt idx="21">
                  <c:v>1.4741685007193179</c:v>
                </c:pt>
                <c:pt idx="22">
                  <c:v>1.5411761598429232</c:v>
                </c:pt>
                <c:pt idx="23">
                  <c:v>1.6081838189665285</c:v>
                </c:pt>
                <c:pt idx="24">
                  <c:v>1.6751914780901338</c:v>
                </c:pt>
                <c:pt idx="25">
                  <c:v>1.7421991372137391</c:v>
                </c:pt>
                <c:pt idx="26">
                  <c:v>1.8092067963373444</c:v>
                </c:pt>
                <c:pt idx="27">
                  <c:v>1.8762144554609497</c:v>
                </c:pt>
                <c:pt idx="28">
                  <c:v>1.943222114584555</c:v>
                </c:pt>
                <c:pt idx="29">
                  <c:v>2.0102297737081605</c:v>
                </c:pt>
                <c:pt idx="30">
                  <c:v>2.0772374328317658</c:v>
                </c:pt>
                <c:pt idx="31">
                  <c:v>2.1442450919553711</c:v>
                </c:pt>
                <c:pt idx="32">
                  <c:v>2.2112527510789763</c:v>
                </c:pt>
                <c:pt idx="33">
                  <c:v>2.2782604102025816</c:v>
                </c:pt>
                <c:pt idx="34">
                  <c:v>2.3452680693261869</c:v>
                </c:pt>
                <c:pt idx="35">
                  <c:v>2.4122757284497922</c:v>
                </c:pt>
                <c:pt idx="36">
                  <c:v>2.4792833875733975</c:v>
                </c:pt>
                <c:pt idx="37">
                  <c:v>2.5462910466970028</c:v>
                </c:pt>
                <c:pt idx="38">
                  <c:v>2.6132987058206081</c:v>
                </c:pt>
                <c:pt idx="39">
                  <c:v>2.6803063649442134</c:v>
                </c:pt>
                <c:pt idx="40">
                  <c:v>2.7473140240678187</c:v>
                </c:pt>
                <c:pt idx="41">
                  <c:v>2.814321683191424</c:v>
                </c:pt>
                <c:pt idx="42">
                  <c:v>2.8813293423150292</c:v>
                </c:pt>
                <c:pt idx="43">
                  <c:v>2.9483370014386345</c:v>
                </c:pt>
                <c:pt idx="44">
                  <c:v>3.0153446605622398</c:v>
                </c:pt>
                <c:pt idx="45">
                  <c:v>3.0823523196858451</c:v>
                </c:pt>
                <c:pt idx="46">
                  <c:v>3.1493599788094504</c:v>
                </c:pt>
                <c:pt idx="47">
                  <c:v>3.2163676379330557</c:v>
                </c:pt>
                <c:pt idx="48">
                  <c:v>3.283375297056661</c:v>
                </c:pt>
                <c:pt idx="49">
                  <c:v>3.3503829561802663</c:v>
                </c:pt>
                <c:pt idx="50">
                  <c:v>3.4173906153038716</c:v>
                </c:pt>
                <c:pt idx="51">
                  <c:v>3.4843982744274768</c:v>
                </c:pt>
              </c:numCache>
            </c:numRef>
          </c:val>
          <c:smooth val="0"/>
          <c:extLst>
            <c:ext xmlns:c16="http://schemas.microsoft.com/office/drawing/2014/chart" uri="{C3380CC4-5D6E-409C-BE32-E72D297353CC}">
              <c16:uniqueId val="{00000002-490D-48D4-8388-F206D0455A80}"/>
            </c:ext>
          </c:extLst>
        </c:ser>
        <c:ser>
          <c:idx val="4"/>
          <c:order val="4"/>
          <c:tx>
            <c:strRef>
              <c:f>'PBL Summary'!$AY$6</c:f>
              <c:strCache>
                <c:ptCount val="1"/>
                <c:pt idx="0">
                  <c:v>75th Percentile</c:v>
                </c:pt>
              </c:strCache>
            </c:strRef>
          </c:tx>
          <c:spPr>
            <a:ln>
              <a:solidFill>
                <a:schemeClr val="bg2">
                  <a:lumMod val="40000"/>
                  <a:lumOff val="60000"/>
                </a:schemeClr>
              </a:solidFill>
              <a:prstDash val="sysDot"/>
            </a:ln>
          </c:spPr>
          <c:marker>
            <c:symbol val="none"/>
          </c:marker>
          <c:cat>
            <c:numRef>
              <c:f>'PBL Summary'!$AQ$8:$AQ$59</c:f>
              <c:numCache>
                <c:formatCode>d\-mmm\-yy_);\(###0\);"-  ";" "@" "</c:formatCode>
                <c:ptCount val="52"/>
                <c:pt idx="0">
                  <c:v>45841</c:v>
                </c:pt>
                <c:pt idx="1">
                  <c:v>45848</c:v>
                </c:pt>
                <c:pt idx="2">
                  <c:v>45855</c:v>
                </c:pt>
                <c:pt idx="3">
                  <c:v>45862</c:v>
                </c:pt>
                <c:pt idx="4">
                  <c:v>45869</c:v>
                </c:pt>
                <c:pt idx="5">
                  <c:v>45876</c:v>
                </c:pt>
                <c:pt idx="6">
                  <c:v>45883</c:v>
                </c:pt>
                <c:pt idx="7">
                  <c:v>45890</c:v>
                </c:pt>
                <c:pt idx="8">
                  <c:v>45897</c:v>
                </c:pt>
                <c:pt idx="9">
                  <c:v>45904</c:v>
                </c:pt>
                <c:pt idx="10">
                  <c:v>45911</c:v>
                </c:pt>
                <c:pt idx="11">
                  <c:v>45918</c:v>
                </c:pt>
                <c:pt idx="12">
                  <c:v>45925</c:v>
                </c:pt>
                <c:pt idx="13">
                  <c:v>45932</c:v>
                </c:pt>
                <c:pt idx="14">
                  <c:v>45939</c:v>
                </c:pt>
                <c:pt idx="15">
                  <c:v>45946</c:v>
                </c:pt>
                <c:pt idx="16">
                  <c:v>45953</c:v>
                </c:pt>
                <c:pt idx="17">
                  <c:v>45960</c:v>
                </c:pt>
                <c:pt idx="18">
                  <c:v>45967</c:v>
                </c:pt>
                <c:pt idx="19">
                  <c:v>45974</c:v>
                </c:pt>
                <c:pt idx="20">
                  <c:v>45981</c:v>
                </c:pt>
                <c:pt idx="21">
                  <c:v>45988</c:v>
                </c:pt>
                <c:pt idx="22">
                  <c:v>45995</c:v>
                </c:pt>
                <c:pt idx="23">
                  <c:v>46002</c:v>
                </c:pt>
                <c:pt idx="24">
                  <c:v>46009</c:v>
                </c:pt>
                <c:pt idx="25">
                  <c:v>46016</c:v>
                </c:pt>
                <c:pt idx="26">
                  <c:v>46023</c:v>
                </c:pt>
                <c:pt idx="27">
                  <c:v>46030</c:v>
                </c:pt>
                <c:pt idx="28">
                  <c:v>46037</c:v>
                </c:pt>
                <c:pt idx="29">
                  <c:v>46044</c:v>
                </c:pt>
                <c:pt idx="30">
                  <c:v>46051</c:v>
                </c:pt>
                <c:pt idx="31">
                  <c:v>46058</c:v>
                </c:pt>
                <c:pt idx="32">
                  <c:v>46065</c:v>
                </c:pt>
                <c:pt idx="33">
                  <c:v>46072</c:v>
                </c:pt>
                <c:pt idx="34">
                  <c:v>46079</c:v>
                </c:pt>
                <c:pt idx="35">
                  <c:v>46086</c:v>
                </c:pt>
                <c:pt idx="36">
                  <c:v>46093</c:v>
                </c:pt>
                <c:pt idx="37">
                  <c:v>46100</c:v>
                </c:pt>
                <c:pt idx="38">
                  <c:v>46107</c:v>
                </c:pt>
                <c:pt idx="39">
                  <c:v>46114</c:v>
                </c:pt>
                <c:pt idx="40">
                  <c:v>46121</c:v>
                </c:pt>
                <c:pt idx="41">
                  <c:v>46128</c:v>
                </c:pt>
                <c:pt idx="42">
                  <c:v>46135</c:v>
                </c:pt>
                <c:pt idx="43">
                  <c:v>46142</c:v>
                </c:pt>
                <c:pt idx="44">
                  <c:v>46149</c:v>
                </c:pt>
                <c:pt idx="45">
                  <c:v>46156</c:v>
                </c:pt>
                <c:pt idx="46">
                  <c:v>46163</c:v>
                </c:pt>
                <c:pt idx="47">
                  <c:v>46170</c:v>
                </c:pt>
                <c:pt idx="48">
                  <c:v>46177</c:v>
                </c:pt>
                <c:pt idx="49">
                  <c:v>46184</c:v>
                </c:pt>
                <c:pt idx="50">
                  <c:v>46191</c:v>
                </c:pt>
                <c:pt idx="51">
                  <c:v>46198</c:v>
                </c:pt>
              </c:numCache>
            </c:numRef>
          </c:cat>
          <c:val>
            <c:numRef>
              <c:f>'PBL Summary'!$AY$8:$AY$59</c:f>
              <c:numCache>
                <c:formatCode>0.000</c:formatCode>
                <c:ptCount val="52"/>
                <c:pt idx="0">
                  <c:v>7.3796246163303061E-2</c:v>
                </c:pt>
                <c:pt idx="1">
                  <c:v>0.14759249232660612</c:v>
                </c:pt>
                <c:pt idx="2">
                  <c:v>0.2213887384899092</c:v>
                </c:pt>
                <c:pt idx="3">
                  <c:v>0.29518498465321225</c:v>
                </c:pt>
                <c:pt idx="4">
                  <c:v>0.36898123081651529</c:v>
                </c:pt>
                <c:pt idx="5">
                  <c:v>0.44277747697981834</c:v>
                </c:pt>
                <c:pt idx="6">
                  <c:v>0.51657372314312144</c:v>
                </c:pt>
                <c:pt idx="7">
                  <c:v>0.59036996930642449</c:v>
                </c:pt>
                <c:pt idx="8">
                  <c:v>0.66416621546972754</c:v>
                </c:pt>
                <c:pt idx="9">
                  <c:v>0.73796246163303059</c:v>
                </c:pt>
                <c:pt idx="10">
                  <c:v>0.81175870779633363</c:v>
                </c:pt>
                <c:pt idx="11">
                  <c:v>0.88555495395963668</c:v>
                </c:pt>
                <c:pt idx="12">
                  <c:v>0.95935120012293973</c:v>
                </c:pt>
                <c:pt idx="13">
                  <c:v>1.0331474462862429</c:v>
                </c:pt>
                <c:pt idx="14">
                  <c:v>1.1069436924495459</c:v>
                </c:pt>
                <c:pt idx="15">
                  <c:v>1.180739938612849</c:v>
                </c:pt>
                <c:pt idx="16">
                  <c:v>1.254536184776152</c:v>
                </c:pt>
                <c:pt idx="17">
                  <c:v>1.3283324309394551</c:v>
                </c:pt>
                <c:pt idx="18">
                  <c:v>1.4021286771027581</c:v>
                </c:pt>
                <c:pt idx="19">
                  <c:v>1.4759249232660612</c:v>
                </c:pt>
                <c:pt idx="20">
                  <c:v>1.5497211694293642</c:v>
                </c:pt>
                <c:pt idx="21">
                  <c:v>1.6235174155926673</c:v>
                </c:pt>
                <c:pt idx="22">
                  <c:v>1.6973136617559703</c:v>
                </c:pt>
                <c:pt idx="23">
                  <c:v>1.7711099079192734</c:v>
                </c:pt>
                <c:pt idx="24">
                  <c:v>1.8449061540825764</c:v>
                </c:pt>
                <c:pt idx="25">
                  <c:v>1.9187024002458795</c:v>
                </c:pt>
                <c:pt idx="26">
                  <c:v>1.9924986464091825</c:v>
                </c:pt>
                <c:pt idx="27">
                  <c:v>2.0662948925724858</c:v>
                </c:pt>
                <c:pt idx="28">
                  <c:v>2.140091138735789</c:v>
                </c:pt>
                <c:pt idx="29">
                  <c:v>2.2138873848990923</c:v>
                </c:pt>
                <c:pt idx="30">
                  <c:v>2.2876836310623956</c:v>
                </c:pt>
                <c:pt idx="31">
                  <c:v>2.3614798772256989</c:v>
                </c:pt>
                <c:pt idx="32">
                  <c:v>2.4352761233890021</c:v>
                </c:pt>
                <c:pt idx="33">
                  <c:v>2.5090723695523054</c:v>
                </c:pt>
                <c:pt idx="34">
                  <c:v>2.5828686157156087</c:v>
                </c:pt>
                <c:pt idx="35">
                  <c:v>2.6566648618789119</c:v>
                </c:pt>
                <c:pt idx="36">
                  <c:v>2.7304611080422152</c:v>
                </c:pt>
                <c:pt idx="37">
                  <c:v>2.8042573542055185</c:v>
                </c:pt>
                <c:pt idx="38">
                  <c:v>2.8780536003688217</c:v>
                </c:pt>
                <c:pt idx="39">
                  <c:v>2.951849846532125</c:v>
                </c:pt>
                <c:pt idx="40">
                  <c:v>3.0256460926954283</c:v>
                </c:pt>
                <c:pt idx="41">
                  <c:v>3.0994423388587315</c:v>
                </c:pt>
                <c:pt idx="42">
                  <c:v>3.1732385850220348</c:v>
                </c:pt>
                <c:pt idx="43">
                  <c:v>3.2470348311853381</c:v>
                </c:pt>
                <c:pt idx="44">
                  <c:v>3.3208310773486414</c:v>
                </c:pt>
                <c:pt idx="45">
                  <c:v>3.3946273235119446</c:v>
                </c:pt>
                <c:pt idx="46">
                  <c:v>3.4684235696752479</c:v>
                </c:pt>
                <c:pt idx="47">
                  <c:v>3.5422198158385512</c:v>
                </c:pt>
                <c:pt idx="48">
                  <c:v>3.6160160620018544</c:v>
                </c:pt>
                <c:pt idx="49">
                  <c:v>3.6898123081651577</c:v>
                </c:pt>
                <c:pt idx="50">
                  <c:v>3.763608554328461</c:v>
                </c:pt>
                <c:pt idx="51">
                  <c:v>3.8374048004917642</c:v>
                </c:pt>
              </c:numCache>
            </c:numRef>
          </c:val>
          <c:smooth val="0"/>
          <c:extLst>
            <c:ext xmlns:c16="http://schemas.microsoft.com/office/drawing/2014/chart" uri="{C3380CC4-5D6E-409C-BE32-E72D297353CC}">
              <c16:uniqueId val="{00000003-490D-48D4-8388-F206D0455A80}"/>
            </c:ext>
          </c:extLst>
        </c:ser>
        <c:ser>
          <c:idx val="9"/>
          <c:order val="5"/>
          <c:tx>
            <c:strRef>
              <c:f>'PBL Summary'!$BA$6</c:f>
              <c:strCache>
                <c:ptCount val="1"/>
                <c:pt idx="0">
                  <c:v>95th Percentile</c:v>
                </c:pt>
              </c:strCache>
            </c:strRef>
          </c:tx>
          <c:spPr>
            <a:ln>
              <a:solidFill>
                <a:schemeClr val="bg2">
                  <a:lumMod val="40000"/>
                  <a:lumOff val="60000"/>
                </a:schemeClr>
              </a:solidFill>
              <a:prstDash val="sysDot"/>
            </a:ln>
          </c:spPr>
          <c:marker>
            <c:symbol val="none"/>
          </c:marker>
          <c:cat>
            <c:numRef>
              <c:f>'PBL Summary'!$AQ$8:$AQ$59</c:f>
              <c:numCache>
                <c:formatCode>d\-mmm\-yy_);\(###0\);"-  ";" "@" "</c:formatCode>
                <c:ptCount val="52"/>
                <c:pt idx="0">
                  <c:v>45841</c:v>
                </c:pt>
                <c:pt idx="1">
                  <c:v>45848</c:v>
                </c:pt>
                <c:pt idx="2">
                  <c:v>45855</c:v>
                </c:pt>
                <c:pt idx="3">
                  <c:v>45862</c:v>
                </c:pt>
                <c:pt idx="4">
                  <c:v>45869</c:v>
                </c:pt>
                <c:pt idx="5">
                  <c:v>45876</c:v>
                </c:pt>
                <c:pt idx="6">
                  <c:v>45883</c:v>
                </c:pt>
                <c:pt idx="7">
                  <c:v>45890</c:v>
                </c:pt>
                <c:pt idx="8">
                  <c:v>45897</c:v>
                </c:pt>
                <c:pt idx="9">
                  <c:v>45904</c:v>
                </c:pt>
                <c:pt idx="10">
                  <c:v>45911</c:v>
                </c:pt>
                <c:pt idx="11">
                  <c:v>45918</c:v>
                </c:pt>
                <c:pt idx="12">
                  <c:v>45925</c:v>
                </c:pt>
                <c:pt idx="13">
                  <c:v>45932</c:v>
                </c:pt>
                <c:pt idx="14">
                  <c:v>45939</c:v>
                </c:pt>
                <c:pt idx="15">
                  <c:v>45946</c:v>
                </c:pt>
                <c:pt idx="16">
                  <c:v>45953</c:v>
                </c:pt>
                <c:pt idx="17">
                  <c:v>45960</c:v>
                </c:pt>
                <c:pt idx="18">
                  <c:v>45967</c:v>
                </c:pt>
                <c:pt idx="19">
                  <c:v>45974</c:v>
                </c:pt>
                <c:pt idx="20">
                  <c:v>45981</c:v>
                </c:pt>
                <c:pt idx="21">
                  <c:v>45988</c:v>
                </c:pt>
                <c:pt idx="22">
                  <c:v>45995</c:v>
                </c:pt>
                <c:pt idx="23">
                  <c:v>46002</c:v>
                </c:pt>
                <c:pt idx="24">
                  <c:v>46009</c:v>
                </c:pt>
                <c:pt idx="25">
                  <c:v>46016</c:v>
                </c:pt>
                <c:pt idx="26">
                  <c:v>46023</c:v>
                </c:pt>
                <c:pt idx="27">
                  <c:v>46030</c:v>
                </c:pt>
                <c:pt idx="28">
                  <c:v>46037</c:v>
                </c:pt>
                <c:pt idx="29">
                  <c:v>46044</c:v>
                </c:pt>
                <c:pt idx="30">
                  <c:v>46051</c:v>
                </c:pt>
                <c:pt idx="31">
                  <c:v>46058</c:v>
                </c:pt>
                <c:pt idx="32">
                  <c:v>46065</c:v>
                </c:pt>
                <c:pt idx="33">
                  <c:v>46072</c:v>
                </c:pt>
                <c:pt idx="34">
                  <c:v>46079</c:v>
                </c:pt>
                <c:pt idx="35">
                  <c:v>46086</c:v>
                </c:pt>
                <c:pt idx="36">
                  <c:v>46093</c:v>
                </c:pt>
                <c:pt idx="37">
                  <c:v>46100</c:v>
                </c:pt>
                <c:pt idx="38">
                  <c:v>46107</c:v>
                </c:pt>
                <c:pt idx="39">
                  <c:v>46114</c:v>
                </c:pt>
                <c:pt idx="40">
                  <c:v>46121</c:v>
                </c:pt>
                <c:pt idx="41">
                  <c:v>46128</c:v>
                </c:pt>
                <c:pt idx="42">
                  <c:v>46135</c:v>
                </c:pt>
                <c:pt idx="43">
                  <c:v>46142</c:v>
                </c:pt>
                <c:pt idx="44">
                  <c:v>46149</c:v>
                </c:pt>
                <c:pt idx="45">
                  <c:v>46156</c:v>
                </c:pt>
                <c:pt idx="46">
                  <c:v>46163</c:v>
                </c:pt>
                <c:pt idx="47">
                  <c:v>46170</c:v>
                </c:pt>
                <c:pt idx="48">
                  <c:v>46177</c:v>
                </c:pt>
                <c:pt idx="49">
                  <c:v>46184</c:v>
                </c:pt>
                <c:pt idx="50">
                  <c:v>46191</c:v>
                </c:pt>
                <c:pt idx="51">
                  <c:v>46198</c:v>
                </c:pt>
              </c:numCache>
            </c:numRef>
          </c:cat>
          <c:val>
            <c:numRef>
              <c:f>'PBL Summary'!$BA$8:$BA$59</c:f>
              <c:numCache>
                <c:formatCode>0.000</c:formatCode>
                <c:ptCount val="52"/>
                <c:pt idx="0">
                  <c:v>8.540539501738402E-2</c:v>
                </c:pt>
                <c:pt idx="1">
                  <c:v>0.17081079003476804</c:v>
                </c:pt>
                <c:pt idx="2">
                  <c:v>0.25621618505215205</c:v>
                </c:pt>
                <c:pt idx="3">
                  <c:v>0.34162158006953608</c:v>
                </c:pt>
                <c:pt idx="4">
                  <c:v>0.42702697508692011</c:v>
                </c:pt>
                <c:pt idx="5">
                  <c:v>0.51243237010430409</c:v>
                </c:pt>
                <c:pt idx="6">
                  <c:v>0.59783776512168807</c:v>
                </c:pt>
                <c:pt idx="7">
                  <c:v>0.68324316013907205</c:v>
                </c:pt>
                <c:pt idx="8">
                  <c:v>0.76864855515645603</c:v>
                </c:pt>
                <c:pt idx="9">
                  <c:v>0.85405395017384</c:v>
                </c:pt>
                <c:pt idx="10">
                  <c:v>0.93945934519122398</c:v>
                </c:pt>
                <c:pt idx="11">
                  <c:v>1.024864740208608</c:v>
                </c:pt>
                <c:pt idx="12">
                  <c:v>1.110270135225992</c:v>
                </c:pt>
                <c:pt idx="13">
                  <c:v>1.1956755302433761</c:v>
                </c:pt>
                <c:pt idx="14">
                  <c:v>1.2810809252607602</c:v>
                </c:pt>
                <c:pt idx="15">
                  <c:v>1.3664863202781443</c:v>
                </c:pt>
                <c:pt idx="16">
                  <c:v>1.4518917152955284</c:v>
                </c:pt>
                <c:pt idx="17">
                  <c:v>1.5372971103129125</c:v>
                </c:pt>
                <c:pt idx="18">
                  <c:v>1.6227025053302966</c:v>
                </c:pt>
                <c:pt idx="19">
                  <c:v>1.7081079003476807</c:v>
                </c:pt>
                <c:pt idx="20">
                  <c:v>1.7935132953650648</c:v>
                </c:pt>
                <c:pt idx="21">
                  <c:v>1.8789186903824489</c:v>
                </c:pt>
                <c:pt idx="22">
                  <c:v>1.9643240853998329</c:v>
                </c:pt>
                <c:pt idx="23">
                  <c:v>2.0497294804172168</c:v>
                </c:pt>
                <c:pt idx="24">
                  <c:v>2.1351348754346007</c:v>
                </c:pt>
                <c:pt idx="25">
                  <c:v>2.2205402704519845</c:v>
                </c:pt>
                <c:pt idx="26">
                  <c:v>2.3059456654693684</c:v>
                </c:pt>
                <c:pt idx="27">
                  <c:v>2.3913510604867523</c:v>
                </c:pt>
                <c:pt idx="28">
                  <c:v>2.4767564555041361</c:v>
                </c:pt>
                <c:pt idx="29">
                  <c:v>2.56216185052152</c:v>
                </c:pt>
                <c:pt idx="30">
                  <c:v>2.6475672455389039</c:v>
                </c:pt>
                <c:pt idx="31">
                  <c:v>2.7329726405562877</c:v>
                </c:pt>
                <c:pt idx="32">
                  <c:v>2.8183780355736716</c:v>
                </c:pt>
                <c:pt idx="33">
                  <c:v>2.9037834305910555</c:v>
                </c:pt>
                <c:pt idx="34">
                  <c:v>2.9891888256084393</c:v>
                </c:pt>
                <c:pt idx="35">
                  <c:v>3.0745942206258232</c:v>
                </c:pt>
                <c:pt idx="36">
                  <c:v>3.1599996156432071</c:v>
                </c:pt>
                <c:pt idx="37">
                  <c:v>3.2454050106605909</c:v>
                </c:pt>
                <c:pt idx="38">
                  <c:v>3.3308104056779748</c:v>
                </c:pt>
                <c:pt idx="39">
                  <c:v>3.4162158006953587</c:v>
                </c:pt>
                <c:pt idx="40">
                  <c:v>3.5016211957127426</c:v>
                </c:pt>
                <c:pt idx="41">
                  <c:v>3.5870265907301264</c:v>
                </c:pt>
                <c:pt idx="42">
                  <c:v>3.6724319857475103</c:v>
                </c:pt>
                <c:pt idx="43">
                  <c:v>3.7578373807648942</c:v>
                </c:pt>
                <c:pt idx="44">
                  <c:v>3.843242775782278</c:v>
                </c:pt>
                <c:pt idx="45">
                  <c:v>3.9286481707996619</c:v>
                </c:pt>
                <c:pt idx="46">
                  <c:v>4.0140535658170462</c:v>
                </c:pt>
                <c:pt idx="47">
                  <c:v>4.0994589608344301</c:v>
                </c:pt>
                <c:pt idx="48">
                  <c:v>4.1848643558518139</c:v>
                </c:pt>
                <c:pt idx="49">
                  <c:v>4.2702697508691978</c:v>
                </c:pt>
                <c:pt idx="50">
                  <c:v>4.3556751458865817</c:v>
                </c:pt>
                <c:pt idx="51">
                  <c:v>4.4410805409039655</c:v>
                </c:pt>
              </c:numCache>
            </c:numRef>
          </c:val>
          <c:smooth val="0"/>
          <c:extLst xmlns:c15="http://schemas.microsoft.com/office/drawing/2012/chart">
            <c:ext xmlns:c16="http://schemas.microsoft.com/office/drawing/2014/chart" uri="{C3380CC4-5D6E-409C-BE32-E72D297353CC}">
              <c16:uniqueId val="{00000005-490D-48D4-8388-F206D0455A80}"/>
            </c:ext>
          </c:extLst>
        </c:ser>
        <c:dLbls>
          <c:showLegendKey val="0"/>
          <c:showVal val="0"/>
          <c:showCatName val="0"/>
          <c:showSerName val="0"/>
          <c:showPercent val="0"/>
          <c:showBubbleSize val="0"/>
        </c:dLbls>
        <c:smooth val="0"/>
        <c:axId val="1388952432"/>
        <c:axId val="1388953088"/>
        <c:extLst/>
      </c:lineChart>
      <c:dateAx>
        <c:axId val="1388952432"/>
        <c:scaling>
          <c:orientation val="minMax"/>
        </c:scaling>
        <c:delete val="0"/>
        <c:axPos val="b"/>
        <c:numFmt formatCode="mmm\-yy_);\(###0\);&quot;-  &quot;;&quot; &quot;@&quot; &quot;" sourceLinked="0"/>
        <c:majorTickMark val="none"/>
        <c:minorTickMark val="none"/>
        <c:tickLblPos val="nextTo"/>
        <c:spPr>
          <a:noFill/>
          <a:ln w="9525" cap="flat" cmpd="sng" algn="ctr">
            <a:noFill/>
            <a:round/>
          </a:ln>
          <a:effectLst/>
        </c:spPr>
        <c:txPr>
          <a:bodyPr rot="-5400000" vert="horz"/>
          <a:lstStyle/>
          <a:p>
            <a:pPr>
              <a:defRPr/>
            </a:pPr>
            <a:endParaRPr lang="en-US"/>
          </a:p>
        </c:txPr>
        <c:crossAx val="1388953088"/>
        <c:crosses val="autoZero"/>
        <c:auto val="1"/>
        <c:lblOffset val="100"/>
        <c:baseTimeUnit val="days"/>
        <c:majorUnit val="1"/>
        <c:majorTimeUnit val="months"/>
      </c:dateAx>
      <c:valAx>
        <c:axId val="1388953088"/>
        <c:scaling>
          <c:orientation val="minMax"/>
          <c:max val="4.5"/>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vert="horz"/>
          <a:lstStyle/>
          <a:p>
            <a:pPr>
              <a:defRPr/>
            </a:pPr>
            <a:endParaRPr lang="en-US"/>
          </a:p>
        </c:txPr>
        <c:crossAx val="1388952432"/>
        <c:crosses val="autoZero"/>
        <c:crossBetween val="between"/>
      </c:valAx>
    </c:plotArea>
    <c:legend>
      <c:legendPos val="b"/>
      <c:legendEntry>
        <c:idx val="1"/>
        <c:delete val="1"/>
      </c:legendEntry>
      <c:legendEntry>
        <c:idx val="2"/>
        <c:delete val="1"/>
      </c:legendEntry>
      <c:legendEntry>
        <c:idx val="4"/>
        <c:delete val="1"/>
      </c:legendEntry>
      <c:legendEntry>
        <c:idx val="5"/>
        <c:delete val="1"/>
      </c:legendEntry>
      <c:overlay val="0"/>
      <c:spPr>
        <a:noFill/>
        <a:ln>
          <a:noFill/>
        </a:ln>
        <a:effectLst/>
      </c:spPr>
      <c:txPr>
        <a:bodyPr rot="0" vert="horz"/>
        <a:lstStyle/>
        <a:p>
          <a:pPr>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v>Actual</c:v>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'PBL Tables'!$CS$13:$CS$22</c:f>
              <c:numCache>
                <c:formatCode>General</c:formatCode>
                <c:ptCount val="10"/>
                <c:pt idx="0">
                  <c:v>3000000</c:v>
                </c:pt>
                <c:pt idx="1">
                  <c:v>6000000</c:v>
                </c:pt>
                <c:pt idx="2">
                  <c:v>10000000</c:v>
                </c:pt>
                <c:pt idx="3">
                  <c:v>15000000</c:v>
                </c:pt>
                <c:pt idx="4">
                  <c:v>25000000</c:v>
                </c:pt>
                <c:pt idx="5">
                  <c:v>40000000</c:v>
                </c:pt>
                <c:pt idx="6">
                  <c:v>55000000</c:v>
                </c:pt>
                <c:pt idx="7" formatCode="#,##0">
                  <c:v>80000000</c:v>
                </c:pt>
                <c:pt idx="8" formatCode="#,##0">
                  <c:v>100000000</c:v>
                </c:pt>
                <c:pt idx="9" formatCode="#,##0">
                  <c:v>150000000</c:v>
                </c:pt>
              </c:numCache>
            </c:numRef>
          </c:cat>
          <c:val>
            <c:numRef>
              <c:f>'PBL Tables'!$CT$13:$CT$22</c:f>
              <c:numCache>
                <c:formatCode>#,##0.0</c:formatCode>
                <c:ptCount val="10"/>
                <c:pt idx="0">
                  <c:v>13748894.333333334</c:v>
                </c:pt>
                <c:pt idx="1">
                  <c:v>16946002.899999999</c:v>
                </c:pt>
                <c:pt idx="2">
                  <c:v>22098549.600000001</c:v>
                </c:pt>
                <c:pt idx="3">
                  <c:v>26257429.25</c:v>
                </c:pt>
                <c:pt idx="4">
                  <c:v>27652624</c:v>
                </c:pt>
                <c:pt idx="5">
                  <c:v>52311529</c:v>
                </c:pt>
                <c:pt idx="6">
                  <c:v>80521889</c:v>
                </c:pt>
              </c:numCache>
            </c:numRef>
          </c:val>
          <c:smooth val="0"/>
          <c:extLst>
            <c:ext xmlns:c16="http://schemas.microsoft.com/office/drawing/2014/chart" uri="{C3380CC4-5D6E-409C-BE32-E72D297353CC}">
              <c16:uniqueId val="{00000001-FAC8-4DD8-A059-0504EF90B88A}"/>
            </c:ext>
          </c:extLst>
        </c:ser>
        <c:ser>
          <c:idx val="1"/>
          <c:order val="1"/>
          <c:tx>
            <c:v>Projection</c:v>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'PBL Tables'!$CS$13:$CS$22</c:f>
              <c:numCache>
                <c:formatCode>General</c:formatCode>
                <c:ptCount val="10"/>
                <c:pt idx="0">
                  <c:v>3000000</c:v>
                </c:pt>
                <c:pt idx="1">
                  <c:v>6000000</c:v>
                </c:pt>
                <c:pt idx="2">
                  <c:v>10000000</c:v>
                </c:pt>
                <c:pt idx="3">
                  <c:v>15000000</c:v>
                </c:pt>
                <c:pt idx="4">
                  <c:v>25000000</c:v>
                </c:pt>
                <c:pt idx="5">
                  <c:v>40000000</c:v>
                </c:pt>
                <c:pt idx="6">
                  <c:v>55000000</c:v>
                </c:pt>
                <c:pt idx="7" formatCode="#,##0">
                  <c:v>80000000</c:v>
                </c:pt>
                <c:pt idx="8" formatCode="#,##0">
                  <c:v>100000000</c:v>
                </c:pt>
                <c:pt idx="9" formatCode="#,##0">
                  <c:v>150000000</c:v>
                </c:pt>
              </c:numCache>
            </c:numRef>
          </c:cat>
          <c:val>
            <c:numRef>
              <c:f>'PBL Tables'!$CU$13:$CU$22</c:f>
              <c:numCache>
                <c:formatCode>General</c:formatCode>
                <c:ptCount val="10"/>
                <c:pt idx="7" formatCode="#,##0">
                  <c:v>128354999.99999999</c:v>
                </c:pt>
                <c:pt idx="8" formatCode="#,##0">
                  <c:v>197191250</c:v>
                </c:pt>
                <c:pt idx="9" formatCode="#,##0">
                  <c:v>289060000</c:v>
                </c:pt>
              </c:numCache>
            </c:numRef>
          </c:val>
          <c:smooth val="0"/>
          <c:extLst>
            <c:ext xmlns:c16="http://schemas.microsoft.com/office/drawing/2014/chart" uri="{C3380CC4-5D6E-409C-BE32-E72D297353CC}">
              <c16:uniqueId val="{00000002-FAC8-4DD8-A059-0504EF90B88A}"/>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'PBL Tables'!$CS$32:$CS$41</c:f>
              <c:numCache>
                <c:formatCode>General</c:formatCode>
                <c:ptCount val="10"/>
                <c:pt idx="0">
                  <c:v>3000000</c:v>
                </c:pt>
                <c:pt idx="1">
                  <c:v>8000000</c:v>
                </c:pt>
                <c:pt idx="2">
                  <c:v>12000000</c:v>
                </c:pt>
                <c:pt idx="3">
                  <c:v>20000000</c:v>
                </c:pt>
                <c:pt idx="4">
                  <c:v>30000000</c:v>
                </c:pt>
                <c:pt idx="5">
                  <c:v>40000000</c:v>
                </c:pt>
                <c:pt idx="6">
                  <c:v>50000000</c:v>
                </c:pt>
                <c:pt idx="7" formatCode="#,##0">
                  <c:v>80000000</c:v>
                </c:pt>
                <c:pt idx="8" formatCode="#,##0">
                  <c:v>100000000</c:v>
                </c:pt>
                <c:pt idx="9" formatCode="#,##0">
                  <c:v>150000000</c:v>
                </c:pt>
              </c:numCache>
            </c:numRef>
          </c:cat>
          <c:val>
            <c:numRef>
              <c:f>'PBL Tables'!$CT$32:$CT$41</c:f>
              <c:numCache>
                <c:formatCode>#,##0.0</c:formatCode>
                <c:ptCount val="10"/>
                <c:pt idx="0">
                  <c:v>11622580.333333334</c:v>
                </c:pt>
                <c:pt idx="1">
                  <c:v>16624817.666666666</c:v>
                </c:pt>
                <c:pt idx="2">
                  <c:v>17697271</c:v>
                </c:pt>
                <c:pt idx="3">
                  <c:v>26087561</c:v>
                </c:pt>
                <c:pt idx="4">
                  <c:v>36432706</c:v>
                </c:pt>
                <c:pt idx="5">
                  <c:v>46219222</c:v>
                </c:pt>
                <c:pt idx="6">
                  <c:v>56921147</c:v>
                </c:pt>
              </c:numCache>
            </c:numRef>
          </c:val>
          <c:smooth val="0"/>
          <c:extLst>
            <c:ext xmlns:c16="http://schemas.microsoft.com/office/drawing/2014/chart" uri="{C3380CC4-5D6E-409C-BE32-E72D297353CC}">
              <c16:uniqueId val="{00000001-1EA1-4BE9-A016-2FAA7206D436}"/>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'PBL Tables'!$CS$32:$CS$41</c:f>
              <c:numCache>
                <c:formatCode>General</c:formatCode>
                <c:ptCount val="10"/>
                <c:pt idx="0">
                  <c:v>3000000</c:v>
                </c:pt>
                <c:pt idx="1">
                  <c:v>8000000</c:v>
                </c:pt>
                <c:pt idx="2">
                  <c:v>12000000</c:v>
                </c:pt>
                <c:pt idx="3">
                  <c:v>20000000</c:v>
                </c:pt>
                <c:pt idx="4">
                  <c:v>30000000</c:v>
                </c:pt>
                <c:pt idx="5">
                  <c:v>40000000</c:v>
                </c:pt>
                <c:pt idx="6">
                  <c:v>50000000</c:v>
                </c:pt>
                <c:pt idx="7" formatCode="#,##0">
                  <c:v>80000000</c:v>
                </c:pt>
                <c:pt idx="8" formatCode="#,##0">
                  <c:v>100000000</c:v>
                </c:pt>
                <c:pt idx="9" formatCode="#,##0">
                  <c:v>150000000</c:v>
                </c:pt>
              </c:numCache>
            </c:numRef>
          </c:cat>
          <c:val>
            <c:numRef>
              <c:f>'PBL Tables'!$CU$32:$CU$41</c:f>
              <c:numCache>
                <c:formatCode>General</c:formatCode>
                <c:ptCount val="10"/>
                <c:pt idx="7" formatCode="#,##0">
                  <c:v>101329200</c:v>
                </c:pt>
                <c:pt idx="8" formatCode="#,##0">
                  <c:v>156806500</c:v>
                </c:pt>
                <c:pt idx="9" formatCode="#,##0">
                  <c:v>232169000</c:v>
                </c:pt>
              </c:numCache>
            </c:numRef>
          </c:val>
          <c:smooth val="0"/>
          <c:extLst>
            <c:ext xmlns:c16="http://schemas.microsoft.com/office/drawing/2014/chart" uri="{C3380CC4-5D6E-409C-BE32-E72D297353CC}">
              <c16:uniqueId val="{00000002-1EA1-4BE9-A016-2FAA7206D436}"/>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'PBL Tables'!$CS$51:$CS$60</c:f>
              <c:numCache>
                <c:formatCode>General</c:formatCode>
                <c:ptCount val="10"/>
                <c:pt idx="0">
                  <c:v>3000000</c:v>
                </c:pt>
                <c:pt idx="1">
                  <c:v>8000000</c:v>
                </c:pt>
                <c:pt idx="2">
                  <c:v>12000000</c:v>
                </c:pt>
                <c:pt idx="3">
                  <c:v>20000000</c:v>
                </c:pt>
                <c:pt idx="4">
                  <c:v>30000000</c:v>
                </c:pt>
                <c:pt idx="5">
                  <c:v>40000000</c:v>
                </c:pt>
                <c:pt idx="6">
                  <c:v>50000000</c:v>
                </c:pt>
                <c:pt idx="7">
                  <c:v>80000000</c:v>
                </c:pt>
                <c:pt idx="8">
                  <c:v>100000000</c:v>
                </c:pt>
                <c:pt idx="9" formatCode="#,##0">
                  <c:v>150000000</c:v>
                </c:pt>
              </c:numCache>
            </c:numRef>
          </c:cat>
          <c:val>
            <c:numRef>
              <c:f>'PBL Tables'!$CT$51:$CT$60</c:f>
              <c:numCache>
                <c:formatCode>#,##0.0</c:formatCode>
                <c:ptCount val="10"/>
                <c:pt idx="0">
                  <c:v>13316022.111111112</c:v>
                </c:pt>
                <c:pt idx="1">
                  <c:v>17245123.875</c:v>
                </c:pt>
                <c:pt idx="2">
                  <c:v>22052366</c:v>
                </c:pt>
                <c:pt idx="3">
                  <c:v>27175835.5</c:v>
                </c:pt>
                <c:pt idx="4">
                  <c:v>34287915.857142858</c:v>
                </c:pt>
                <c:pt idx="5">
                  <c:v>41089027.75</c:v>
                </c:pt>
                <c:pt idx="6">
                  <c:v>55701941</c:v>
                </c:pt>
                <c:pt idx="7">
                  <c:v>100986045.5</c:v>
                </c:pt>
                <c:pt idx="8">
                  <c:v>171764914</c:v>
                </c:pt>
              </c:numCache>
            </c:numRef>
          </c:val>
          <c:smooth val="0"/>
          <c:extLst>
            <c:ext xmlns:c16="http://schemas.microsoft.com/office/drawing/2014/chart" uri="{C3380CC4-5D6E-409C-BE32-E72D297353CC}">
              <c16:uniqueId val="{00000001-0DDD-47DD-8631-D1ABE8401BA1}"/>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'PBL Tables'!$CS$51:$CS$60</c:f>
              <c:numCache>
                <c:formatCode>General</c:formatCode>
                <c:ptCount val="10"/>
                <c:pt idx="0">
                  <c:v>3000000</c:v>
                </c:pt>
                <c:pt idx="1">
                  <c:v>8000000</c:v>
                </c:pt>
                <c:pt idx="2">
                  <c:v>12000000</c:v>
                </c:pt>
                <c:pt idx="3">
                  <c:v>20000000</c:v>
                </c:pt>
                <c:pt idx="4">
                  <c:v>30000000</c:v>
                </c:pt>
                <c:pt idx="5">
                  <c:v>40000000</c:v>
                </c:pt>
                <c:pt idx="6">
                  <c:v>50000000</c:v>
                </c:pt>
                <c:pt idx="7">
                  <c:v>80000000</c:v>
                </c:pt>
                <c:pt idx="8">
                  <c:v>100000000</c:v>
                </c:pt>
                <c:pt idx="9" formatCode="#,##0">
                  <c:v>150000000</c:v>
                </c:pt>
              </c:numCache>
            </c:numRef>
          </c:cat>
          <c:val>
            <c:numRef>
              <c:f>'PBL Tables'!$CU$51:$CU$60</c:f>
              <c:numCache>
                <c:formatCode>General</c:formatCode>
                <c:ptCount val="10"/>
                <c:pt idx="9" formatCode="#,##0">
                  <c:v>206374220</c:v>
                </c:pt>
              </c:numCache>
            </c:numRef>
          </c:val>
          <c:smooth val="0"/>
          <c:extLst>
            <c:ext xmlns:c16="http://schemas.microsoft.com/office/drawing/2014/chart" uri="{C3380CC4-5D6E-409C-BE32-E72D297353CC}">
              <c16:uniqueId val="{00000002-0DDD-47DD-8631-D1ABE8401BA1}"/>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'PBL Tables'!$CS$70:$CS$79</c:f>
              <c:numCache>
                <c:formatCode>General</c:formatCode>
                <c:ptCount val="10"/>
                <c:pt idx="0">
                  <c:v>3000000</c:v>
                </c:pt>
                <c:pt idx="1">
                  <c:v>8000000</c:v>
                </c:pt>
                <c:pt idx="2">
                  <c:v>12000000</c:v>
                </c:pt>
                <c:pt idx="3">
                  <c:v>20000000</c:v>
                </c:pt>
                <c:pt idx="4">
                  <c:v>40000000</c:v>
                </c:pt>
                <c:pt idx="5">
                  <c:v>60000000</c:v>
                </c:pt>
                <c:pt idx="6">
                  <c:v>80000000</c:v>
                </c:pt>
                <c:pt idx="7">
                  <c:v>100000000</c:v>
                </c:pt>
                <c:pt idx="8">
                  <c:v>150000000</c:v>
                </c:pt>
                <c:pt idx="9" formatCode="#,##0">
                  <c:v>200000000</c:v>
                </c:pt>
              </c:numCache>
            </c:numRef>
          </c:cat>
          <c:val>
            <c:numRef>
              <c:f>'PBL Tables'!$CT$70:$CT$79</c:f>
              <c:numCache>
                <c:formatCode>#,##0.0</c:formatCode>
                <c:ptCount val="10"/>
                <c:pt idx="0">
                  <c:v>15636908</c:v>
                </c:pt>
                <c:pt idx="1">
                  <c:v>21206804.399999999</c:v>
                </c:pt>
                <c:pt idx="2">
                  <c:v>25046573.571428571</c:v>
                </c:pt>
                <c:pt idx="3">
                  <c:v>32838674.166666668</c:v>
                </c:pt>
                <c:pt idx="4">
                  <c:v>45382776.75</c:v>
                </c:pt>
                <c:pt idx="5">
                  <c:v>59722623</c:v>
                </c:pt>
                <c:pt idx="6">
                  <c:v>79647915.666666672</c:v>
                </c:pt>
              </c:numCache>
            </c:numRef>
          </c:val>
          <c:smooth val="0"/>
          <c:extLst>
            <c:ext xmlns:c16="http://schemas.microsoft.com/office/drawing/2014/chart" uri="{C3380CC4-5D6E-409C-BE32-E72D297353CC}">
              <c16:uniqueId val="{00000001-F4D7-4C53-B4D4-AF00897DD9F4}"/>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'PBL Tables'!$CS$70:$CS$79</c:f>
              <c:numCache>
                <c:formatCode>General</c:formatCode>
                <c:ptCount val="10"/>
                <c:pt idx="0">
                  <c:v>3000000</c:v>
                </c:pt>
                <c:pt idx="1">
                  <c:v>8000000</c:v>
                </c:pt>
                <c:pt idx="2">
                  <c:v>12000000</c:v>
                </c:pt>
                <c:pt idx="3">
                  <c:v>20000000</c:v>
                </c:pt>
                <c:pt idx="4">
                  <c:v>40000000</c:v>
                </c:pt>
                <c:pt idx="5">
                  <c:v>60000000</c:v>
                </c:pt>
                <c:pt idx="6">
                  <c:v>80000000</c:v>
                </c:pt>
                <c:pt idx="7">
                  <c:v>100000000</c:v>
                </c:pt>
                <c:pt idx="8">
                  <c:v>150000000</c:v>
                </c:pt>
                <c:pt idx="9" formatCode="#,##0">
                  <c:v>200000000</c:v>
                </c:pt>
              </c:numCache>
            </c:numRef>
          </c:cat>
          <c:val>
            <c:numRef>
              <c:f>'PBL Tables'!$CU$70:$CU$79</c:f>
              <c:numCache>
                <c:formatCode>General</c:formatCode>
                <c:ptCount val="10"/>
                <c:pt idx="7" formatCode="#,##0">
                  <c:v>122669299.99999999</c:v>
                </c:pt>
                <c:pt idx="8" formatCode="#,##0">
                  <c:v>174116800</c:v>
                </c:pt>
                <c:pt idx="9" formatCode="#,##0">
                  <c:v>225564300</c:v>
                </c:pt>
              </c:numCache>
            </c:numRef>
          </c:val>
          <c:smooth val="0"/>
          <c:extLst>
            <c:ext xmlns:c16="http://schemas.microsoft.com/office/drawing/2014/chart" uri="{C3380CC4-5D6E-409C-BE32-E72D297353CC}">
              <c16:uniqueId val="{00000002-F4D7-4C53-B4D4-AF00897DD9F4}"/>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'PBL Tables'!$CS$108:$CS$117</c:f>
              <c:numCache>
                <c:formatCode>General</c:formatCode>
                <c:ptCount val="10"/>
                <c:pt idx="0">
                  <c:v>3000000</c:v>
                </c:pt>
                <c:pt idx="1">
                  <c:v>8000000</c:v>
                </c:pt>
                <c:pt idx="2">
                  <c:v>20000000</c:v>
                </c:pt>
                <c:pt idx="3">
                  <c:v>40000000</c:v>
                </c:pt>
                <c:pt idx="4">
                  <c:v>60000000</c:v>
                </c:pt>
                <c:pt idx="5">
                  <c:v>80000000</c:v>
                </c:pt>
                <c:pt idx="6" formatCode="#,##0">
                  <c:v>120000000</c:v>
                </c:pt>
                <c:pt idx="7" formatCode="#,##0">
                  <c:v>160000000</c:v>
                </c:pt>
                <c:pt idx="8" formatCode="#,##0">
                  <c:v>200000000</c:v>
                </c:pt>
                <c:pt idx="9" formatCode="#,##0">
                  <c:v>250000000</c:v>
                </c:pt>
              </c:numCache>
            </c:numRef>
          </c:cat>
          <c:val>
            <c:numRef>
              <c:f>'PBL Tables'!$CT$108:$CT$117</c:f>
              <c:numCache>
                <c:formatCode>#,##0.0</c:formatCode>
                <c:ptCount val="10"/>
                <c:pt idx="0">
                  <c:v>18647658.181818184</c:v>
                </c:pt>
                <c:pt idx="1">
                  <c:v>24779866.466666665</c:v>
                </c:pt>
                <c:pt idx="2">
                  <c:v>39327941.916666664</c:v>
                </c:pt>
                <c:pt idx="3">
                  <c:v>58921884.666666664</c:v>
                </c:pt>
                <c:pt idx="4">
                  <c:v>82205459</c:v>
                </c:pt>
                <c:pt idx="5">
                  <c:v>113194860.5</c:v>
                </c:pt>
              </c:numCache>
            </c:numRef>
          </c:val>
          <c:smooth val="0"/>
          <c:extLst>
            <c:ext xmlns:c16="http://schemas.microsoft.com/office/drawing/2014/chart" uri="{C3380CC4-5D6E-409C-BE32-E72D297353CC}">
              <c16:uniqueId val="{00000001-CDEE-471D-BCE0-C9774E37E52C}"/>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'PBL Tables'!$CS$108:$CS$117</c:f>
              <c:numCache>
                <c:formatCode>General</c:formatCode>
                <c:ptCount val="10"/>
                <c:pt idx="0">
                  <c:v>3000000</c:v>
                </c:pt>
                <c:pt idx="1">
                  <c:v>8000000</c:v>
                </c:pt>
                <c:pt idx="2">
                  <c:v>20000000</c:v>
                </c:pt>
                <c:pt idx="3">
                  <c:v>40000000</c:v>
                </c:pt>
                <c:pt idx="4">
                  <c:v>60000000</c:v>
                </c:pt>
                <c:pt idx="5">
                  <c:v>80000000</c:v>
                </c:pt>
                <c:pt idx="6" formatCode="#,##0">
                  <c:v>120000000</c:v>
                </c:pt>
                <c:pt idx="7" formatCode="#,##0">
                  <c:v>160000000</c:v>
                </c:pt>
                <c:pt idx="8" formatCode="#,##0">
                  <c:v>200000000</c:v>
                </c:pt>
                <c:pt idx="9" formatCode="#,##0">
                  <c:v>250000000</c:v>
                </c:pt>
              </c:numCache>
            </c:numRef>
          </c:cat>
          <c:val>
            <c:numRef>
              <c:f>'PBL Tables'!$CU$108:$CU$117</c:f>
              <c:numCache>
                <c:formatCode>#,##0.0</c:formatCode>
                <c:ptCount val="10"/>
                <c:pt idx="6" formatCode="#,##0">
                  <c:v>199126200</c:v>
                </c:pt>
                <c:pt idx="7" formatCode="#,##0">
                  <c:v>258931400</c:v>
                </c:pt>
                <c:pt idx="8" formatCode="#,##0">
                  <c:v>318736600</c:v>
                </c:pt>
                <c:pt idx="9" formatCode="#,##0">
                  <c:v>393493099.99999994</c:v>
                </c:pt>
              </c:numCache>
            </c:numRef>
          </c:val>
          <c:smooth val="0"/>
          <c:extLst>
            <c:ext xmlns:c16="http://schemas.microsoft.com/office/drawing/2014/chart" uri="{C3380CC4-5D6E-409C-BE32-E72D297353CC}">
              <c16:uniqueId val="{00000002-CDEE-471D-BCE0-C9774E37E52C}"/>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'PBL Tables'!$CS$146:$CS$155</c:f>
              <c:numCache>
                <c:formatCode>General</c:formatCode>
                <c:ptCount val="10"/>
                <c:pt idx="0">
                  <c:v>3000000</c:v>
                </c:pt>
                <c:pt idx="1">
                  <c:v>8000000</c:v>
                </c:pt>
                <c:pt idx="2">
                  <c:v>20000000</c:v>
                </c:pt>
                <c:pt idx="3">
                  <c:v>40000000</c:v>
                </c:pt>
                <c:pt idx="4">
                  <c:v>60000000</c:v>
                </c:pt>
                <c:pt idx="5">
                  <c:v>80000000</c:v>
                </c:pt>
                <c:pt idx="6">
                  <c:v>120000000</c:v>
                </c:pt>
                <c:pt idx="7" formatCode="#,##0">
                  <c:v>160000000</c:v>
                </c:pt>
                <c:pt idx="8" formatCode="#,##0">
                  <c:v>200000000</c:v>
                </c:pt>
                <c:pt idx="9" formatCode="#,##0">
                  <c:v>250000000</c:v>
                </c:pt>
              </c:numCache>
            </c:numRef>
          </c:cat>
          <c:val>
            <c:numRef>
              <c:f>'PBL Tables'!$CT$146:$CT$155</c:f>
              <c:numCache>
                <c:formatCode>#,##0.0</c:formatCode>
                <c:ptCount val="10"/>
                <c:pt idx="0">
                  <c:v>19126918.444444444</c:v>
                </c:pt>
                <c:pt idx="1">
                  <c:v>26095742.09090909</c:v>
                </c:pt>
                <c:pt idx="2">
                  <c:v>40841962.200000003</c:v>
                </c:pt>
                <c:pt idx="3">
                  <c:v>57570524.666666664</c:v>
                </c:pt>
                <c:pt idx="4">
                  <c:v>79920318.125</c:v>
                </c:pt>
                <c:pt idx="5">
                  <c:v>116973107.25</c:v>
                </c:pt>
                <c:pt idx="6">
                  <c:v>244631645</c:v>
                </c:pt>
              </c:numCache>
            </c:numRef>
          </c:val>
          <c:smooth val="0"/>
          <c:extLst>
            <c:ext xmlns:c16="http://schemas.microsoft.com/office/drawing/2014/chart" uri="{C3380CC4-5D6E-409C-BE32-E72D297353CC}">
              <c16:uniqueId val="{00000001-A0A5-4F0C-8B09-574A05D875BB}"/>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'PBL Tables'!$CS$146:$CS$155</c:f>
              <c:numCache>
                <c:formatCode>General</c:formatCode>
                <c:ptCount val="10"/>
                <c:pt idx="0">
                  <c:v>3000000</c:v>
                </c:pt>
                <c:pt idx="1">
                  <c:v>8000000</c:v>
                </c:pt>
                <c:pt idx="2">
                  <c:v>20000000</c:v>
                </c:pt>
                <c:pt idx="3">
                  <c:v>40000000</c:v>
                </c:pt>
                <c:pt idx="4">
                  <c:v>60000000</c:v>
                </c:pt>
                <c:pt idx="5">
                  <c:v>80000000</c:v>
                </c:pt>
                <c:pt idx="6">
                  <c:v>120000000</c:v>
                </c:pt>
                <c:pt idx="7" formatCode="#,##0">
                  <c:v>160000000</c:v>
                </c:pt>
                <c:pt idx="8" formatCode="#,##0">
                  <c:v>200000000</c:v>
                </c:pt>
                <c:pt idx="9" formatCode="#,##0">
                  <c:v>250000000</c:v>
                </c:pt>
              </c:numCache>
            </c:numRef>
          </c:cat>
          <c:val>
            <c:numRef>
              <c:f>'PBL Tables'!$CU$146:$CU$155</c:f>
              <c:numCache>
                <c:formatCode>#,##0.0</c:formatCode>
                <c:ptCount val="10"/>
                <c:pt idx="6" formatCode="#,##0">
                  <c:v>199696900</c:v>
                </c:pt>
                <c:pt idx="7" formatCode="#,##0">
                  <c:v>259387700</c:v>
                </c:pt>
                <c:pt idx="8" formatCode="#,##0">
                  <c:v>319078500</c:v>
                </c:pt>
                <c:pt idx="9" formatCode="#,##0">
                  <c:v>393692000</c:v>
                </c:pt>
              </c:numCache>
            </c:numRef>
          </c:val>
          <c:smooth val="0"/>
          <c:extLst>
            <c:ext xmlns:c16="http://schemas.microsoft.com/office/drawing/2014/chart" uri="{C3380CC4-5D6E-409C-BE32-E72D297353CC}">
              <c16:uniqueId val="{00000002-A0A5-4F0C-8B09-574A05D875BB}"/>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v>Actual</c:v>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'PBL Tables'!$BJ$13:$BJ$22</c:f>
              <c:numCache>
                <c:formatCode>General</c:formatCode>
                <c:ptCount val="10"/>
                <c:pt idx="0">
                  <c:v>4000000</c:v>
                </c:pt>
                <c:pt idx="1">
                  <c:v>8000000</c:v>
                </c:pt>
                <c:pt idx="2">
                  <c:v>20000000</c:v>
                </c:pt>
                <c:pt idx="3">
                  <c:v>40000000</c:v>
                </c:pt>
                <c:pt idx="4">
                  <c:v>60000000</c:v>
                </c:pt>
                <c:pt idx="5">
                  <c:v>80000000</c:v>
                </c:pt>
                <c:pt idx="6">
                  <c:v>120000000</c:v>
                </c:pt>
                <c:pt idx="7" formatCode="#,##0">
                  <c:v>150000000</c:v>
                </c:pt>
                <c:pt idx="8" formatCode="#,##0">
                  <c:v>200000000</c:v>
                </c:pt>
                <c:pt idx="9" formatCode="#,##0">
                  <c:v>250000000</c:v>
                </c:pt>
              </c:numCache>
            </c:numRef>
          </c:cat>
          <c:val>
            <c:numRef>
              <c:f>'PBL Tables'!$BK$13:$BK$22</c:f>
              <c:numCache>
                <c:formatCode>#,##0</c:formatCode>
                <c:ptCount val="10"/>
                <c:pt idx="0">
                  <c:v>19109771.374760438</c:v>
                </c:pt>
                <c:pt idx="1">
                  <c:v>23289148.265343774</c:v>
                </c:pt>
                <c:pt idx="2">
                  <c:v>37073147.564176887</c:v>
                </c:pt>
                <c:pt idx="3">
                  <c:v>53171402.9233898</c:v>
                </c:pt>
                <c:pt idx="4">
                  <c:v>77545671.333813921</c:v>
                </c:pt>
                <c:pt idx="5">
                  <c:v>113751244.41664214</c:v>
                </c:pt>
                <c:pt idx="6">
                  <c:v>226126304.09125558</c:v>
                </c:pt>
              </c:numCache>
            </c:numRef>
          </c:val>
          <c:smooth val="0"/>
          <c:extLst>
            <c:ext xmlns:c16="http://schemas.microsoft.com/office/drawing/2014/chart" uri="{C3380CC4-5D6E-409C-BE32-E72D297353CC}">
              <c16:uniqueId val="{00000001-FB48-432C-86EE-DD64A22C0D78}"/>
            </c:ext>
          </c:extLst>
        </c:ser>
        <c:ser>
          <c:idx val="1"/>
          <c:order val="1"/>
          <c:tx>
            <c:v>Projection</c:v>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'PBL Tables'!$BJ$13:$BJ$22</c:f>
              <c:numCache>
                <c:formatCode>General</c:formatCode>
                <c:ptCount val="10"/>
                <c:pt idx="0">
                  <c:v>4000000</c:v>
                </c:pt>
                <c:pt idx="1">
                  <c:v>8000000</c:v>
                </c:pt>
                <c:pt idx="2">
                  <c:v>20000000</c:v>
                </c:pt>
                <c:pt idx="3">
                  <c:v>40000000</c:v>
                </c:pt>
                <c:pt idx="4">
                  <c:v>60000000</c:v>
                </c:pt>
                <c:pt idx="5">
                  <c:v>80000000</c:v>
                </c:pt>
                <c:pt idx="6">
                  <c:v>120000000</c:v>
                </c:pt>
                <c:pt idx="7" formatCode="#,##0">
                  <c:v>150000000</c:v>
                </c:pt>
                <c:pt idx="8" formatCode="#,##0">
                  <c:v>200000000</c:v>
                </c:pt>
                <c:pt idx="9" formatCode="#,##0">
                  <c:v>250000000</c:v>
                </c:pt>
              </c:numCache>
            </c:numRef>
          </c:cat>
          <c:val>
            <c:numRef>
              <c:f>'PBL Tables'!$BL$13:$BL$22</c:f>
              <c:numCache>
                <c:formatCode>General</c:formatCode>
                <c:ptCount val="10"/>
                <c:pt idx="7" formatCode="#,##0">
                  <c:v>295000000</c:v>
                </c:pt>
                <c:pt idx="8" formatCode="#,##0">
                  <c:v>396000000</c:v>
                </c:pt>
                <c:pt idx="9" formatCode="#,##0">
                  <c:v>510000000</c:v>
                </c:pt>
              </c:numCache>
            </c:numRef>
          </c:val>
          <c:smooth val="0"/>
          <c:extLst>
            <c:ext xmlns:c16="http://schemas.microsoft.com/office/drawing/2014/chart" uri="{C3380CC4-5D6E-409C-BE32-E72D297353CC}">
              <c16:uniqueId val="{00000002-FB48-432C-86EE-DD64A22C0D78}"/>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'PBL Tables'!$CC$13:$CC$22</c:f>
              <c:numCache>
                <c:formatCode>General</c:formatCode>
                <c:ptCount val="10"/>
                <c:pt idx="0">
                  <c:v>4000000</c:v>
                </c:pt>
                <c:pt idx="1">
                  <c:v>8000000</c:v>
                </c:pt>
                <c:pt idx="2">
                  <c:v>20000000</c:v>
                </c:pt>
                <c:pt idx="3">
                  <c:v>40000000</c:v>
                </c:pt>
                <c:pt idx="4">
                  <c:v>60000000</c:v>
                </c:pt>
                <c:pt idx="5">
                  <c:v>80000000</c:v>
                </c:pt>
                <c:pt idx="6">
                  <c:v>120000000</c:v>
                </c:pt>
                <c:pt idx="7" formatCode="#,##0">
                  <c:v>160000000</c:v>
                </c:pt>
                <c:pt idx="8" formatCode="#,##0">
                  <c:v>200000000</c:v>
                </c:pt>
                <c:pt idx="9" formatCode="#,##0">
                  <c:v>250000000</c:v>
                </c:pt>
              </c:numCache>
            </c:numRef>
          </c:cat>
          <c:val>
            <c:numRef>
              <c:f>'PBL Tables'!$CD$13:$CD$22</c:f>
              <c:numCache>
                <c:formatCode>#,##0</c:formatCode>
                <c:ptCount val="10"/>
                <c:pt idx="0">
                  <c:v>19109771.374760438</c:v>
                </c:pt>
                <c:pt idx="1">
                  <c:v>23289148.265343774</c:v>
                </c:pt>
                <c:pt idx="2">
                  <c:v>37073147.564176887</c:v>
                </c:pt>
                <c:pt idx="3">
                  <c:v>53171402.9233898</c:v>
                </c:pt>
                <c:pt idx="4">
                  <c:v>77545671.333813921</c:v>
                </c:pt>
                <c:pt idx="5">
                  <c:v>113751244.41664214</c:v>
                </c:pt>
                <c:pt idx="6">
                  <c:v>226126304.09125558</c:v>
                </c:pt>
              </c:numCache>
            </c:numRef>
          </c:val>
          <c:smooth val="0"/>
          <c:extLst>
            <c:ext xmlns:c16="http://schemas.microsoft.com/office/drawing/2014/chart" uri="{C3380CC4-5D6E-409C-BE32-E72D297353CC}">
              <c16:uniqueId val="{00000001-9846-4769-A083-DAEEF11FAF71}"/>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'PBL Tables'!$CC$13:$CC$22</c:f>
              <c:numCache>
                <c:formatCode>General</c:formatCode>
                <c:ptCount val="10"/>
                <c:pt idx="0">
                  <c:v>4000000</c:v>
                </c:pt>
                <c:pt idx="1">
                  <c:v>8000000</c:v>
                </c:pt>
                <c:pt idx="2">
                  <c:v>20000000</c:v>
                </c:pt>
                <c:pt idx="3">
                  <c:v>40000000</c:v>
                </c:pt>
                <c:pt idx="4">
                  <c:v>60000000</c:v>
                </c:pt>
                <c:pt idx="5">
                  <c:v>80000000</c:v>
                </c:pt>
                <c:pt idx="6">
                  <c:v>120000000</c:v>
                </c:pt>
                <c:pt idx="7" formatCode="#,##0">
                  <c:v>160000000</c:v>
                </c:pt>
                <c:pt idx="8" formatCode="#,##0">
                  <c:v>200000000</c:v>
                </c:pt>
                <c:pt idx="9" formatCode="#,##0">
                  <c:v>250000000</c:v>
                </c:pt>
              </c:numCache>
            </c:numRef>
          </c:cat>
          <c:val>
            <c:numRef>
              <c:f>'PBL Tables'!$CE$13:$CE$22</c:f>
              <c:numCache>
                <c:formatCode>General</c:formatCode>
                <c:ptCount val="10"/>
                <c:pt idx="4" formatCode="#,##0">
                  <c:v>84874000</c:v>
                </c:pt>
                <c:pt idx="5" formatCode="#,##0">
                  <c:v>107612000</c:v>
                </c:pt>
                <c:pt idx="6" formatCode="#,##0">
                  <c:v>214323200</c:v>
                </c:pt>
                <c:pt idx="7" formatCode="#,##0">
                  <c:v>277989600</c:v>
                </c:pt>
                <c:pt idx="8" formatCode="#,##0">
                  <c:v>341656000</c:v>
                </c:pt>
                <c:pt idx="9" formatCode="#,##0">
                  <c:v>421239000.00000006</c:v>
                </c:pt>
              </c:numCache>
            </c:numRef>
          </c:val>
          <c:smooth val="0"/>
          <c:extLst>
            <c:ext xmlns:c16="http://schemas.microsoft.com/office/drawing/2014/chart" uri="{C3380CC4-5D6E-409C-BE32-E72D297353CC}">
              <c16:uniqueId val="{00000002-9846-4769-A083-DAEEF11FAF71}"/>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'PBL Tables'!$CC$32:$CC$41</c:f>
              <c:numCache>
                <c:formatCode>General</c:formatCode>
                <c:ptCount val="10"/>
                <c:pt idx="0">
                  <c:v>4000000</c:v>
                </c:pt>
                <c:pt idx="1">
                  <c:v>8000000</c:v>
                </c:pt>
                <c:pt idx="2">
                  <c:v>20000000</c:v>
                </c:pt>
                <c:pt idx="3">
                  <c:v>40000000</c:v>
                </c:pt>
                <c:pt idx="4">
                  <c:v>60000000</c:v>
                </c:pt>
                <c:pt idx="5">
                  <c:v>80000000</c:v>
                </c:pt>
                <c:pt idx="6">
                  <c:v>120000000</c:v>
                </c:pt>
                <c:pt idx="7" formatCode="#,##0">
                  <c:v>150000000</c:v>
                </c:pt>
                <c:pt idx="8" formatCode="#,##0">
                  <c:v>200000000</c:v>
                </c:pt>
                <c:pt idx="9" formatCode="#,##0">
                  <c:v>250000000</c:v>
                </c:pt>
              </c:numCache>
            </c:numRef>
          </c:cat>
          <c:val>
            <c:numRef>
              <c:f>'PBL Tables'!$CD$32:$CD$41</c:f>
              <c:numCache>
                <c:formatCode>#,##0</c:formatCode>
                <c:ptCount val="10"/>
                <c:pt idx="0">
                  <c:v>20452522.571428571</c:v>
                </c:pt>
                <c:pt idx="1">
                  <c:v>25176484.142857142</c:v>
                </c:pt>
                <c:pt idx="2">
                  <c:v>39899441</c:v>
                </c:pt>
                <c:pt idx="3">
                  <c:v>58983918</c:v>
                </c:pt>
                <c:pt idx="4">
                  <c:v>80823333.5</c:v>
                </c:pt>
                <c:pt idx="5">
                  <c:v>116725204</c:v>
                </c:pt>
                <c:pt idx="6">
                  <c:v>226126304.09125599</c:v>
                </c:pt>
              </c:numCache>
            </c:numRef>
          </c:val>
          <c:smooth val="0"/>
          <c:extLst>
            <c:ext xmlns:c16="http://schemas.microsoft.com/office/drawing/2014/chart" uri="{C3380CC4-5D6E-409C-BE32-E72D297353CC}">
              <c16:uniqueId val="{00000001-765A-4CD7-9417-0A1BD09C233C}"/>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'PBL Tables'!$CC$32:$CC$41</c:f>
              <c:numCache>
                <c:formatCode>General</c:formatCode>
                <c:ptCount val="10"/>
                <c:pt idx="0">
                  <c:v>4000000</c:v>
                </c:pt>
                <c:pt idx="1">
                  <c:v>8000000</c:v>
                </c:pt>
                <c:pt idx="2">
                  <c:v>20000000</c:v>
                </c:pt>
                <c:pt idx="3">
                  <c:v>40000000</c:v>
                </c:pt>
                <c:pt idx="4">
                  <c:v>60000000</c:v>
                </c:pt>
                <c:pt idx="5">
                  <c:v>80000000</c:v>
                </c:pt>
                <c:pt idx="6">
                  <c:v>120000000</c:v>
                </c:pt>
                <c:pt idx="7" formatCode="#,##0">
                  <c:v>150000000</c:v>
                </c:pt>
                <c:pt idx="8" formatCode="#,##0">
                  <c:v>200000000</c:v>
                </c:pt>
                <c:pt idx="9" formatCode="#,##0">
                  <c:v>250000000</c:v>
                </c:pt>
              </c:numCache>
            </c:numRef>
          </c:cat>
          <c:val>
            <c:numRef>
              <c:f>'PBL Tables'!$CE$32:$CE$41</c:f>
              <c:numCache>
                <c:formatCode>General</c:formatCode>
                <c:ptCount val="10"/>
                <c:pt idx="7" formatCode="#,##0">
                  <c:v>277989600</c:v>
                </c:pt>
                <c:pt idx="8" formatCode="#,##0">
                  <c:v>341656000</c:v>
                </c:pt>
                <c:pt idx="9" formatCode="#,##0">
                  <c:v>421239000.00000006</c:v>
                </c:pt>
              </c:numCache>
            </c:numRef>
          </c:val>
          <c:smooth val="0"/>
          <c:extLst>
            <c:ext xmlns:c16="http://schemas.microsoft.com/office/drawing/2014/chart" uri="{C3380CC4-5D6E-409C-BE32-E72D297353CC}">
              <c16:uniqueId val="{00000002-765A-4CD7-9417-0A1BD09C233C}"/>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'PBL Tables'!$DM$13:$DM$22</c:f>
              <c:numCache>
                <c:formatCode>General</c:formatCode>
                <c:ptCount val="10"/>
                <c:pt idx="0">
                  <c:v>3000000</c:v>
                </c:pt>
                <c:pt idx="1">
                  <c:v>6000000</c:v>
                </c:pt>
                <c:pt idx="2">
                  <c:v>10000000</c:v>
                </c:pt>
                <c:pt idx="3">
                  <c:v>15000000</c:v>
                </c:pt>
                <c:pt idx="4">
                  <c:v>30000000</c:v>
                </c:pt>
                <c:pt idx="5">
                  <c:v>50000000</c:v>
                </c:pt>
                <c:pt idx="6" formatCode="#,##0">
                  <c:v>80000000</c:v>
                </c:pt>
                <c:pt idx="7" formatCode="#,##0">
                  <c:v>100000000</c:v>
                </c:pt>
                <c:pt idx="8" formatCode="#,##0">
                  <c:v>120000000</c:v>
                </c:pt>
                <c:pt idx="9" formatCode="#,##0">
                  <c:v>150000000</c:v>
                </c:pt>
              </c:numCache>
            </c:numRef>
          </c:cat>
          <c:val>
            <c:numRef>
              <c:f>'PBL Tables'!$DN$13:$DN$22</c:f>
              <c:numCache>
                <c:formatCode>#,##0.0</c:formatCode>
                <c:ptCount val="10"/>
                <c:pt idx="0">
                  <c:v>13395472.666666666</c:v>
                </c:pt>
                <c:pt idx="1">
                  <c:v>16811298.428571429</c:v>
                </c:pt>
                <c:pt idx="2">
                  <c:v>22201704.25</c:v>
                </c:pt>
                <c:pt idx="3">
                  <c:v>25872445.333333332</c:v>
                </c:pt>
                <c:pt idx="4">
                  <c:v>42955933</c:v>
                </c:pt>
                <c:pt idx="5">
                  <c:v>69849423</c:v>
                </c:pt>
              </c:numCache>
            </c:numRef>
          </c:val>
          <c:smooth val="0"/>
          <c:extLst>
            <c:ext xmlns:c16="http://schemas.microsoft.com/office/drawing/2014/chart" uri="{C3380CC4-5D6E-409C-BE32-E72D297353CC}">
              <c16:uniqueId val="{00000001-C535-4477-8B62-556D8C75FBFA}"/>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'PBL Tables'!$DM$13:$DM$22</c:f>
              <c:numCache>
                <c:formatCode>General</c:formatCode>
                <c:ptCount val="10"/>
                <c:pt idx="0">
                  <c:v>3000000</c:v>
                </c:pt>
                <c:pt idx="1">
                  <c:v>6000000</c:v>
                </c:pt>
                <c:pt idx="2">
                  <c:v>10000000</c:v>
                </c:pt>
                <c:pt idx="3">
                  <c:v>15000000</c:v>
                </c:pt>
                <c:pt idx="4">
                  <c:v>30000000</c:v>
                </c:pt>
                <c:pt idx="5">
                  <c:v>50000000</c:v>
                </c:pt>
                <c:pt idx="6" formatCode="#,##0">
                  <c:v>80000000</c:v>
                </c:pt>
                <c:pt idx="7" formatCode="#,##0">
                  <c:v>100000000</c:v>
                </c:pt>
                <c:pt idx="8" formatCode="#,##0">
                  <c:v>120000000</c:v>
                </c:pt>
                <c:pt idx="9" formatCode="#,##0">
                  <c:v>150000000</c:v>
                </c:pt>
              </c:numCache>
            </c:numRef>
          </c:cat>
          <c:val>
            <c:numRef>
              <c:f>'PBL Tables'!$DO$13:$DO$22</c:f>
              <c:numCache>
                <c:formatCode>General</c:formatCode>
                <c:ptCount val="10"/>
                <c:pt idx="6" formatCode="#,##0">
                  <c:v>128354999.99999999</c:v>
                </c:pt>
                <c:pt idx="7" formatCode="#,##0">
                  <c:v>197191250</c:v>
                </c:pt>
                <c:pt idx="8" formatCode="#,##0">
                  <c:v>233938750</c:v>
                </c:pt>
                <c:pt idx="9" formatCode="#,##0">
                  <c:v>289060000</c:v>
                </c:pt>
              </c:numCache>
            </c:numRef>
          </c:val>
          <c:smooth val="0"/>
          <c:extLst>
            <c:ext xmlns:c16="http://schemas.microsoft.com/office/drawing/2014/chart" uri="{C3380CC4-5D6E-409C-BE32-E72D297353CC}">
              <c16:uniqueId val="{00000002-C535-4477-8B62-556D8C75FBFA}"/>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'PBL Tables'!$BJ$32:$BJ$41</c:f>
              <c:numCache>
                <c:formatCode>General</c:formatCode>
                <c:ptCount val="10"/>
                <c:pt idx="0">
                  <c:v>4000000</c:v>
                </c:pt>
                <c:pt idx="1">
                  <c:v>8000000</c:v>
                </c:pt>
                <c:pt idx="2">
                  <c:v>20000000</c:v>
                </c:pt>
                <c:pt idx="3">
                  <c:v>40000000</c:v>
                </c:pt>
                <c:pt idx="4">
                  <c:v>60000000</c:v>
                </c:pt>
                <c:pt idx="5">
                  <c:v>80000000</c:v>
                </c:pt>
                <c:pt idx="6">
                  <c:v>120000000</c:v>
                </c:pt>
                <c:pt idx="7" formatCode="#,##0">
                  <c:v>160000000</c:v>
                </c:pt>
                <c:pt idx="8" formatCode="#,##0">
                  <c:v>200000000</c:v>
                </c:pt>
                <c:pt idx="9" formatCode="#,##0">
                  <c:v>250000000</c:v>
                </c:pt>
              </c:numCache>
            </c:numRef>
          </c:cat>
          <c:val>
            <c:numRef>
              <c:f>'PBL Tables'!$BK$32:$BK$41</c:f>
              <c:numCache>
                <c:formatCode>#,##0</c:formatCode>
                <c:ptCount val="10"/>
                <c:pt idx="0">
                  <c:v>20452522.571428571</c:v>
                </c:pt>
                <c:pt idx="1">
                  <c:v>25176484.142857142</c:v>
                </c:pt>
                <c:pt idx="2">
                  <c:v>39899441</c:v>
                </c:pt>
                <c:pt idx="3">
                  <c:v>58983918</c:v>
                </c:pt>
                <c:pt idx="4">
                  <c:v>80823333.5</c:v>
                </c:pt>
                <c:pt idx="5">
                  <c:v>116725204</c:v>
                </c:pt>
                <c:pt idx="6">
                  <c:v>226126304.09125558</c:v>
                </c:pt>
              </c:numCache>
            </c:numRef>
          </c:val>
          <c:smooth val="0"/>
          <c:extLst>
            <c:ext xmlns:c16="http://schemas.microsoft.com/office/drawing/2014/chart" uri="{C3380CC4-5D6E-409C-BE32-E72D297353CC}">
              <c16:uniqueId val="{00000001-0AE3-4BDF-8C35-ED50C2A99C20}"/>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'PBL Tables'!$BJ$32:$BJ$41</c:f>
              <c:numCache>
                <c:formatCode>General</c:formatCode>
                <c:ptCount val="10"/>
                <c:pt idx="0">
                  <c:v>4000000</c:v>
                </c:pt>
                <c:pt idx="1">
                  <c:v>8000000</c:v>
                </c:pt>
                <c:pt idx="2">
                  <c:v>20000000</c:v>
                </c:pt>
                <c:pt idx="3">
                  <c:v>40000000</c:v>
                </c:pt>
                <c:pt idx="4">
                  <c:v>60000000</c:v>
                </c:pt>
                <c:pt idx="5">
                  <c:v>80000000</c:v>
                </c:pt>
                <c:pt idx="6">
                  <c:v>120000000</c:v>
                </c:pt>
                <c:pt idx="7" formatCode="#,##0">
                  <c:v>160000000</c:v>
                </c:pt>
                <c:pt idx="8" formatCode="#,##0">
                  <c:v>200000000</c:v>
                </c:pt>
                <c:pt idx="9" formatCode="#,##0">
                  <c:v>250000000</c:v>
                </c:pt>
              </c:numCache>
            </c:numRef>
          </c:cat>
          <c:val>
            <c:numRef>
              <c:f>'PBL Tables'!$BL$32:$BL$41</c:f>
              <c:numCache>
                <c:formatCode>General</c:formatCode>
                <c:ptCount val="10"/>
                <c:pt idx="7" formatCode="#,##0">
                  <c:v>267534399.99999997</c:v>
                </c:pt>
                <c:pt idx="8" formatCode="#,##0">
                  <c:v>328305600</c:v>
                </c:pt>
                <c:pt idx="9" formatCode="#,##0">
                  <c:v>404269600</c:v>
                </c:pt>
              </c:numCache>
            </c:numRef>
          </c:val>
          <c:smooth val="0"/>
          <c:extLst>
            <c:ext xmlns:c16="http://schemas.microsoft.com/office/drawing/2014/chart" uri="{C3380CC4-5D6E-409C-BE32-E72D297353CC}">
              <c16:uniqueId val="{00000002-0AE3-4BDF-8C35-ED50C2A99C20}"/>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'PBL Tables'!$DM$32:$DM$41</c:f>
              <c:numCache>
                <c:formatCode>General</c:formatCode>
                <c:ptCount val="10"/>
                <c:pt idx="0">
                  <c:v>3000000</c:v>
                </c:pt>
                <c:pt idx="1">
                  <c:v>6000000</c:v>
                </c:pt>
                <c:pt idx="2">
                  <c:v>10000000</c:v>
                </c:pt>
                <c:pt idx="3">
                  <c:v>15000000</c:v>
                </c:pt>
                <c:pt idx="4">
                  <c:v>30000000</c:v>
                </c:pt>
                <c:pt idx="5">
                  <c:v>40000000</c:v>
                </c:pt>
                <c:pt idx="6" formatCode="#,##0">
                  <c:v>60000000</c:v>
                </c:pt>
                <c:pt idx="7" formatCode="#,##0">
                  <c:v>80000000</c:v>
                </c:pt>
                <c:pt idx="8" formatCode="#,##0">
                  <c:v>100000000</c:v>
                </c:pt>
                <c:pt idx="9" formatCode="#,##0">
                  <c:v>150000000</c:v>
                </c:pt>
              </c:numCache>
            </c:numRef>
          </c:cat>
          <c:val>
            <c:numRef>
              <c:f>'PBL Tables'!$DN$32:$DN$41</c:f>
              <c:numCache>
                <c:formatCode>#,##0.0</c:formatCode>
                <c:ptCount val="10"/>
                <c:pt idx="0">
                  <c:v>14279026.833333334</c:v>
                </c:pt>
                <c:pt idx="1">
                  <c:v>17260313.333333332</c:v>
                </c:pt>
                <c:pt idx="2">
                  <c:v>21685931</c:v>
                </c:pt>
                <c:pt idx="3">
                  <c:v>27412381</c:v>
                </c:pt>
                <c:pt idx="4">
                  <c:v>42040756</c:v>
                </c:pt>
                <c:pt idx="5">
                  <c:v>52311529</c:v>
                </c:pt>
              </c:numCache>
            </c:numRef>
          </c:val>
          <c:smooth val="0"/>
          <c:extLst>
            <c:ext xmlns:c16="http://schemas.microsoft.com/office/drawing/2014/chart" uri="{C3380CC4-5D6E-409C-BE32-E72D297353CC}">
              <c16:uniqueId val="{00000001-33D9-46A8-8398-AC6019D8ED1A}"/>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'PBL Tables'!$DM$32:$DM$41</c:f>
              <c:numCache>
                <c:formatCode>General</c:formatCode>
                <c:ptCount val="10"/>
                <c:pt idx="0">
                  <c:v>3000000</c:v>
                </c:pt>
                <c:pt idx="1">
                  <c:v>6000000</c:v>
                </c:pt>
                <c:pt idx="2">
                  <c:v>10000000</c:v>
                </c:pt>
                <c:pt idx="3">
                  <c:v>15000000</c:v>
                </c:pt>
                <c:pt idx="4">
                  <c:v>30000000</c:v>
                </c:pt>
                <c:pt idx="5">
                  <c:v>40000000</c:v>
                </c:pt>
                <c:pt idx="6" formatCode="#,##0">
                  <c:v>60000000</c:v>
                </c:pt>
                <c:pt idx="7" formatCode="#,##0">
                  <c:v>80000000</c:v>
                </c:pt>
                <c:pt idx="8" formatCode="#,##0">
                  <c:v>100000000</c:v>
                </c:pt>
                <c:pt idx="9" formatCode="#,##0">
                  <c:v>150000000</c:v>
                </c:pt>
              </c:numCache>
            </c:numRef>
          </c:cat>
          <c:val>
            <c:numRef>
              <c:f>'PBL Tables'!$DO$32:$DO$41</c:f>
              <c:numCache>
                <c:formatCode>General</c:formatCode>
                <c:ptCount val="10"/>
                <c:pt idx="6" formatCode="#,##0">
                  <c:v>98957000.000000015</c:v>
                </c:pt>
                <c:pt idx="7" formatCode="#,##0">
                  <c:v>128354999.99999999</c:v>
                </c:pt>
                <c:pt idx="8" formatCode="#,##0">
                  <c:v>197191250</c:v>
                </c:pt>
                <c:pt idx="9" formatCode="#,##0">
                  <c:v>289060000</c:v>
                </c:pt>
              </c:numCache>
            </c:numRef>
          </c:val>
          <c:smooth val="0"/>
          <c:extLst>
            <c:ext xmlns:c16="http://schemas.microsoft.com/office/drawing/2014/chart" uri="{C3380CC4-5D6E-409C-BE32-E72D297353CC}">
              <c16:uniqueId val="{00000002-33D9-46A8-8398-AC6019D8ED1A}"/>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'PBL Tables'!$DM$51:$DM$60</c:f>
              <c:numCache>
                <c:formatCode>General</c:formatCode>
                <c:ptCount val="10"/>
                <c:pt idx="0">
                  <c:v>3000000</c:v>
                </c:pt>
                <c:pt idx="1">
                  <c:v>8000000</c:v>
                </c:pt>
                <c:pt idx="2">
                  <c:v>12000000</c:v>
                </c:pt>
                <c:pt idx="3">
                  <c:v>20000000</c:v>
                </c:pt>
                <c:pt idx="4">
                  <c:v>30000000</c:v>
                </c:pt>
                <c:pt idx="5">
                  <c:v>40000000</c:v>
                </c:pt>
                <c:pt idx="6">
                  <c:v>50000000</c:v>
                </c:pt>
                <c:pt idx="7" formatCode="#,##0">
                  <c:v>80000000</c:v>
                </c:pt>
                <c:pt idx="8" formatCode="#,##0">
                  <c:v>100000000</c:v>
                </c:pt>
                <c:pt idx="9" formatCode="#,##0">
                  <c:v>150000000</c:v>
                </c:pt>
              </c:numCache>
            </c:numRef>
          </c:cat>
          <c:val>
            <c:numRef>
              <c:f>'PBL Tables'!$DN$51:$DN$60</c:f>
              <c:numCache>
                <c:formatCode>#,##0.0</c:formatCode>
                <c:ptCount val="10"/>
                <c:pt idx="0">
                  <c:v>11622580.333333334</c:v>
                </c:pt>
                <c:pt idx="1">
                  <c:v>16624817.666666666</c:v>
                </c:pt>
                <c:pt idx="2">
                  <c:v>17697271</c:v>
                </c:pt>
                <c:pt idx="3">
                  <c:v>26087561</c:v>
                </c:pt>
                <c:pt idx="4">
                  <c:v>36432706</c:v>
                </c:pt>
                <c:pt idx="5">
                  <c:v>46219222</c:v>
                </c:pt>
                <c:pt idx="6">
                  <c:v>56921147</c:v>
                </c:pt>
              </c:numCache>
            </c:numRef>
          </c:val>
          <c:smooth val="0"/>
          <c:extLst>
            <c:ext xmlns:c16="http://schemas.microsoft.com/office/drawing/2014/chart" uri="{C3380CC4-5D6E-409C-BE32-E72D297353CC}">
              <c16:uniqueId val="{00000001-A10F-4A20-B534-A6060D3EE783}"/>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'PBL Tables'!$DM$51:$DM$60</c:f>
              <c:numCache>
                <c:formatCode>General</c:formatCode>
                <c:ptCount val="10"/>
                <c:pt idx="0">
                  <c:v>3000000</c:v>
                </c:pt>
                <c:pt idx="1">
                  <c:v>8000000</c:v>
                </c:pt>
                <c:pt idx="2">
                  <c:v>12000000</c:v>
                </c:pt>
                <c:pt idx="3">
                  <c:v>20000000</c:v>
                </c:pt>
                <c:pt idx="4">
                  <c:v>30000000</c:v>
                </c:pt>
                <c:pt idx="5">
                  <c:v>40000000</c:v>
                </c:pt>
                <c:pt idx="6">
                  <c:v>50000000</c:v>
                </c:pt>
                <c:pt idx="7" formatCode="#,##0">
                  <c:v>80000000</c:v>
                </c:pt>
                <c:pt idx="8" formatCode="#,##0">
                  <c:v>100000000</c:v>
                </c:pt>
                <c:pt idx="9" formatCode="#,##0">
                  <c:v>150000000</c:v>
                </c:pt>
              </c:numCache>
            </c:numRef>
          </c:cat>
          <c:val>
            <c:numRef>
              <c:f>'PBL Tables'!$DO$51:$DO$60</c:f>
              <c:numCache>
                <c:formatCode>General</c:formatCode>
                <c:ptCount val="10"/>
                <c:pt idx="7" formatCode="#,##0">
                  <c:v>101329200</c:v>
                </c:pt>
                <c:pt idx="8" formatCode="#,##0">
                  <c:v>156806500</c:v>
                </c:pt>
                <c:pt idx="9" formatCode="#,##0">
                  <c:v>232169000</c:v>
                </c:pt>
              </c:numCache>
            </c:numRef>
          </c:val>
          <c:smooth val="0"/>
          <c:extLst>
            <c:ext xmlns:c16="http://schemas.microsoft.com/office/drawing/2014/chart" uri="{C3380CC4-5D6E-409C-BE32-E72D297353CC}">
              <c16:uniqueId val="{00000002-A10F-4A20-B534-A6060D3EE783}"/>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'PBL Tables'!$DM$70:$DM$79</c:f>
              <c:numCache>
                <c:formatCode>General</c:formatCode>
                <c:ptCount val="10"/>
                <c:pt idx="0">
                  <c:v>3000000</c:v>
                </c:pt>
                <c:pt idx="1">
                  <c:v>8000000</c:v>
                </c:pt>
                <c:pt idx="2">
                  <c:v>12000000</c:v>
                </c:pt>
                <c:pt idx="3">
                  <c:v>20000000</c:v>
                </c:pt>
                <c:pt idx="4">
                  <c:v>30000000</c:v>
                </c:pt>
                <c:pt idx="5">
                  <c:v>40000000</c:v>
                </c:pt>
                <c:pt idx="6">
                  <c:v>50000000</c:v>
                </c:pt>
                <c:pt idx="7">
                  <c:v>80000000</c:v>
                </c:pt>
                <c:pt idx="8">
                  <c:v>100000000</c:v>
                </c:pt>
                <c:pt idx="9" formatCode="#,##0">
                  <c:v>150000000</c:v>
                </c:pt>
              </c:numCache>
            </c:numRef>
          </c:cat>
          <c:val>
            <c:numRef>
              <c:f>'PBL Tables'!$DN$70:$DN$79</c:f>
              <c:numCache>
                <c:formatCode>#,##0.0</c:formatCode>
                <c:ptCount val="10"/>
                <c:pt idx="0">
                  <c:v>13580182.75</c:v>
                </c:pt>
                <c:pt idx="1">
                  <c:v>17850580</c:v>
                </c:pt>
                <c:pt idx="2">
                  <c:v>22486378.75</c:v>
                </c:pt>
                <c:pt idx="3">
                  <c:v>28596904.75</c:v>
                </c:pt>
                <c:pt idx="4">
                  <c:v>34908225.75</c:v>
                </c:pt>
                <c:pt idx="5">
                  <c:v>40708264.5</c:v>
                </c:pt>
                <c:pt idx="6">
                  <c:v>47637120</c:v>
                </c:pt>
                <c:pt idx="7">
                  <c:v>89658852</c:v>
                </c:pt>
                <c:pt idx="8">
                  <c:v>169384236</c:v>
                </c:pt>
              </c:numCache>
            </c:numRef>
          </c:val>
          <c:smooth val="0"/>
          <c:extLst>
            <c:ext xmlns:c16="http://schemas.microsoft.com/office/drawing/2014/chart" uri="{C3380CC4-5D6E-409C-BE32-E72D297353CC}">
              <c16:uniqueId val="{00000001-FD3A-4F2A-8652-C697CA678E2B}"/>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'PBL Tables'!$DM$70:$DM$79</c:f>
              <c:numCache>
                <c:formatCode>General</c:formatCode>
                <c:ptCount val="10"/>
                <c:pt idx="0">
                  <c:v>3000000</c:v>
                </c:pt>
                <c:pt idx="1">
                  <c:v>8000000</c:v>
                </c:pt>
                <c:pt idx="2">
                  <c:v>12000000</c:v>
                </c:pt>
                <c:pt idx="3">
                  <c:v>20000000</c:v>
                </c:pt>
                <c:pt idx="4">
                  <c:v>30000000</c:v>
                </c:pt>
                <c:pt idx="5">
                  <c:v>40000000</c:v>
                </c:pt>
                <c:pt idx="6">
                  <c:v>50000000</c:v>
                </c:pt>
                <c:pt idx="7">
                  <c:v>80000000</c:v>
                </c:pt>
                <c:pt idx="8">
                  <c:v>100000000</c:v>
                </c:pt>
                <c:pt idx="9" formatCode="#,##0">
                  <c:v>150000000</c:v>
                </c:pt>
              </c:numCache>
            </c:numRef>
          </c:cat>
          <c:val>
            <c:numRef>
              <c:f>'PBL Tables'!$DO$70:$DO$79</c:f>
              <c:numCache>
                <c:formatCode>General</c:formatCode>
                <c:ptCount val="10"/>
                <c:pt idx="9" formatCode="#,##0">
                  <c:v>251811124.99999997</c:v>
                </c:pt>
              </c:numCache>
            </c:numRef>
          </c:val>
          <c:smooth val="0"/>
          <c:extLst>
            <c:ext xmlns:c16="http://schemas.microsoft.com/office/drawing/2014/chart" uri="{C3380CC4-5D6E-409C-BE32-E72D297353CC}">
              <c16:uniqueId val="{00000002-FD3A-4F2A-8652-C697CA678E2B}"/>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'PBL Tables'!$DM$89:$DM$98</c:f>
              <c:numCache>
                <c:formatCode>General</c:formatCode>
                <c:ptCount val="10"/>
                <c:pt idx="0">
                  <c:v>3000000</c:v>
                </c:pt>
                <c:pt idx="1">
                  <c:v>8000000</c:v>
                </c:pt>
                <c:pt idx="2">
                  <c:v>12000000</c:v>
                </c:pt>
                <c:pt idx="3">
                  <c:v>20000000</c:v>
                </c:pt>
                <c:pt idx="4">
                  <c:v>30000000</c:v>
                </c:pt>
                <c:pt idx="5">
                  <c:v>40000000</c:v>
                </c:pt>
                <c:pt idx="6">
                  <c:v>50000000</c:v>
                </c:pt>
                <c:pt idx="7">
                  <c:v>80000000</c:v>
                </c:pt>
                <c:pt idx="8">
                  <c:v>100000000</c:v>
                </c:pt>
                <c:pt idx="9" formatCode="#,##0">
                  <c:v>150000000</c:v>
                </c:pt>
              </c:numCache>
            </c:numRef>
          </c:cat>
          <c:val>
            <c:numRef>
              <c:f>'PBL Tables'!$DN$89:$DN$98</c:f>
              <c:numCache>
                <c:formatCode>#,##0.0</c:formatCode>
                <c:ptCount val="10"/>
                <c:pt idx="0">
                  <c:v>13104693.6</c:v>
                </c:pt>
                <c:pt idx="1">
                  <c:v>16881850.199999999</c:v>
                </c:pt>
                <c:pt idx="2">
                  <c:v>21618353.25</c:v>
                </c:pt>
                <c:pt idx="3">
                  <c:v>25754766.25</c:v>
                </c:pt>
                <c:pt idx="4">
                  <c:v>33460836</c:v>
                </c:pt>
                <c:pt idx="5">
                  <c:v>41469791</c:v>
                </c:pt>
                <c:pt idx="6">
                  <c:v>63766762</c:v>
                </c:pt>
                <c:pt idx="7">
                  <c:v>112313239</c:v>
                </c:pt>
                <c:pt idx="8">
                  <c:v>174145592</c:v>
                </c:pt>
              </c:numCache>
            </c:numRef>
          </c:val>
          <c:smooth val="0"/>
          <c:extLst>
            <c:ext xmlns:c16="http://schemas.microsoft.com/office/drawing/2014/chart" uri="{C3380CC4-5D6E-409C-BE32-E72D297353CC}">
              <c16:uniqueId val="{00000001-48CF-4089-A473-663D68D57DE5}"/>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'PBL Tables'!$DM$89:$DM$98</c:f>
              <c:numCache>
                <c:formatCode>General</c:formatCode>
                <c:ptCount val="10"/>
                <c:pt idx="0">
                  <c:v>3000000</c:v>
                </c:pt>
                <c:pt idx="1">
                  <c:v>8000000</c:v>
                </c:pt>
                <c:pt idx="2">
                  <c:v>12000000</c:v>
                </c:pt>
                <c:pt idx="3">
                  <c:v>20000000</c:v>
                </c:pt>
                <c:pt idx="4">
                  <c:v>30000000</c:v>
                </c:pt>
                <c:pt idx="5">
                  <c:v>40000000</c:v>
                </c:pt>
                <c:pt idx="6">
                  <c:v>50000000</c:v>
                </c:pt>
                <c:pt idx="7">
                  <c:v>80000000</c:v>
                </c:pt>
                <c:pt idx="8">
                  <c:v>100000000</c:v>
                </c:pt>
                <c:pt idx="9" formatCode="#,##0">
                  <c:v>150000000</c:v>
                </c:pt>
              </c:numCache>
            </c:numRef>
          </c:cat>
          <c:val>
            <c:numRef>
              <c:f>'PBL Tables'!$DO$89:$DO$98</c:f>
              <c:numCache>
                <c:formatCode>General</c:formatCode>
                <c:ptCount val="10"/>
                <c:pt idx="9" formatCode="#,##0">
                  <c:v>251811124.99999997</c:v>
                </c:pt>
              </c:numCache>
            </c:numRef>
          </c:val>
          <c:smooth val="0"/>
          <c:extLst>
            <c:ext xmlns:c16="http://schemas.microsoft.com/office/drawing/2014/chart" uri="{C3380CC4-5D6E-409C-BE32-E72D297353CC}">
              <c16:uniqueId val="{00000002-48CF-4089-A473-663D68D57DE5}"/>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'PBL Tables'!$DM$108:$DM$117</c:f>
              <c:numCache>
                <c:formatCode>General</c:formatCode>
                <c:ptCount val="10"/>
                <c:pt idx="0">
                  <c:v>3000000</c:v>
                </c:pt>
                <c:pt idx="1">
                  <c:v>8000000</c:v>
                </c:pt>
                <c:pt idx="2">
                  <c:v>12000000</c:v>
                </c:pt>
                <c:pt idx="3">
                  <c:v>20000000</c:v>
                </c:pt>
                <c:pt idx="4">
                  <c:v>40000000</c:v>
                </c:pt>
                <c:pt idx="5">
                  <c:v>60000000</c:v>
                </c:pt>
                <c:pt idx="6">
                  <c:v>80000000</c:v>
                </c:pt>
                <c:pt idx="7">
                  <c:v>100000000</c:v>
                </c:pt>
                <c:pt idx="8">
                  <c:v>150000000</c:v>
                </c:pt>
                <c:pt idx="9" formatCode="#,##0">
                  <c:v>200000000</c:v>
                </c:pt>
              </c:numCache>
            </c:numRef>
          </c:cat>
          <c:val>
            <c:numRef>
              <c:f>'PBL Tables'!$DN$108:$DN$117</c:f>
              <c:numCache>
                <c:formatCode>#,##0.0</c:formatCode>
                <c:ptCount val="10"/>
                <c:pt idx="0">
                  <c:v>14840637.25</c:v>
                </c:pt>
                <c:pt idx="1">
                  <c:v>19056728.5</c:v>
                </c:pt>
                <c:pt idx="2">
                  <c:v>23172526.25</c:v>
                </c:pt>
                <c:pt idx="3">
                  <c:v>28508214.333333332</c:v>
                </c:pt>
                <c:pt idx="4">
                  <c:v>44237114.5</c:v>
                </c:pt>
                <c:pt idx="5">
                  <c:v>53948281.5</c:v>
                </c:pt>
                <c:pt idx="6">
                  <c:v>78166159.5</c:v>
                </c:pt>
                <c:pt idx="7">
                  <c:v>124361859</c:v>
                </c:pt>
                <c:pt idx="8">
                  <c:v>202664967</c:v>
                </c:pt>
              </c:numCache>
            </c:numRef>
          </c:val>
          <c:smooth val="0"/>
          <c:extLst>
            <c:ext xmlns:c16="http://schemas.microsoft.com/office/drawing/2014/chart" uri="{C3380CC4-5D6E-409C-BE32-E72D297353CC}">
              <c16:uniqueId val="{00000001-0012-457D-B25C-8DF252CEAC76}"/>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'PBL Tables'!$DM$108:$DM$117</c:f>
              <c:numCache>
                <c:formatCode>General</c:formatCode>
                <c:ptCount val="10"/>
                <c:pt idx="0">
                  <c:v>3000000</c:v>
                </c:pt>
                <c:pt idx="1">
                  <c:v>8000000</c:v>
                </c:pt>
                <c:pt idx="2">
                  <c:v>12000000</c:v>
                </c:pt>
                <c:pt idx="3">
                  <c:v>20000000</c:v>
                </c:pt>
                <c:pt idx="4">
                  <c:v>40000000</c:v>
                </c:pt>
                <c:pt idx="5">
                  <c:v>60000000</c:v>
                </c:pt>
                <c:pt idx="6">
                  <c:v>80000000</c:v>
                </c:pt>
                <c:pt idx="7">
                  <c:v>100000000</c:v>
                </c:pt>
                <c:pt idx="8">
                  <c:v>150000000</c:v>
                </c:pt>
                <c:pt idx="9" formatCode="#,##0">
                  <c:v>200000000</c:v>
                </c:pt>
              </c:numCache>
            </c:numRef>
          </c:cat>
          <c:val>
            <c:numRef>
              <c:f>'PBL Tables'!$DO$108:$DO$117</c:f>
              <c:numCache>
                <c:formatCode>General</c:formatCode>
                <c:ptCount val="10"/>
                <c:pt idx="9" formatCode="#,##0">
                  <c:v>285756249.99999994</c:v>
                </c:pt>
              </c:numCache>
            </c:numRef>
          </c:val>
          <c:smooth val="0"/>
          <c:extLst>
            <c:ext xmlns:c16="http://schemas.microsoft.com/office/drawing/2014/chart" uri="{C3380CC4-5D6E-409C-BE32-E72D297353CC}">
              <c16:uniqueId val="{00000002-0012-457D-B25C-8DF252CEAC76}"/>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'PBL Tables'!$DM$127:$DM$136</c:f>
              <c:numCache>
                <c:formatCode>General</c:formatCode>
                <c:ptCount val="10"/>
                <c:pt idx="0">
                  <c:v>3000000</c:v>
                </c:pt>
                <c:pt idx="1">
                  <c:v>8000000</c:v>
                </c:pt>
                <c:pt idx="2">
                  <c:v>12000000</c:v>
                </c:pt>
                <c:pt idx="3">
                  <c:v>20000000</c:v>
                </c:pt>
                <c:pt idx="4">
                  <c:v>40000000</c:v>
                </c:pt>
                <c:pt idx="5">
                  <c:v>60000000</c:v>
                </c:pt>
                <c:pt idx="6">
                  <c:v>80000000</c:v>
                </c:pt>
                <c:pt idx="7" formatCode="#,##0">
                  <c:v>100000000</c:v>
                </c:pt>
                <c:pt idx="8" formatCode="#,##0">
                  <c:v>150000000</c:v>
                </c:pt>
                <c:pt idx="9" formatCode="#,##0">
                  <c:v>200000000</c:v>
                </c:pt>
              </c:numCache>
            </c:numRef>
          </c:cat>
          <c:val>
            <c:numRef>
              <c:f>'PBL Tables'!$DN$127:$DN$136</c:f>
              <c:numCache>
                <c:formatCode>#,##0.0</c:formatCode>
                <c:ptCount val="10"/>
                <c:pt idx="0">
                  <c:v>16167755.166666666</c:v>
                </c:pt>
                <c:pt idx="1">
                  <c:v>22640188.333333332</c:v>
                </c:pt>
                <c:pt idx="2">
                  <c:v>27545303.333333332</c:v>
                </c:pt>
                <c:pt idx="3">
                  <c:v>37169134</c:v>
                </c:pt>
                <c:pt idx="4">
                  <c:v>46528439</c:v>
                </c:pt>
                <c:pt idx="5">
                  <c:v>65496964.5</c:v>
                </c:pt>
                <c:pt idx="6">
                  <c:v>82611428</c:v>
                </c:pt>
              </c:numCache>
            </c:numRef>
          </c:val>
          <c:smooth val="0"/>
          <c:extLst>
            <c:ext xmlns:c16="http://schemas.microsoft.com/office/drawing/2014/chart" uri="{C3380CC4-5D6E-409C-BE32-E72D297353CC}">
              <c16:uniqueId val="{00000001-F885-4433-9F88-3015653C1EC4}"/>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'PBL Tables'!$DM$127:$DM$136</c:f>
              <c:numCache>
                <c:formatCode>General</c:formatCode>
                <c:ptCount val="10"/>
                <c:pt idx="0">
                  <c:v>3000000</c:v>
                </c:pt>
                <c:pt idx="1">
                  <c:v>8000000</c:v>
                </c:pt>
                <c:pt idx="2">
                  <c:v>12000000</c:v>
                </c:pt>
                <c:pt idx="3">
                  <c:v>20000000</c:v>
                </c:pt>
                <c:pt idx="4">
                  <c:v>40000000</c:v>
                </c:pt>
                <c:pt idx="5">
                  <c:v>60000000</c:v>
                </c:pt>
                <c:pt idx="6">
                  <c:v>80000000</c:v>
                </c:pt>
                <c:pt idx="7" formatCode="#,##0">
                  <c:v>100000000</c:v>
                </c:pt>
                <c:pt idx="8" formatCode="#,##0">
                  <c:v>150000000</c:v>
                </c:pt>
                <c:pt idx="9" formatCode="#,##0">
                  <c:v>200000000</c:v>
                </c:pt>
              </c:numCache>
            </c:numRef>
          </c:cat>
          <c:val>
            <c:numRef>
              <c:f>'PBL Tables'!$DO$127:$DO$136</c:f>
              <c:numCache>
                <c:formatCode>General</c:formatCode>
                <c:ptCount val="10"/>
                <c:pt idx="7" formatCode="#,##0">
                  <c:v>149293749.99999997</c:v>
                </c:pt>
                <c:pt idx="8" formatCode="#,##0">
                  <c:v>217524999.99999997</c:v>
                </c:pt>
                <c:pt idx="9" formatCode="#,##0">
                  <c:v>285756249.99999994</c:v>
                </c:pt>
              </c:numCache>
            </c:numRef>
          </c:val>
          <c:smooth val="0"/>
          <c:extLst>
            <c:ext xmlns:c16="http://schemas.microsoft.com/office/drawing/2014/chart" uri="{C3380CC4-5D6E-409C-BE32-E72D297353CC}">
              <c16:uniqueId val="{00000002-F885-4433-9F88-3015653C1EC4}"/>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'PBL Tables'!$DM$146:$DM$155</c:f>
              <c:numCache>
                <c:formatCode>General</c:formatCode>
                <c:ptCount val="10"/>
                <c:pt idx="0">
                  <c:v>3000000</c:v>
                </c:pt>
                <c:pt idx="1">
                  <c:v>8000000</c:v>
                </c:pt>
                <c:pt idx="2">
                  <c:v>20000000</c:v>
                </c:pt>
                <c:pt idx="3">
                  <c:v>40000000</c:v>
                </c:pt>
                <c:pt idx="4">
                  <c:v>60000000</c:v>
                </c:pt>
                <c:pt idx="5" formatCode="#,##0">
                  <c:v>80000000</c:v>
                </c:pt>
                <c:pt idx="6" formatCode="#,##0">
                  <c:v>100000000</c:v>
                </c:pt>
                <c:pt idx="7" formatCode="#,##0">
                  <c:v>120000000</c:v>
                </c:pt>
                <c:pt idx="8" formatCode="#,##0">
                  <c:v>160000000</c:v>
                </c:pt>
                <c:pt idx="9" formatCode="#,##0">
                  <c:v>200000000</c:v>
                </c:pt>
              </c:numCache>
            </c:numRef>
          </c:cat>
          <c:val>
            <c:numRef>
              <c:f>'PBL Tables'!$DN$146:$DN$155</c:f>
              <c:numCache>
                <c:formatCode>#,##0.0</c:formatCode>
                <c:ptCount val="10"/>
                <c:pt idx="0">
                  <c:v>18967621</c:v>
                </c:pt>
                <c:pt idx="1">
                  <c:v>25691092.375</c:v>
                </c:pt>
                <c:pt idx="2">
                  <c:v>41280610</c:v>
                </c:pt>
                <c:pt idx="3">
                  <c:v>60505599.5</c:v>
                </c:pt>
                <c:pt idx="4">
                  <c:v>82205459</c:v>
                </c:pt>
              </c:numCache>
            </c:numRef>
          </c:val>
          <c:smooth val="0"/>
          <c:extLst>
            <c:ext xmlns:c16="http://schemas.microsoft.com/office/drawing/2014/chart" uri="{C3380CC4-5D6E-409C-BE32-E72D297353CC}">
              <c16:uniqueId val="{00000001-9FA3-4B67-AB7B-54820F4536AE}"/>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'PBL Tables'!$DM$146:$DM$155</c:f>
              <c:numCache>
                <c:formatCode>General</c:formatCode>
                <c:ptCount val="10"/>
                <c:pt idx="0">
                  <c:v>3000000</c:v>
                </c:pt>
                <c:pt idx="1">
                  <c:v>8000000</c:v>
                </c:pt>
                <c:pt idx="2">
                  <c:v>20000000</c:v>
                </c:pt>
                <c:pt idx="3">
                  <c:v>40000000</c:v>
                </c:pt>
                <c:pt idx="4">
                  <c:v>60000000</c:v>
                </c:pt>
                <c:pt idx="5" formatCode="#,##0">
                  <c:v>80000000</c:v>
                </c:pt>
                <c:pt idx="6" formatCode="#,##0">
                  <c:v>100000000</c:v>
                </c:pt>
                <c:pt idx="7" formatCode="#,##0">
                  <c:v>120000000</c:v>
                </c:pt>
                <c:pt idx="8" formatCode="#,##0">
                  <c:v>160000000</c:v>
                </c:pt>
                <c:pt idx="9" formatCode="#,##0">
                  <c:v>200000000</c:v>
                </c:pt>
              </c:numCache>
            </c:numRef>
          </c:cat>
          <c:val>
            <c:numRef>
              <c:f>'PBL Tables'!$DO$146:$DO$155</c:f>
              <c:numCache>
                <c:formatCode>General</c:formatCode>
                <c:ptCount val="10"/>
                <c:pt idx="5" formatCode="#,##0">
                  <c:v>107121000</c:v>
                </c:pt>
                <c:pt idx="6" formatCode="#,##0">
                  <c:v>162448750</c:v>
                </c:pt>
                <c:pt idx="7" formatCode="#,##0">
                  <c:v>190996250</c:v>
                </c:pt>
                <c:pt idx="8" formatCode="#,##0">
                  <c:v>248091249.99999997</c:v>
                </c:pt>
                <c:pt idx="9" formatCode="#,##0">
                  <c:v>305186250</c:v>
                </c:pt>
              </c:numCache>
            </c:numRef>
          </c:val>
          <c:smooth val="0"/>
          <c:extLst>
            <c:ext xmlns:c16="http://schemas.microsoft.com/office/drawing/2014/chart" uri="{C3380CC4-5D6E-409C-BE32-E72D297353CC}">
              <c16:uniqueId val="{00000002-9FA3-4B67-AB7B-54820F4536AE}"/>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'PBL Tables'!$DM$165:$DM$174</c:f>
              <c:numCache>
                <c:formatCode>General</c:formatCode>
                <c:ptCount val="10"/>
                <c:pt idx="0">
                  <c:v>3000000</c:v>
                </c:pt>
                <c:pt idx="1">
                  <c:v>8000000</c:v>
                </c:pt>
                <c:pt idx="2">
                  <c:v>20000000</c:v>
                </c:pt>
                <c:pt idx="3">
                  <c:v>30000000</c:v>
                </c:pt>
                <c:pt idx="4">
                  <c:v>50000000</c:v>
                </c:pt>
                <c:pt idx="5">
                  <c:v>80000000</c:v>
                </c:pt>
                <c:pt idx="6" formatCode="#,##0">
                  <c:v>100000000</c:v>
                </c:pt>
                <c:pt idx="7" formatCode="#,##0">
                  <c:v>120000000</c:v>
                </c:pt>
                <c:pt idx="8" formatCode="#,##0">
                  <c:v>160000000</c:v>
                </c:pt>
                <c:pt idx="9" formatCode="#,##0">
                  <c:v>200000000</c:v>
                </c:pt>
              </c:numCache>
            </c:numRef>
          </c:cat>
          <c:val>
            <c:numRef>
              <c:f>'PBL Tables'!$DN$165:$DN$174</c:f>
              <c:numCache>
                <c:formatCode>#,##0.0</c:formatCode>
                <c:ptCount val="10"/>
                <c:pt idx="0">
                  <c:v>17794424</c:v>
                </c:pt>
                <c:pt idx="1">
                  <c:v>23738465.428571429</c:v>
                </c:pt>
                <c:pt idx="2">
                  <c:v>37375273.833333336</c:v>
                </c:pt>
                <c:pt idx="3">
                  <c:v>46036330.25</c:v>
                </c:pt>
                <c:pt idx="4">
                  <c:v>70639884.333333328</c:v>
                </c:pt>
                <c:pt idx="5">
                  <c:v>118500311</c:v>
                </c:pt>
              </c:numCache>
            </c:numRef>
          </c:val>
          <c:smooth val="0"/>
          <c:extLst>
            <c:ext xmlns:c16="http://schemas.microsoft.com/office/drawing/2014/chart" uri="{C3380CC4-5D6E-409C-BE32-E72D297353CC}">
              <c16:uniqueId val="{00000001-7CC9-48EE-9153-BA54F588525D}"/>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'PBL Tables'!$DM$165:$DM$174</c:f>
              <c:numCache>
                <c:formatCode>General</c:formatCode>
                <c:ptCount val="10"/>
                <c:pt idx="0">
                  <c:v>3000000</c:v>
                </c:pt>
                <c:pt idx="1">
                  <c:v>8000000</c:v>
                </c:pt>
                <c:pt idx="2">
                  <c:v>20000000</c:v>
                </c:pt>
                <c:pt idx="3">
                  <c:v>30000000</c:v>
                </c:pt>
                <c:pt idx="4">
                  <c:v>50000000</c:v>
                </c:pt>
                <c:pt idx="5">
                  <c:v>80000000</c:v>
                </c:pt>
                <c:pt idx="6" formatCode="#,##0">
                  <c:v>100000000</c:v>
                </c:pt>
                <c:pt idx="7" formatCode="#,##0">
                  <c:v>120000000</c:v>
                </c:pt>
                <c:pt idx="8" formatCode="#,##0">
                  <c:v>160000000</c:v>
                </c:pt>
                <c:pt idx="9" formatCode="#,##0">
                  <c:v>200000000</c:v>
                </c:pt>
              </c:numCache>
            </c:numRef>
          </c:cat>
          <c:val>
            <c:numRef>
              <c:f>'PBL Tables'!$DO$165:$DO$174</c:f>
              <c:numCache>
                <c:formatCode>General</c:formatCode>
                <c:ptCount val="10"/>
                <c:pt idx="6" formatCode="#,##0">
                  <c:v>162448750</c:v>
                </c:pt>
                <c:pt idx="7" formatCode="#,##0">
                  <c:v>190996250</c:v>
                </c:pt>
                <c:pt idx="8" formatCode="#,##0">
                  <c:v>248091249.99999997</c:v>
                </c:pt>
                <c:pt idx="9" formatCode="#,##0">
                  <c:v>305186250</c:v>
                </c:pt>
              </c:numCache>
            </c:numRef>
          </c:val>
          <c:smooth val="0"/>
          <c:extLst>
            <c:ext xmlns:c16="http://schemas.microsoft.com/office/drawing/2014/chart" uri="{C3380CC4-5D6E-409C-BE32-E72D297353CC}">
              <c16:uniqueId val="{00000002-7CC9-48EE-9153-BA54F588525D}"/>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'PBL Tables'!$DM$184:$DM$193</c:f>
              <c:numCache>
                <c:formatCode>General</c:formatCode>
                <c:ptCount val="10"/>
                <c:pt idx="0">
                  <c:v>3000000</c:v>
                </c:pt>
                <c:pt idx="1">
                  <c:v>8000000</c:v>
                </c:pt>
                <c:pt idx="2">
                  <c:v>20000000</c:v>
                </c:pt>
                <c:pt idx="3">
                  <c:v>40000000</c:v>
                </c:pt>
                <c:pt idx="4">
                  <c:v>60000000</c:v>
                </c:pt>
                <c:pt idx="5">
                  <c:v>80000000</c:v>
                </c:pt>
                <c:pt idx="6" formatCode="#,##0">
                  <c:v>120000000</c:v>
                </c:pt>
                <c:pt idx="7" formatCode="#,##0">
                  <c:v>160000000</c:v>
                </c:pt>
                <c:pt idx="8" formatCode="#,##0">
                  <c:v>200000000</c:v>
                </c:pt>
                <c:pt idx="9" formatCode="#,##0">
                  <c:v>250000000</c:v>
                </c:pt>
              </c:numCache>
            </c:numRef>
          </c:cat>
          <c:val>
            <c:numRef>
              <c:f>'PBL Tables'!$DN$184:$DN$193</c:f>
              <c:numCache>
                <c:formatCode>#,##0.0</c:formatCode>
                <c:ptCount val="10"/>
                <c:pt idx="0">
                  <c:v>19147765.5</c:v>
                </c:pt>
                <c:pt idx="1">
                  <c:v>26453199.666666668</c:v>
                </c:pt>
                <c:pt idx="2">
                  <c:v>41750462.600000001</c:v>
                </c:pt>
                <c:pt idx="3">
                  <c:v>57879269.333333336</c:v>
                </c:pt>
                <c:pt idx="4">
                  <c:v>80635273</c:v>
                </c:pt>
                <c:pt idx="5">
                  <c:v>117609992.5</c:v>
                </c:pt>
              </c:numCache>
            </c:numRef>
          </c:val>
          <c:smooth val="0"/>
          <c:extLst>
            <c:ext xmlns:c16="http://schemas.microsoft.com/office/drawing/2014/chart" uri="{C3380CC4-5D6E-409C-BE32-E72D297353CC}">
              <c16:uniqueId val="{00000001-0485-490D-841E-1C6A57156C8A}"/>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'PBL Tables'!$DM$184:$DM$193</c:f>
              <c:numCache>
                <c:formatCode>General</c:formatCode>
                <c:ptCount val="10"/>
                <c:pt idx="0">
                  <c:v>3000000</c:v>
                </c:pt>
                <c:pt idx="1">
                  <c:v>8000000</c:v>
                </c:pt>
                <c:pt idx="2">
                  <c:v>20000000</c:v>
                </c:pt>
                <c:pt idx="3">
                  <c:v>40000000</c:v>
                </c:pt>
                <c:pt idx="4">
                  <c:v>60000000</c:v>
                </c:pt>
                <c:pt idx="5">
                  <c:v>80000000</c:v>
                </c:pt>
                <c:pt idx="6" formatCode="#,##0">
                  <c:v>120000000</c:v>
                </c:pt>
                <c:pt idx="7" formatCode="#,##0">
                  <c:v>160000000</c:v>
                </c:pt>
                <c:pt idx="8" formatCode="#,##0">
                  <c:v>200000000</c:v>
                </c:pt>
                <c:pt idx="9" formatCode="#,##0">
                  <c:v>250000000</c:v>
                </c:pt>
              </c:numCache>
            </c:numRef>
          </c:cat>
          <c:val>
            <c:numRef>
              <c:f>'PBL Tables'!$DO$184:$DO$193</c:f>
              <c:numCache>
                <c:formatCode>General</c:formatCode>
                <c:ptCount val="10"/>
                <c:pt idx="6" formatCode="#,##0">
                  <c:v>222247500</c:v>
                </c:pt>
                <c:pt idx="7" formatCode="#,##0">
                  <c:v>291387500</c:v>
                </c:pt>
                <c:pt idx="8" formatCode="#,##0">
                  <c:v>360527500</c:v>
                </c:pt>
                <c:pt idx="9" formatCode="#,##0">
                  <c:v>446952500</c:v>
                </c:pt>
              </c:numCache>
            </c:numRef>
          </c:val>
          <c:smooth val="0"/>
          <c:extLst>
            <c:ext xmlns:c16="http://schemas.microsoft.com/office/drawing/2014/chart" uri="{C3380CC4-5D6E-409C-BE32-E72D297353CC}">
              <c16:uniqueId val="{00000002-0485-490D-841E-1C6A57156C8A}"/>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'PBL Tables'!$DM$203:$DM$212</c:f>
              <c:numCache>
                <c:formatCode>General</c:formatCode>
                <c:ptCount val="10"/>
                <c:pt idx="0">
                  <c:v>3000000</c:v>
                </c:pt>
                <c:pt idx="1">
                  <c:v>8000000</c:v>
                </c:pt>
                <c:pt idx="2">
                  <c:v>20000000</c:v>
                </c:pt>
                <c:pt idx="3">
                  <c:v>40000000</c:v>
                </c:pt>
                <c:pt idx="4">
                  <c:v>60000000</c:v>
                </c:pt>
                <c:pt idx="5">
                  <c:v>80000000</c:v>
                </c:pt>
                <c:pt idx="6">
                  <c:v>120000000</c:v>
                </c:pt>
                <c:pt idx="7" formatCode="#,##0">
                  <c:v>160000000</c:v>
                </c:pt>
                <c:pt idx="8" formatCode="#,##0">
                  <c:v>200000000</c:v>
                </c:pt>
                <c:pt idx="9" formatCode="#,##0">
                  <c:v>250000000</c:v>
                </c:pt>
              </c:numCache>
            </c:numRef>
          </c:cat>
          <c:val>
            <c:numRef>
              <c:f>'PBL Tables'!$DN$203:$DN$212</c:f>
              <c:numCache>
                <c:formatCode>#,##0.0</c:formatCode>
                <c:ptCount val="10"/>
                <c:pt idx="0">
                  <c:v>19085224.333333332</c:v>
                </c:pt>
                <c:pt idx="1">
                  <c:v>25666793</c:v>
                </c:pt>
                <c:pt idx="2">
                  <c:v>39933461.799999997</c:v>
                </c:pt>
                <c:pt idx="3">
                  <c:v>57261780</c:v>
                </c:pt>
                <c:pt idx="4">
                  <c:v>79205363.25</c:v>
                </c:pt>
                <c:pt idx="5">
                  <c:v>116336222</c:v>
                </c:pt>
                <c:pt idx="6">
                  <c:v>244631645</c:v>
                </c:pt>
              </c:numCache>
            </c:numRef>
          </c:val>
          <c:smooth val="0"/>
          <c:extLst>
            <c:ext xmlns:c16="http://schemas.microsoft.com/office/drawing/2014/chart" uri="{C3380CC4-5D6E-409C-BE32-E72D297353CC}">
              <c16:uniqueId val="{00000001-C166-4B1D-8665-F90DBD5582F5}"/>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'PBL Tables'!$DM$203:$DM$212</c:f>
              <c:numCache>
                <c:formatCode>General</c:formatCode>
                <c:ptCount val="10"/>
                <c:pt idx="0">
                  <c:v>3000000</c:v>
                </c:pt>
                <c:pt idx="1">
                  <c:v>8000000</c:v>
                </c:pt>
                <c:pt idx="2">
                  <c:v>20000000</c:v>
                </c:pt>
                <c:pt idx="3">
                  <c:v>40000000</c:v>
                </c:pt>
                <c:pt idx="4">
                  <c:v>60000000</c:v>
                </c:pt>
                <c:pt idx="5">
                  <c:v>80000000</c:v>
                </c:pt>
                <c:pt idx="6">
                  <c:v>120000000</c:v>
                </c:pt>
                <c:pt idx="7" formatCode="#,##0">
                  <c:v>160000000</c:v>
                </c:pt>
                <c:pt idx="8" formatCode="#,##0">
                  <c:v>200000000</c:v>
                </c:pt>
                <c:pt idx="9" formatCode="#,##0">
                  <c:v>250000000</c:v>
                </c:pt>
              </c:numCache>
            </c:numRef>
          </c:cat>
          <c:val>
            <c:numRef>
              <c:f>'PBL Tables'!$DO$203:$DO$212</c:f>
              <c:numCache>
                <c:formatCode>General</c:formatCode>
                <c:ptCount val="10"/>
                <c:pt idx="7" formatCode="#,##0">
                  <c:v>291387500</c:v>
                </c:pt>
                <c:pt idx="8" formatCode="#,##0">
                  <c:v>360527500</c:v>
                </c:pt>
                <c:pt idx="9" formatCode="#,##0">
                  <c:v>446952500</c:v>
                </c:pt>
              </c:numCache>
            </c:numRef>
          </c:val>
          <c:smooth val="0"/>
          <c:extLst>
            <c:ext xmlns:c16="http://schemas.microsoft.com/office/drawing/2014/chart" uri="{C3380CC4-5D6E-409C-BE32-E72D297353CC}">
              <c16:uniqueId val="{00000002-C166-4B1D-8665-F90DBD5582F5}"/>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'PBL Tables'!$DM$222:$DM$231</c:f>
              <c:numCache>
                <c:formatCode>General</c:formatCode>
                <c:ptCount val="10"/>
                <c:pt idx="0">
                  <c:v>4000000</c:v>
                </c:pt>
                <c:pt idx="1">
                  <c:v>8000000</c:v>
                </c:pt>
                <c:pt idx="2">
                  <c:v>20000000</c:v>
                </c:pt>
                <c:pt idx="3">
                  <c:v>40000000</c:v>
                </c:pt>
                <c:pt idx="4">
                  <c:v>60000000</c:v>
                </c:pt>
                <c:pt idx="5">
                  <c:v>80000000</c:v>
                </c:pt>
                <c:pt idx="6">
                  <c:v>120000000</c:v>
                </c:pt>
                <c:pt idx="7" formatCode="#,##0">
                  <c:v>160000000</c:v>
                </c:pt>
                <c:pt idx="8" formatCode="#,##0">
                  <c:v>200000000</c:v>
                </c:pt>
                <c:pt idx="9" formatCode="#,##0">
                  <c:v>250000000</c:v>
                </c:pt>
              </c:numCache>
            </c:numRef>
          </c:cat>
          <c:val>
            <c:numRef>
              <c:f>'PBL Tables'!$DN$222:$DN$231</c:f>
              <c:numCache>
                <c:formatCode>#,##0.0</c:formatCode>
                <c:ptCount val="10"/>
                <c:pt idx="0">
                  <c:v>20916563.333333332</c:v>
                </c:pt>
                <c:pt idx="1">
                  <c:v>25666793</c:v>
                </c:pt>
                <c:pt idx="2">
                  <c:v>39933461.799999997</c:v>
                </c:pt>
                <c:pt idx="3">
                  <c:v>57261780</c:v>
                </c:pt>
                <c:pt idx="4">
                  <c:v>79205363.25</c:v>
                </c:pt>
                <c:pt idx="5">
                  <c:v>116336222</c:v>
                </c:pt>
                <c:pt idx="6">
                  <c:v>244631645</c:v>
                </c:pt>
              </c:numCache>
            </c:numRef>
          </c:val>
          <c:smooth val="0"/>
          <c:extLst>
            <c:ext xmlns:c16="http://schemas.microsoft.com/office/drawing/2014/chart" uri="{C3380CC4-5D6E-409C-BE32-E72D297353CC}">
              <c16:uniqueId val="{00000001-89A0-48DA-A3BB-138819A02439}"/>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'PBL Tables'!$DM$222:$DM$231</c:f>
              <c:numCache>
                <c:formatCode>General</c:formatCode>
                <c:ptCount val="10"/>
                <c:pt idx="0">
                  <c:v>4000000</c:v>
                </c:pt>
                <c:pt idx="1">
                  <c:v>8000000</c:v>
                </c:pt>
                <c:pt idx="2">
                  <c:v>20000000</c:v>
                </c:pt>
                <c:pt idx="3">
                  <c:v>40000000</c:v>
                </c:pt>
                <c:pt idx="4">
                  <c:v>60000000</c:v>
                </c:pt>
                <c:pt idx="5">
                  <c:v>80000000</c:v>
                </c:pt>
                <c:pt idx="6">
                  <c:v>120000000</c:v>
                </c:pt>
                <c:pt idx="7" formatCode="#,##0">
                  <c:v>160000000</c:v>
                </c:pt>
                <c:pt idx="8" formatCode="#,##0">
                  <c:v>200000000</c:v>
                </c:pt>
                <c:pt idx="9" formatCode="#,##0">
                  <c:v>250000000</c:v>
                </c:pt>
              </c:numCache>
            </c:numRef>
          </c:cat>
          <c:val>
            <c:numRef>
              <c:f>'PBL Tables'!$DO$222:$DO$231</c:f>
              <c:numCache>
                <c:formatCode>General</c:formatCode>
                <c:ptCount val="10"/>
                <c:pt idx="7" formatCode="#,##0">
                  <c:v>291387500</c:v>
                </c:pt>
                <c:pt idx="8" formatCode="#,##0">
                  <c:v>360527500</c:v>
                </c:pt>
                <c:pt idx="9" formatCode="#,##0">
                  <c:v>446952500</c:v>
                </c:pt>
              </c:numCache>
            </c:numRef>
          </c:val>
          <c:smooth val="0"/>
          <c:extLst>
            <c:ext xmlns:c16="http://schemas.microsoft.com/office/drawing/2014/chart" uri="{C3380CC4-5D6E-409C-BE32-E72D297353CC}">
              <c16:uniqueId val="{00000002-89A0-48DA-A3BB-138819A02439}"/>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'PBL Tables'!$EF$13:$EF$22</c:f>
              <c:numCache>
                <c:formatCode>General</c:formatCode>
                <c:ptCount val="10"/>
                <c:pt idx="0">
                  <c:v>3000000</c:v>
                </c:pt>
                <c:pt idx="1">
                  <c:v>6000000</c:v>
                </c:pt>
                <c:pt idx="2">
                  <c:v>10000000</c:v>
                </c:pt>
                <c:pt idx="3">
                  <c:v>15000000</c:v>
                </c:pt>
                <c:pt idx="4">
                  <c:v>30000000</c:v>
                </c:pt>
                <c:pt idx="5">
                  <c:v>50000000</c:v>
                </c:pt>
                <c:pt idx="6" formatCode="#,##0">
                  <c:v>70000000</c:v>
                </c:pt>
                <c:pt idx="7" formatCode="#,##0">
                  <c:v>100000000</c:v>
                </c:pt>
                <c:pt idx="8" formatCode="#,##0">
                  <c:v>120000000</c:v>
                </c:pt>
                <c:pt idx="9" formatCode="#,##0">
                  <c:v>150000000</c:v>
                </c:pt>
              </c:numCache>
            </c:numRef>
          </c:cat>
          <c:val>
            <c:numRef>
              <c:f>'PBL Tables'!$EG$13:$EG$22</c:f>
              <c:numCache>
                <c:formatCode>#,##0.0</c:formatCode>
                <c:ptCount val="10"/>
                <c:pt idx="0">
                  <c:v>13694197.411764706</c:v>
                </c:pt>
                <c:pt idx="1">
                  <c:v>17009155.846153848</c:v>
                </c:pt>
                <c:pt idx="2">
                  <c:v>22485424</c:v>
                </c:pt>
                <c:pt idx="3">
                  <c:v>26955270.5</c:v>
                </c:pt>
                <c:pt idx="4">
                  <c:v>42863537.75</c:v>
                </c:pt>
                <c:pt idx="5">
                  <c:v>68554623.5</c:v>
                </c:pt>
              </c:numCache>
            </c:numRef>
          </c:val>
          <c:smooth val="0"/>
          <c:extLst>
            <c:ext xmlns:c16="http://schemas.microsoft.com/office/drawing/2014/chart" uri="{C3380CC4-5D6E-409C-BE32-E72D297353CC}">
              <c16:uniqueId val="{00000001-4C60-4D02-9A0C-3555B4AF8F89}"/>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'PBL Tables'!$EF$13:$EF$22</c:f>
              <c:numCache>
                <c:formatCode>General</c:formatCode>
                <c:ptCount val="10"/>
                <c:pt idx="0">
                  <c:v>3000000</c:v>
                </c:pt>
                <c:pt idx="1">
                  <c:v>6000000</c:v>
                </c:pt>
                <c:pt idx="2">
                  <c:v>10000000</c:v>
                </c:pt>
                <c:pt idx="3">
                  <c:v>15000000</c:v>
                </c:pt>
                <c:pt idx="4">
                  <c:v>30000000</c:v>
                </c:pt>
                <c:pt idx="5">
                  <c:v>50000000</c:v>
                </c:pt>
                <c:pt idx="6" formatCode="#,##0">
                  <c:v>70000000</c:v>
                </c:pt>
                <c:pt idx="7" formatCode="#,##0">
                  <c:v>100000000</c:v>
                </c:pt>
                <c:pt idx="8" formatCode="#,##0">
                  <c:v>120000000</c:v>
                </c:pt>
                <c:pt idx="9" formatCode="#,##0">
                  <c:v>150000000</c:v>
                </c:pt>
              </c:numCache>
            </c:numRef>
          </c:cat>
          <c:val>
            <c:numRef>
              <c:f>'PBL Tables'!$EH$13:$EH$22</c:f>
              <c:numCache>
                <c:formatCode>General</c:formatCode>
                <c:ptCount val="10"/>
                <c:pt idx="6" formatCode="#,##0">
                  <c:v>90484999.999999985</c:v>
                </c:pt>
                <c:pt idx="7" formatCode="#,##0">
                  <c:v>168652800</c:v>
                </c:pt>
                <c:pt idx="8" formatCode="#,##0">
                  <c:v>199651500</c:v>
                </c:pt>
                <c:pt idx="9" formatCode="#,##0">
                  <c:v>246149549.99999997</c:v>
                </c:pt>
              </c:numCache>
            </c:numRef>
          </c:val>
          <c:smooth val="0"/>
          <c:extLst>
            <c:ext xmlns:c16="http://schemas.microsoft.com/office/drawing/2014/chart" uri="{C3380CC4-5D6E-409C-BE32-E72D297353CC}">
              <c16:uniqueId val="{00000002-4C60-4D02-9A0C-3555B4AF8F89}"/>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'PBL Tables'!$EF$32:$EF$41</c:f>
              <c:numCache>
                <c:formatCode>General</c:formatCode>
                <c:ptCount val="10"/>
                <c:pt idx="0">
                  <c:v>3000000</c:v>
                </c:pt>
                <c:pt idx="1">
                  <c:v>6000000</c:v>
                </c:pt>
                <c:pt idx="2">
                  <c:v>10000000</c:v>
                </c:pt>
                <c:pt idx="3">
                  <c:v>15000000</c:v>
                </c:pt>
                <c:pt idx="4">
                  <c:v>25000000</c:v>
                </c:pt>
                <c:pt idx="5">
                  <c:v>35000000</c:v>
                </c:pt>
                <c:pt idx="6">
                  <c:v>55000000</c:v>
                </c:pt>
                <c:pt idx="7" formatCode="#,##0">
                  <c:v>80000000</c:v>
                </c:pt>
                <c:pt idx="8" formatCode="#,##0">
                  <c:v>100000000</c:v>
                </c:pt>
                <c:pt idx="9" formatCode="#,##0">
                  <c:v>150000000</c:v>
                </c:pt>
              </c:numCache>
            </c:numRef>
          </c:cat>
          <c:val>
            <c:numRef>
              <c:f>'PBL Tables'!$EG$32:$EG$41</c:f>
              <c:numCache>
                <c:formatCode>#,##0.0</c:formatCode>
                <c:ptCount val="10"/>
                <c:pt idx="0">
                  <c:v>13694197.411764706</c:v>
                </c:pt>
                <c:pt idx="1">
                  <c:v>17009155.846153848</c:v>
                </c:pt>
                <c:pt idx="2">
                  <c:v>22485424</c:v>
                </c:pt>
                <c:pt idx="3">
                  <c:v>26955270.5</c:v>
                </c:pt>
                <c:pt idx="4">
                  <c:v>27652624</c:v>
                </c:pt>
                <c:pt idx="5">
                  <c:v>46986662</c:v>
                </c:pt>
                <c:pt idx="6">
                  <c:v>80521889</c:v>
                </c:pt>
              </c:numCache>
            </c:numRef>
          </c:val>
          <c:smooth val="0"/>
          <c:extLst>
            <c:ext xmlns:c16="http://schemas.microsoft.com/office/drawing/2014/chart" uri="{C3380CC4-5D6E-409C-BE32-E72D297353CC}">
              <c16:uniqueId val="{00000001-0B5D-4962-AA3F-C26331AB1C61}"/>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'PBL Tables'!$EF$32:$EF$41</c:f>
              <c:numCache>
                <c:formatCode>General</c:formatCode>
                <c:ptCount val="10"/>
                <c:pt idx="0">
                  <c:v>3000000</c:v>
                </c:pt>
                <c:pt idx="1">
                  <c:v>6000000</c:v>
                </c:pt>
                <c:pt idx="2">
                  <c:v>10000000</c:v>
                </c:pt>
                <c:pt idx="3">
                  <c:v>15000000</c:v>
                </c:pt>
                <c:pt idx="4">
                  <c:v>25000000</c:v>
                </c:pt>
                <c:pt idx="5">
                  <c:v>35000000</c:v>
                </c:pt>
                <c:pt idx="6">
                  <c:v>55000000</c:v>
                </c:pt>
                <c:pt idx="7" formatCode="#,##0">
                  <c:v>80000000</c:v>
                </c:pt>
                <c:pt idx="8" formatCode="#,##0">
                  <c:v>100000000</c:v>
                </c:pt>
                <c:pt idx="9" formatCode="#,##0">
                  <c:v>150000000</c:v>
                </c:pt>
              </c:numCache>
            </c:numRef>
          </c:cat>
          <c:val>
            <c:numRef>
              <c:f>'PBL Tables'!$EH$32:$EH$41</c:f>
              <c:numCache>
                <c:formatCode>General</c:formatCode>
                <c:ptCount val="10"/>
                <c:pt idx="7" formatCode="#,##0">
                  <c:v>101965999.99999999</c:v>
                </c:pt>
                <c:pt idx="8" formatCode="#,##0">
                  <c:v>168652800</c:v>
                </c:pt>
                <c:pt idx="9" formatCode="#,##0">
                  <c:v>246149549.99999997</c:v>
                </c:pt>
              </c:numCache>
            </c:numRef>
          </c:val>
          <c:smooth val="0"/>
          <c:extLst>
            <c:ext xmlns:c16="http://schemas.microsoft.com/office/drawing/2014/chart" uri="{C3380CC4-5D6E-409C-BE32-E72D297353CC}">
              <c16:uniqueId val="{00000002-0B5D-4962-AA3F-C26331AB1C61}"/>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'PBL Tables'!$EF$51:$EF$60</c:f>
              <c:numCache>
                <c:formatCode>General</c:formatCode>
                <c:ptCount val="10"/>
                <c:pt idx="0">
                  <c:v>3000000</c:v>
                </c:pt>
                <c:pt idx="1">
                  <c:v>8000000</c:v>
                </c:pt>
                <c:pt idx="2">
                  <c:v>12000000</c:v>
                </c:pt>
                <c:pt idx="3">
                  <c:v>20000000</c:v>
                </c:pt>
                <c:pt idx="4">
                  <c:v>30000000</c:v>
                </c:pt>
                <c:pt idx="5">
                  <c:v>40000000</c:v>
                </c:pt>
                <c:pt idx="6">
                  <c:v>50000000</c:v>
                </c:pt>
                <c:pt idx="7">
                  <c:v>80000000</c:v>
                </c:pt>
                <c:pt idx="8">
                  <c:v>100000000</c:v>
                </c:pt>
                <c:pt idx="9" formatCode="#,##0">
                  <c:v>150000000</c:v>
                </c:pt>
              </c:numCache>
            </c:numRef>
          </c:cat>
          <c:val>
            <c:numRef>
              <c:f>'PBL Tables'!$EG$51:$EG$60</c:f>
              <c:numCache>
                <c:formatCode>#,##0.0</c:formatCode>
                <c:ptCount val="10"/>
                <c:pt idx="0">
                  <c:v>13015574.5</c:v>
                </c:pt>
                <c:pt idx="1">
                  <c:v>17310548.444444444</c:v>
                </c:pt>
                <c:pt idx="2">
                  <c:v>21914847.5</c:v>
                </c:pt>
                <c:pt idx="3">
                  <c:v>28293594.571428571</c:v>
                </c:pt>
                <c:pt idx="4">
                  <c:v>35724773.333333336</c:v>
                </c:pt>
                <c:pt idx="5">
                  <c:v>43154467.5</c:v>
                </c:pt>
                <c:pt idx="6">
                  <c:v>56108343</c:v>
                </c:pt>
                <c:pt idx="7">
                  <c:v>100986045.5</c:v>
                </c:pt>
                <c:pt idx="8">
                  <c:v>171764914</c:v>
                </c:pt>
              </c:numCache>
            </c:numRef>
          </c:val>
          <c:smooth val="0"/>
          <c:extLst>
            <c:ext xmlns:c16="http://schemas.microsoft.com/office/drawing/2014/chart" uri="{C3380CC4-5D6E-409C-BE32-E72D297353CC}">
              <c16:uniqueId val="{00000001-1B93-477E-9628-D6BBDB6292F6}"/>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'PBL Tables'!$EF$51:$EF$60</c:f>
              <c:numCache>
                <c:formatCode>General</c:formatCode>
                <c:ptCount val="10"/>
                <c:pt idx="0">
                  <c:v>3000000</c:v>
                </c:pt>
                <c:pt idx="1">
                  <c:v>8000000</c:v>
                </c:pt>
                <c:pt idx="2">
                  <c:v>12000000</c:v>
                </c:pt>
                <c:pt idx="3">
                  <c:v>20000000</c:v>
                </c:pt>
                <c:pt idx="4">
                  <c:v>30000000</c:v>
                </c:pt>
                <c:pt idx="5">
                  <c:v>40000000</c:v>
                </c:pt>
                <c:pt idx="6">
                  <c:v>50000000</c:v>
                </c:pt>
                <c:pt idx="7">
                  <c:v>80000000</c:v>
                </c:pt>
                <c:pt idx="8">
                  <c:v>100000000</c:v>
                </c:pt>
                <c:pt idx="9" formatCode="#,##0">
                  <c:v>150000000</c:v>
                </c:pt>
              </c:numCache>
            </c:numRef>
          </c:cat>
          <c:val>
            <c:numRef>
              <c:f>'PBL Tables'!$EH$51:$EH$60</c:f>
              <c:numCache>
                <c:formatCode>General</c:formatCode>
                <c:ptCount val="10"/>
                <c:pt idx="7" formatCode="#,##0">
                  <c:v>101329200</c:v>
                </c:pt>
                <c:pt idx="8" formatCode="#,##0">
                  <c:v>169351020</c:v>
                </c:pt>
                <c:pt idx="9" formatCode="#,##0">
                  <c:v>250742520.00000003</c:v>
                </c:pt>
              </c:numCache>
            </c:numRef>
          </c:val>
          <c:smooth val="0"/>
          <c:extLst>
            <c:ext xmlns:c16="http://schemas.microsoft.com/office/drawing/2014/chart" uri="{C3380CC4-5D6E-409C-BE32-E72D297353CC}">
              <c16:uniqueId val="{00000002-1B93-477E-9628-D6BBDB6292F6}"/>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'PBL Tables'!$BJ$52:$BJ$61</c:f>
              <c:numCache>
                <c:formatCode>General</c:formatCode>
                <c:ptCount val="10"/>
                <c:pt idx="0">
                  <c:v>8000000</c:v>
                </c:pt>
                <c:pt idx="1">
                  <c:v>20000000</c:v>
                </c:pt>
                <c:pt idx="2">
                  <c:v>30000000</c:v>
                </c:pt>
                <c:pt idx="3">
                  <c:v>50000000</c:v>
                </c:pt>
                <c:pt idx="4">
                  <c:v>100000000</c:v>
                </c:pt>
                <c:pt idx="5" formatCode="#,##0">
                  <c:v>160000000</c:v>
                </c:pt>
                <c:pt idx="6" formatCode="#,##0">
                  <c:v>200000000</c:v>
                </c:pt>
                <c:pt idx="7" formatCode="#,##0">
                  <c:v>250000000</c:v>
                </c:pt>
                <c:pt idx="8" formatCode="#,##0">
                  <c:v>300000000</c:v>
                </c:pt>
                <c:pt idx="9" formatCode="#,##0">
                  <c:v>350000000</c:v>
                </c:pt>
              </c:numCache>
            </c:numRef>
          </c:cat>
          <c:val>
            <c:numRef>
              <c:f>'PBL Tables'!$BK$52:$BK$61</c:f>
              <c:numCache>
                <c:formatCode>#,##0</c:formatCode>
                <c:ptCount val="10"/>
                <c:pt idx="0">
                  <c:v>25176484.142857142</c:v>
                </c:pt>
                <c:pt idx="1">
                  <c:v>39899441</c:v>
                </c:pt>
                <c:pt idx="2">
                  <c:v>47423181</c:v>
                </c:pt>
                <c:pt idx="3">
                  <c:v>77692656</c:v>
                </c:pt>
                <c:pt idx="4">
                  <c:v>183084473</c:v>
                </c:pt>
              </c:numCache>
            </c:numRef>
          </c:val>
          <c:smooth val="0"/>
          <c:extLst>
            <c:ext xmlns:c16="http://schemas.microsoft.com/office/drawing/2014/chart" uri="{C3380CC4-5D6E-409C-BE32-E72D297353CC}">
              <c16:uniqueId val="{00000001-73A4-47D5-BA95-A266D5EDD0B2}"/>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'PBL Tables'!$BJ$52:$BJ$61</c:f>
              <c:numCache>
                <c:formatCode>General</c:formatCode>
                <c:ptCount val="10"/>
                <c:pt idx="0">
                  <c:v>8000000</c:v>
                </c:pt>
                <c:pt idx="1">
                  <c:v>20000000</c:v>
                </c:pt>
                <c:pt idx="2">
                  <c:v>30000000</c:v>
                </c:pt>
                <c:pt idx="3">
                  <c:v>50000000</c:v>
                </c:pt>
                <c:pt idx="4">
                  <c:v>100000000</c:v>
                </c:pt>
                <c:pt idx="5" formatCode="#,##0">
                  <c:v>160000000</c:v>
                </c:pt>
                <c:pt idx="6" formatCode="#,##0">
                  <c:v>200000000</c:v>
                </c:pt>
                <c:pt idx="7" formatCode="#,##0">
                  <c:v>250000000</c:v>
                </c:pt>
                <c:pt idx="8" formatCode="#,##0">
                  <c:v>300000000</c:v>
                </c:pt>
                <c:pt idx="9" formatCode="#,##0">
                  <c:v>350000000</c:v>
                </c:pt>
              </c:numCache>
            </c:numRef>
          </c:cat>
          <c:val>
            <c:numRef>
              <c:f>'PBL Tables'!$BL$52:$BL$61</c:f>
              <c:numCache>
                <c:formatCode>General</c:formatCode>
                <c:ptCount val="10"/>
                <c:pt idx="5" formatCode="#,##0">
                  <c:v>300000000</c:v>
                </c:pt>
                <c:pt idx="6" formatCode="#,##0">
                  <c:v>440000000</c:v>
                </c:pt>
                <c:pt idx="7" formatCode="#,##0">
                  <c:v>590000000</c:v>
                </c:pt>
                <c:pt idx="8" formatCode="#,##0">
                  <c:v>800000000</c:v>
                </c:pt>
                <c:pt idx="9" formatCode="#,##0">
                  <c:v>1000000000</c:v>
                </c:pt>
              </c:numCache>
            </c:numRef>
          </c:val>
          <c:smooth val="0"/>
          <c:extLst>
            <c:ext xmlns:c16="http://schemas.microsoft.com/office/drawing/2014/chart" uri="{C3380CC4-5D6E-409C-BE32-E72D297353CC}">
              <c16:uniqueId val="{00000002-73A4-47D5-BA95-A266D5EDD0B2}"/>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'PBL Tables'!$AV$32:$AV$41</c:f>
              <c:numCache>
                <c:formatCode>General</c:formatCode>
                <c:ptCount val="10"/>
                <c:pt idx="0">
                  <c:v>3000000</c:v>
                </c:pt>
                <c:pt idx="1">
                  <c:v>8000000</c:v>
                </c:pt>
                <c:pt idx="2">
                  <c:v>12000000</c:v>
                </c:pt>
                <c:pt idx="3">
                  <c:v>20000000</c:v>
                </c:pt>
                <c:pt idx="4">
                  <c:v>40000000</c:v>
                </c:pt>
                <c:pt idx="5">
                  <c:v>60000000</c:v>
                </c:pt>
                <c:pt idx="6">
                  <c:v>80000000</c:v>
                </c:pt>
                <c:pt idx="7">
                  <c:v>100000000</c:v>
                </c:pt>
                <c:pt idx="8" formatCode="#,##0">
                  <c:v>150000000</c:v>
                </c:pt>
                <c:pt idx="9" formatCode="#,##0">
                  <c:v>200000000</c:v>
                </c:pt>
              </c:numCache>
            </c:numRef>
          </c:cat>
          <c:val>
            <c:numRef>
              <c:f>'PBL Tables'!$AW$32:$AW$41</c:f>
              <c:numCache>
                <c:formatCode>#,##0</c:formatCode>
                <c:ptCount val="10"/>
                <c:pt idx="0">
                  <c:v>14795254.451882668</c:v>
                </c:pt>
                <c:pt idx="1">
                  <c:v>19901707.782528002</c:v>
                </c:pt>
                <c:pt idx="2">
                  <c:v>25095285.017088003</c:v>
                </c:pt>
                <c:pt idx="3">
                  <c:v>31121410.374912001</c:v>
                </c:pt>
                <c:pt idx="4">
                  <c:v>46781737.736448005</c:v>
                </c:pt>
                <c:pt idx="5">
                  <c:v>78033626.711040005</c:v>
                </c:pt>
                <c:pt idx="6">
                  <c:v>112669291.63776001</c:v>
                </c:pt>
                <c:pt idx="7">
                  <c:v>191431593.99936002</c:v>
                </c:pt>
              </c:numCache>
            </c:numRef>
          </c:val>
          <c:smooth val="0"/>
          <c:extLst>
            <c:ext xmlns:c16="http://schemas.microsoft.com/office/drawing/2014/chart" uri="{C3380CC4-5D6E-409C-BE32-E72D297353CC}">
              <c16:uniqueId val="{00000001-D3ED-4A52-B7C3-91257E70EE5F}"/>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'PBL Tables'!$AV$32:$AV$41</c:f>
              <c:numCache>
                <c:formatCode>General</c:formatCode>
                <c:ptCount val="10"/>
                <c:pt idx="0">
                  <c:v>3000000</c:v>
                </c:pt>
                <c:pt idx="1">
                  <c:v>8000000</c:v>
                </c:pt>
                <c:pt idx="2">
                  <c:v>12000000</c:v>
                </c:pt>
                <c:pt idx="3">
                  <c:v>20000000</c:v>
                </c:pt>
                <c:pt idx="4">
                  <c:v>40000000</c:v>
                </c:pt>
                <c:pt idx="5">
                  <c:v>60000000</c:v>
                </c:pt>
                <c:pt idx="6">
                  <c:v>80000000</c:v>
                </c:pt>
                <c:pt idx="7">
                  <c:v>100000000</c:v>
                </c:pt>
                <c:pt idx="8" formatCode="#,##0">
                  <c:v>150000000</c:v>
                </c:pt>
                <c:pt idx="9" formatCode="#,##0">
                  <c:v>200000000</c:v>
                </c:pt>
              </c:numCache>
            </c:numRef>
          </c:cat>
          <c:val>
            <c:numRef>
              <c:f>'PBL Tables'!$AX$32:$AX$41</c:f>
              <c:numCache>
                <c:formatCode>General</c:formatCode>
                <c:ptCount val="10"/>
                <c:pt idx="8" formatCode="#,##0">
                  <c:v>245000000</c:v>
                </c:pt>
                <c:pt idx="9" formatCode="#,##0">
                  <c:v>315000000</c:v>
                </c:pt>
              </c:numCache>
            </c:numRef>
          </c:val>
          <c:smooth val="0"/>
          <c:extLst>
            <c:ext xmlns:c16="http://schemas.microsoft.com/office/drawing/2014/chart" uri="{C3380CC4-5D6E-409C-BE32-E72D297353CC}">
              <c16:uniqueId val="{00000002-D3ED-4A52-B7C3-91257E70EE5F}"/>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'PBL Tables'!$AV$51:$AV$60</c:f>
              <c:numCache>
                <c:formatCode>General</c:formatCode>
                <c:ptCount val="10"/>
                <c:pt idx="0">
                  <c:v>4000000</c:v>
                </c:pt>
                <c:pt idx="1">
                  <c:v>8000000</c:v>
                </c:pt>
                <c:pt idx="2">
                  <c:v>20000000</c:v>
                </c:pt>
                <c:pt idx="3">
                  <c:v>40000000</c:v>
                </c:pt>
                <c:pt idx="4">
                  <c:v>60000000</c:v>
                </c:pt>
                <c:pt idx="5">
                  <c:v>80000000</c:v>
                </c:pt>
                <c:pt idx="6">
                  <c:v>120000000</c:v>
                </c:pt>
                <c:pt idx="7" formatCode="#,##0">
                  <c:v>150000000</c:v>
                </c:pt>
                <c:pt idx="8" formatCode="#,##0">
                  <c:v>200000000</c:v>
                </c:pt>
                <c:pt idx="9" formatCode="#,##0">
                  <c:v>250000000</c:v>
                </c:pt>
              </c:numCache>
            </c:numRef>
          </c:cat>
          <c:val>
            <c:numRef>
              <c:f>'PBL Tables'!$AW$51:$AW$60</c:f>
              <c:numCache>
                <c:formatCode>#,##0</c:formatCode>
                <c:ptCount val="10"/>
                <c:pt idx="0">
                  <c:v>19429896.442857143</c:v>
                </c:pt>
                <c:pt idx="1">
                  <c:v>24134605.362499997</c:v>
                </c:pt>
                <c:pt idx="2">
                  <c:v>37904468.949999996</c:v>
                </c:pt>
                <c:pt idx="3">
                  <c:v>56034722.099999994</c:v>
                </c:pt>
                <c:pt idx="4">
                  <c:v>76782166.825000003</c:v>
                </c:pt>
                <c:pt idx="5">
                  <c:v>110888943.8</c:v>
                </c:pt>
                <c:pt idx="6">
                  <c:v>214819988.88669318</c:v>
                </c:pt>
              </c:numCache>
            </c:numRef>
          </c:val>
          <c:smooth val="0"/>
          <c:extLst>
            <c:ext xmlns:c16="http://schemas.microsoft.com/office/drawing/2014/chart" uri="{C3380CC4-5D6E-409C-BE32-E72D297353CC}">
              <c16:uniqueId val="{00000001-894F-420A-B8D5-4C2B771150BF}"/>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'PBL Tables'!$AV$51:$AV$60</c:f>
              <c:numCache>
                <c:formatCode>General</c:formatCode>
                <c:ptCount val="10"/>
                <c:pt idx="0">
                  <c:v>4000000</c:v>
                </c:pt>
                <c:pt idx="1">
                  <c:v>8000000</c:v>
                </c:pt>
                <c:pt idx="2">
                  <c:v>20000000</c:v>
                </c:pt>
                <c:pt idx="3">
                  <c:v>40000000</c:v>
                </c:pt>
                <c:pt idx="4">
                  <c:v>60000000</c:v>
                </c:pt>
                <c:pt idx="5">
                  <c:v>80000000</c:v>
                </c:pt>
                <c:pt idx="6">
                  <c:v>120000000</c:v>
                </c:pt>
                <c:pt idx="7" formatCode="#,##0">
                  <c:v>150000000</c:v>
                </c:pt>
                <c:pt idx="8" formatCode="#,##0">
                  <c:v>200000000</c:v>
                </c:pt>
                <c:pt idx="9" formatCode="#,##0">
                  <c:v>250000000</c:v>
                </c:pt>
              </c:numCache>
            </c:numRef>
          </c:cat>
          <c:val>
            <c:numRef>
              <c:f>'PBL Tables'!$AX$51:$AX$60</c:f>
              <c:numCache>
                <c:formatCode>#,##0.0</c:formatCode>
                <c:ptCount val="10"/>
                <c:pt idx="7" formatCode="#,##0">
                  <c:v>275000000</c:v>
                </c:pt>
                <c:pt idx="8" formatCode="#,##0">
                  <c:v>370000000</c:v>
                </c:pt>
                <c:pt idx="9" formatCode="#,##0">
                  <c:v>480000000</c:v>
                </c:pt>
              </c:numCache>
            </c:numRef>
          </c:val>
          <c:smooth val="0"/>
          <c:extLst>
            <c:ext xmlns:c16="http://schemas.microsoft.com/office/drawing/2014/chart" uri="{C3380CC4-5D6E-409C-BE32-E72D297353CC}">
              <c16:uniqueId val="{00000002-894F-420A-B8D5-4C2B771150BF}"/>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'PBL Tables'!$AV$71:$AV$80</c:f>
              <c:numCache>
                <c:formatCode>General</c:formatCode>
                <c:ptCount val="10"/>
                <c:pt idx="0">
                  <c:v>8000000</c:v>
                </c:pt>
                <c:pt idx="1">
                  <c:v>20000000</c:v>
                </c:pt>
                <c:pt idx="2">
                  <c:v>30000000</c:v>
                </c:pt>
                <c:pt idx="3">
                  <c:v>50000000</c:v>
                </c:pt>
                <c:pt idx="4">
                  <c:v>100000000</c:v>
                </c:pt>
                <c:pt idx="5">
                  <c:v>160000000</c:v>
                </c:pt>
                <c:pt idx="6" formatCode="#,##0">
                  <c:v>200000000</c:v>
                </c:pt>
                <c:pt idx="7" formatCode="#,##0">
                  <c:v>250000000</c:v>
                </c:pt>
                <c:pt idx="8" formatCode="#,##0">
                  <c:v>300000000</c:v>
                </c:pt>
                <c:pt idx="9" formatCode="#,##0">
                  <c:v>350000000</c:v>
                </c:pt>
              </c:numCache>
            </c:numRef>
          </c:cat>
          <c:val>
            <c:numRef>
              <c:f>'PBL Tables'!$AW$71:$AW$80</c:f>
              <c:numCache>
                <c:formatCode>#,##0</c:formatCode>
                <c:ptCount val="10"/>
                <c:pt idx="0">
                  <c:v>25404847.75</c:v>
                </c:pt>
                <c:pt idx="1">
                  <c:v>39899441</c:v>
                </c:pt>
                <c:pt idx="2">
                  <c:v>47423181</c:v>
                </c:pt>
                <c:pt idx="3">
                  <c:v>77692656</c:v>
                </c:pt>
                <c:pt idx="4">
                  <c:v>183084473</c:v>
                </c:pt>
                <c:pt idx="5">
                  <c:v>284837414</c:v>
                </c:pt>
              </c:numCache>
            </c:numRef>
          </c:val>
          <c:smooth val="0"/>
          <c:extLst>
            <c:ext xmlns:c16="http://schemas.microsoft.com/office/drawing/2014/chart" uri="{C3380CC4-5D6E-409C-BE32-E72D297353CC}">
              <c16:uniqueId val="{00000001-5942-4E60-AB8E-0483322FF0B7}"/>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'PBL Tables'!$AV$71:$AV$80</c:f>
              <c:numCache>
                <c:formatCode>General</c:formatCode>
                <c:ptCount val="10"/>
                <c:pt idx="0">
                  <c:v>8000000</c:v>
                </c:pt>
                <c:pt idx="1">
                  <c:v>20000000</c:v>
                </c:pt>
                <c:pt idx="2">
                  <c:v>30000000</c:v>
                </c:pt>
                <c:pt idx="3">
                  <c:v>50000000</c:v>
                </c:pt>
                <c:pt idx="4">
                  <c:v>100000000</c:v>
                </c:pt>
                <c:pt idx="5">
                  <c:v>160000000</c:v>
                </c:pt>
                <c:pt idx="6" formatCode="#,##0">
                  <c:v>200000000</c:v>
                </c:pt>
                <c:pt idx="7" formatCode="#,##0">
                  <c:v>250000000</c:v>
                </c:pt>
                <c:pt idx="8" formatCode="#,##0">
                  <c:v>300000000</c:v>
                </c:pt>
                <c:pt idx="9" formatCode="#,##0">
                  <c:v>350000000</c:v>
                </c:pt>
              </c:numCache>
            </c:numRef>
          </c:cat>
          <c:val>
            <c:numRef>
              <c:f>'PBL Tables'!$AX$71:$AX$80</c:f>
              <c:numCache>
                <c:formatCode>General</c:formatCode>
                <c:ptCount val="10"/>
                <c:pt idx="6" formatCode="#,##0">
                  <c:v>400000000</c:v>
                </c:pt>
                <c:pt idx="7" formatCode="#,##0">
                  <c:v>520000000</c:v>
                </c:pt>
                <c:pt idx="8" formatCode="#,##0">
                  <c:v>640000000</c:v>
                </c:pt>
                <c:pt idx="9" formatCode="#,##0">
                  <c:v>770000000</c:v>
                </c:pt>
              </c:numCache>
            </c:numRef>
          </c:val>
          <c:smooth val="0"/>
          <c:extLst>
            <c:ext xmlns:c16="http://schemas.microsoft.com/office/drawing/2014/chart" uri="{C3380CC4-5D6E-409C-BE32-E72D297353CC}">
              <c16:uniqueId val="{00000002-5942-4E60-AB8E-0483322FF0B7}"/>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'PBL Tables'!$AV$13:$AV$22</c:f>
              <c:numCache>
                <c:formatCode>General</c:formatCode>
                <c:ptCount val="10"/>
                <c:pt idx="0">
                  <c:v>8000000</c:v>
                </c:pt>
                <c:pt idx="1">
                  <c:v>20000000</c:v>
                </c:pt>
                <c:pt idx="2">
                  <c:v>30000000</c:v>
                </c:pt>
                <c:pt idx="3">
                  <c:v>50000000</c:v>
                </c:pt>
                <c:pt idx="4">
                  <c:v>100000000</c:v>
                </c:pt>
                <c:pt idx="5">
                  <c:v>160000000</c:v>
                </c:pt>
                <c:pt idx="6" formatCode="#,##0">
                  <c:v>200000000</c:v>
                </c:pt>
                <c:pt idx="7" formatCode="#,##0">
                  <c:v>250000000</c:v>
                </c:pt>
                <c:pt idx="8" formatCode="#,##0">
                  <c:v>300000000</c:v>
                </c:pt>
                <c:pt idx="9" formatCode="#,##0">
                  <c:v>350000000</c:v>
                </c:pt>
              </c:numCache>
            </c:numRef>
          </c:cat>
          <c:val>
            <c:numRef>
              <c:f>'PBL Tables'!$AW$13:$AW$22</c:f>
              <c:numCache>
                <c:formatCode>#,##0</c:formatCode>
                <c:ptCount val="10"/>
                <c:pt idx="0">
                  <c:v>25404847.75</c:v>
                </c:pt>
                <c:pt idx="1">
                  <c:v>39899441</c:v>
                </c:pt>
                <c:pt idx="2">
                  <c:v>47423181</c:v>
                </c:pt>
                <c:pt idx="3">
                  <c:v>77692656</c:v>
                </c:pt>
                <c:pt idx="4">
                  <c:v>183084473</c:v>
                </c:pt>
                <c:pt idx="5">
                  <c:v>284837414</c:v>
                </c:pt>
              </c:numCache>
            </c:numRef>
          </c:val>
          <c:smooth val="0"/>
          <c:extLst>
            <c:ext xmlns:c16="http://schemas.microsoft.com/office/drawing/2014/chart" uri="{C3380CC4-5D6E-409C-BE32-E72D297353CC}">
              <c16:uniqueId val="{00000001-C77C-4833-8493-25B18B1BC9A6}"/>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'PBL Tables'!$AV$13:$AV$22</c:f>
              <c:numCache>
                <c:formatCode>General</c:formatCode>
                <c:ptCount val="10"/>
                <c:pt idx="0">
                  <c:v>8000000</c:v>
                </c:pt>
                <c:pt idx="1">
                  <c:v>20000000</c:v>
                </c:pt>
                <c:pt idx="2">
                  <c:v>30000000</c:v>
                </c:pt>
                <c:pt idx="3">
                  <c:v>50000000</c:v>
                </c:pt>
                <c:pt idx="4">
                  <c:v>100000000</c:v>
                </c:pt>
                <c:pt idx="5">
                  <c:v>160000000</c:v>
                </c:pt>
                <c:pt idx="6" formatCode="#,##0">
                  <c:v>200000000</c:v>
                </c:pt>
                <c:pt idx="7" formatCode="#,##0">
                  <c:v>250000000</c:v>
                </c:pt>
                <c:pt idx="8" formatCode="#,##0">
                  <c:v>300000000</c:v>
                </c:pt>
                <c:pt idx="9" formatCode="#,##0">
                  <c:v>350000000</c:v>
                </c:pt>
              </c:numCache>
            </c:numRef>
          </c:cat>
          <c:val>
            <c:numRef>
              <c:f>'PBL Tables'!$AX$13:$AX$22</c:f>
              <c:numCache>
                <c:formatCode>General</c:formatCode>
                <c:ptCount val="10"/>
                <c:pt idx="6" formatCode="#,##0">
                  <c:v>400000000</c:v>
                </c:pt>
                <c:pt idx="7" formatCode="#,##0">
                  <c:v>510000000</c:v>
                </c:pt>
                <c:pt idx="8" formatCode="#,##0">
                  <c:v>640000000</c:v>
                </c:pt>
                <c:pt idx="9" formatCode="#,##0">
                  <c:v>800000000</c:v>
                </c:pt>
              </c:numCache>
            </c:numRef>
          </c:val>
          <c:smooth val="0"/>
          <c:extLst>
            <c:ext xmlns:c16="http://schemas.microsoft.com/office/drawing/2014/chart" uri="{C3380CC4-5D6E-409C-BE32-E72D297353CC}">
              <c16:uniqueId val="{00000002-C77C-4833-8493-25B18B1BC9A6}"/>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'PBL Tables'!$AV$186:$AV$195</c:f>
              <c:numCache>
                <c:formatCode>General</c:formatCode>
                <c:ptCount val="10"/>
                <c:pt idx="0">
                  <c:v>8000000</c:v>
                </c:pt>
                <c:pt idx="1">
                  <c:v>20000000</c:v>
                </c:pt>
                <c:pt idx="2">
                  <c:v>30000000</c:v>
                </c:pt>
                <c:pt idx="3">
                  <c:v>50000000</c:v>
                </c:pt>
                <c:pt idx="4">
                  <c:v>100000000</c:v>
                </c:pt>
                <c:pt idx="5">
                  <c:v>160000000</c:v>
                </c:pt>
                <c:pt idx="6" formatCode="#,##0">
                  <c:v>200000000</c:v>
                </c:pt>
                <c:pt idx="7" formatCode="#,##0">
                  <c:v>250000000</c:v>
                </c:pt>
                <c:pt idx="8" formatCode="#,##0">
                  <c:v>300000000</c:v>
                </c:pt>
                <c:pt idx="9" formatCode="#,##0">
                  <c:v>350000000</c:v>
                </c:pt>
              </c:numCache>
            </c:numRef>
          </c:cat>
          <c:val>
            <c:numRef>
              <c:f>'PBL Tables'!$AW$186:$AW$195</c:f>
              <c:numCache>
                <c:formatCode>#,##0</c:formatCode>
                <c:ptCount val="10"/>
                <c:pt idx="0">
                  <c:v>25173894.588636365</c:v>
                </c:pt>
                <c:pt idx="1">
                  <c:v>39536718.809090912</c:v>
                </c:pt>
                <c:pt idx="2">
                  <c:v>46992061.172727272</c:v>
                </c:pt>
                <c:pt idx="3">
                  <c:v>76986359.127272725</c:v>
                </c:pt>
                <c:pt idx="4">
                  <c:v>181420068.70000002</c:v>
                </c:pt>
                <c:pt idx="5">
                  <c:v>282247982.9636364</c:v>
                </c:pt>
              </c:numCache>
            </c:numRef>
          </c:val>
          <c:smooth val="0"/>
          <c:extLst>
            <c:ext xmlns:c16="http://schemas.microsoft.com/office/drawing/2014/chart" uri="{C3380CC4-5D6E-409C-BE32-E72D297353CC}">
              <c16:uniqueId val="{00000001-7D51-4962-9EE6-FE802BB84407}"/>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'PBL Tables'!$AV$186:$AV$195</c:f>
              <c:numCache>
                <c:formatCode>General</c:formatCode>
                <c:ptCount val="10"/>
                <c:pt idx="0">
                  <c:v>8000000</c:v>
                </c:pt>
                <c:pt idx="1">
                  <c:v>20000000</c:v>
                </c:pt>
                <c:pt idx="2">
                  <c:v>30000000</c:v>
                </c:pt>
                <c:pt idx="3">
                  <c:v>50000000</c:v>
                </c:pt>
                <c:pt idx="4">
                  <c:v>100000000</c:v>
                </c:pt>
                <c:pt idx="5">
                  <c:v>160000000</c:v>
                </c:pt>
                <c:pt idx="6" formatCode="#,##0">
                  <c:v>200000000</c:v>
                </c:pt>
                <c:pt idx="7" formatCode="#,##0">
                  <c:v>250000000</c:v>
                </c:pt>
                <c:pt idx="8" formatCode="#,##0">
                  <c:v>300000000</c:v>
                </c:pt>
                <c:pt idx="9" formatCode="#,##0">
                  <c:v>350000000</c:v>
                </c:pt>
              </c:numCache>
            </c:numRef>
          </c:cat>
          <c:val>
            <c:numRef>
              <c:f>'PBL Tables'!$AX$186:$AX$195</c:f>
              <c:numCache>
                <c:formatCode>General</c:formatCode>
                <c:ptCount val="10"/>
                <c:pt idx="6" formatCode="#,##0">
                  <c:v>396363636.36363637</c:v>
                </c:pt>
                <c:pt idx="7" formatCode="#,##0">
                  <c:v>515272727.27272731</c:v>
                </c:pt>
                <c:pt idx="8" formatCode="#,##0">
                  <c:v>634181818.18181825</c:v>
                </c:pt>
                <c:pt idx="9" formatCode="#,##0">
                  <c:v>763000000</c:v>
                </c:pt>
              </c:numCache>
            </c:numRef>
          </c:val>
          <c:smooth val="0"/>
          <c:extLst>
            <c:ext xmlns:c16="http://schemas.microsoft.com/office/drawing/2014/chart" uri="{C3380CC4-5D6E-409C-BE32-E72D297353CC}">
              <c16:uniqueId val="{00000002-7D51-4962-9EE6-FE802BB84407}"/>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'PBL Tables'!$BJ$71:$BJ$80</c:f>
              <c:numCache>
                <c:formatCode>General</c:formatCode>
                <c:ptCount val="10"/>
                <c:pt idx="0">
                  <c:v>8000000</c:v>
                </c:pt>
                <c:pt idx="1">
                  <c:v>20000000</c:v>
                </c:pt>
                <c:pt idx="2">
                  <c:v>30000000</c:v>
                </c:pt>
                <c:pt idx="3">
                  <c:v>50000000</c:v>
                </c:pt>
                <c:pt idx="4">
                  <c:v>100000000</c:v>
                </c:pt>
                <c:pt idx="5">
                  <c:v>160000000</c:v>
                </c:pt>
                <c:pt idx="6" formatCode="#,##0">
                  <c:v>200000000</c:v>
                </c:pt>
                <c:pt idx="7" formatCode="#,##0">
                  <c:v>250000000</c:v>
                </c:pt>
                <c:pt idx="8" formatCode="#,##0">
                  <c:v>300000000</c:v>
                </c:pt>
                <c:pt idx="9" formatCode="#,##0">
                  <c:v>350000000</c:v>
                </c:pt>
              </c:numCache>
            </c:numRef>
          </c:cat>
          <c:val>
            <c:numRef>
              <c:f>'PBL Tables'!$BK$71:$BK$80</c:f>
              <c:numCache>
                <c:formatCode>#,##0</c:formatCode>
                <c:ptCount val="10"/>
                <c:pt idx="0">
                  <c:v>25176484.142857142</c:v>
                </c:pt>
                <c:pt idx="1">
                  <c:v>39899441</c:v>
                </c:pt>
                <c:pt idx="2">
                  <c:v>47423181</c:v>
                </c:pt>
                <c:pt idx="3">
                  <c:v>77692656</c:v>
                </c:pt>
                <c:pt idx="4">
                  <c:v>183084473</c:v>
                </c:pt>
                <c:pt idx="5">
                  <c:v>284837414</c:v>
                </c:pt>
              </c:numCache>
            </c:numRef>
          </c:val>
          <c:smooth val="0"/>
          <c:extLst>
            <c:ext xmlns:c16="http://schemas.microsoft.com/office/drawing/2014/chart" uri="{C3380CC4-5D6E-409C-BE32-E72D297353CC}">
              <c16:uniqueId val="{00000001-6822-456B-8C71-F66D074164D3}"/>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'PBL Tables'!$BJ$71:$BJ$80</c:f>
              <c:numCache>
                <c:formatCode>General</c:formatCode>
                <c:ptCount val="10"/>
                <c:pt idx="0">
                  <c:v>8000000</c:v>
                </c:pt>
                <c:pt idx="1">
                  <c:v>20000000</c:v>
                </c:pt>
                <c:pt idx="2">
                  <c:v>30000000</c:v>
                </c:pt>
                <c:pt idx="3">
                  <c:v>50000000</c:v>
                </c:pt>
                <c:pt idx="4">
                  <c:v>100000000</c:v>
                </c:pt>
                <c:pt idx="5">
                  <c:v>160000000</c:v>
                </c:pt>
                <c:pt idx="6" formatCode="#,##0">
                  <c:v>200000000</c:v>
                </c:pt>
                <c:pt idx="7" formatCode="#,##0">
                  <c:v>250000000</c:v>
                </c:pt>
                <c:pt idx="8" formatCode="#,##0">
                  <c:v>300000000</c:v>
                </c:pt>
                <c:pt idx="9" formatCode="#,##0">
                  <c:v>350000000</c:v>
                </c:pt>
              </c:numCache>
            </c:numRef>
          </c:cat>
          <c:val>
            <c:numRef>
              <c:f>'PBL Tables'!$BL$71:$BL$80</c:f>
              <c:numCache>
                <c:formatCode>General</c:formatCode>
                <c:ptCount val="10"/>
                <c:pt idx="6" formatCode="#,##0">
                  <c:v>400000000</c:v>
                </c:pt>
                <c:pt idx="7" formatCode="#,##0">
                  <c:v>510000000</c:v>
                </c:pt>
                <c:pt idx="8" formatCode="#,##0">
                  <c:v>640000000</c:v>
                </c:pt>
                <c:pt idx="9" formatCode="#,##0">
                  <c:v>800000000</c:v>
                </c:pt>
              </c:numCache>
            </c:numRef>
          </c:val>
          <c:smooth val="0"/>
          <c:extLst>
            <c:ext xmlns:c16="http://schemas.microsoft.com/office/drawing/2014/chart" uri="{C3380CC4-5D6E-409C-BE32-E72D297353CC}">
              <c16:uniqueId val="{00000002-6822-456B-8C71-F66D074164D3}"/>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'PBL Tables'!$BJ$90:$BJ$99</c:f>
              <c:numCache>
                <c:formatCode>General</c:formatCode>
                <c:ptCount val="10"/>
                <c:pt idx="0">
                  <c:v>4000000</c:v>
                </c:pt>
                <c:pt idx="1">
                  <c:v>8000000</c:v>
                </c:pt>
                <c:pt idx="2">
                  <c:v>20000000</c:v>
                </c:pt>
                <c:pt idx="3">
                  <c:v>40000000</c:v>
                </c:pt>
                <c:pt idx="4">
                  <c:v>60000000</c:v>
                </c:pt>
                <c:pt idx="5">
                  <c:v>80000000</c:v>
                </c:pt>
                <c:pt idx="6">
                  <c:v>120000000</c:v>
                </c:pt>
                <c:pt idx="7" formatCode="#,##0">
                  <c:v>150000000</c:v>
                </c:pt>
                <c:pt idx="8" formatCode="#,##0">
                  <c:v>200000000</c:v>
                </c:pt>
                <c:pt idx="9" formatCode="#,##0">
                  <c:v>250000000</c:v>
                </c:pt>
              </c:numCache>
            </c:numRef>
          </c:cat>
          <c:val>
            <c:numRef>
              <c:f>'PBL Tables'!$BK$90:$BK$99</c:f>
              <c:numCache>
                <c:formatCode>#,##0</c:formatCode>
                <c:ptCount val="10"/>
                <c:pt idx="0">
                  <c:v>20452522.571428571</c:v>
                </c:pt>
                <c:pt idx="1">
                  <c:v>25176484.142857142</c:v>
                </c:pt>
                <c:pt idx="2">
                  <c:v>39899441</c:v>
                </c:pt>
                <c:pt idx="3">
                  <c:v>58983918</c:v>
                </c:pt>
                <c:pt idx="4">
                  <c:v>80823333.5</c:v>
                </c:pt>
                <c:pt idx="5">
                  <c:v>116725204</c:v>
                </c:pt>
                <c:pt idx="6">
                  <c:v>226126304.09125558</c:v>
                </c:pt>
              </c:numCache>
            </c:numRef>
          </c:val>
          <c:smooth val="0"/>
          <c:extLst>
            <c:ext xmlns:c16="http://schemas.microsoft.com/office/drawing/2014/chart" uri="{C3380CC4-5D6E-409C-BE32-E72D297353CC}">
              <c16:uniqueId val="{00000001-90F4-4B11-8DBD-422470BF299A}"/>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'PBL Tables'!$BJ$90:$BJ$99</c:f>
              <c:numCache>
                <c:formatCode>General</c:formatCode>
                <c:ptCount val="10"/>
                <c:pt idx="0">
                  <c:v>4000000</c:v>
                </c:pt>
                <c:pt idx="1">
                  <c:v>8000000</c:v>
                </c:pt>
                <c:pt idx="2">
                  <c:v>20000000</c:v>
                </c:pt>
                <c:pt idx="3">
                  <c:v>40000000</c:v>
                </c:pt>
                <c:pt idx="4">
                  <c:v>60000000</c:v>
                </c:pt>
                <c:pt idx="5">
                  <c:v>80000000</c:v>
                </c:pt>
                <c:pt idx="6">
                  <c:v>120000000</c:v>
                </c:pt>
                <c:pt idx="7" formatCode="#,##0">
                  <c:v>150000000</c:v>
                </c:pt>
                <c:pt idx="8" formatCode="#,##0">
                  <c:v>200000000</c:v>
                </c:pt>
                <c:pt idx="9" formatCode="#,##0">
                  <c:v>250000000</c:v>
                </c:pt>
              </c:numCache>
            </c:numRef>
          </c:cat>
          <c:val>
            <c:numRef>
              <c:f>'PBL Tables'!$BL$90:$BL$99</c:f>
              <c:numCache>
                <c:formatCode>General</c:formatCode>
                <c:ptCount val="10"/>
                <c:pt idx="7" formatCode="#,##0">
                  <c:v>295000000</c:v>
                </c:pt>
                <c:pt idx="8" formatCode="#,##0">
                  <c:v>396000000</c:v>
                </c:pt>
                <c:pt idx="9" formatCode="#,##0">
                  <c:v>510000000</c:v>
                </c:pt>
              </c:numCache>
            </c:numRef>
          </c:val>
          <c:smooth val="0"/>
          <c:extLst>
            <c:ext xmlns:c16="http://schemas.microsoft.com/office/drawing/2014/chart" uri="{C3380CC4-5D6E-409C-BE32-E72D297353CC}">
              <c16:uniqueId val="{00000002-90F4-4B11-8DBD-422470BF299A}"/>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'PBL Tables'!$BJ$128:$BJ$137</c:f>
              <c:numCache>
                <c:formatCode>General</c:formatCode>
                <c:ptCount val="10"/>
                <c:pt idx="0">
                  <c:v>4000000</c:v>
                </c:pt>
                <c:pt idx="1">
                  <c:v>8000000</c:v>
                </c:pt>
                <c:pt idx="2">
                  <c:v>20000000</c:v>
                </c:pt>
                <c:pt idx="3">
                  <c:v>40000000</c:v>
                </c:pt>
                <c:pt idx="4">
                  <c:v>60000000</c:v>
                </c:pt>
                <c:pt idx="5">
                  <c:v>80000000</c:v>
                </c:pt>
                <c:pt idx="6">
                  <c:v>120000000</c:v>
                </c:pt>
                <c:pt idx="7" formatCode="#,##0">
                  <c:v>150000000</c:v>
                </c:pt>
                <c:pt idx="8" formatCode="#,##0">
                  <c:v>200000000</c:v>
                </c:pt>
                <c:pt idx="9" formatCode="#,##0">
                  <c:v>250000000</c:v>
                </c:pt>
              </c:numCache>
            </c:numRef>
          </c:cat>
          <c:val>
            <c:numRef>
              <c:f>'PBL Tables'!$BK$128:$BK$137</c:f>
              <c:numCache>
                <c:formatCode>#,##0</c:formatCode>
                <c:ptCount val="10"/>
                <c:pt idx="0">
                  <c:v>20916563.333333332</c:v>
                </c:pt>
                <c:pt idx="1">
                  <c:v>26095742.09090909</c:v>
                </c:pt>
                <c:pt idx="2">
                  <c:v>40841962.200000003</c:v>
                </c:pt>
                <c:pt idx="3">
                  <c:v>57570524.666666664</c:v>
                </c:pt>
                <c:pt idx="4">
                  <c:v>79920318.125</c:v>
                </c:pt>
                <c:pt idx="5">
                  <c:v>116973107.25</c:v>
                </c:pt>
                <c:pt idx="6">
                  <c:v>226126304.09125558</c:v>
                </c:pt>
              </c:numCache>
            </c:numRef>
          </c:val>
          <c:smooth val="0"/>
          <c:extLst>
            <c:ext xmlns:c16="http://schemas.microsoft.com/office/drawing/2014/chart" uri="{C3380CC4-5D6E-409C-BE32-E72D297353CC}">
              <c16:uniqueId val="{00000001-4408-4408-88BE-6A9A900A1F9A}"/>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'PBL Tables'!$BJ$128:$BJ$137</c:f>
              <c:numCache>
                <c:formatCode>General</c:formatCode>
                <c:ptCount val="10"/>
                <c:pt idx="0">
                  <c:v>4000000</c:v>
                </c:pt>
                <c:pt idx="1">
                  <c:v>8000000</c:v>
                </c:pt>
                <c:pt idx="2">
                  <c:v>20000000</c:v>
                </c:pt>
                <c:pt idx="3">
                  <c:v>40000000</c:v>
                </c:pt>
                <c:pt idx="4">
                  <c:v>60000000</c:v>
                </c:pt>
                <c:pt idx="5">
                  <c:v>80000000</c:v>
                </c:pt>
                <c:pt idx="6">
                  <c:v>120000000</c:v>
                </c:pt>
                <c:pt idx="7" formatCode="#,##0">
                  <c:v>150000000</c:v>
                </c:pt>
                <c:pt idx="8" formatCode="#,##0">
                  <c:v>200000000</c:v>
                </c:pt>
                <c:pt idx="9" formatCode="#,##0">
                  <c:v>250000000</c:v>
                </c:pt>
              </c:numCache>
            </c:numRef>
          </c:cat>
          <c:val>
            <c:numRef>
              <c:f>'PBL Tables'!$BL$128:$BL$137</c:f>
              <c:numCache>
                <c:formatCode>General</c:formatCode>
                <c:ptCount val="10"/>
                <c:pt idx="7" formatCode="#,##0">
                  <c:v>295000000</c:v>
                </c:pt>
                <c:pt idx="8" formatCode="#,##0">
                  <c:v>396000000</c:v>
                </c:pt>
                <c:pt idx="9" formatCode="#,##0">
                  <c:v>510000000</c:v>
                </c:pt>
              </c:numCache>
            </c:numRef>
          </c:val>
          <c:smooth val="0"/>
          <c:extLst>
            <c:ext xmlns:c16="http://schemas.microsoft.com/office/drawing/2014/chart" uri="{C3380CC4-5D6E-409C-BE32-E72D297353CC}">
              <c16:uniqueId val="{00000002-4408-4408-88BE-6A9A900A1F9A}"/>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'PBL Tables'!$BJ$109:$BJ$118</c:f>
              <c:numCache>
                <c:formatCode>General</c:formatCode>
                <c:ptCount val="10"/>
                <c:pt idx="0">
                  <c:v>8000000</c:v>
                </c:pt>
                <c:pt idx="1">
                  <c:v>20000000</c:v>
                </c:pt>
                <c:pt idx="2">
                  <c:v>30000000</c:v>
                </c:pt>
                <c:pt idx="3">
                  <c:v>50000000</c:v>
                </c:pt>
                <c:pt idx="4">
                  <c:v>100000000</c:v>
                </c:pt>
                <c:pt idx="5">
                  <c:v>160000000</c:v>
                </c:pt>
                <c:pt idx="6" formatCode="#,##0">
                  <c:v>200000000</c:v>
                </c:pt>
                <c:pt idx="7" formatCode="#,##0">
                  <c:v>250000000</c:v>
                </c:pt>
                <c:pt idx="8" formatCode="#,##0">
                  <c:v>300000000</c:v>
                </c:pt>
                <c:pt idx="9" formatCode="#,##0">
                  <c:v>350000000</c:v>
                </c:pt>
              </c:numCache>
            </c:numRef>
          </c:cat>
          <c:val>
            <c:numRef>
              <c:f>'PBL Tables'!$BK$109:$BK$118</c:f>
              <c:numCache>
                <c:formatCode>#,##0</c:formatCode>
                <c:ptCount val="10"/>
                <c:pt idx="0">
                  <c:v>26095742.09090909</c:v>
                </c:pt>
                <c:pt idx="1">
                  <c:v>40841962.200000003</c:v>
                </c:pt>
                <c:pt idx="2">
                  <c:v>45526023</c:v>
                </c:pt>
                <c:pt idx="3">
                  <c:v>75843438</c:v>
                </c:pt>
                <c:pt idx="4">
                  <c:v>184142772</c:v>
                </c:pt>
                <c:pt idx="5">
                  <c:v>296207934</c:v>
                </c:pt>
              </c:numCache>
            </c:numRef>
          </c:val>
          <c:smooth val="0"/>
          <c:extLst>
            <c:ext xmlns:c16="http://schemas.microsoft.com/office/drawing/2014/chart" uri="{C3380CC4-5D6E-409C-BE32-E72D297353CC}">
              <c16:uniqueId val="{00000001-524A-4A2A-AA69-03F941428BDE}"/>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'PBL Tables'!$BJ$109:$BJ$118</c:f>
              <c:numCache>
                <c:formatCode>General</c:formatCode>
                <c:ptCount val="10"/>
                <c:pt idx="0">
                  <c:v>8000000</c:v>
                </c:pt>
                <c:pt idx="1">
                  <c:v>20000000</c:v>
                </c:pt>
                <c:pt idx="2">
                  <c:v>30000000</c:v>
                </c:pt>
                <c:pt idx="3">
                  <c:v>50000000</c:v>
                </c:pt>
                <c:pt idx="4">
                  <c:v>100000000</c:v>
                </c:pt>
                <c:pt idx="5">
                  <c:v>160000000</c:v>
                </c:pt>
                <c:pt idx="6" formatCode="#,##0">
                  <c:v>200000000</c:v>
                </c:pt>
                <c:pt idx="7" formatCode="#,##0">
                  <c:v>250000000</c:v>
                </c:pt>
                <c:pt idx="8" formatCode="#,##0">
                  <c:v>300000000</c:v>
                </c:pt>
                <c:pt idx="9" formatCode="#,##0">
                  <c:v>350000000</c:v>
                </c:pt>
              </c:numCache>
            </c:numRef>
          </c:cat>
          <c:val>
            <c:numRef>
              <c:f>'PBL Tables'!$BL$109:$BL$118</c:f>
              <c:numCache>
                <c:formatCode>General</c:formatCode>
                <c:ptCount val="10"/>
                <c:pt idx="6" formatCode="#,##0">
                  <c:v>400000000</c:v>
                </c:pt>
                <c:pt idx="7" formatCode="#,##0">
                  <c:v>510000000</c:v>
                </c:pt>
                <c:pt idx="8" formatCode="#,##0">
                  <c:v>640000000</c:v>
                </c:pt>
                <c:pt idx="9" formatCode="#,##0">
                  <c:v>800000000</c:v>
                </c:pt>
              </c:numCache>
            </c:numRef>
          </c:val>
          <c:smooth val="0"/>
          <c:extLst>
            <c:ext xmlns:c16="http://schemas.microsoft.com/office/drawing/2014/chart" uri="{C3380CC4-5D6E-409C-BE32-E72D297353CC}">
              <c16:uniqueId val="{00000002-524A-4A2A-AA69-03F941428BDE}"/>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'PBL Tables'!$Z$13:$Z$22</c:f>
              <c:numCache>
                <c:formatCode>General</c:formatCode>
                <c:ptCount val="10"/>
                <c:pt idx="0">
                  <c:v>8000000</c:v>
                </c:pt>
                <c:pt idx="1">
                  <c:v>20000000</c:v>
                </c:pt>
                <c:pt idx="2">
                  <c:v>30000000</c:v>
                </c:pt>
                <c:pt idx="3">
                  <c:v>50000000</c:v>
                </c:pt>
                <c:pt idx="4">
                  <c:v>100000000</c:v>
                </c:pt>
                <c:pt idx="5">
                  <c:v>160000000</c:v>
                </c:pt>
                <c:pt idx="6" formatCode="#,##0">
                  <c:v>200000000</c:v>
                </c:pt>
                <c:pt idx="7" formatCode="#,##0">
                  <c:v>250000000</c:v>
                </c:pt>
                <c:pt idx="8" formatCode="#,##0">
                  <c:v>300000000</c:v>
                </c:pt>
                <c:pt idx="9" formatCode="#,##0">
                  <c:v>350000000</c:v>
                </c:pt>
              </c:numCache>
            </c:numRef>
          </c:cat>
          <c:val>
            <c:numRef>
              <c:f>'PBL Tables'!$AA$13:$AA$22</c:f>
              <c:numCache>
                <c:formatCode>#,##0</c:formatCode>
                <c:ptCount val="10"/>
                <c:pt idx="0">
                  <c:v>25887099.916666668</c:v>
                </c:pt>
                <c:pt idx="1">
                  <c:v>39946561.363636367</c:v>
                </c:pt>
                <c:pt idx="2">
                  <c:v>49514571.333333336</c:v>
                </c:pt>
                <c:pt idx="3">
                  <c:v>74897736</c:v>
                </c:pt>
              </c:numCache>
            </c:numRef>
          </c:val>
          <c:smooth val="0"/>
          <c:extLst>
            <c:ext xmlns:c16="http://schemas.microsoft.com/office/drawing/2014/chart" uri="{C3380CC4-5D6E-409C-BE32-E72D297353CC}">
              <c16:uniqueId val="{00000001-9591-487B-B444-E44CFD19BACB}"/>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'PBL Tables'!$Z$13:$Z$22</c:f>
              <c:numCache>
                <c:formatCode>General</c:formatCode>
                <c:ptCount val="10"/>
                <c:pt idx="0">
                  <c:v>8000000</c:v>
                </c:pt>
                <c:pt idx="1">
                  <c:v>20000000</c:v>
                </c:pt>
                <c:pt idx="2">
                  <c:v>30000000</c:v>
                </c:pt>
                <c:pt idx="3">
                  <c:v>50000000</c:v>
                </c:pt>
                <c:pt idx="4">
                  <c:v>100000000</c:v>
                </c:pt>
                <c:pt idx="5">
                  <c:v>160000000</c:v>
                </c:pt>
                <c:pt idx="6" formatCode="#,##0">
                  <c:v>200000000</c:v>
                </c:pt>
                <c:pt idx="7" formatCode="#,##0">
                  <c:v>250000000</c:v>
                </c:pt>
                <c:pt idx="8" formatCode="#,##0">
                  <c:v>300000000</c:v>
                </c:pt>
                <c:pt idx="9" formatCode="#,##0">
                  <c:v>350000000</c:v>
                </c:pt>
              </c:numCache>
            </c:numRef>
          </c:cat>
          <c:val>
            <c:numRef>
              <c:f>'PBL Tables'!$AB$13:$AB$22</c:f>
              <c:numCache>
                <c:formatCode>General</c:formatCode>
                <c:ptCount val="10"/>
                <c:pt idx="4" formatCode="#,##0">
                  <c:v>169119600</c:v>
                </c:pt>
                <c:pt idx="5" formatCode="#,##0">
                  <c:v>257407799.99999997</c:v>
                </c:pt>
                <c:pt idx="6" formatCode="#,##0">
                  <c:v>316266600</c:v>
                </c:pt>
                <c:pt idx="7" formatCode="#,##0">
                  <c:v>389840099.99999994</c:v>
                </c:pt>
                <c:pt idx="8" formatCode="#,##0">
                  <c:v>463413600</c:v>
                </c:pt>
                <c:pt idx="9" formatCode="#,##0">
                  <c:v>536987100</c:v>
                </c:pt>
              </c:numCache>
            </c:numRef>
          </c:val>
          <c:smooth val="0"/>
          <c:extLst>
            <c:ext xmlns:c16="http://schemas.microsoft.com/office/drawing/2014/chart" uri="{C3380CC4-5D6E-409C-BE32-E72D297353CC}">
              <c16:uniqueId val="{00000002-9591-487B-B444-E44CFD19BACB}"/>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'PBL Tables'!$Z$89:$Z$98</c:f>
              <c:numCache>
                <c:formatCode>General</c:formatCode>
                <c:ptCount val="10"/>
                <c:pt idx="0">
                  <c:v>8000000</c:v>
                </c:pt>
                <c:pt idx="1">
                  <c:v>20000000</c:v>
                </c:pt>
                <c:pt idx="2">
                  <c:v>30000000</c:v>
                </c:pt>
                <c:pt idx="3">
                  <c:v>50000000</c:v>
                </c:pt>
                <c:pt idx="4">
                  <c:v>100000000</c:v>
                </c:pt>
                <c:pt idx="5">
                  <c:v>160000000</c:v>
                </c:pt>
                <c:pt idx="6" formatCode="#,##0">
                  <c:v>200000000</c:v>
                </c:pt>
                <c:pt idx="7" formatCode="#,##0">
                  <c:v>250000000</c:v>
                </c:pt>
                <c:pt idx="8" formatCode="#,##0">
                  <c:v>300000000</c:v>
                </c:pt>
                <c:pt idx="9" formatCode="#,##0">
                  <c:v>350000000</c:v>
                </c:pt>
              </c:numCache>
            </c:numRef>
          </c:cat>
          <c:val>
            <c:numRef>
              <c:f>'PBL Tables'!$AA$89:$AA$98</c:f>
              <c:numCache>
                <c:formatCode>#,##0</c:formatCode>
                <c:ptCount val="10"/>
                <c:pt idx="0">
                  <c:v>24250081.94318182</c:v>
                </c:pt>
                <c:pt idx="1">
                  <c:v>38085830.045454547</c:v>
                </c:pt>
                <c:pt idx="2">
                  <c:v>45267581.863636367</c:v>
                </c:pt>
                <c:pt idx="3">
                  <c:v>74161171.63636364</c:v>
                </c:pt>
                <c:pt idx="4">
                  <c:v>174762451.5</c:v>
                </c:pt>
                <c:pt idx="5">
                  <c:v>271890258.81818181</c:v>
                </c:pt>
              </c:numCache>
            </c:numRef>
          </c:val>
          <c:smooth val="0"/>
          <c:extLst>
            <c:ext xmlns:c16="http://schemas.microsoft.com/office/drawing/2014/chart" uri="{C3380CC4-5D6E-409C-BE32-E72D297353CC}">
              <c16:uniqueId val="{00000001-D9B4-460F-B803-B865EE48F45E}"/>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'PBL Tables'!$Z$89:$Z$98</c:f>
              <c:numCache>
                <c:formatCode>General</c:formatCode>
                <c:ptCount val="10"/>
                <c:pt idx="0">
                  <c:v>8000000</c:v>
                </c:pt>
                <c:pt idx="1">
                  <c:v>20000000</c:v>
                </c:pt>
                <c:pt idx="2">
                  <c:v>30000000</c:v>
                </c:pt>
                <c:pt idx="3">
                  <c:v>50000000</c:v>
                </c:pt>
                <c:pt idx="4">
                  <c:v>100000000</c:v>
                </c:pt>
                <c:pt idx="5">
                  <c:v>160000000</c:v>
                </c:pt>
                <c:pt idx="6" formatCode="#,##0">
                  <c:v>200000000</c:v>
                </c:pt>
                <c:pt idx="7" formatCode="#,##0">
                  <c:v>250000000</c:v>
                </c:pt>
                <c:pt idx="8" formatCode="#,##0">
                  <c:v>300000000</c:v>
                </c:pt>
                <c:pt idx="9" formatCode="#,##0">
                  <c:v>350000000</c:v>
                </c:pt>
              </c:numCache>
            </c:numRef>
          </c:cat>
          <c:val>
            <c:numRef>
              <c:f>'PBL Tables'!$AB$89:$AB$98</c:f>
              <c:numCache>
                <c:formatCode>General</c:formatCode>
                <c:ptCount val="10"/>
                <c:pt idx="6" formatCode="#,##0">
                  <c:v>331191000</c:v>
                </c:pt>
                <c:pt idx="7" formatCode="#,##0">
                  <c:v>408593181.81818181</c:v>
                </c:pt>
                <c:pt idx="8" formatCode="#,##0">
                  <c:v>485995363.63636363</c:v>
                </c:pt>
                <c:pt idx="9" formatCode="#,##0">
                  <c:v>563397545.4545455</c:v>
                </c:pt>
              </c:numCache>
            </c:numRef>
          </c:val>
          <c:smooth val="0"/>
          <c:extLst>
            <c:ext xmlns:c16="http://schemas.microsoft.com/office/drawing/2014/chart" uri="{C3380CC4-5D6E-409C-BE32-E72D297353CC}">
              <c16:uniqueId val="{00000002-D9B4-460F-B803-B865EE48F45E}"/>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'PBL Tables'!$Z$108:$Z$117</c:f>
              <c:numCache>
                <c:formatCode>General</c:formatCode>
                <c:ptCount val="10"/>
                <c:pt idx="0">
                  <c:v>8000000</c:v>
                </c:pt>
                <c:pt idx="1">
                  <c:v>20000000</c:v>
                </c:pt>
                <c:pt idx="2">
                  <c:v>30000000</c:v>
                </c:pt>
                <c:pt idx="3">
                  <c:v>50000000</c:v>
                </c:pt>
                <c:pt idx="4">
                  <c:v>100000000</c:v>
                </c:pt>
                <c:pt idx="5">
                  <c:v>160000000</c:v>
                </c:pt>
                <c:pt idx="6" formatCode="#,##0">
                  <c:v>200000000</c:v>
                </c:pt>
                <c:pt idx="7" formatCode="#,##0">
                  <c:v>250000000</c:v>
                </c:pt>
                <c:pt idx="8" formatCode="#,##0">
                  <c:v>300000000</c:v>
                </c:pt>
                <c:pt idx="9" formatCode="#,##0">
                  <c:v>350000000</c:v>
                </c:pt>
              </c:numCache>
            </c:numRef>
          </c:cat>
          <c:val>
            <c:numRef>
              <c:f>'PBL Tables'!$AA$108:$AA$117</c:f>
              <c:numCache>
                <c:formatCode>#,##0</c:formatCode>
                <c:ptCount val="10"/>
                <c:pt idx="0">
                  <c:v>24711988.265909091</c:v>
                </c:pt>
                <c:pt idx="1">
                  <c:v>38811274.42727273</c:v>
                </c:pt>
                <c:pt idx="2">
                  <c:v>46129821.518181823</c:v>
                </c:pt>
                <c:pt idx="3">
                  <c:v>75573765.38181819</c:v>
                </c:pt>
                <c:pt idx="4">
                  <c:v>178091260.09999999</c:v>
                </c:pt>
                <c:pt idx="5">
                  <c:v>277069120.89090908</c:v>
                </c:pt>
              </c:numCache>
            </c:numRef>
          </c:val>
          <c:smooth val="0"/>
          <c:extLst>
            <c:ext xmlns:c16="http://schemas.microsoft.com/office/drawing/2014/chart" uri="{C3380CC4-5D6E-409C-BE32-E72D297353CC}">
              <c16:uniqueId val="{00000001-EC06-4704-A332-4A7931089A2E}"/>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'PBL Tables'!$Z$108:$Z$117</c:f>
              <c:numCache>
                <c:formatCode>General</c:formatCode>
                <c:ptCount val="10"/>
                <c:pt idx="0">
                  <c:v>8000000</c:v>
                </c:pt>
                <c:pt idx="1">
                  <c:v>20000000</c:v>
                </c:pt>
                <c:pt idx="2">
                  <c:v>30000000</c:v>
                </c:pt>
                <c:pt idx="3">
                  <c:v>50000000</c:v>
                </c:pt>
                <c:pt idx="4">
                  <c:v>100000000</c:v>
                </c:pt>
                <c:pt idx="5">
                  <c:v>160000000</c:v>
                </c:pt>
                <c:pt idx="6" formatCode="#,##0">
                  <c:v>200000000</c:v>
                </c:pt>
                <c:pt idx="7" formatCode="#,##0">
                  <c:v>250000000</c:v>
                </c:pt>
                <c:pt idx="8" formatCode="#,##0">
                  <c:v>300000000</c:v>
                </c:pt>
                <c:pt idx="9" formatCode="#,##0">
                  <c:v>350000000</c:v>
                </c:pt>
              </c:numCache>
            </c:numRef>
          </c:cat>
          <c:val>
            <c:numRef>
              <c:f>'PBL Tables'!$AB$108:$AB$117</c:f>
              <c:numCache>
                <c:formatCode>General</c:formatCode>
                <c:ptCount val="10"/>
                <c:pt idx="6" formatCode="#,##0">
                  <c:v>337499400</c:v>
                </c:pt>
                <c:pt idx="7" formatCode="#,##0">
                  <c:v>416375909.09090912</c:v>
                </c:pt>
                <c:pt idx="8" formatCode="#,##0">
                  <c:v>495252418.18181813</c:v>
                </c:pt>
                <c:pt idx="9" formatCode="#,##0">
                  <c:v>574128927.27272725</c:v>
                </c:pt>
              </c:numCache>
            </c:numRef>
          </c:val>
          <c:smooth val="0"/>
          <c:extLst>
            <c:ext xmlns:c16="http://schemas.microsoft.com/office/drawing/2014/chart" uri="{C3380CC4-5D6E-409C-BE32-E72D297353CC}">
              <c16:uniqueId val="{00000002-EC06-4704-A332-4A7931089A2E}"/>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'PBL Tables'!$Z$128:$Z$137</c:f>
              <c:numCache>
                <c:formatCode>General</c:formatCode>
                <c:ptCount val="10"/>
                <c:pt idx="0">
                  <c:v>8000000</c:v>
                </c:pt>
                <c:pt idx="1">
                  <c:v>20000000</c:v>
                </c:pt>
                <c:pt idx="2">
                  <c:v>30000000</c:v>
                </c:pt>
                <c:pt idx="3">
                  <c:v>50000000</c:v>
                </c:pt>
                <c:pt idx="4">
                  <c:v>100000000</c:v>
                </c:pt>
                <c:pt idx="5">
                  <c:v>160000000</c:v>
                </c:pt>
                <c:pt idx="6" formatCode="#,##0">
                  <c:v>200000000</c:v>
                </c:pt>
                <c:pt idx="7" formatCode="#,##0">
                  <c:v>250000000</c:v>
                </c:pt>
                <c:pt idx="8" formatCode="#,##0">
                  <c:v>300000000</c:v>
                </c:pt>
                <c:pt idx="9" formatCode="#,##0">
                  <c:v>350000000</c:v>
                </c:pt>
              </c:numCache>
            </c:numRef>
          </c:cat>
          <c:val>
            <c:numRef>
              <c:f>'PBL Tables'!$AA$128:$AA$137</c:f>
              <c:numCache>
                <c:formatCode>#,##0</c:formatCode>
                <c:ptCount val="10"/>
                <c:pt idx="0">
                  <c:v>25173894.588636365</c:v>
                </c:pt>
                <c:pt idx="1">
                  <c:v>39536718.809090912</c:v>
                </c:pt>
                <c:pt idx="2">
                  <c:v>46992061.172727272</c:v>
                </c:pt>
                <c:pt idx="3">
                  <c:v>76986359.127272725</c:v>
                </c:pt>
                <c:pt idx="4">
                  <c:v>181420068.70000002</c:v>
                </c:pt>
                <c:pt idx="5">
                  <c:v>282247982.9636364</c:v>
                </c:pt>
              </c:numCache>
            </c:numRef>
          </c:val>
          <c:smooth val="0"/>
          <c:extLst>
            <c:ext xmlns:c16="http://schemas.microsoft.com/office/drawing/2014/chart" uri="{C3380CC4-5D6E-409C-BE32-E72D297353CC}">
              <c16:uniqueId val="{00000001-FDF0-489F-B774-4427F10B41FE}"/>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'PBL Tables'!$Z$128:$Z$137</c:f>
              <c:numCache>
                <c:formatCode>General</c:formatCode>
                <c:ptCount val="10"/>
                <c:pt idx="0">
                  <c:v>8000000</c:v>
                </c:pt>
                <c:pt idx="1">
                  <c:v>20000000</c:v>
                </c:pt>
                <c:pt idx="2">
                  <c:v>30000000</c:v>
                </c:pt>
                <c:pt idx="3">
                  <c:v>50000000</c:v>
                </c:pt>
                <c:pt idx="4">
                  <c:v>100000000</c:v>
                </c:pt>
                <c:pt idx="5">
                  <c:v>160000000</c:v>
                </c:pt>
                <c:pt idx="6" formatCode="#,##0">
                  <c:v>200000000</c:v>
                </c:pt>
                <c:pt idx="7" formatCode="#,##0">
                  <c:v>250000000</c:v>
                </c:pt>
                <c:pt idx="8" formatCode="#,##0">
                  <c:v>300000000</c:v>
                </c:pt>
                <c:pt idx="9" formatCode="#,##0">
                  <c:v>350000000</c:v>
                </c:pt>
              </c:numCache>
            </c:numRef>
          </c:cat>
          <c:val>
            <c:numRef>
              <c:f>'PBL Tables'!$AB$128:$AB$137</c:f>
              <c:numCache>
                <c:formatCode>General</c:formatCode>
                <c:ptCount val="10"/>
                <c:pt idx="6" formatCode="#,##0">
                  <c:v>343807800</c:v>
                </c:pt>
                <c:pt idx="7" formatCode="#,##0">
                  <c:v>424158636.36363637</c:v>
                </c:pt>
                <c:pt idx="8" formatCode="#,##0">
                  <c:v>504509472.72727269</c:v>
                </c:pt>
                <c:pt idx="9" formatCode="#,##0">
                  <c:v>584860309.09090912</c:v>
                </c:pt>
              </c:numCache>
            </c:numRef>
          </c:val>
          <c:smooth val="0"/>
          <c:extLst>
            <c:ext xmlns:c16="http://schemas.microsoft.com/office/drawing/2014/chart" uri="{C3380CC4-5D6E-409C-BE32-E72D297353CC}">
              <c16:uniqueId val="{00000002-FDF0-489F-B774-4427F10B41FE}"/>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'PBL Tables'!$Z$128:$Z$137</c:f>
              <c:numCache>
                <c:formatCode>General</c:formatCode>
                <c:ptCount val="10"/>
                <c:pt idx="0">
                  <c:v>8000000</c:v>
                </c:pt>
                <c:pt idx="1">
                  <c:v>20000000</c:v>
                </c:pt>
                <c:pt idx="2">
                  <c:v>30000000</c:v>
                </c:pt>
                <c:pt idx="3">
                  <c:v>50000000</c:v>
                </c:pt>
                <c:pt idx="4">
                  <c:v>100000000</c:v>
                </c:pt>
                <c:pt idx="5">
                  <c:v>160000000</c:v>
                </c:pt>
                <c:pt idx="6" formatCode="#,##0">
                  <c:v>200000000</c:v>
                </c:pt>
                <c:pt idx="7" formatCode="#,##0">
                  <c:v>250000000</c:v>
                </c:pt>
                <c:pt idx="8" formatCode="#,##0">
                  <c:v>300000000</c:v>
                </c:pt>
                <c:pt idx="9" formatCode="#,##0">
                  <c:v>350000000</c:v>
                </c:pt>
              </c:numCache>
            </c:numRef>
          </c:cat>
          <c:val>
            <c:numRef>
              <c:f>'PBL Tables'!$AA$128:$AA$137</c:f>
              <c:numCache>
                <c:formatCode>#,##0</c:formatCode>
                <c:ptCount val="10"/>
                <c:pt idx="0">
                  <c:v>25173894.588636365</c:v>
                </c:pt>
                <c:pt idx="1">
                  <c:v>39536718.809090912</c:v>
                </c:pt>
                <c:pt idx="2">
                  <c:v>46992061.172727272</c:v>
                </c:pt>
                <c:pt idx="3">
                  <c:v>76986359.127272725</c:v>
                </c:pt>
                <c:pt idx="4">
                  <c:v>181420068.70000002</c:v>
                </c:pt>
                <c:pt idx="5">
                  <c:v>282247982.9636364</c:v>
                </c:pt>
              </c:numCache>
            </c:numRef>
          </c:val>
          <c:smooth val="0"/>
          <c:extLst>
            <c:ext xmlns:c16="http://schemas.microsoft.com/office/drawing/2014/chart" uri="{C3380CC4-5D6E-409C-BE32-E72D297353CC}">
              <c16:uniqueId val="{00000001-409F-4A9C-A838-F7C1F1B179B6}"/>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'PBL Tables'!$Z$128:$Z$137</c:f>
              <c:numCache>
                <c:formatCode>General</c:formatCode>
                <c:ptCount val="10"/>
                <c:pt idx="0">
                  <c:v>8000000</c:v>
                </c:pt>
                <c:pt idx="1">
                  <c:v>20000000</c:v>
                </c:pt>
                <c:pt idx="2">
                  <c:v>30000000</c:v>
                </c:pt>
                <c:pt idx="3">
                  <c:v>50000000</c:v>
                </c:pt>
                <c:pt idx="4">
                  <c:v>100000000</c:v>
                </c:pt>
                <c:pt idx="5">
                  <c:v>160000000</c:v>
                </c:pt>
                <c:pt idx="6" formatCode="#,##0">
                  <c:v>200000000</c:v>
                </c:pt>
                <c:pt idx="7" formatCode="#,##0">
                  <c:v>250000000</c:v>
                </c:pt>
                <c:pt idx="8" formatCode="#,##0">
                  <c:v>300000000</c:v>
                </c:pt>
                <c:pt idx="9" formatCode="#,##0">
                  <c:v>350000000</c:v>
                </c:pt>
              </c:numCache>
            </c:numRef>
          </c:cat>
          <c:val>
            <c:numRef>
              <c:f>'PBL Tables'!$AB$128:$AB$137</c:f>
              <c:numCache>
                <c:formatCode>General</c:formatCode>
                <c:ptCount val="10"/>
                <c:pt idx="6" formatCode="#,##0">
                  <c:v>343807800</c:v>
                </c:pt>
                <c:pt idx="7" formatCode="#,##0">
                  <c:v>424158636.36363637</c:v>
                </c:pt>
                <c:pt idx="8" formatCode="#,##0">
                  <c:v>504509472.72727269</c:v>
                </c:pt>
                <c:pt idx="9" formatCode="#,##0">
                  <c:v>584860309.09090912</c:v>
                </c:pt>
              </c:numCache>
            </c:numRef>
          </c:val>
          <c:smooth val="0"/>
          <c:extLst>
            <c:ext xmlns:c16="http://schemas.microsoft.com/office/drawing/2014/chart" uri="{C3380CC4-5D6E-409C-BE32-E72D297353CC}">
              <c16:uniqueId val="{00000002-409F-4A9C-A838-F7C1F1B179B6}"/>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'PBL Tables'!$AV$90:$AV$99</c:f>
              <c:numCache>
                <c:formatCode>General</c:formatCode>
                <c:ptCount val="10"/>
                <c:pt idx="0">
                  <c:v>3000000</c:v>
                </c:pt>
                <c:pt idx="1">
                  <c:v>8000000</c:v>
                </c:pt>
                <c:pt idx="2">
                  <c:v>12000000</c:v>
                </c:pt>
                <c:pt idx="3">
                  <c:v>20000000</c:v>
                </c:pt>
                <c:pt idx="4">
                  <c:v>40000000</c:v>
                </c:pt>
                <c:pt idx="5">
                  <c:v>60000000</c:v>
                </c:pt>
                <c:pt idx="6">
                  <c:v>80000000</c:v>
                </c:pt>
                <c:pt idx="7">
                  <c:v>100000000</c:v>
                </c:pt>
                <c:pt idx="8" formatCode="#,##0">
                  <c:v>150000000</c:v>
                </c:pt>
                <c:pt idx="9" formatCode="#,##0">
                  <c:v>200000000</c:v>
                </c:pt>
              </c:numCache>
            </c:numRef>
          </c:cat>
          <c:val>
            <c:numRef>
              <c:f>'PBL Tables'!$AW$90:$AW$99</c:f>
              <c:numCache>
                <c:formatCode>#,##0</c:formatCode>
                <c:ptCount val="10"/>
                <c:pt idx="0">
                  <c:v>14122742.885888001</c:v>
                </c:pt>
                <c:pt idx="1">
                  <c:v>18997084.701504003</c:v>
                </c:pt>
                <c:pt idx="2">
                  <c:v>23954590.243584003</c:v>
                </c:pt>
                <c:pt idx="3">
                  <c:v>29706800.812416002</c:v>
                </c:pt>
                <c:pt idx="4">
                  <c:v>44655295.112064004</c:v>
                </c:pt>
                <c:pt idx="5">
                  <c:v>74486643.678720012</c:v>
                </c:pt>
                <c:pt idx="6">
                  <c:v>107547960.19968002</c:v>
                </c:pt>
                <c:pt idx="7">
                  <c:v>182730157.90848002</c:v>
                </c:pt>
              </c:numCache>
            </c:numRef>
          </c:val>
          <c:smooth val="0"/>
          <c:extLst>
            <c:ext xmlns:c16="http://schemas.microsoft.com/office/drawing/2014/chart" uri="{C3380CC4-5D6E-409C-BE32-E72D297353CC}">
              <c16:uniqueId val="{00000001-1B40-4544-B628-B9B5A5653890}"/>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'PBL Tables'!$AV$90:$AV$99</c:f>
              <c:numCache>
                <c:formatCode>General</c:formatCode>
                <c:ptCount val="10"/>
                <c:pt idx="0">
                  <c:v>3000000</c:v>
                </c:pt>
                <c:pt idx="1">
                  <c:v>8000000</c:v>
                </c:pt>
                <c:pt idx="2">
                  <c:v>12000000</c:v>
                </c:pt>
                <c:pt idx="3">
                  <c:v>20000000</c:v>
                </c:pt>
                <c:pt idx="4">
                  <c:v>40000000</c:v>
                </c:pt>
                <c:pt idx="5">
                  <c:v>60000000</c:v>
                </c:pt>
                <c:pt idx="6">
                  <c:v>80000000</c:v>
                </c:pt>
                <c:pt idx="7">
                  <c:v>100000000</c:v>
                </c:pt>
                <c:pt idx="8" formatCode="#,##0">
                  <c:v>150000000</c:v>
                </c:pt>
                <c:pt idx="9" formatCode="#,##0">
                  <c:v>200000000</c:v>
                </c:pt>
              </c:numCache>
            </c:numRef>
          </c:cat>
          <c:val>
            <c:numRef>
              <c:f>'PBL Tables'!$AX$90:$AX$99</c:f>
              <c:numCache>
                <c:formatCode>General</c:formatCode>
                <c:ptCount val="10"/>
                <c:pt idx="8" formatCode="#,##0">
                  <c:v>233863636.36363637</c:v>
                </c:pt>
                <c:pt idx="9" formatCode="#,##0">
                  <c:v>300681818.18181819</c:v>
                </c:pt>
              </c:numCache>
            </c:numRef>
          </c:val>
          <c:smooth val="0"/>
          <c:extLst>
            <c:ext xmlns:c16="http://schemas.microsoft.com/office/drawing/2014/chart" uri="{C3380CC4-5D6E-409C-BE32-E72D297353CC}">
              <c16:uniqueId val="{00000002-1B40-4544-B628-B9B5A5653890}"/>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'PBL Tables'!$AV$109:$AV$118</c:f>
              <c:numCache>
                <c:formatCode>General</c:formatCode>
                <c:ptCount val="10"/>
                <c:pt idx="0">
                  <c:v>4000000</c:v>
                </c:pt>
                <c:pt idx="1">
                  <c:v>8000000</c:v>
                </c:pt>
                <c:pt idx="2">
                  <c:v>20000000</c:v>
                </c:pt>
                <c:pt idx="3">
                  <c:v>40000000</c:v>
                </c:pt>
                <c:pt idx="4">
                  <c:v>60000000</c:v>
                </c:pt>
                <c:pt idx="5">
                  <c:v>80000000</c:v>
                </c:pt>
                <c:pt idx="6">
                  <c:v>120000000</c:v>
                </c:pt>
                <c:pt idx="7" formatCode="#,##0">
                  <c:v>150000000</c:v>
                </c:pt>
                <c:pt idx="8" formatCode="#,##0">
                  <c:v>200000000</c:v>
                </c:pt>
                <c:pt idx="9" formatCode="#,##0">
                  <c:v>250000000</c:v>
                </c:pt>
              </c:numCache>
            </c:numRef>
          </c:cat>
          <c:val>
            <c:numRef>
              <c:f>'PBL Tables'!$AW$109:$AW$118</c:f>
              <c:numCache>
                <c:formatCode>#,##0</c:formatCode>
                <c:ptCount val="10"/>
                <c:pt idx="0">
                  <c:v>18899990.176233765</c:v>
                </c:pt>
                <c:pt idx="1">
                  <c:v>23476388.852613635</c:v>
                </c:pt>
                <c:pt idx="2">
                  <c:v>36870710.705909088</c:v>
                </c:pt>
                <c:pt idx="3">
                  <c:v>54506502.406363636</c:v>
                </c:pt>
                <c:pt idx="4">
                  <c:v>74688107.729772732</c:v>
                </c:pt>
                <c:pt idx="5">
                  <c:v>107864699.87818182</c:v>
                </c:pt>
                <c:pt idx="6">
                  <c:v>198513198.82120329</c:v>
                </c:pt>
              </c:numCache>
            </c:numRef>
          </c:val>
          <c:smooth val="0"/>
          <c:extLst>
            <c:ext xmlns:c16="http://schemas.microsoft.com/office/drawing/2014/chart" uri="{C3380CC4-5D6E-409C-BE32-E72D297353CC}">
              <c16:uniqueId val="{00000001-5B10-4B7D-A70E-094C05295BF6}"/>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'PBL Tables'!$AV$109:$AV$118</c:f>
              <c:numCache>
                <c:formatCode>General</c:formatCode>
                <c:ptCount val="10"/>
                <c:pt idx="0">
                  <c:v>4000000</c:v>
                </c:pt>
                <c:pt idx="1">
                  <c:v>8000000</c:v>
                </c:pt>
                <c:pt idx="2">
                  <c:v>20000000</c:v>
                </c:pt>
                <c:pt idx="3">
                  <c:v>40000000</c:v>
                </c:pt>
                <c:pt idx="4">
                  <c:v>60000000</c:v>
                </c:pt>
                <c:pt idx="5">
                  <c:v>80000000</c:v>
                </c:pt>
                <c:pt idx="6">
                  <c:v>120000000</c:v>
                </c:pt>
                <c:pt idx="7" formatCode="#,##0">
                  <c:v>150000000</c:v>
                </c:pt>
                <c:pt idx="8" formatCode="#,##0">
                  <c:v>200000000</c:v>
                </c:pt>
                <c:pt idx="9" formatCode="#,##0">
                  <c:v>250000000</c:v>
                </c:pt>
              </c:numCache>
            </c:numRef>
          </c:cat>
          <c:val>
            <c:numRef>
              <c:f>'PBL Tables'!$AX$109:$AX$118</c:f>
              <c:numCache>
                <c:formatCode>#,##0.0</c:formatCode>
                <c:ptCount val="10"/>
                <c:pt idx="7" formatCode="#,##0">
                  <c:v>254125000</c:v>
                </c:pt>
                <c:pt idx="8" formatCode="#,##0">
                  <c:v>341913636.36363637</c:v>
                </c:pt>
                <c:pt idx="9" formatCode="#,##0">
                  <c:v>443563636.36363637</c:v>
                </c:pt>
              </c:numCache>
            </c:numRef>
          </c:val>
          <c:smooth val="0"/>
          <c:extLst>
            <c:ext xmlns:c16="http://schemas.microsoft.com/office/drawing/2014/chart" uri="{C3380CC4-5D6E-409C-BE32-E72D297353CC}">
              <c16:uniqueId val="{00000002-5B10-4B7D-A70E-094C05295BF6}"/>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'PBL Tables'!$AV$128:$AV$137</c:f>
              <c:numCache>
                <c:formatCode>General</c:formatCode>
                <c:ptCount val="10"/>
                <c:pt idx="0">
                  <c:v>8000000</c:v>
                </c:pt>
                <c:pt idx="1">
                  <c:v>20000000</c:v>
                </c:pt>
                <c:pt idx="2">
                  <c:v>30000000</c:v>
                </c:pt>
                <c:pt idx="3">
                  <c:v>50000000</c:v>
                </c:pt>
                <c:pt idx="4">
                  <c:v>100000000</c:v>
                </c:pt>
                <c:pt idx="5">
                  <c:v>160000000</c:v>
                </c:pt>
                <c:pt idx="6" formatCode="#,##0">
                  <c:v>200000000</c:v>
                </c:pt>
                <c:pt idx="7" formatCode="#,##0">
                  <c:v>250000000</c:v>
                </c:pt>
                <c:pt idx="8" formatCode="#,##0">
                  <c:v>300000000</c:v>
                </c:pt>
                <c:pt idx="9" formatCode="#,##0">
                  <c:v>350000000</c:v>
                </c:pt>
              </c:numCache>
            </c:numRef>
          </c:cat>
          <c:val>
            <c:numRef>
              <c:f>'PBL Tables'!$AW$128:$AW$137</c:f>
              <c:numCache>
                <c:formatCode>#,##0</c:formatCode>
                <c:ptCount val="10"/>
                <c:pt idx="0">
                  <c:v>25173894.588636365</c:v>
                </c:pt>
                <c:pt idx="1">
                  <c:v>39536718.809090912</c:v>
                </c:pt>
                <c:pt idx="2">
                  <c:v>46992061.172727272</c:v>
                </c:pt>
                <c:pt idx="3">
                  <c:v>76986359.127272725</c:v>
                </c:pt>
                <c:pt idx="4">
                  <c:v>181420068.70000002</c:v>
                </c:pt>
                <c:pt idx="5">
                  <c:v>282247982.9636364</c:v>
                </c:pt>
              </c:numCache>
            </c:numRef>
          </c:val>
          <c:smooth val="0"/>
          <c:extLst>
            <c:ext xmlns:c16="http://schemas.microsoft.com/office/drawing/2014/chart" uri="{C3380CC4-5D6E-409C-BE32-E72D297353CC}">
              <c16:uniqueId val="{00000001-84D0-4131-979A-AC80B9861BA8}"/>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'PBL Tables'!$AV$128:$AV$137</c:f>
              <c:numCache>
                <c:formatCode>General</c:formatCode>
                <c:ptCount val="10"/>
                <c:pt idx="0">
                  <c:v>8000000</c:v>
                </c:pt>
                <c:pt idx="1">
                  <c:v>20000000</c:v>
                </c:pt>
                <c:pt idx="2">
                  <c:v>30000000</c:v>
                </c:pt>
                <c:pt idx="3">
                  <c:v>50000000</c:v>
                </c:pt>
                <c:pt idx="4">
                  <c:v>100000000</c:v>
                </c:pt>
                <c:pt idx="5">
                  <c:v>160000000</c:v>
                </c:pt>
                <c:pt idx="6" formatCode="#,##0">
                  <c:v>200000000</c:v>
                </c:pt>
                <c:pt idx="7" formatCode="#,##0">
                  <c:v>250000000</c:v>
                </c:pt>
                <c:pt idx="8" formatCode="#,##0">
                  <c:v>300000000</c:v>
                </c:pt>
                <c:pt idx="9" formatCode="#,##0">
                  <c:v>350000000</c:v>
                </c:pt>
              </c:numCache>
            </c:numRef>
          </c:cat>
          <c:val>
            <c:numRef>
              <c:f>'PBL Tables'!$AX$128:$AX$137</c:f>
              <c:numCache>
                <c:formatCode>General</c:formatCode>
                <c:ptCount val="10"/>
                <c:pt idx="6" formatCode="#,##0">
                  <c:v>396363636.36363637</c:v>
                </c:pt>
                <c:pt idx="7" formatCode="#,##0">
                  <c:v>515272727.27272731</c:v>
                </c:pt>
                <c:pt idx="8" formatCode="#,##0">
                  <c:v>634181818.18181825</c:v>
                </c:pt>
                <c:pt idx="9" formatCode="#,##0">
                  <c:v>763000000</c:v>
                </c:pt>
              </c:numCache>
            </c:numRef>
          </c:val>
          <c:smooth val="0"/>
          <c:extLst>
            <c:ext xmlns:c16="http://schemas.microsoft.com/office/drawing/2014/chart" uri="{C3380CC4-5D6E-409C-BE32-E72D297353CC}">
              <c16:uniqueId val="{00000002-84D0-4131-979A-AC80B9861BA8}"/>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'PBL Tables'!$AV$147:$AV$156</c:f>
              <c:numCache>
                <c:formatCode>General</c:formatCode>
                <c:ptCount val="10"/>
                <c:pt idx="0">
                  <c:v>3000000</c:v>
                </c:pt>
                <c:pt idx="1">
                  <c:v>8000000</c:v>
                </c:pt>
                <c:pt idx="2">
                  <c:v>12000000</c:v>
                </c:pt>
                <c:pt idx="3">
                  <c:v>20000000</c:v>
                </c:pt>
                <c:pt idx="4">
                  <c:v>40000000</c:v>
                </c:pt>
                <c:pt idx="5">
                  <c:v>60000000</c:v>
                </c:pt>
                <c:pt idx="6">
                  <c:v>80000000</c:v>
                </c:pt>
                <c:pt idx="7">
                  <c:v>100000000</c:v>
                </c:pt>
                <c:pt idx="8" formatCode="#,##0">
                  <c:v>150000000</c:v>
                </c:pt>
                <c:pt idx="9" formatCode="#,##0">
                  <c:v>200000000</c:v>
                </c:pt>
              </c:numCache>
            </c:numRef>
          </c:cat>
          <c:val>
            <c:numRef>
              <c:f>'PBL Tables'!$AW$147:$AW$156</c:f>
              <c:numCache>
                <c:formatCode>#,##0</c:formatCode>
                <c:ptCount val="10"/>
                <c:pt idx="0">
                  <c:v>14122742.885888001</c:v>
                </c:pt>
                <c:pt idx="1">
                  <c:v>18997084.701504003</c:v>
                </c:pt>
                <c:pt idx="2">
                  <c:v>23954590.243584003</c:v>
                </c:pt>
                <c:pt idx="3">
                  <c:v>29706800.812416002</c:v>
                </c:pt>
                <c:pt idx="4">
                  <c:v>44655295.112064004</c:v>
                </c:pt>
                <c:pt idx="5">
                  <c:v>74486643.678720012</c:v>
                </c:pt>
                <c:pt idx="6">
                  <c:v>107547960.19968002</c:v>
                </c:pt>
                <c:pt idx="7">
                  <c:v>182730157.90848002</c:v>
                </c:pt>
              </c:numCache>
            </c:numRef>
          </c:val>
          <c:smooth val="0"/>
          <c:extLst>
            <c:ext xmlns:c16="http://schemas.microsoft.com/office/drawing/2014/chart" uri="{C3380CC4-5D6E-409C-BE32-E72D297353CC}">
              <c16:uniqueId val="{00000001-4BD9-4C44-9ECA-94B35EAB4163}"/>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'PBL Tables'!$AV$147:$AV$156</c:f>
              <c:numCache>
                <c:formatCode>General</c:formatCode>
                <c:ptCount val="10"/>
                <c:pt idx="0">
                  <c:v>3000000</c:v>
                </c:pt>
                <c:pt idx="1">
                  <c:v>8000000</c:v>
                </c:pt>
                <c:pt idx="2">
                  <c:v>12000000</c:v>
                </c:pt>
                <c:pt idx="3">
                  <c:v>20000000</c:v>
                </c:pt>
                <c:pt idx="4">
                  <c:v>40000000</c:v>
                </c:pt>
                <c:pt idx="5">
                  <c:v>60000000</c:v>
                </c:pt>
                <c:pt idx="6">
                  <c:v>80000000</c:v>
                </c:pt>
                <c:pt idx="7">
                  <c:v>100000000</c:v>
                </c:pt>
                <c:pt idx="8" formatCode="#,##0">
                  <c:v>150000000</c:v>
                </c:pt>
                <c:pt idx="9" formatCode="#,##0">
                  <c:v>200000000</c:v>
                </c:pt>
              </c:numCache>
            </c:numRef>
          </c:cat>
          <c:val>
            <c:numRef>
              <c:f>'PBL Tables'!$AX$147:$AX$156</c:f>
              <c:numCache>
                <c:formatCode>General</c:formatCode>
                <c:ptCount val="10"/>
                <c:pt idx="8" formatCode="#,##0">
                  <c:v>233863636.36363637</c:v>
                </c:pt>
                <c:pt idx="9" formatCode="#,##0">
                  <c:v>300681818.18181819</c:v>
                </c:pt>
              </c:numCache>
            </c:numRef>
          </c:val>
          <c:smooth val="0"/>
          <c:extLst>
            <c:ext xmlns:c16="http://schemas.microsoft.com/office/drawing/2014/chart" uri="{C3380CC4-5D6E-409C-BE32-E72D297353CC}">
              <c16:uniqueId val="{00000002-4BD9-4C44-9ECA-94B35EAB4163}"/>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'PBL Tables'!$AV$166:$AV$175</c:f>
              <c:numCache>
                <c:formatCode>General</c:formatCode>
                <c:ptCount val="10"/>
                <c:pt idx="0">
                  <c:v>4000000</c:v>
                </c:pt>
                <c:pt idx="1">
                  <c:v>8000000</c:v>
                </c:pt>
                <c:pt idx="2">
                  <c:v>20000000</c:v>
                </c:pt>
                <c:pt idx="3">
                  <c:v>40000000</c:v>
                </c:pt>
                <c:pt idx="4">
                  <c:v>60000000</c:v>
                </c:pt>
                <c:pt idx="5">
                  <c:v>80000000</c:v>
                </c:pt>
                <c:pt idx="6">
                  <c:v>120000000</c:v>
                </c:pt>
                <c:pt idx="7" formatCode="#,##0">
                  <c:v>150000000</c:v>
                </c:pt>
                <c:pt idx="8" formatCode="#,##0">
                  <c:v>200000000</c:v>
                </c:pt>
                <c:pt idx="9" formatCode="#,##0">
                  <c:v>250000000</c:v>
                </c:pt>
              </c:numCache>
            </c:numRef>
          </c:cat>
          <c:val>
            <c:numRef>
              <c:f>'PBL Tables'!$AW$166:$AW$175</c:f>
              <c:numCache>
                <c:formatCode>#,##0</c:formatCode>
                <c:ptCount val="10"/>
                <c:pt idx="0">
                  <c:v>18899990.176233765</c:v>
                </c:pt>
                <c:pt idx="1">
                  <c:v>23476388.852613635</c:v>
                </c:pt>
                <c:pt idx="2">
                  <c:v>36870710.705909088</c:v>
                </c:pt>
                <c:pt idx="3">
                  <c:v>54506502.406363636</c:v>
                </c:pt>
                <c:pt idx="4">
                  <c:v>74688107.729772732</c:v>
                </c:pt>
                <c:pt idx="5">
                  <c:v>107864699.87818182</c:v>
                </c:pt>
                <c:pt idx="6">
                  <c:v>198513198.82120329</c:v>
                </c:pt>
              </c:numCache>
            </c:numRef>
          </c:val>
          <c:smooth val="0"/>
          <c:extLst>
            <c:ext xmlns:c16="http://schemas.microsoft.com/office/drawing/2014/chart" uri="{C3380CC4-5D6E-409C-BE32-E72D297353CC}">
              <c16:uniqueId val="{00000001-B21C-48C3-9016-0C6973BC8ACC}"/>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'PBL Tables'!$AV$166:$AV$175</c:f>
              <c:numCache>
                <c:formatCode>General</c:formatCode>
                <c:ptCount val="10"/>
                <c:pt idx="0">
                  <c:v>4000000</c:v>
                </c:pt>
                <c:pt idx="1">
                  <c:v>8000000</c:v>
                </c:pt>
                <c:pt idx="2">
                  <c:v>20000000</c:v>
                </c:pt>
                <c:pt idx="3">
                  <c:v>40000000</c:v>
                </c:pt>
                <c:pt idx="4">
                  <c:v>60000000</c:v>
                </c:pt>
                <c:pt idx="5">
                  <c:v>80000000</c:v>
                </c:pt>
                <c:pt idx="6">
                  <c:v>120000000</c:v>
                </c:pt>
                <c:pt idx="7" formatCode="#,##0">
                  <c:v>150000000</c:v>
                </c:pt>
                <c:pt idx="8" formatCode="#,##0">
                  <c:v>200000000</c:v>
                </c:pt>
                <c:pt idx="9" formatCode="#,##0">
                  <c:v>250000000</c:v>
                </c:pt>
              </c:numCache>
            </c:numRef>
          </c:cat>
          <c:val>
            <c:numRef>
              <c:f>'PBL Tables'!$AX$166:$AX$175</c:f>
              <c:numCache>
                <c:formatCode>#,##0.0</c:formatCode>
                <c:ptCount val="10"/>
                <c:pt idx="7" formatCode="#,##0">
                  <c:v>254125000</c:v>
                </c:pt>
                <c:pt idx="8" formatCode="#,##0">
                  <c:v>341913636.36363637</c:v>
                </c:pt>
                <c:pt idx="9" formatCode="#,##0">
                  <c:v>443563636.36363637</c:v>
                </c:pt>
              </c:numCache>
            </c:numRef>
          </c:val>
          <c:smooth val="0"/>
          <c:extLst>
            <c:ext xmlns:c16="http://schemas.microsoft.com/office/drawing/2014/chart" uri="{C3380CC4-5D6E-409C-BE32-E72D297353CC}">
              <c16:uniqueId val="{00000002-B21C-48C3-9016-0C6973BC8ACC}"/>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'PBL Tables'!$AV$186:$AV$195</c:f>
              <c:numCache>
                <c:formatCode>General</c:formatCode>
                <c:ptCount val="10"/>
                <c:pt idx="0">
                  <c:v>8000000</c:v>
                </c:pt>
                <c:pt idx="1">
                  <c:v>20000000</c:v>
                </c:pt>
                <c:pt idx="2">
                  <c:v>30000000</c:v>
                </c:pt>
                <c:pt idx="3">
                  <c:v>50000000</c:v>
                </c:pt>
                <c:pt idx="4">
                  <c:v>100000000</c:v>
                </c:pt>
                <c:pt idx="5">
                  <c:v>160000000</c:v>
                </c:pt>
                <c:pt idx="6" formatCode="#,##0">
                  <c:v>200000000</c:v>
                </c:pt>
                <c:pt idx="7" formatCode="#,##0">
                  <c:v>250000000</c:v>
                </c:pt>
                <c:pt idx="8" formatCode="#,##0">
                  <c:v>300000000</c:v>
                </c:pt>
                <c:pt idx="9" formatCode="#,##0">
                  <c:v>350000000</c:v>
                </c:pt>
              </c:numCache>
            </c:numRef>
          </c:cat>
          <c:val>
            <c:numRef>
              <c:f>'PBL Tables'!$AW$186:$AW$195</c:f>
              <c:numCache>
                <c:formatCode>#,##0</c:formatCode>
                <c:ptCount val="10"/>
                <c:pt idx="0">
                  <c:v>25173894.588636365</c:v>
                </c:pt>
                <c:pt idx="1">
                  <c:v>39536718.809090912</c:v>
                </c:pt>
                <c:pt idx="2">
                  <c:v>46992061.172727272</c:v>
                </c:pt>
                <c:pt idx="3">
                  <c:v>76986359.127272725</c:v>
                </c:pt>
                <c:pt idx="4">
                  <c:v>181420068.70000002</c:v>
                </c:pt>
                <c:pt idx="5">
                  <c:v>282247982.9636364</c:v>
                </c:pt>
              </c:numCache>
            </c:numRef>
          </c:val>
          <c:smooth val="0"/>
          <c:extLst>
            <c:ext xmlns:c16="http://schemas.microsoft.com/office/drawing/2014/chart" uri="{C3380CC4-5D6E-409C-BE32-E72D297353CC}">
              <c16:uniqueId val="{00000001-FD60-4ADB-AF03-40C2B57063B7}"/>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'PBL Tables'!$AV$186:$AV$195</c:f>
              <c:numCache>
                <c:formatCode>General</c:formatCode>
                <c:ptCount val="10"/>
                <c:pt idx="0">
                  <c:v>8000000</c:v>
                </c:pt>
                <c:pt idx="1">
                  <c:v>20000000</c:v>
                </c:pt>
                <c:pt idx="2">
                  <c:v>30000000</c:v>
                </c:pt>
                <c:pt idx="3">
                  <c:v>50000000</c:v>
                </c:pt>
                <c:pt idx="4">
                  <c:v>100000000</c:v>
                </c:pt>
                <c:pt idx="5">
                  <c:v>160000000</c:v>
                </c:pt>
                <c:pt idx="6" formatCode="#,##0">
                  <c:v>200000000</c:v>
                </c:pt>
                <c:pt idx="7" formatCode="#,##0">
                  <c:v>250000000</c:v>
                </c:pt>
                <c:pt idx="8" formatCode="#,##0">
                  <c:v>300000000</c:v>
                </c:pt>
                <c:pt idx="9" formatCode="#,##0">
                  <c:v>350000000</c:v>
                </c:pt>
              </c:numCache>
            </c:numRef>
          </c:cat>
          <c:val>
            <c:numRef>
              <c:f>'PBL Tables'!$AX$186:$AX$195</c:f>
              <c:numCache>
                <c:formatCode>General</c:formatCode>
                <c:ptCount val="10"/>
                <c:pt idx="6" formatCode="#,##0">
                  <c:v>396363636.36363637</c:v>
                </c:pt>
                <c:pt idx="7" formatCode="#,##0">
                  <c:v>515272727.27272731</c:v>
                </c:pt>
                <c:pt idx="8" formatCode="#,##0">
                  <c:v>634181818.18181825</c:v>
                </c:pt>
                <c:pt idx="9" formatCode="#,##0">
                  <c:v>763000000</c:v>
                </c:pt>
              </c:numCache>
            </c:numRef>
          </c:val>
          <c:smooth val="0"/>
          <c:extLst>
            <c:ext xmlns:c16="http://schemas.microsoft.com/office/drawing/2014/chart" uri="{C3380CC4-5D6E-409C-BE32-E72D297353CC}">
              <c16:uniqueId val="{00000002-FD60-4ADB-AF03-40C2B57063B7}"/>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'PBL Tables'!$CS$165:$CS$174</c:f>
              <c:numCache>
                <c:formatCode>General</c:formatCode>
                <c:ptCount val="10"/>
                <c:pt idx="0">
                  <c:v>4000000</c:v>
                </c:pt>
                <c:pt idx="1">
                  <c:v>8000000</c:v>
                </c:pt>
                <c:pt idx="2">
                  <c:v>20000000</c:v>
                </c:pt>
                <c:pt idx="3">
                  <c:v>40000000</c:v>
                </c:pt>
                <c:pt idx="4">
                  <c:v>60000000</c:v>
                </c:pt>
                <c:pt idx="5">
                  <c:v>80000000</c:v>
                </c:pt>
                <c:pt idx="6">
                  <c:v>120000000</c:v>
                </c:pt>
                <c:pt idx="7" formatCode="#,##0">
                  <c:v>160000000</c:v>
                </c:pt>
                <c:pt idx="8" formatCode="#,##0">
                  <c:v>200000000</c:v>
                </c:pt>
                <c:pt idx="9" formatCode="#,##0">
                  <c:v>250000000</c:v>
                </c:pt>
              </c:numCache>
            </c:numRef>
          </c:cat>
          <c:val>
            <c:numRef>
              <c:f>'PBL Tables'!$CT$165:$CT$174</c:f>
              <c:numCache>
                <c:formatCode>#,##0.0</c:formatCode>
                <c:ptCount val="10"/>
                <c:pt idx="0">
                  <c:v>20916563.333333332</c:v>
                </c:pt>
                <c:pt idx="1">
                  <c:v>26095742.09090909</c:v>
                </c:pt>
                <c:pt idx="2">
                  <c:v>40841962.200000003</c:v>
                </c:pt>
                <c:pt idx="3">
                  <c:v>57570524.666666664</c:v>
                </c:pt>
                <c:pt idx="4">
                  <c:v>79920318.125</c:v>
                </c:pt>
                <c:pt idx="5">
                  <c:v>116973107.25</c:v>
                </c:pt>
                <c:pt idx="6">
                  <c:v>244631645</c:v>
                </c:pt>
              </c:numCache>
            </c:numRef>
          </c:val>
          <c:smooth val="0"/>
          <c:extLst>
            <c:ext xmlns:c16="http://schemas.microsoft.com/office/drawing/2014/chart" uri="{C3380CC4-5D6E-409C-BE32-E72D297353CC}">
              <c16:uniqueId val="{00000001-CE8D-45DB-B5EF-09C1CCB84CEB}"/>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'PBL Tables'!$CS$165:$CS$174</c:f>
              <c:numCache>
                <c:formatCode>General</c:formatCode>
                <c:ptCount val="10"/>
                <c:pt idx="0">
                  <c:v>4000000</c:v>
                </c:pt>
                <c:pt idx="1">
                  <c:v>8000000</c:v>
                </c:pt>
                <c:pt idx="2">
                  <c:v>20000000</c:v>
                </c:pt>
                <c:pt idx="3">
                  <c:v>40000000</c:v>
                </c:pt>
                <c:pt idx="4">
                  <c:v>60000000</c:v>
                </c:pt>
                <c:pt idx="5">
                  <c:v>80000000</c:v>
                </c:pt>
                <c:pt idx="6">
                  <c:v>120000000</c:v>
                </c:pt>
                <c:pt idx="7" formatCode="#,##0">
                  <c:v>160000000</c:v>
                </c:pt>
                <c:pt idx="8" formatCode="#,##0">
                  <c:v>200000000</c:v>
                </c:pt>
                <c:pt idx="9" formatCode="#,##0">
                  <c:v>250000000</c:v>
                </c:pt>
              </c:numCache>
            </c:numRef>
          </c:cat>
          <c:val>
            <c:numRef>
              <c:f>'PBL Tables'!$CU$165:$CU$174</c:f>
              <c:numCache>
                <c:formatCode>#,##0.0</c:formatCode>
                <c:ptCount val="10"/>
                <c:pt idx="7" formatCode="#,##0">
                  <c:v>259387700</c:v>
                </c:pt>
                <c:pt idx="8" formatCode="#,##0">
                  <c:v>319078500</c:v>
                </c:pt>
                <c:pt idx="9" formatCode="#,##0">
                  <c:v>393692000</c:v>
                </c:pt>
              </c:numCache>
            </c:numRef>
          </c:val>
          <c:smooth val="0"/>
          <c:extLst>
            <c:ext xmlns:c16="http://schemas.microsoft.com/office/drawing/2014/chart" uri="{C3380CC4-5D6E-409C-BE32-E72D297353CC}">
              <c16:uniqueId val="{00000002-CE8D-45DB-B5EF-09C1CCB84CEB}"/>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'PBL Tables'!$CS$127:$CS$136</c:f>
              <c:numCache>
                <c:formatCode>General</c:formatCode>
                <c:ptCount val="10"/>
                <c:pt idx="0">
                  <c:v>8000000</c:v>
                </c:pt>
                <c:pt idx="1">
                  <c:v>20000000</c:v>
                </c:pt>
                <c:pt idx="2">
                  <c:v>30000000</c:v>
                </c:pt>
                <c:pt idx="3">
                  <c:v>50000000</c:v>
                </c:pt>
                <c:pt idx="4">
                  <c:v>80000000</c:v>
                </c:pt>
                <c:pt idx="5" formatCode="#,##0">
                  <c:v>120000000</c:v>
                </c:pt>
                <c:pt idx="6" formatCode="#,##0">
                  <c:v>160000000</c:v>
                </c:pt>
                <c:pt idx="7" formatCode="#,##0">
                  <c:v>200000000</c:v>
                </c:pt>
                <c:pt idx="8" formatCode="#,##0">
                  <c:v>250000000</c:v>
                </c:pt>
                <c:pt idx="9" formatCode="#,##0">
                  <c:v>300000000</c:v>
                </c:pt>
              </c:numCache>
            </c:numRef>
          </c:cat>
          <c:val>
            <c:numRef>
              <c:f>'PBL Tables'!$CT$127:$CT$136</c:f>
              <c:numCache>
                <c:formatCode>#,##0.0</c:formatCode>
                <c:ptCount val="10"/>
                <c:pt idx="0">
                  <c:v>24779866.466666665</c:v>
                </c:pt>
                <c:pt idx="1">
                  <c:v>39327941.916666664</c:v>
                </c:pt>
                <c:pt idx="2">
                  <c:v>46036330.25</c:v>
                </c:pt>
                <c:pt idx="3">
                  <c:v>70309568</c:v>
                </c:pt>
                <c:pt idx="4">
                  <c:v>113194860.5</c:v>
                </c:pt>
              </c:numCache>
            </c:numRef>
          </c:val>
          <c:smooth val="0"/>
          <c:extLst>
            <c:ext xmlns:c16="http://schemas.microsoft.com/office/drawing/2014/chart" uri="{C3380CC4-5D6E-409C-BE32-E72D297353CC}">
              <c16:uniqueId val="{00000001-EE2F-4097-AA97-28CD1ABDDBC2}"/>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'PBL Tables'!$CS$127:$CS$136</c:f>
              <c:numCache>
                <c:formatCode>General</c:formatCode>
                <c:ptCount val="10"/>
                <c:pt idx="0">
                  <c:v>8000000</c:v>
                </c:pt>
                <c:pt idx="1">
                  <c:v>20000000</c:v>
                </c:pt>
                <c:pt idx="2">
                  <c:v>30000000</c:v>
                </c:pt>
                <c:pt idx="3">
                  <c:v>50000000</c:v>
                </c:pt>
                <c:pt idx="4">
                  <c:v>80000000</c:v>
                </c:pt>
                <c:pt idx="5" formatCode="#,##0">
                  <c:v>120000000</c:v>
                </c:pt>
                <c:pt idx="6" formatCode="#,##0">
                  <c:v>160000000</c:v>
                </c:pt>
                <c:pt idx="7" formatCode="#,##0">
                  <c:v>200000000</c:v>
                </c:pt>
                <c:pt idx="8" formatCode="#,##0">
                  <c:v>250000000</c:v>
                </c:pt>
                <c:pt idx="9" formatCode="#,##0">
                  <c:v>300000000</c:v>
                </c:pt>
              </c:numCache>
            </c:numRef>
          </c:cat>
          <c:val>
            <c:numRef>
              <c:f>'PBL Tables'!$CU$127:$CU$136</c:f>
              <c:numCache>
                <c:formatCode>#,##0.0</c:formatCode>
                <c:ptCount val="10"/>
                <c:pt idx="5" formatCode="#,##0">
                  <c:v>199126200</c:v>
                </c:pt>
                <c:pt idx="6" formatCode="#,##0">
                  <c:v>258931400</c:v>
                </c:pt>
                <c:pt idx="7" formatCode="#,##0">
                  <c:v>318736600</c:v>
                </c:pt>
                <c:pt idx="8" formatCode="#,##0">
                  <c:v>393493099.99999994</c:v>
                </c:pt>
                <c:pt idx="9" formatCode="#,##0">
                  <c:v>468249599.99999994</c:v>
                </c:pt>
              </c:numCache>
            </c:numRef>
          </c:val>
          <c:smooth val="0"/>
          <c:extLst>
            <c:ext xmlns:c16="http://schemas.microsoft.com/office/drawing/2014/chart" uri="{C3380CC4-5D6E-409C-BE32-E72D297353CC}">
              <c16:uniqueId val="{00000002-EE2F-4097-AA97-28CD1ABDDBC2}"/>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'PBL Tables'!$BJ$109:$BJ$118</c:f>
              <c:numCache>
                <c:formatCode>General</c:formatCode>
                <c:ptCount val="10"/>
                <c:pt idx="0">
                  <c:v>8000000</c:v>
                </c:pt>
                <c:pt idx="1">
                  <c:v>20000000</c:v>
                </c:pt>
                <c:pt idx="2">
                  <c:v>30000000</c:v>
                </c:pt>
                <c:pt idx="3">
                  <c:v>50000000</c:v>
                </c:pt>
                <c:pt idx="4">
                  <c:v>100000000</c:v>
                </c:pt>
                <c:pt idx="5">
                  <c:v>160000000</c:v>
                </c:pt>
                <c:pt idx="6" formatCode="#,##0">
                  <c:v>200000000</c:v>
                </c:pt>
                <c:pt idx="7" formatCode="#,##0">
                  <c:v>250000000</c:v>
                </c:pt>
                <c:pt idx="8" formatCode="#,##0">
                  <c:v>300000000</c:v>
                </c:pt>
                <c:pt idx="9" formatCode="#,##0">
                  <c:v>350000000</c:v>
                </c:pt>
              </c:numCache>
            </c:numRef>
          </c:cat>
          <c:val>
            <c:numRef>
              <c:f>'PBL Tables'!$BK$109:$BK$118</c:f>
              <c:numCache>
                <c:formatCode>#,##0</c:formatCode>
                <c:ptCount val="10"/>
                <c:pt idx="0">
                  <c:v>26095742.09090909</c:v>
                </c:pt>
                <c:pt idx="1">
                  <c:v>40841962.200000003</c:v>
                </c:pt>
                <c:pt idx="2">
                  <c:v>45526023</c:v>
                </c:pt>
                <c:pt idx="3">
                  <c:v>75843438</c:v>
                </c:pt>
                <c:pt idx="4">
                  <c:v>184142772</c:v>
                </c:pt>
                <c:pt idx="5">
                  <c:v>296207934</c:v>
                </c:pt>
              </c:numCache>
            </c:numRef>
          </c:val>
          <c:smooth val="0"/>
          <c:extLst>
            <c:ext xmlns:c16="http://schemas.microsoft.com/office/drawing/2014/chart" uri="{C3380CC4-5D6E-409C-BE32-E72D297353CC}">
              <c16:uniqueId val="{00000001-E866-4C12-B721-94B6CE07E29B}"/>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'PBL Tables'!$BJ$109:$BJ$118</c:f>
              <c:numCache>
                <c:formatCode>General</c:formatCode>
                <c:ptCount val="10"/>
                <c:pt idx="0">
                  <c:v>8000000</c:v>
                </c:pt>
                <c:pt idx="1">
                  <c:v>20000000</c:v>
                </c:pt>
                <c:pt idx="2">
                  <c:v>30000000</c:v>
                </c:pt>
                <c:pt idx="3">
                  <c:v>50000000</c:v>
                </c:pt>
                <c:pt idx="4">
                  <c:v>100000000</c:v>
                </c:pt>
                <c:pt idx="5">
                  <c:v>160000000</c:v>
                </c:pt>
                <c:pt idx="6" formatCode="#,##0">
                  <c:v>200000000</c:v>
                </c:pt>
                <c:pt idx="7" formatCode="#,##0">
                  <c:v>250000000</c:v>
                </c:pt>
                <c:pt idx="8" formatCode="#,##0">
                  <c:v>300000000</c:v>
                </c:pt>
                <c:pt idx="9" formatCode="#,##0">
                  <c:v>350000000</c:v>
                </c:pt>
              </c:numCache>
            </c:numRef>
          </c:cat>
          <c:val>
            <c:numRef>
              <c:f>'PBL Tables'!$BL$109:$BL$118</c:f>
              <c:numCache>
                <c:formatCode>General</c:formatCode>
                <c:ptCount val="10"/>
                <c:pt idx="6" formatCode="#,##0">
                  <c:v>400000000</c:v>
                </c:pt>
                <c:pt idx="7" formatCode="#,##0">
                  <c:v>510000000</c:v>
                </c:pt>
                <c:pt idx="8" formatCode="#,##0">
                  <c:v>640000000</c:v>
                </c:pt>
                <c:pt idx="9" formatCode="#,##0">
                  <c:v>800000000</c:v>
                </c:pt>
              </c:numCache>
            </c:numRef>
          </c:val>
          <c:smooth val="0"/>
          <c:extLst>
            <c:ext xmlns:c16="http://schemas.microsoft.com/office/drawing/2014/chart" uri="{C3380CC4-5D6E-409C-BE32-E72D297353CC}">
              <c16:uniqueId val="{00000002-E866-4C12-B721-94B6CE07E29B}"/>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'PBL Tables'!$Z$13:$Z$22</c:f>
              <c:numCache>
                <c:formatCode>General</c:formatCode>
                <c:ptCount val="10"/>
                <c:pt idx="0">
                  <c:v>8000000</c:v>
                </c:pt>
                <c:pt idx="1">
                  <c:v>20000000</c:v>
                </c:pt>
                <c:pt idx="2">
                  <c:v>30000000</c:v>
                </c:pt>
                <c:pt idx="3">
                  <c:v>50000000</c:v>
                </c:pt>
                <c:pt idx="4">
                  <c:v>100000000</c:v>
                </c:pt>
                <c:pt idx="5">
                  <c:v>160000000</c:v>
                </c:pt>
                <c:pt idx="6" formatCode="#,##0">
                  <c:v>200000000</c:v>
                </c:pt>
                <c:pt idx="7" formatCode="#,##0">
                  <c:v>250000000</c:v>
                </c:pt>
                <c:pt idx="8" formatCode="#,##0">
                  <c:v>300000000</c:v>
                </c:pt>
                <c:pt idx="9" formatCode="#,##0">
                  <c:v>350000000</c:v>
                </c:pt>
              </c:numCache>
            </c:numRef>
          </c:cat>
          <c:val>
            <c:numRef>
              <c:f>'PBL Tables'!$AA$13:$AA$22</c:f>
              <c:numCache>
                <c:formatCode>#,##0</c:formatCode>
                <c:ptCount val="10"/>
                <c:pt idx="0">
                  <c:v>25887099.916666668</c:v>
                </c:pt>
                <c:pt idx="1">
                  <c:v>39946561.363636367</c:v>
                </c:pt>
                <c:pt idx="2">
                  <c:v>49514571.333333336</c:v>
                </c:pt>
                <c:pt idx="3">
                  <c:v>74897736</c:v>
                </c:pt>
              </c:numCache>
            </c:numRef>
          </c:val>
          <c:smooth val="0"/>
          <c:extLst>
            <c:ext xmlns:c16="http://schemas.microsoft.com/office/drawing/2014/chart" uri="{C3380CC4-5D6E-409C-BE32-E72D297353CC}">
              <c16:uniqueId val="{00000001-492F-461D-965C-6D6743BC771E}"/>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'PBL Tables'!$Z$13:$Z$22</c:f>
              <c:numCache>
                <c:formatCode>General</c:formatCode>
                <c:ptCount val="10"/>
                <c:pt idx="0">
                  <c:v>8000000</c:v>
                </c:pt>
                <c:pt idx="1">
                  <c:v>20000000</c:v>
                </c:pt>
                <c:pt idx="2">
                  <c:v>30000000</c:v>
                </c:pt>
                <c:pt idx="3">
                  <c:v>50000000</c:v>
                </c:pt>
                <c:pt idx="4">
                  <c:v>100000000</c:v>
                </c:pt>
                <c:pt idx="5">
                  <c:v>160000000</c:v>
                </c:pt>
                <c:pt idx="6" formatCode="#,##0">
                  <c:v>200000000</c:v>
                </c:pt>
                <c:pt idx="7" formatCode="#,##0">
                  <c:v>250000000</c:v>
                </c:pt>
                <c:pt idx="8" formatCode="#,##0">
                  <c:v>300000000</c:v>
                </c:pt>
                <c:pt idx="9" formatCode="#,##0">
                  <c:v>350000000</c:v>
                </c:pt>
              </c:numCache>
            </c:numRef>
          </c:cat>
          <c:val>
            <c:numRef>
              <c:f>'PBL Tables'!$AB$13:$AB$22</c:f>
              <c:numCache>
                <c:formatCode>General</c:formatCode>
                <c:ptCount val="10"/>
                <c:pt idx="4" formatCode="#,##0">
                  <c:v>169119600</c:v>
                </c:pt>
                <c:pt idx="5" formatCode="#,##0">
                  <c:v>257407799.99999997</c:v>
                </c:pt>
                <c:pt idx="6" formatCode="#,##0">
                  <c:v>316266600</c:v>
                </c:pt>
                <c:pt idx="7" formatCode="#,##0">
                  <c:v>389840099.99999994</c:v>
                </c:pt>
                <c:pt idx="8" formatCode="#,##0">
                  <c:v>463413600</c:v>
                </c:pt>
                <c:pt idx="9" formatCode="#,##0">
                  <c:v>536987100</c:v>
                </c:pt>
              </c:numCache>
            </c:numRef>
          </c:val>
          <c:smooth val="0"/>
          <c:extLst>
            <c:ext xmlns:c16="http://schemas.microsoft.com/office/drawing/2014/chart" uri="{C3380CC4-5D6E-409C-BE32-E72D297353CC}">
              <c16:uniqueId val="{00000002-492F-461D-965C-6D6743BC771E}"/>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'PBL Tables'!$DM$222:$DM$231</c:f>
              <c:numCache>
                <c:formatCode>General</c:formatCode>
                <c:ptCount val="10"/>
                <c:pt idx="0">
                  <c:v>4000000</c:v>
                </c:pt>
                <c:pt idx="1">
                  <c:v>8000000</c:v>
                </c:pt>
                <c:pt idx="2">
                  <c:v>20000000</c:v>
                </c:pt>
                <c:pt idx="3">
                  <c:v>40000000</c:v>
                </c:pt>
                <c:pt idx="4">
                  <c:v>60000000</c:v>
                </c:pt>
                <c:pt idx="5">
                  <c:v>80000000</c:v>
                </c:pt>
                <c:pt idx="6">
                  <c:v>120000000</c:v>
                </c:pt>
                <c:pt idx="7" formatCode="#,##0">
                  <c:v>160000000</c:v>
                </c:pt>
                <c:pt idx="8" formatCode="#,##0">
                  <c:v>200000000</c:v>
                </c:pt>
                <c:pt idx="9" formatCode="#,##0">
                  <c:v>250000000</c:v>
                </c:pt>
              </c:numCache>
            </c:numRef>
          </c:cat>
          <c:val>
            <c:numRef>
              <c:f>'PBL Tables'!$DN$222:$DN$231</c:f>
              <c:numCache>
                <c:formatCode>#,##0.0</c:formatCode>
                <c:ptCount val="10"/>
                <c:pt idx="0">
                  <c:v>20916563.333333332</c:v>
                </c:pt>
                <c:pt idx="1">
                  <c:v>25666793</c:v>
                </c:pt>
                <c:pt idx="2">
                  <c:v>39933461.799999997</c:v>
                </c:pt>
                <c:pt idx="3">
                  <c:v>57261780</c:v>
                </c:pt>
                <c:pt idx="4">
                  <c:v>79205363.25</c:v>
                </c:pt>
                <c:pt idx="5">
                  <c:v>116336222</c:v>
                </c:pt>
                <c:pt idx="6">
                  <c:v>244631645</c:v>
                </c:pt>
              </c:numCache>
            </c:numRef>
          </c:val>
          <c:smooth val="0"/>
          <c:extLst>
            <c:ext xmlns:c16="http://schemas.microsoft.com/office/drawing/2014/chart" uri="{C3380CC4-5D6E-409C-BE32-E72D297353CC}">
              <c16:uniqueId val="{00000001-DBC3-4BF8-9E0D-9D64B330F716}"/>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'PBL Tables'!$DM$222:$DM$231</c:f>
              <c:numCache>
                <c:formatCode>General</c:formatCode>
                <c:ptCount val="10"/>
                <c:pt idx="0">
                  <c:v>4000000</c:v>
                </c:pt>
                <c:pt idx="1">
                  <c:v>8000000</c:v>
                </c:pt>
                <c:pt idx="2">
                  <c:v>20000000</c:v>
                </c:pt>
                <c:pt idx="3">
                  <c:v>40000000</c:v>
                </c:pt>
                <c:pt idx="4">
                  <c:v>60000000</c:v>
                </c:pt>
                <c:pt idx="5">
                  <c:v>80000000</c:v>
                </c:pt>
                <c:pt idx="6">
                  <c:v>120000000</c:v>
                </c:pt>
                <c:pt idx="7" formatCode="#,##0">
                  <c:v>160000000</c:v>
                </c:pt>
                <c:pt idx="8" formatCode="#,##0">
                  <c:v>200000000</c:v>
                </c:pt>
                <c:pt idx="9" formatCode="#,##0">
                  <c:v>250000000</c:v>
                </c:pt>
              </c:numCache>
            </c:numRef>
          </c:cat>
          <c:val>
            <c:numRef>
              <c:f>'PBL Tables'!$DO$222:$DO$231</c:f>
              <c:numCache>
                <c:formatCode>General</c:formatCode>
                <c:ptCount val="10"/>
                <c:pt idx="7" formatCode="#,##0">
                  <c:v>291387500</c:v>
                </c:pt>
                <c:pt idx="8" formatCode="#,##0">
                  <c:v>360527500</c:v>
                </c:pt>
                <c:pt idx="9" formatCode="#,##0">
                  <c:v>446952500</c:v>
                </c:pt>
              </c:numCache>
            </c:numRef>
          </c:val>
          <c:smooth val="0"/>
          <c:extLst>
            <c:ext xmlns:c16="http://schemas.microsoft.com/office/drawing/2014/chart" uri="{C3380CC4-5D6E-409C-BE32-E72D297353CC}">
              <c16:uniqueId val="{00000002-DBC3-4BF8-9E0D-9D64B330F716}"/>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'PBL Tables'!$DM$222:$DM$231</c:f>
              <c:numCache>
                <c:formatCode>General</c:formatCode>
                <c:ptCount val="10"/>
                <c:pt idx="0">
                  <c:v>4000000</c:v>
                </c:pt>
                <c:pt idx="1">
                  <c:v>8000000</c:v>
                </c:pt>
                <c:pt idx="2">
                  <c:v>20000000</c:v>
                </c:pt>
                <c:pt idx="3">
                  <c:v>40000000</c:v>
                </c:pt>
                <c:pt idx="4">
                  <c:v>60000000</c:v>
                </c:pt>
                <c:pt idx="5">
                  <c:v>80000000</c:v>
                </c:pt>
                <c:pt idx="6">
                  <c:v>120000000</c:v>
                </c:pt>
                <c:pt idx="7" formatCode="#,##0">
                  <c:v>160000000</c:v>
                </c:pt>
                <c:pt idx="8" formatCode="#,##0">
                  <c:v>200000000</c:v>
                </c:pt>
                <c:pt idx="9" formatCode="#,##0">
                  <c:v>250000000</c:v>
                </c:pt>
              </c:numCache>
            </c:numRef>
          </c:cat>
          <c:val>
            <c:numRef>
              <c:f>'PBL Tables'!$DN$222:$DN$231</c:f>
              <c:numCache>
                <c:formatCode>#,##0.0</c:formatCode>
                <c:ptCount val="10"/>
                <c:pt idx="0">
                  <c:v>20916563.333333332</c:v>
                </c:pt>
                <c:pt idx="1">
                  <c:v>25666793</c:v>
                </c:pt>
                <c:pt idx="2">
                  <c:v>39933461.799999997</c:v>
                </c:pt>
                <c:pt idx="3">
                  <c:v>57261780</c:v>
                </c:pt>
                <c:pt idx="4">
                  <c:v>79205363.25</c:v>
                </c:pt>
                <c:pt idx="5">
                  <c:v>116336222</c:v>
                </c:pt>
                <c:pt idx="6">
                  <c:v>244631645</c:v>
                </c:pt>
              </c:numCache>
            </c:numRef>
          </c:val>
          <c:smooth val="0"/>
          <c:extLst>
            <c:ext xmlns:c16="http://schemas.microsoft.com/office/drawing/2014/chart" uri="{C3380CC4-5D6E-409C-BE32-E72D297353CC}">
              <c16:uniqueId val="{00000001-B1F8-4D00-AD81-35001277CAB3}"/>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'PBL Tables'!$DM$222:$DM$231</c:f>
              <c:numCache>
                <c:formatCode>General</c:formatCode>
                <c:ptCount val="10"/>
                <c:pt idx="0">
                  <c:v>4000000</c:v>
                </c:pt>
                <c:pt idx="1">
                  <c:v>8000000</c:v>
                </c:pt>
                <c:pt idx="2">
                  <c:v>20000000</c:v>
                </c:pt>
                <c:pt idx="3">
                  <c:v>40000000</c:v>
                </c:pt>
                <c:pt idx="4">
                  <c:v>60000000</c:v>
                </c:pt>
                <c:pt idx="5">
                  <c:v>80000000</c:v>
                </c:pt>
                <c:pt idx="6">
                  <c:v>120000000</c:v>
                </c:pt>
                <c:pt idx="7" formatCode="#,##0">
                  <c:v>160000000</c:v>
                </c:pt>
                <c:pt idx="8" formatCode="#,##0">
                  <c:v>200000000</c:v>
                </c:pt>
                <c:pt idx="9" formatCode="#,##0">
                  <c:v>250000000</c:v>
                </c:pt>
              </c:numCache>
            </c:numRef>
          </c:cat>
          <c:val>
            <c:numRef>
              <c:f>'PBL Tables'!$DO$222:$DO$231</c:f>
              <c:numCache>
                <c:formatCode>General</c:formatCode>
                <c:ptCount val="10"/>
                <c:pt idx="7" formatCode="#,##0">
                  <c:v>291387500</c:v>
                </c:pt>
                <c:pt idx="8" formatCode="#,##0">
                  <c:v>360527500</c:v>
                </c:pt>
                <c:pt idx="9" formatCode="#,##0">
                  <c:v>446952500</c:v>
                </c:pt>
              </c:numCache>
            </c:numRef>
          </c:val>
          <c:smooth val="0"/>
          <c:extLst>
            <c:ext xmlns:c16="http://schemas.microsoft.com/office/drawing/2014/chart" uri="{C3380CC4-5D6E-409C-BE32-E72D297353CC}">
              <c16:uniqueId val="{00000002-B1F8-4D00-AD81-35001277CAB3}"/>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'PBL Tables'!$Z$13:$Z$22</c:f>
              <c:numCache>
                <c:formatCode>General</c:formatCode>
                <c:ptCount val="10"/>
                <c:pt idx="0">
                  <c:v>8000000</c:v>
                </c:pt>
                <c:pt idx="1">
                  <c:v>20000000</c:v>
                </c:pt>
                <c:pt idx="2">
                  <c:v>30000000</c:v>
                </c:pt>
                <c:pt idx="3">
                  <c:v>50000000</c:v>
                </c:pt>
                <c:pt idx="4">
                  <c:v>100000000</c:v>
                </c:pt>
                <c:pt idx="5">
                  <c:v>160000000</c:v>
                </c:pt>
                <c:pt idx="6" formatCode="#,##0">
                  <c:v>200000000</c:v>
                </c:pt>
                <c:pt idx="7" formatCode="#,##0">
                  <c:v>250000000</c:v>
                </c:pt>
                <c:pt idx="8" formatCode="#,##0">
                  <c:v>300000000</c:v>
                </c:pt>
                <c:pt idx="9" formatCode="#,##0">
                  <c:v>350000000</c:v>
                </c:pt>
              </c:numCache>
            </c:numRef>
          </c:cat>
          <c:val>
            <c:numRef>
              <c:f>'PBL Tables'!$AA$13:$AA$22</c:f>
              <c:numCache>
                <c:formatCode>#,##0</c:formatCode>
                <c:ptCount val="10"/>
                <c:pt idx="0">
                  <c:v>25887099.916666668</c:v>
                </c:pt>
                <c:pt idx="1">
                  <c:v>39946561.363636367</c:v>
                </c:pt>
                <c:pt idx="2">
                  <c:v>49514571.333333336</c:v>
                </c:pt>
                <c:pt idx="3">
                  <c:v>74897736</c:v>
                </c:pt>
              </c:numCache>
            </c:numRef>
          </c:val>
          <c:smooth val="0"/>
          <c:extLst>
            <c:ext xmlns:c16="http://schemas.microsoft.com/office/drawing/2014/chart" uri="{C3380CC4-5D6E-409C-BE32-E72D297353CC}">
              <c16:uniqueId val="{00000001-01AD-4362-B9B2-9FE0BC66A1C8}"/>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'PBL Tables'!$Z$13:$Z$22</c:f>
              <c:numCache>
                <c:formatCode>General</c:formatCode>
                <c:ptCount val="10"/>
                <c:pt idx="0">
                  <c:v>8000000</c:v>
                </c:pt>
                <c:pt idx="1">
                  <c:v>20000000</c:v>
                </c:pt>
                <c:pt idx="2">
                  <c:v>30000000</c:v>
                </c:pt>
                <c:pt idx="3">
                  <c:v>50000000</c:v>
                </c:pt>
                <c:pt idx="4">
                  <c:v>100000000</c:v>
                </c:pt>
                <c:pt idx="5">
                  <c:v>160000000</c:v>
                </c:pt>
                <c:pt idx="6" formatCode="#,##0">
                  <c:v>200000000</c:v>
                </c:pt>
                <c:pt idx="7" formatCode="#,##0">
                  <c:v>250000000</c:v>
                </c:pt>
                <c:pt idx="8" formatCode="#,##0">
                  <c:v>300000000</c:v>
                </c:pt>
                <c:pt idx="9" formatCode="#,##0">
                  <c:v>350000000</c:v>
                </c:pt>
              </c:numCache>
            </c:numRef>
          </c:cat>
          <c:val>
            <c:numRef>
              <c:f>'PBL Tables'!$AB$13:$AB$22</c:f>
              <c:numCache>
                <c:formatCode>General</c:formatCode>
                <c:ptCount val="10"/>
                <c:pt idx="4" formatCode="#,##0">
                  <c:v>169119600</c:v>
                </c:pt>
                <c:pt idx="5" formatCode="#,##0">
                  <c:v>257407799.99999997</c:v>
                </c:pt>
                <c:pt idx="6" formatCode="#,##0">
                  <c:v>316266600</c:v>
                </c:pt>
                <c:pt idx="7" formatCode="#,##0">
                  <c:v>389840099.99999994</c:v>
                </c:pt>
                <c:pt idx="8" formatCode="#,##0">
                  <c:v>463413600</c:v>
                </c:pt>
                <c:pt idx="9" formatCode="#,##0">
                  <c:v>536987100</c:v>
                </c:pt>
              </c:numCache>
            </c:numRef>
          </c:val>
          <c:smooth val="0"/>
          <c:extLst>
            <c:ext xmlns:c16="http://schemas.microsoft.com/office/drawing/2014/chart" uri="{C3380CC4-5D6E-409C-BE32-E72D297353CC}">
              <c16:uniqueId val="{00000002-01AD-4362-B9B2-9FE0BC66A1C8}"/>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'PBL Tables'!$Z$13:$Z$22</c:f>
              <c:numCache>
                <c:formatCode>General</c:formatCode>
                <c:ptCount val="10"/>
                <c:pt idx="0">
                  <c:v>8000000</c:v>
                </c:pt>
                <c:pt idx="1">
                  <c:v>20000000</c:v>
                </c:pt>
                <c:pt idx="2">
                  <c:v>30000000</c:v>
                </c:pt>
                <c:pt idx="3">
                  <c:v>50000000</c:v>
                </c:pt>
                <c:pt idx="4">
                  <c:v>100000000</c:v>
                </c:pt>
                <c:pt idx="5">
                  <c:v>160000000</c:v>
                </c:pt>
                <c:pt idx="6" formatCode="#,##0">
                  <c:v>200000000</c:v>
                </c:pt>
                <c:pt idx="7" formatCode="#,##0">
                  <c:v>250000000</c:v>
                </c:pt>
                <c:pt idx="8" formatCode="#,##0">
                  <c:v>300000000</c:v>
                </c:pt>
                <c:pt idx="9" formatCode="#,##0">
                  <c:v>350000000</c:v>
                </c:pt>
              </c:numCache>
            </c:numRef>
          </c:cat>
          <c:val>
            <c:numRef>
              <c:f>'PBL Tables'!$AA$13:$AA$22</c:f>
              <c:numCache>
                <c:formatCode>#,##0</c:formatCode>
                <c:ptCount val="10"/>
                <c:pt idx="0">
                  <c:v>25887099.916666668</c:v>
                </c:pt>
                <c:pt idx="1">
                  <c:v>39946561.363636367</c:v>
                </c:pt>
                <c:pt idx="2">
                  <c:v>49514571.333333336</c:v>
                </c:pt>
                <c:pt idx="3">
                  <c:v>74897736</c:v>
                </c:pt>
              </c:numCache>
            </c:numRef>
          </c:val>
          <c:smooth val="0"/>
          <c:extLst>
            <c:ext xmlns:c16="http://schemas.microsoft.com/office/drawing/2014/chart" uri="{C3380CC4-5D6E-409C-BE32-E72D297353CC}">
              <c16:uniqueId val="{00000001-BA54-4B9C-A6E0-11E4708056B7}"/>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'PBL Tables'!$Z$13:$Z$22</c:f>
              <c:numCache>
                <c:formatCode>General</c:formatCode>
                <c:ptCount val="10"/>
                <c:pt idx="0">
                  <c:v>8000000</c:v>
                </c:pt>
                <c:pt idx="1">
                  <c:v>20000000</c:v>
                </c:pt>
                <c:pt idx="2">
                  <c:v>30000000</c:v>
                </c:pt>
                <c:pt idx="3">
                  <c:v>50000000</c:v>
                </c:pt>
                <c:pt idx="4">
                  <c:v>100000000</c:v>
                </c:pt>
                <c:pt idx="5">
                  <c:v>160000000</c:v>
                </c:pt>
                <c:pt idx="6" formatCode="#,##0">
                  <c:v>200000000</c:v>
                </c:pt>
                <c:pt idx="7" formatCode="#,##0">
                  <c:v>250000000</c:v>
                </c:pt>
                <c:pt idx="8" formatCode="#,##0">
                  <c:v>300000000</c:v>
                </c:pt>
                <c:pt idx="9" formatCode="#,##0">
                  <c:v>350000000</c:v>
                </c:pt>
              </c:numCache>
            </c:numRef>
          </c:cat>
          <c:val>
            <c:numRef>
              <c:f>'PBL Tables'!$AB$13:$AB$22</c:f>
              <c:numCache>
                <c:formatCode>General</c:formatCode>
                <c:ptCount val="10"/>
                <c:pt idx="4" formatCode="#,##0">
                  <c:v>169119600</c:v>
                </c:pt>
                <c:pt idx="5" formatCode="#,##0">
                  <c:v>257407799.99999997</c:v>
                </c:pt>
                <c:pt idx="6" formatCode="#,##0">
                  <c:v>316266600</c:v>
                </c:pt>
                <c:pt idx="7" formatCode="#,##0">
                  <c:v>389840099.99999994</c:v>
                </c:pt>
                <c:pt idx="8" formatCode="#,##0">
                  <c:v>463413600</c:v>
                </c:pt>
                <c:pt idx="9" formatCode="#,##0">
                  <c:v>536987100</c:v>
                </c:pt>
              </c:numCache>
            </c:numRef>
          </c:val>
          <c:smooth val="0"/>
          <c:extLst>
            <c:ext xmlns:c16="http://schemas.microsoft.com/office/drawing/2014/chart" uri="{C3380CC4-5D6E-409C-BE32-E72D297353CC}">
              <c16:uniqueId val="{00000002-BA54-4B9C-A6E0-11E4708056B7}"/>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'PBL Tables'!$CS$70:$CS$79</c:f>
              <c:numCache>
                <c:formatCode>General</c:formatCode>
                <c:ptCount val="10"/>
                <c:pt idx="0">
                  <c:v>3000000</c:v>
                </c:pt>
                <c:pt idx="1">
                  <c:v>8000000</c:v>
                </c:pt>
                <c:pt idx="2">
                  <c:v>12000000</c:v>
                </c:pt>
                <c:pt idx="3">
                  <c:v>20000000</c:v>
                </c:pt>
                <c:pt idx="4">
                  <c:v>40000000</c:v>
                </c:pt>
                <c:pt idx="5">
                  <c:v>60000000</c:v>
                </c:pt>
                <c:pt idx="6">
                  <c:v>80000000</c:v>
                </c:pt>
                <c:pt idx="7">
                  <c:v>100000000</c:v>
                </c:pt>
                <c:pt idx="8">
                  <c:v>150000000</c:v>
                </c:pt>
                <c:pt idx="9" formatCode="#,##0">
                  <c:v>200000000</c:v>
                </c:pt>
              </c:numCache>
            </c:numRef>
          </c:cat>
          <c:val>
            <c:numRef>
              <c:f>'PBL Tables'!$CT$70:$CT$79</c:f>
              <c:numCache>
                <c:formatCode>#,##0.0</c:formatCode>
                <c:ptCount val="10"/>
                <c:pt idx="0">
                  <c:v>15636908</c:v>
                </c:pt>
                <c:pt idx="1">
                  <c:v>21206804.399999999</c:v>
                </c:pt>
                <c:pt idx="2">
                  <c:v>25046573.571428571</c:v>
                </c:pt>
                <c:pt idx="3">
                  <c:v>32838674.166666668</c:v>
                </c:pt>
                <c:pt idx="4">
                  <c:v>45382776.75</c:v>
                </c:pt>
                <c:pt idx="5">
                  <c:v>59722623</c:v>
                </c:pt>
                <c:pt idx="6">
                  <c:v>79647915.666666672</c:v>
                </c:pt>
              </c:numCache>
            </c:numRef>
          </c:val>
          <c:smooth val="0"/>
          <c:extLst>
            <c:ext xmlns:c16="http://schemas.microsoft.com/office/drawing/2014/chart" uri="{C3380CC4-5D6E-409C-BE32-E72D297353CC}">
              <c16:uniqueId val="{00000001-FDE3-4986-B219-B2FF9FE949D6}"/>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'PBL Tables'!$CS$70:$CS$79</c:f>
              <c:numCache>
                <c:formatCode>General</c:formatCode>
                <c:ptCount val="10"/>
                <c:pt idx="0">
                  <c:v>3000000</c:v>
                </c:pt>
                <c:pt idx="1">
                  <c:v>8000000</c:v>
                </c:pt>
                <c:pt idx="2">
                  <c:v>12000000</c:v>
                </c:pt>
                <c:pt idx="3">
                  <c:v>20000000</c:v>
                </c:pt>
                <c:pt idx="4">
                  <c:v>40000000</c:v>
                </c:pt>
                <c:pt idx="5">
                  <c:v>60000000</c:v>
                </c:pt>
                <c:pt idx="6">
                  <c:v>80000000</c:v>
                </c:pt>
                <c:pt idx="7">
                  <c:v>100000000</c:v>
                </c:pt>
                <c:pt idx="8">
                  <c:v>150000000</c:v>
                </c:pt>
                <c:pt idx="9" formatCode="#,##0">
                  <c:v>200000000</c:v>
                </c:pt>
              </c:numCache>
            </c:numRef>
          </c:cat>
          <c:val>
            <c:numRef>
              <c:f>'PBL Tables'!$CU$70:$CU$79</c:f>
              <c:numCache>
                <c:formatCode>General</c:formatCode>
                <c:ptCount val="10"/>
                <c:pt idx="7" formatCode="#,##0">
                  <c:v>122669299.99999999</c:v>
                </c:pt>
                <c:pt idx="8" formatCode="#,##0">
                  <c:v>174116800</c:v>
                </c:pt>
                <c:pt idx="9" formatCode="#,##0">
                  <c:v>225564300</c:v>
                </c:pt>
              </c:numCache>
            </c:numRef>
          </c:val>
          <c:smooth val="0"/>
          <c:extLst>
            <c:ext xmlns:c16="http://schemas.microsoft.com/office/drawing/2014/chart" uri="{C3380CC4-5D6E-409C-BE32-E72D297353CC}">
              <c16:uniqueId val="{00000002-FDE3-4986-B219-B2FF9FE949D6}"/>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'PBL OLD'!$JY$6</c:f>
              <c:strCache>
                <c:ptCount val="1"/>
                <c:pt idx="0">
                  <c:v>Actual</c:v>
                </c:pt>
              </c:strCache>
            </c:strRef>
          </c:tx>
          <c:spPr>
            <a:ln w="28575" cap="rnd">
              <a:solidFill>
                <a:schemeClr val="tx2"/>
              </a:solidFill>
              <a:round/>
            </a:ln>
            <a:effectLst/>
          </c:spPr>
          <c:marker>
            <c:symbol val="none"/>
          </c:marker>
          <c:cat>
            <c:numRef>
              <c:f>'PBL OLD'!$JX$8:$JX$60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OLD'!$JY$8:$JY$60</c:f>
              <c:numCache>
                <c:formatCode>0.000</c:formatCode>
                <c:ptCount val="53"/>
                <c:pt idx="0">
                  <c:v>2.56006324266E-2</c:v>
                </c:pt>
                <c:pt idx="1">
                  <c:v>5.8794482082599998E-2</c:v>
                </c:pt>
                <c:pt idx="2">
                  <c:v>8.5896012714599998E-2</c:v>
                </c:pt>
                <c:pt idx="3">
                  <c:v>0.11100833071680001</c:v>
                </c:pt>
                <c:pt idx="4">
                  <c:v>0.14031392271600002</c:v>
                </c:pt>
                <c:pt idx="5">
                  <c:v>0.18964136704920004</c:v>
                </c:pt>
                <c:pt idx="6">
                  <c:v>0.21481934884740003</c:v>
                </c:pt>
                <c:pt idx="7">
                  <c:v>0.24540474424620001</c:v>
                </c:pt>
                <c:pt idx="8">
                  <c:v>0.29374114572660004</c:v>
                </c:pt>
                <c:pt idx="9">
                  <c:v>0.36871903087800001</c:v>
                </c:pt>
                <c:pt idx="10">
                  <c:v>0.39902271257640004</c:v>
                </c:pt>
                <c:pt idx="11">
                  <c:v>0.42749853841200008</c:v>
                </c:pt>
                <c:pt idx="12">
                  <c:v>0.47136307522920007</c:v>
                </c:pt>
                <c:pt idx="13">
                  <c:v>0.52978191235200001</c:v>
                </c:pt>
                <c:pt idx="14">
                  <c:v>0.62180275567740007</c:v>
                </c:pt>
                <c:pt idx="15">
                  <c:v>0.84522318094500015</c:v>
                </c:pt>
                <c:pt idx="16">
                  <c:v>1.2046122672672002</c:v>
                </c:pt>
              </c:numCache>
            </c:numRef>
          </c:val>
          <c:smooth val="0"/>
          <c:extLst>
            <c:ext xmlns:c16="http://schemas.microsoft.com/office/drawing/2014/chart" uri="{C3380CC4-5D6E-409C-BE32-E72D297353CC}">
              <c16:uniqueId val="{00000000-94B8-4D53-A626-85CFC05FFE30}"/>
            </c:ext>
          </c:extLst>
        </c:ser>
        <c:ser>
          <c:idx val="7"/>
          <c:order val="1"/>
          <c:tx>
            <c:strRef>
              <c:f>'PBL OLD'!$JZ$6</c:f>
              <c:strCache>
                <c:ptCount val="1"/>
                <c:pt idx="0">
                  <c:v>50th %ile. using accelerated seq.</c:v>
                </c:pt>
              </c:strCache>
            </c:strRef>
          </c:tx>
          <c:spPr>
            <a:ln w="28575" cap="rnd">
              <a:solidFill>
                <a:schemeClr val="accent6"/>
              </a:solidFill>
              <a:prstDash val="sysDot"/>
              <a:round/>
            </a:ln>
            <a:effectLst/>
          </c:spPr>
          <c:marker>
            <c:symbol val="none"/>
          </c:marker>
          <c:cat>
            <c:numRef>
              <c:f>'PBL OLD'!$JX$8:$JX$60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OLD'!$JZ$8:$JZ$60</c:f>
              <c:numCache>
                <c:formatCode>0.000</c:formatCode>
                <c:ptCount val="53"/>
                <c:pt idx="16">
                  <c:v>1.2046122672672002</c:v>
                </c:pt>
                <c:pt idx="17">
                  <c:v>1.2721816996776847</c:v>
                </c:pt>
                <c:pt idx="18">
                  <c:v>1.3397511320881692</c:v>
                </c:pt>
                <c:pt idx="19">
                  <c:v>1.4073205644986537</c:v>
                </c:pt>
                <c:pt idx="20">
                  <c:v>1.4748899969091382</c:v>
                </c:pt>
                <c:pt idx="21">
                  <c:v>1.5424594293196228</c:v>
                </c:pt>
                <c:pt idx="22">
                  <c:v>1.6100288617301073</c:v>
                </c:pt>
                <c:pt idx="23">
                  <c:v>1.6775982941405918</c:v>
                </c:pt>
                <c:pt idx="24">
                  <c:v>1.7451677265510763</c:v>
                </c:pt>
                <c:pt idx="25">
                  <c:v>1.8127371589615608</c:v>
                </c:pt>
                <c:pt idx="26">
                  <c:v>1.8803065913720454</c:v>
                </c:pt>
                <c:pt idx="27">
                  <c:v>1.9478760237825299</c:v>
                </c:pt>
                <c:pt idx="28">
                  <c:v>2.0154454561930142</c:v>
                </c:pt>
                <c:pt idx="29">
                  <c:v>2.0830148886034987</c:v>
                </c:pt>
                <c:pt idx="30">
                  <c:v>2.1505843210139832</c:v>
                </c:pt>
                <c:pt idx="31">
                  <c:v>2.2181537534244677</c:v>
                </c:pt>
                <c:pt idx="32">
                  <c:v>2.2857231858349523</c:v>
                </c:pt>
                <c:pt idx="33">
                  <c:v>2.3532926182454368</c:v>
                </c:pt>
                <c:pt idx="34">
                  <c:v>2.4208620506559213</c:v>
                </c:pt>
                <c:pt idx="35">
                  <c:v>2.4884314830664058</c:v>
                </c:pt>
                <c:pt idx="36">
                  <c:v>2.5560009154768903</c:v>
                </c:pt>
                <c:pt idx="37">
                  <c:v>2.6235703478873749</c:v>
                </c:pt>
                <c:pt idx="38">
                  <c:v>2.6911397802978594</c:v>
                </c:pt>
                <c:pt idx="39">
                  <c:v>2.7587092127083439</c:v>
                </c:pt>
                <c:pt idx="40">
                  <c:v>2.8262786451188284</c:v>
                </c:pt>
                <c:pt idx="41">
                  <c:v>2.8938480775293129</c:v>
                </c:pt>
                <c:pt idx="42">
                  <c:v>2.9614175099397975</c:v>
                </c:pt>
                <c:pt idx="43">
                  <c:v>3.028986942350282</c:v>
                </c:pt>
                <c:pt idx="44">
                  <c:v>3.0965563747607665</c:v>
                </c:pt>
                <c:pt idx="45">
                  <c:v>3.164125807171251</c:v>
                </c:pt>
                <c:pt idx="46">
                  <c:v>3.2316952395817355</c:v>
                </c:pt>
                <c:pt idx="47">
                  <c:v>3.2992646719922201</c:v>
                </c:pt>
                <c:pt idx="48">
                  <c:v>3.3668341044027046</c:v>
                </c:pt>
                <c:pt idx="49">
                  <c:v>3.4344035368131891</c:v>
                </c:pt>
                <c:pt idx="50">
                  <c:v>3.5019729692236736</c:v>
                </c:pt>
                <c:pt idx="51">
                  <c:v>3.5695424016341581</c:v>
                </c:pt>
                <c:pt idx="52" formatCode="0.0%">
                  <c:v>7.9103941639873554E-2</c:v>
                </c:pt>
              </c:numCache>
            </c:numRef>
          </c:val>
          <c:smooth val="0"/>
          <c:extLst xmlns:c15="http://schemas.microsoft.com/office/drawing/2012/chart">
            <c:ext xmlns:c16="http://schemas.microsoft.com/office/drawing/2014/chart" uri="{C3380CC4-5D6E-409C-BE32-E72D297353CC}">
              <c16:uniqueId val="{00000001-94B8-4D53-A626-85CFC05FFE30}"/>
            </c:ext>
          </c:extLst>
        </c:ser>
        <c:ser>
          <c:idx val="9"/>
          <c:order val="2"/>
          <c:tx>
            <c:strRef>
              <c:f>'PBL OLD'!$KA$6</c:f>
              <c:strCache>
                <c:ptCount val="1"/>
                <c:pt idx="0">
                  <c:v>50th %ile. using standard seq.</c:v>
                </c:pt>
              </c:strCache>
            </c:strRef>
          </c:tx>
          <c:spPr>
            <a:ln w="28575" cap="rnd">
              <a:solidFill>
                <a:schemeClr val="accent1"/>
              </a:solidFill>
              <a:prstDash val="sysDot"/>
              <a:round/>
            </a:ln>
            <a:effectLst/>
          </c:spPr>
          <c:marker>
            <c:symbol val="none"/>
          </c:marker>
          <c:cat>
            <c:numRef>
              <c:f>'PBL OLD'!$JX$8:$JX$60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OLD'!$KA$8:$KA$60</c:f>
              <c:numCache>
                <c:formatCode>0.000</c:formatCode>
                <c:ptCount val="53"/>
                <c:pt idx="16">
                  <c:v>1.2046122672672002</c:v>
                </c:pt>
                <c:pt idx="17">
                  <c:v>1.2584243930504539</c:v>
                </c:pt>
                <c:pt idx="18">
                  <c:v>1.3122365188337077</c:v>
                </c:pt>
                <c:pt idx="19">
                  <c:v>1.3660486446169615</c:v>
                </c:pt>
                <c:pt idx="20">
                  <c:v>1.4198607704002153</c:v>
                </c:pt>
                <c:pt idx="21">
                  <c:v>1.4736728961834691</c:v>
                </c:pt>
                <c:pt idx="22">
                  <c:v>1.5274850219667229</c:v>
                </c:pt>
                <c:pt idx="23">
                  <c:v>1.5812971477499767</c:v>
                </c:pt>
                <c:pt idx="24">
                  <c:v>1.6351092735332304</c:v>
                </c:pt>
                <c:pt idx="25">
                  <c:v>1.6889213993164842</c:v>
                </c:pt>
                <c:pt idx="26">
                  <c:v>1.742733525099738</c:v>
                </c:pt>
                <c:pt idx="27">
                  <c:v>1.7965456508829918</c:v>
                </c:pt>
                <c:pt idx="28">
                  <c:v>1.8503577766662456</c:v>
                </c:pt>
                <c:pt idx="29">
                  <c:v>1.9041699024494994</c:v>
                </c:pt>
                <c:pt idx="30">
                  <c:v>1.9579820282327531</c:v>
                </c:pt>
                <c:pt idx="31">
                  <c:v>2.0117941540160071</c:v>
                </c:pt>
                <c:pt idx="32">
                  <c:v>2.0656062797992609</c:v>
                </c:pt>
                <c:pt idx="33">
                  <c:v>2.1194184055825147</c:v>
                </c:pt>
                <c:pt idx="34">
                  <c:v>2.1732305313657685</c:v>
                </c:pt>
                <c:pt idx="35">
                  <c:v>2.2270426571490223</c:v>
                </c:pt>
                <c:pt idx="36">
                  <c:v>2.2808547829322761</c:v>
                </c:pt>
                <c:pt idx="37">
                  <c:v>2.3346669087155298</c:v>
                </c:pt>
                <c:pt idx="38">
                  <c:v>2.3884790344987836</c:v>
                </c:pt>
                <c:pt idx="39">
                  <c:v>2.4422911602820374</c:v>
                </c:pt>
                <c:pt idx="40">
                  <c:v>2.4961032860652912</c:v>
                </c:pt>
                <c:pt idx="41">
                  <c:v>2.549915411848545</c:v>
                </c:pt>
                <c:pt idx="42">
                  <c:v>2.6037275376317988</c:v>
                </c:pt>
                <c:pt idx="43">
                  <c:v>2.6575396634150525</c:v>
                </c:pt>
                <c:pt idx="44">
                  <c:v>2.7113517891983063</c:v>
                </c:pt>
                <c:pt idx="45">
                  <c:v>2.7651639149815601</c:v>
                </c:pt>
                <c:pt idx="46">
                  <c:v>2.8189760407648139</c:v>
                </c:pt>
                <c:pt idx="47">
                  <c:v>2.8727881665480677</c:v>
                </c:pt>
                <c:pt idx="48">
                  <c:v>2.9266002923313215</c:v>
                </c:pt>
                <c:pt idx="49">
                  <c:v>2.9804124181145752</c:v>
                </c:pt>
                <c:pt idx="50">
                  <c:v>3.034224543897829</c:v>
                </c:pt>
                <c:pt idx="51">
                  <c:v>3.0880366696810828</c:v>
                </c:pt>
                <c:pt idx="52" formatCode="0.0%">
                  <c:v>-6.6459459717925773E-2</c:v>
                </c:pt>
              </c:numCache>
            </c:numRef>
          </c:val>
          <c:smooth val="0"/>
          <c:extLst xmlns:c15="http://schemas.microsoft.com/office/drawing/2012/chart">
            <c:ext xmlns:c16="http://schemas.microsoft.com/office/drawing/2014/chart" uri="{C3380CC4-5D6E-409C-BE32-E72D297353CC}">
              <c16:uniqueId val="{00000002-94B8-4D53-A626-85CFC05FFE30}"/>
            </c:ext>
          </c:extLst>
        </c:ser>
        <c:dLbls>
          <c:showLegendKey val="0"/>
          <c:showVal val="0"/>
          <c:showCatName val="0"/>
          <c:showSerName val="0"/>
          <c:showPercent val="0"/>
          <c:showBubbleSize val="0"/>
        </c:dLbls>
        <c:smooth val="0"/>
        <c:axId val="1388952432"/>
        <c:axId val="1388953088"/>
        <c:extLst>
          <c:ext xmlns:c15="http://schemas.microsoft.com/office/drawing/2012/chart" uri="{02D57815-91ED-43cb-92C2-25804820EDAC}">
            <c15:filteredLineSeries>
              <c15:ser>
                <c:idx val="1"/>
                <c:order val="3"/>
                <c:tx>
                  <c:strRef>
                    <c:extLst>
                      <c:ext uri="{02D57815-91ED-43cb-92C2-25804820EDAC}">
                        <c15:formulaRef>
                          <c15:sqref>'PBL OLD'!$KB$6</c15:sqref>
                        </c15:formulaRef>
                      </c:ext>
                    </c:extLst>
                    <c:strCache>
                      <c:ptCount val="1"/>
                      <c:pt idx="0">
                        <c:v>50th Percentile roy</c:v>
                      </c:pt>
                    </c:strCache>
                  </c:strRef>
                </c:tx>
                <c:spPr>
                  <a:ln w="28575">
                    <a:solidFill>
                      <a:schemeClr val="tx2">
                        <a:lumMod val="40000"/>
                        <a:lumOff val="60000"/>
                      </a:schemeClr>
                    </a:solidFill>
                    <a:prstDash val="sysDash"/>
                  </a:ln>
                </c:spPr>
                <c:marker>
                  <c:symbol val="none"/>
                </c:marker>
                <c:cat>
                  <c:numRef>
                    <c:extLst>
                      <c:ext uri="{02D57815-91ED-43cb-92C2-25804820EDAC}">
                        <c15:formulaRef>
                          <c15:sqref>'PBL OLD'!$JX$8:$JX$60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c:ext uri="{02D57815-91ED-43cb-92C2-25804820EDAC}">
                        <c15:formulaRef>
                          <c15:sqref>'PBL OLD'!$KB$8:$KB$60</c15:sqref>
                        </c15:formulaRef>
                      </c:ext>
                    </c:extLst>
                    <c:numCache>
                      <c:formatCode>0.000</c:formatCode>
                      <c:ptCount val="53"/>
                    </c:numCache>
                  </c:numRef>
                </c:val>
                <c:smooth val="0"/>
                <c:extLst>
                  <c:ext xmlns:c16="http://schemas.microsoft.com/office/drawing/2014/chart" uri="{C3380CC4-5D6E-409C-BE32-E72D297353CC}">
                    <c16:uniqueId val="{00000003-94B8-4D53-A626-85CFC05FFE30}"/>
                  </c:ext>
                </c:extLst>
              </c15:ser>
            </c15:filteredLineSeries>
          </c:ext>
        </c:extLst>
      </c:lineChart>
      <c:dateAx>
        <c:axId val="1388952432"/>
        <c:scaling>
          <c:orientation val="minMax"/>
          <c:min val="44593"/>
        </c:scaling>
        <c:delete val="0"/>
        <c:axPos val="b"/>
        <c:numFmt formatCode="mmm\-yy" sourceLinked="0"/>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3088"/>
        <c:crosses val="autoZero"/>
        <c:auto val="1"/>
        <c:lblOffset val="100"/>
        <c:baseTimeUnit val="days"/>
        <c:majorUnit val="1"/>
        <c:majorTimeUnit val="months"/>
      </c:dateAx>
      <c:valAx>
        <c:axId val="1388953088"/>
        <c:scaling>
          <c:orientation val="minMax"/>
          <c:min val="1.8"/>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2432"/>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orientation="portrait"/>
  </c:printSettings>
  <c:userShapes r:id="rId1"/>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'PBL OLD'!$AN$6</c:f>
              <c:strCache>
                <c:ptCount val="1"/>
                <c:pt idx="0">
                  <c:v>FY18</c:v>
                </c:pt>
              </c:strCache>
            </c:strRef>
          </c:tx>
          <c:spPr>
            <a:ln w="28575">
              <a:solidFill>
                <a:schemeClr val="tx2"/>
              </a:solidFill>
            </a:ln>
          </c:spPr>
          <c:marker>
            <c:symbol val="none"/>
          </c:marker>
          <c:cat>
            <c:numRef>
              <c:f>'PBL OLD'!$AM$7:$AM$59</c:f>
              <c:numCache>
                <c:formatCode>General</c:formatCode>
                <c:ptCount val="5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numCache>
            </c:numRef>
          </c:cat>
          <c:val>
            <c:numRef>
              <c:f>'PBL OLD'!$AN$7:$AN$59</c:f>
              <c:numCache>
                <c:formatCode>_-* #,##0.000_-;\-* #,##0.000_-;_-* "-"??_-;_-@_-</c:formatCode>
                <c:ptCount val="53"/>
                <c:pt idx="0" formatCode="0.000">
                  <c:v>0</c:v>
                </c:pt>
                <c:pt idx="1">
                  <c:v>1.3252916830999998E-2</c:v>
                </c:pt>
                <c:pt idx="2">
                  <c:v>2.7884757543499998E-2</c:v>
                </c:pt>
                <c:pt idx="3">
                  <c:v>4.0568036657500001E-2</c:v>
                </c:pt>
                <c:pt idx="4">
                  <c:v>5.1985522308500003E-2</c:v>
                </c:pt>
                <c:pt idx="5">
                  <c:v>6.807354670049999E-2</c:v>
                </c:pt>
                <c:pt idx="6">
                  <c:v>8.0850641283500002E-2</c:v>
                </c:pt>
                <c:pt idx="7">
                  <c:v>9.3063003533499999E-2</c:v>
                </c:pt>
                <c:pt idx="8">
                  <c:v>0.1080397540585</c:v>
                </c:pt>
                <c:pt idx="9">
                  <c:v>0.1253856006645</c:v>
                </c:pt>
                <c:pt idx="10">
                  <c:v>0.14921851102399999</c:v>
                </c:pt>
                <c:pt idx="11">
                  <c:v>0.18899821159449998</c:v>
                </c:pt>
                <c:pt idx="12">
                  <c:v>0.25368285331949997</c:v>
                </c:pt>
                <c:pt idx="13">
                  <c:v>0.26693750747399997</c:v>
                </c:pt>
                <c:pt idx="14">
                  <c:v>0.28319241711749993</c:v>
                </c:pt>
                <c:pt idx="15">
                  <c:v>0.30665854782749991</c:v>
                </c:pt>
                <c:pt idx="16">
                  <c:v>0.33301272336749993</c:v>
                </c:pt>
                <c:pt idx="17">
                  <c:v>0.34482243534749996</c:v>
                </c:pt>
                <c:pt idx="18">
                  <c:v>0.35979703976699995</c:v>
                </c:pt>
                <c:pt idx="19">
                  <c:v>0.37190945481799997</c:v>
                </c:pt>
                <c:pt idx="20">
                  <c:v>0.38807044679699992</c:v>
                </c:pt>
                <c:pt idx="21">
                  <c:v>0.41142395806599991</c:v>
                </c:pt>
                <c:pt idx="22">
                  <c:v>0.42354894316349995</c:v>
                </c:pt>
                <c:pt idx="23">
                  <c:v>0.43943952584949997</c:v>
                </c:pt>
                <c:pt idx="24">
                  <c:v>0.45751433295699995</c:v>
                </c:pt>
                <c:pt idx="25">
                  <c:v>0.47920543002749999</c:v>
                </c:pt>
                <c:pt idx="26">
                  <c:v>0.50481337402649995</c:v>
                </c:pt>
                <c:pt idx="27">
                  <c:v>0.54832576523449994</c:v>
                </c:pt>
                <c:pt idx="28">
                  <c:v>0.62289373376449986</c:v>
                </c:pt>
                <c:pt idx="29">
                  <c:v>0.63632242685549989</c:v>
                </c:pt>
                <c:pt idx="30">
                  <c:v>0.65116765177199987</c:v>
                </c:pt>
                <c:pt idx="31">
                  <c:v>0.66306361675399983</c:v>
                </c:pt>
                <c:pt idx="32">
                  <c:v>0.67808349377999988</c:v>
                </c:pt>
                <c:pt idx="33">
                  <c:v>0.69135214871799977</c:v>
                </c:pt>
                <c:pt idx="34">
                  <c:v>0.70726746271499974</c:v>
                </c:pt>
                <c:pt idx="35">
                  <c:v>0.72734990041999981</c:v>
                </c:pt>
                <c:pt idx="36">
                  <c:v>0.75273536481549974</c:v>
                </c:pt>
                <c:pt idx="37">
                  <c:v>0.79166755810449985</c:v>
                </c:pt>
                <c:pt idx="38">
                  <c:v>0.84011108657849976</c:v>
                </c:pt>
                <c:pt idx="39">
                  <c:v>0.85412137425999979</c:v>
                </c:pt>
                <c:pt idx="40">
                  <c:v>0.87113835574699972</c:v>
                </c:pt>
                <c:pt idx="41">
                  <c:v>0.88302880217199964</c:v>
                </c:pt>
                <c:pt idx="42">
                  <c:v>0.90496275061719966</c:v>
                </c:pt>
                <c:pt idx="43">
                  <c:v>0.9191283958977996</c:v>
                </c:pt>
                <c:pt idx="44">
                  <c:v>0.93933287186199965</c:v>
                </c:pt>
                <c:pt idx="45">
                  <c:v>0.96051504135399957</c:v>
                </c:pt>
                <c:pt idx="46">
                  <c:v>0.99223544729319968</c:v>
                </c:pt>
                <c:pt idx="47">
                  <c:v>1.0358130752991996</c:v>
                </c:pt>
                <c:pt idx="48">
                  <c:v>1.0914419405229998</c:v>
                </c:pt>
                <c:pt idx="49">
                  <c:v>1.1596527478029997</c:v>
                </c:pt>
                <c:pt idx="50">
                  <c:v>1.1738783830443997</c:v>
                </c:pt>
                <c:pt idx="51">
                  <c:v>1.1871202146693998</c:v>
                </c:pt>
                <c:pt idx="52">
                  <c:v>1.2070041093615997</c:v>
                </c:pt>
              </c:numCache>
            </c:numRef>
          </c:val>
          <c:smooth val="0"/>
          <c:extLst>
            <c:ext xmlns:c16="http://schemas.microsoft.com/office/drawing/2014/chart" uri="{C3380CC4-5D6E-409C-BE32-E72D297353CC}">
              <c16:uniqueId val="{00000000-39CE-4FFA-9488-C5D02B32A7EA}"/>
            </c:ext>
          </c:extLst>
        </c:ser>
        <c:ser>
          <c:idx val="1"/>
          <c:order val="1"/>
          <c:tx>
            <c:strRef>
              <c:f>'PBL OLD'!$AO$6</c:f>
              <c:strCache>
                <c:ptCount val="1"/>
                <c:pt idx="0">
                  <c:v>FY19</c:v>
                </c:pt>
              </c:strCache>
            </c:strRef>
          </c:tx>
          <c:spPr>
            <a:ln w="28575">
              <a:solidFill>
                <a:schemeClr val="bg2"/>
              </a:solidFill>
            </a:ln>
          </c:spPr>
          <c:marker>
            <c:symbol val="none"/>
          </c:marker>
          <c:cat>
            <c:numRef>
              <c:f>'PBL OLD'!$AM$7:$AM$59</c:f>
              <c:numCache>
                <c:formatCode>General</c:formatCode>
                <c:ptCount val="5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numCache>
            </c:numRef>
          </c:cat>
          <c:val>
            <c:numRef>
              <c:f>'PBL OLD'!$AO$7:$AO$59</c:f>
              <c:numCache>
                <c:formatCode>_-* #,##0.000_-;\-* #,##0.000_-;_-* "-"??_-;_-@_-</c:formatCode>
                <c:ptCount val="53"/>
                <c:pt idx="0" formatCode="0.000">
                  <c:v>0</c:v>
                </c:pt>
                <c:pt idx="1">
                  <c:v>2.4234595182600002E-2</c:v>
                </c:pt>
                <c:pt idx="2">
                  <c:v>5.7172416437400009E-2</c:v>
                </c:pt>
                <c:pt idx="3">
                  <c:v>9.5831343768600016E-2</c:v>
                </c:pt>
                <c:pt idx="4">
                  <c:v>0.14260526227860004</c:v>
                </c:pt>
                <c:pt idx="5">
                  <c:v>0.20022704795940005</c:v>
                </c:pt>
                <c:pt idx="6">
                  <c:v>0.3090859734930001</c:v>
                </c:pt>
                <c:pt idx="7">
                  <c:v>0.51181649139060004</c:v>
                </c:pt>
                <c:pt idx="8">
                  <c:v>0.52953844629180014</c:v>
                </c:pt>
                <c:pt idx="9">
                  <c:v>0.55037202332640001</c:v>
                </c:pt>
                <c:pt idx="10">
                  <c:v>0.57662334450600006</c:v>
                </c:pt>
                <c:pt idx="11">
                  <c:v>0.61092950820000003</c:v>
                </c:pt>
                <c:pt idx="12">
                  <c:v>0.65609052202320006</c:v>
                </c:pt>
                <c:pt idx="13">
                  <c:v>0.67163720603099997</c:v>
                </c:pt>
                <c:pt idx="14">
                  <c:v>0.69383158708380011</c:v>
                </c:pt>
                <c:pt idx="15">
                  <c:v>0.72326475673980006</c:v>
                </c:pt>
                <c:pt idx="16">
                  <c:v>0.75835935991860004</c:v>
                </c:pt>
                <c:pt idx="17">
                  <c:v>0.80001611890200008</c:v>
                </c:pt>
                <c:pt idx="18">
                  <c:v>0.85065573970080011</c:v>
                </c:pt>
                <c:pt idx="19">
                  <c:v>0.93406122640379996</c:v>
                </c:pt>
                <c:pt idx="20">
                  <c:v>0.9503713540794001</c:v>
                </c:pt>
                <c:pt idx="21">
                  <c:v>0.96620814826800006</c:v>
                </c:pt>
                <c:pt idx="22">
                  <c:v>0.98973373511759999</c:v>
                </c:pt>
                <c:pt idx="23">
                  <c:v>1.0186353270654001</c:v>
                </c:pt>
                <c:pt idx="24">
                  <c:v>1.0569277284323999</c:v>
                </c:pt>
                <c:pt idx="25">
                  <c:v>1.0956737840399999</c:v>
                </c:pt>
                <c:pt idx="26">
                  <c:v>1.1393866275132001</c:v>
                </c:pt>
                <c:pt idx="27">
                  <c:v>1.2183377802750002</c:v>
                </c:pt>
                <c:pt idx="28">
                  <c:v>1.3503298186554</c:v>
                </c:pt>
                <c:pt idx="29">
                  <c:v>1.5568189139118001</c:v>
                </c:pt>
                <c:pt idx="30">
                  <c:v>1.5737393362812002</c:v>
                </c:pt>
                <c:pt idx="31">
                  <c:v>1.5958052467698003</c:v>
                </c:pt>
                <c:pt idx="32">
                  <c:v>1.6268040274398003</c:v>
                </c:pt>
                <c:pt idx="33">
                  <c:v>1.6655636522052002</c:v>
                </c:pt>
                <c:pt idx="34">
                  <c:v>1.7128492311216001</c:v>
                </c:pt>
                <c:pt idx="35">
                  <c:v>1.7673436830126001</c:v>
                </c:pt>
                <c:pt idx="36">
                  <c:v>1.7827864161624003</c:v>
                </c:pt>
                <c:pt idx="37">
                  <c:v>1.8024663767286002</c:v>
                </c:pt>
                <c:pt idx="38">
                  <c:v>1.8282295256346002</c:v>
                </c:pt>
                <c:pt idx="39">
                  <c:v>1.8598575660786001</c:v>
                </c:pt>
                <c:pt idx="40">
                  <c:v>1.8759501904704001</c:v>
                </c:pt>
                <c:pt idx="41">
                  <c:v>1.8977881232376002</c:v>
                </c:pt>
                <c:pt idx="42">
                  <c:v>1.9235925350796002</c:v>
                </c:pt>
                <c:pt idx="43">
                  <c:v>1.9508194866402002</c:v>
                </c:pt>
                <c:pt idx="44">
                  <c:v>1.9922009742294002</c:v>
                </c:pt>
                <c:pt idx="45">
                  <c:v>2.0061019019052004</c:v>
                </c:pt>
                <c:pt idx="46">
                  <c:v>2.0268232754946003</c:v>
                </c:pt>
                <c:pt idx="47">
                  <c:v>2.0413748879304006</c:v>
                </c:pt>
                <c:pt idx="48">
                  <c:v>2.0606901476238004</c:v>
                </c:pt>
                <c:pt idx="49">
                  <c:v>2.0838859483926004</c:v>
                </c:pt>
                <c:pt idx="50">
                  <c:v>2.1117508884252003</c:v>
                </c:pt>
                <c:pt idx="51">
                  <c:v>2.1467966108952004</c:v>
                </c:pt>
                <c:pt idx="52">
                  <c:v>2.1948974502048002</c:v>
                </c:pt>
              </c:numCache>
            </c:numRef>
          </c:val>
          <c:smooth val="0"/>
          <c:extLst>
            <c:ext xmlns:c16="http://schemas.microsoft.com/office/drawing/2014/chart" uri="{C3380CC4-5D6E-409C-BE32-E72D297353CC}">
              <c16:uniqueId val="{00000001-39CE-4FFA-9488-C5D02B32A7EA}"/>
            </c:ext>
          </c:extLst>
        </c:ser>
        <c:ser>
          <c:idx val="2"/>
          <c:order val="2"/>
          <c:tx>
            <c:strRef>
              <c:f>'PBL OLD'!$AP$6</c:f>
              <c:strCache>
                <c:ptCount val="1"/>
                <c:pt idx="0">
                  <c:v>FY20</c:v>
                </c:pt>
              </c:strCache>
            </c:strRef>
          </c:tx>
          <c:spPr>
            <a:ln w="28575" cap="rnd">
              <a:solidFill>
                <a:schemeClr val="accent4"/>
              </a:solidFill>
              <a:round/>
            </a:ln>
            <a:effectLst/>
          </c:spPr>
          <c:marker>
            <c:symbol val="none"/>
          </c:marker>
          <c:cat>
            <c:numRef>
              <c:f>'PBL OLD'!$AM$7:$AM$59</c:f>
              <c:numCache>
                <c:formatCode>General</c:formatCode>
                <c:ptCount val="5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numCache>
            </c:numRef>
          </c:cat>
          <c:val>
            <c:numRef>
              <c:f>'PBL OLD'!$AP$7:$AP$59</c:f>
              <c:numCache>
                <c:formatCode>_-* #,##0.000_-;\-* #,##0.000_-;_-* "-"??_-;_-@_-</c:formatCode>
                <c:ptCount val="53"/>
                <c:pt idx="0" formatCode="0.000">
                  <c:v>0</c:v>
                </c:pt>
                <c:pt idx="1">
                  <c:v>6.3792737111400002E-2</c:v>
                </c:pt>
                <c:pt idx="2">
                  <c:v>0.152397909213</c:v>
                </c:pt>
                <c:pt idx="3">
                  <c:v>0.33964704963420006</c:v>
                </c:pt>
                <c:pt idx="4">
                  <c:v>0.35693542630020003</c:v>
                </c:pt>
                <c:pt idx="5">
                  <c:v>0.37779995053680004</c:v>
                </c:pt>
                <c:pt idx="6">
                  <c:v>0.40685429469960005</c:v>
                </c:pt>
                <c:pt idx="7">
                  <c:v>0.44477707538220007</c:v>
                </c:pt>
                <c:pt idx="8">
                  <c:v>0.49425228786780007</c:v>
                </c:pt>
                <c:pt idx="9">
                  <c:v>0.5619957923976</c:v>
                </c:pt>
                <c:pt idx="10">
                  <c:v>0.66485691212820008</c:v>
                </c:pt>
                <c:pt idx="11">
                  <c:v>0.81297276015780007</c:v>
                </c:pt>
                <c:pt idx="12">
                  <c:v>1.0622424739410001</c:v>
                </c:pt>
                <c:pt idx="13">
                  <c:v>1.0812228690384003</c:v>
                </c:pt>
                <c:pt idx="14">
                  <c:v>1.1036211902430002</c:v>
                </c:pt>
                <c:pt idx="15">
                  <c:v>1.1311248715866002</c:v>
                </c:pt>
                <c:pt idx="16">
                  <c:v>1.1496884271048002</c:v>
                </c:pt>
                <c:pt idx="17">
                  <c:v>1.1761261127748004</c:v>
                </c:pt>
                <c:pt idx="18">
                  <c:v>1.2044927124912002</c:v>
                </c:pt>
                <c:pt idx="19">
                  <c:v>1.2415876322520003</c:v>
                </c:pt>
                <c:pt idx="20">
                  <c:v>1.2905154883632004</c:v>
                </c:pt>
                <c:pt idx="21">
                  <c:v>1.3494382550814004</c:v>
                </c:pt>
                <c:pt idx="22">
                  <c:v>1.3667452297620004</c:v>
                </c:pt>
                <c:pt idx="23">
                  <c:v>1.3911257968278004</c:v>
                </c:pt>
                <c:pt idx="24">
                  <c:v>1.4230165404444004</c:v>
                </c:pt>
                <c:pt idx="25">
                  <c:v>1.4545245922548002</c:v>
                </c:pt>
                <c:pt idx="26">
                  <c:v>1.4846321634210002</c:v>
                </c:pt>
                <c:pt idx="27">
                  <c:v>1.5019547532726001</c:v>
                </c:pt>
                <c:pt idx="28">
                  <c:v>1.5260941260048</c:v>
                </c:pt>
                <c:pt idx="29">
                  <c:v>1.5588784577915999</c:v>
                </c:pt>
                <c:pt idx="30">
                  <c:v>1.601237451891</c:v>
                </c:pt>
                <c:pt idx="31">
                  <c:v>1.6560169932372</c:v>
                </c:pt>
                <c:pt idx="32">
                  <c:v>1.7372451108342</c:v>
                </c:pt>
                <c:pt idx="33">
                  <c:v>1.7546034954623999</c:v>
                </c:pt>
                <c:pt idx="34">
                  <c:v>1.7807707584018</c:v>
                </c:pt>
                <c:pt idx="35">
                  <c:v>1.8139041493188</c:v>
                </c:pt>
                <c:pt idx="36">
                  <c:v>1.8587518012865998</c:v>
                </c:pt>
                <c:pt idx="37">
                  <c:v>1.9151332990217997</c:v>
                </c:pt>
                <c:pt idx="38">
                  <c:v>1.9946937964337998</c:v>
                </c:pt>
                <c:pt idx="39">
                  <c:v>2.0989035219305996</c:v>
                </c:pt>
                <c:pt idx="40">
                  <c:v>2.1174573079571997</c:v>
                </c:pt>
                <c:pt idx="41">
                  <c:v>2.1455780688275996</c:v>
                </c:pt>
                <c:pt idx="42">
                  <c:v>2.1801784850405994</c:v>
                </c:pt>
                <c:pt idx="43">
                  <c:v>2.2288195024721995</c:v>
                </c:pt>
                <c:pt idx="44">
                  <c:v>2.2498058118293995</c:v>
                </c:pt>
                <c:pt idx="45">
                  <c:v>2.2777414328261996</c:v>
                </c:pt>
                <c:pt idx="46">
                  <c:v>2.2990205866979996</c:v>
                </c:pt>
                <c:pt idx="47">
                  <c:v>2.3289201958175991</c:v>
                </c:pt>
                <c:pt idx="48">
                  <c:v>2.3741850531233992</c:v>
                </c:pt>
                <c:pt idx="49">
                  <c:v>2.3979206735879992</c:v>
                </c:pt>
                <c:pt idx="50">
                  <c:v>2.4287109079991995</c:v>
                </c:pt>
                <c:pt idx="51">
                  <c:v>2.4655201902473993</c:v>
                </c:pt>
                <c:pt idx="52">
                  <c:v>2.5238888986673995</c:v>
                </c:pt>
              </c:numCache>
            </c:numRef>
          </c:val>
          <c:smooth val="0"/>
          <c:extLst>
            <c:ext xmlns:c16="http://schemas.microsoft.com/office/drawing/2014/chart" uri="{C3380CC4-5D6E-409C-BE32-E72D297353CC}">
              <c16:uniqueId val="{00000002-39CE-4FFA-9488-C5D02B32A7EA}"/>
            </c:ext>
          </c:extLst>
        </c:ser>
        <c:ser>
          <c:idx val="3"/>
          <c:order val="3"/>
          <c:tx>
            <c:strRef>
              <c:f>'PBL OLD'!$AQ$6</c:f>
              <c:strCache>
                <c:ptCount val="1"/>
                <c:pt idx="0">
                  <c:v>FY21</c:v>
                </c:pt>
              </c:strCache>
            </c:strRef>
          </c:tx>
          <c:spPr>
            <a:ln w="28575" cap="rnd">
              <a:solidFill>
                <a:schemeClr val="accent2"/>
              </a:solidFill>
              <a:round/>
            </a:ln>
            <a:effectLst/>
          </c:spPr>
          <c:marker>
            <c:symbol val="none"/>
          </c:marker>
          <c:cat>
            <c:numRef>
              <c:f>'PBL OLD'!$AM$7:$AM$59</c:f>
              <c:numCache>
                <c:formatCode>General</c:formatCode>
                <c:ptCount val="5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numCache>
            </c:numRef>
          </c:cat>
          <c:val>
            <c:numRef>
              <c:f>'PBL OLD'!$AQ$7:$AQ$59</c:f>
              <c:numCache>
                <c:formatCode>_-* #,##0.000_-;\-* #,##0.000_-;_-* "-"??_-;_-@_-</c:formatCode>
                <c:ptCount val="53"/>
                <c:pt idx="0" formatCode="0.000">
                  <c:v>0</c:v>
                </c:pt>
                <c:pt idx="1">
                  <c:v>8.3878292388E-2</c:v>
                </c:pt>
                <c:pt idx="2">
                  <c:v>0.21553140064499998</c:v>
                </c:pt>
                <c:pt idx="3">
                  <c:v>0.24056564279219997</c:v>
                </c:pt>
                <c:pt idx="4">
                  <c:v>0.27198953283479993</c:v>
                </c:pt>
                <c:pt idx="5">
                  <c:v>0.32423092823219996</c:v>
                </c:pt>
                <c:pt idx="6">
                  <c:v>0.35060951648579997</c:v>
                </c:pt>
                <c:pt idx="7">
                  <c:v>0.38322128061359995</c:v>
                </c:pt>
                <c:pt idx="8">
                  <c:v>0.40523963265719998</c:v>
                </c:pt>
                <c:pt idx="9">
                  <c:v>0.43841106052919998</c:v>
                </c:pt>
                <c:pt idx="10">
                  <c:v>0.48890187514079991</c:v>
                </c:pt>
                <c:pt idx="11">
                  <c:v>0.56263254855719991</c:v>
                </c:pt>
                <c:pt idx="12">
                  <c:v>0.66412635538919995</c:v>
                </c:pt>
                <c:pt idx="13">
                  <c:v>0.68886350889839998</c:v>
                </c:pt>
                <c:pt idx="14">
                  <c:v>0.72218107875539994</c:v>
                </c:pt>
                <c:pt idx="15">
                  <c:v>0.77568642214799999</c:v>
                </c:pt>
                <c:pt idx="16">
                  <c:v>0.854410506939</c:v>
                </c:pt>
                <c:pt idx="17">
                  <c:v>0.87791558341739995</c:v>
                </c:pt>
                <c:pt idx="18">
                  <c:v>0.9085567930427999</c:v>
                </c:pt>
                <c:pt idx="19">
                  <c:v>0.95703789510780002</c:v>
                </c:pt>
                <c:pt idx="20">
                  <c:v>0.97898705993219992</c:v>
                </c:pt>
                <c:pt idx="21">
                  <c:v>1.0091054416013998</c:v>
                </c:pt>
                <c:pt idx="22">
                  <c:v>1.0575821393873999</c:v>
                </c:pt>
                <c:pt idx="23">
                  <c:v>1.0791525362177998</c:v>
                </c:pt>
                <c:pt idx="24">
                  <c:v>1.1119100419415999</c:v>
                </c:pt>
                <c:pt idx="25">
                  <c:v>1.1634365027406</c:v>
                </c:pt>
                <c:pt idx="26">
                  <c:v>1.1861645042478</c:v>
                </c:pt>
                <c:pt idx="27">
                  <c:v>1.2199573358477998</c:v>
                </c:pt>
                <c:pt idx="28">
                  <c:v>1.2415091546285999</c:v>
                </c:pt>
                <c:pt idx="29">
                  <c:v>1.2703546195890001</c:v>
                </c:pt>
                <c:pt idx="30">
                  <c:v>1.3168683702635999</c:v>
                </c:pt>
                <c:pt idx="31">
                  <c:v>1.3445162717249999</c:v>
                </c:pt>
                <c:pt idx="32">
                  <c:v>1.3907447051982</c:v>
                </c:pt>
                <c:pt idx="33">
                  <c:v>1.4492922273455999</c:v>
                </c:pt>
                <c:pt idx="34">
                  <c:v>1.5446136373535997</c:v>
                </c:pt>
                <c:pt idx="35">
                  <c:v>1.5734880103997999</c:v>
                </c:pt>
                <c:pt idx="36">
                  <c:v>1.6187873011595997</c:v>
                </c:pt>
                <c:pt idx="37">
                  <c:v>1.6742748904133997</c:v>
                </c:pt>
                <c:pt idx="38">
                  <c:v>1.7575352224187997</c:v>
                </c:pt>
                <c:pt idx="39">
                  <c:v>1.7863687557869996</c:v>
                </c:pt>
                <c:pt idx="40">
                  <c:v>1.8319923616367999</c:v>
                </c:pt>
                <c:pt idx="41">
                  <c:v>1.8833738816177998</c:v>
                </c:pt>
                <c:pt idx="42">
                  <c:v>1.9623325142849999</c:v>
                </c:pt>
                <c:pt idx="43">
                  <c:v>2.1033304615685999</c:v>
                </c:pt>
                <c:pt idx="44">
                  <c:v>2.1325967353680002</c:v>
                </c:pt>
                <c:pt idx="45">
                  <c:v>2.1778897800594001</c:v>
                </c:pt>
                <c:pt idx="46">
                  <c:v>2.2377158243616</c:v>
                </c:pt>
                <c:pt idx="47">
                  <c:v>2.2620606767286002</c:v>
                </c:pt>
                <c:pt idx="48">
                  <c:v>2.2931668180608002</c:v>
                </c:pt>
                <c:pt idx="49">
                  <c:v>2.3166344982066001</c:v>
                </c:pt>
                <c:pt idx="50">
                  <c:v>2.3441540349546002</c:v>
                </c:pt>
                <c:pt idx="51">
                  <c:v>2.3871795966612006</c:v>
                </c:pt>
                <c:pt idx="52">
                  <c:v>2.4538385194818004</c:v>
                </c:pt>
              </c:numCache>
            </c:numRef>
          </c:val>
          <c:smooth val="0"/>
          <c:extLst>
            <c:ext xmlns:c16="http://schemas.microsoft.com/office/drawing/2014/chart" uri="{C3380CC4-5D6E-409C-BE32-E72D297353CC}">
              <c16:uniqueId val="{00000003-39CE-4FFA-9488-C5D02B32A7EA}"/>
            </c:ext>
          </c:extLst>
        </c:ser>
        <c:ser>
          <c:idx val="4"/>
          <c:order val="4"/>
          <c:tx>
            <c:strRef>
              <c:f>'PBL OLD'!$AR$6</c:f>
              <c:strCache>
                <c:ptCount val="1"/>
                <c:pt idx="0">
                  <c:v>FY22</c:v>
                </c:pt>
              </c:strCache>
            </c:strRef>
          </c:tx>
          <c:spPr>
            <a:ln w="28575" cap="rnd">
              <a:solidFill>
                <a:schemeClr val="accent1"/>
              </a:solidFill>
              <a:round/>
            </a:ln>
            <a:effectLst/>
          </c:spPr>
          <c:marker>
            <c:symbol val="none"/>
          </c:marker>
          <c:cat>
            <c:numRef>
              <c:f>'PBL OLD'!$AM$7:$AM$59</c:f>
              <c:numCache>
                <c:formatCode>General</c:formatCode>
                <c:ptCount val="5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numCache>
            </c:numRef>
          </c:cat>
          <c:val>
            <c:numRef>
              <c:f>'PBL OLD'!$AR$7:$AR$59</c:f>
              <c:numCache>
                <c:formatCode>_-* #,##0.000_-;\-* #,##0.000_-;_-* "-"??_-;_-@_-</c:formatCode>
                <c:ptCount val="53"/>
                <c:pt idx="0" formatCode="0.000">
                  <c:v>0</c:v>
                </c:pt>
                <c:pt idx="1">
                  <c:v>9.5665744548000003E-2</c:v>
                </c:pt>
                <c:pt idx="2">
                  <c:v>0.11793257800500001</c:v>
                </c:pt>
                <c:pt idx="3">
                  <c:v>0.14911191044640001</c:v>
                </c:pt>
                <c:pt idx="4">
                  <c:v>0.20023678107840001</c:v>
                </c:pt>
                <c:pt idx="5">
                  <c:v>0.2701509465468</c:v>
                </c:pt>
                <c:pt idx="6">
                  <c:v>0.36942956119740006</c:v>
                </c:pt>
                <c:pt idx="7">
                  <c:v>0.52990114819620004</c:v>
                </c:pt>
                <c:pt idx="8">
                  <c:v>0.55553957734440007</c:v>
                </c:pt>
                <c:pt idx="9">
                  <c:v>0.59104062857399997</c:v>
                </c:pt>
                <c:pt idx="10">
                  <c:v>0.64431783031439993</c:v>
                </c:pt>
                <c:pt idx="11">
                  <c:v>0.66758515580459998</c:v>
                </c:pt>
                <c:pt idx="12">
                  <c:v>0.69931494304319997</c:v>
                </c:pt>
                <c:pt idx="13">
                  <c:v>0.72348987031860001</c:v>
                </c:pt>
                <c:pt idx="14">
                  <c:v>0.7559707072434001</c:v>
                </c:pt>
                <c:pt idx="15">
                  <c:v>0.80990678912220015</c:v>
                </c:pt>
                <c:pt idx="16">
                  <c:v>0.88230096405660008</c:v>
                </c:pt>
                <c:pt idx="17">
                  <c:v>0.98874678204060007</c:v>
                </c:pt>
                <c:pt idx="18">
                  <c:v>1.0120299629352001</c:v>
                </c:pt>
                <c:pt idx="19">
                  <c:v>1.0438740211944</c:v>
                </c:pt>
                <c:pt idx="20">
                  <c:v>1.0936904205744002</c:v>
                </c:pt>
                <c:pt idx="21">
                  <c:v>1.1660568885900002</c:v>
                </c:pt>
                <c:pt idx="22">
                  <c:v>1.2674987249298</c:v>
                </c:pt>
                <c:pt idx="23">
                  <c:v>1.4037287599235999</c:v>
                </c:pt>
                <c:pt idx="24">
                  <c:v>1.4266092295620001</c:v>
                </c:pt>
                <c:pt idx="25">
                  <c:v>1.4579451141024</c:v>
                </c:pt>
                <c:pt idx="26">
                  <c:v>1.5087963588918001</c:v>
                </c:pt>
                <c:pt idx="27">
                  <c:v>1.5639026176620001</c:v>
                </c:pt>
                <c:pt idx="28">
                  <c:v>1.6569426111480003</c:v>
                </c:pt>
                <c:pt idx="29">
                  <c:v>1.6806172924068004</c:v>
                </c:pt>
                <c:pt idx="30">
                  <c:v>1.7072860826076002</c:v>
                </c:pt>
                <c:pt idx="31">
                  <c:v>1.7486309714478001</c:v>
                </c:pt>
                <c:pt idx="32">
                  <c:v>1.8182678274948001</c:v>
                </c:pt>
                <c:pt idx="33">
                  <c:v>1.9142152857432</c:v>
                </c:pt>
                <c:pt idx="34">
                  <c:v>2.0558697108312001</c:v>
                </c:pt>
                <c:pt idx="35">
                  <c:v>2.3574291724830001</c:v>
                </c:pt>
                <c:pt idx="36">
                  <c:v>2.3817293414376</c:v>
                </c:pt>
                <c:pt idx="37">
                  <c:v>2.4127516413132</c:v>
                </c:pt>
                <c:pt idx="38">
                  <c:v>2.4651885866982002</c:v>
                </c:pt>
                <c:pt idx="39">
                  <c:v>2.489099497467</c:v>
                </c:pt>
                <c:pt idx="40">
                  <c:v>2.5236070234320001</c:v>
                </c:pt>
                <c:pt idx="41">
                  <c:v>2.5775473494342003</c:v>
                </c:pt>
                <c:pt idx="42">
                  <c:v>2.6028146980572004</c:v>
                </c:pt>
                <c:pt idx="43">
                  <c:v>2.6322778831668003</c:v>
                </c:pt>
                <c:pt idx="44">
                  <c:v>2.6837529340182003</c:v>
                </c:pt>
                <c:pt idx="45">
                  <c:v>2.7563431394070004</c:v>
                </c:pt>
                <c:pt idx="46">
                  <c:v>2.8601138784042006</c:v>
                </c:pt>
                <c:pt idx="47">
                  <c:v>3.0047512816200004</c:v>
                </c:pt>
                <c:pt idx="48">
                  <c:v>3.0297182584152003</c:v>
                </c:pt>
                <c:pt idx="49">
                  <c:v>3.0565454425044001</c:v>
                </c:pt>
                <c:pt idx="50">
                  <c:v>3.0899016098610002</c:v>
                </c:pt>
                <c:pt idx="51">
                  <c:v>3.1411297007772001</c:v>
                </c:pt>
                <c:pt idx="52">
                  <c:v>3.2132586580380003</c:v>
                </c:pt>
              </c:numCache>
            </c:numRef>
          </c:val>
          <c:smooth val="0"/>
          <c:extLst>
            <c:ext xmlns:c16="http://schemas.microsoft.com/office/drawing/2014/chart" uri="{C3380CC4-5D6E-409C-BE32-E72D297353CC}">
              <c16:uniqueId val="{00000004-39CE-4FFA-9488-C5D02B32A7EA}"/>
            </c:ext>
          </c:extLst>
        </c:ser>
        <c:ser>
          <c:idx val="5"/>
          <c:order val="5"/>
          <c:tx>
            <c:strRef>
              <c:f>'PBL OLD'!$AV$6</c:f>
              <c:strCache>
                <c:ptCount val="1"/>
                <c:pt idx="0">
                  <c:v>0.8x Yr Avg</c:v>
                </c:pt>
              </c:strCache>
            </c:strRef>
          </c:tx>
          <c:spPr>
            <a:ln>
              <a:solidFill>
                <a:schemeClr val="accent1">
                  <a:lumMod val="40000"/>
                  <a:lumOff val="60000"/>
                </a:schemeClr>
              </a:solidFill>
              <a:prstDash val="dash"/>
            </a:ln>
          </c:spPr>
          <c:marker>
            <c:symbol val="none"/>
          </c:marker>
          <c:cat>
            <c:numRef>
              <c:f>'PBL OLD'!$AM$7:$AM$59</c:f>
              <c:numCache>
                <c:formatCode>General</c:formatCode>
                <c:ptCount val="5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numCache>
            </c:numRef>
          </c:cat>
          <c:val>
            <c:numRef>
              <c:f>'PBL OLD'!$AV$7:$AV$59</c:f>
              <c:numCache>
                <c:formatCode>0.000</c:formatCode>
                <c:ptCount val="53"/>
                <c:pt idx="0">
                  <c:v>0</c:v>
                </c:pt>
                <c:pt idx="44">
                  <c:v>2.6837529340182003</c:v>
                </c:pt>
                <c:pt idx="45">
                  <c:v>2.6837529340182003</c:v>
                </c:pt>
                <c:pt idx="46">
                  <c:v>2.6837529340182003</c:v>
                </c:pt>
                <c:pt idx="47">
                  <c:v>2.6837529340182003</c:v>
                </c:pt>
                <c:pt idx="48">
                  <c:v>2.6837529340182003</c:v>
                </c:pt>
                <c:pt idx="49">
                  <c:v>2.6837529340182003</c:v>
                </c:pt>
                <c:pt idx="50">
                  <c:v>2.6837529340182003</c:v>
                </c:pt>
                <c:pt idx="51">
                  <c:v>2.6837529340182003</c:v>
                </c:pt>
                <c:pt idx="52">
                  <c:v>2.6837529340182003</c:v>
                </c:pt>
              </c:numCache>
            </c:numRef>
          </c:val>
          <c:smooth val="0"/>
          <c:extLst>
            <c:ext xmlns:c16="http://schemas.microsoft.com/office/drawing/2014/chart" uri="{C3380CC4-5D6E-409C-BE32-E72D297353CC}">
              <c16:uniqueId val="{00000005-39CE-4FFA-9488-C5D02B32A7EA}"/>
            </c:ext>
          </c:extLst>
        </c:ser>
        <c:ser>
          <c:idx val="6"/>
          <c:order val="6"/>
          <c:tx>
            <c:strRef>
              <c:f>'PBL OLD'!$AW$6</c:f>
              <c:strCache>
                <c:ptCount val="1"/>
                <c:pt idx="0">
                  <c:v>1.0x Yr Avg</c:v>
                </c:pt>
              </c:strCache>
            </c:strRef>
          </c:tx>
          <c:spPr>
            <a:ln>
              <a:solidFill>
                <a:schemeClr val="accent5"/>
              </a:solidFill>
              <a:prstDash val="sysDash"/>
            </a:ln>
          </c:spPr>
          <c:marker>
            <c:symbol val="none"/>
          </c:marker>
          <c:cat>
            <c:numRef>
              <c:f>'PBL OLD'!$AM$7:$AM$59</c:f>
              <c:numCache>
                <c:formatCode>General</c:formatCode>
                <c:ptCount val="5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numCache>
            </c:numRef>
          </c:cat>
          <c:val>
            <c:numRef>
              <c:f>'PBL OLD'!$AW$7:$AW$59</c:f>
              <c:numCache>
                <c:formatCode>0.000</c:formatCode>
                <c:ptCount val="53"/>
                <c:pt idx="0">
                  <c:v>0</c:v>
                </c:pt>
                <c:pt idx="44">
                  <c:v>2.6837529340182003</c:v>
                </c:pt>
                <c:pt idx="45">
                  <c:v>2.6837529340182003</c:v>
                </c:pt>
                <c:pt idx="46">
                  <c:v>2.6837529340182003</c:v>
                </c:pt>
                <c:pt idx="47">
                  <c:v>2.6837529340182003</c:v>
                </c:pt>
                <c:pt idx="48">
                  <c:v>2.6837529340182003</c:v>
                </c:pt>
                <c:pt idx="49">
                  <c:v>2.6837529340182003</c:v>
                </c:pt>
                <c:pt idx="50">
                  <c:v>2.6837529340182003</c:v>
                </c:pt>
                <c:pt idx="51">
                  <c:v>2.6837529340182003</c:v>
                </c:pt>
                <c:pt idx="52">
                  <c:v>2.6837529340182003</c:v>
                </c:pt>
              </c:numCache>
            </c:numRef>
          </c:val>
          <c:smooth val="0"/>
          <c:extLst>
            <c:ext xmlns:c16="http://schemas.microsoft.com/office/drawing/2014/chart" uri="{C3380CC4-5D6E-409C-BE32-E72D297353CC}">
              <c16:uniqueId val="{00000006-39CE-4FFA-9488-C5D02B32A7EA}"/>
            </c:ext>
          </c:extLst>
        </c:ser>
        <c:ser>
          <c:idx val="7"/>
          <c:order val="7"/>
          <c:tx>
            <c:strRef>
              <c:f>'PBL OLD'!$AX$6</c:f>
              <c:strCache>
                <c:ptCount val="1"/>
                <c:pt idx="0">
                  <c:v>1.2x Yr Avg</c:v>
                </c:pt>
              </c:strCache>
            </c:strRef>
          </c:tx>
          <c:spPr>
            <a:ln>
              <a:solidFill>
                <a:schemeClr val="accent1">
                  <a:lumMod val="75000"/>
                </a:schemeClr>
              </a:solidFill>
              <a:prstDash val="dash"/>
            </a:ln>
          </c:spPr>
          <c:marker>
            <c:symbol val="none"/>
          </c:marker>
          <c:cat>
            <c:numRef>
              <c:f>'PBL OLD'!$AM$7:$AM$59</c:f>
              <c:numCache>
                <c:formatCode>General</c:formatCode>
                <c:ptCount val="5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numCache>
            </c:numRef>
          </c:cat>
          <c:val>
            <c:numRef>
              <c:f>'PBL OLD'!$AX$7:$AX$59</c:f>
              <c:numCache>
                <c:formatCode>0.000</c:formatCode>
                <c:ptCount val="53"/>
                <c:pt idx="0">
                  <c:v>0</c:v>
                </c:pt>
                <c:pt idx="44">
                  <c:v>2.6837529340182003</c:v>
                </c:pt>
                <c:pt idx="45">
                  <c:v>2.6837529340182003</c:v>
                </c:pt>
                <c:pt idx="46">
                  <c:v>2.6837529340182003</c:v>
                </c:pt>
                <c:pt idx="47">
                  <c:v>2.6837529340182003</c:v>
                </c:pt>
                <c:pt idx="48">
                  <c:v>2.6837529340182003</c:v>
                </c:pt>
                <c:pt idx="49">
                  <c:v>2.6837529340182003</c:v>
                </c:pt>
                <c:pt idx="50">
                  <c:v>2.6837529340182003</c:v>
                </c:pt>
                <c:pt idx="51">
                  <c:v>2.6837529340182003</c:v>
                </c:pt>
                <c:pt idx="52">
                  <c:v>2.6837529340182003</c:v>
                </c:pt>
              </c:numCache>
            </c:numRef>
          </c:val>
          <c:smooth val="0"/>
          <c:extLst>
            <c:ext xmlns:c16="http://schemas.microsoft.com/office/drawing/2014/chart" uri="{C3380CC4-5D6E-409C-BE32-E72D297353CC}">
              <c16:uniqueId val="{00000007-39CE-4FFA-9488-C5D02B32A7EA}"/>
            </c:ext>
          </c:extLst>
        </c:ser>
        <c:dLbls>
          <c:showLegendKey val="0"/>
          <c:showVal val="0"/>
          <c:showCatName val="0"/>
          <c:showSerName val="0"/>
          <c:showPercent val="0"/>
          <c:showBubbleSize val="0"/>
        </c:dLbls>
        <c:smooth val="0"/>
        <c:axId val="1388952432"/>
        <c:axId val="1388953088"/>
        <c:extLst/>
      </c:lineChart>
      <c:catAx>
        <c:axId val="1388952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3088"/>
        <c:crosses val="autoZero"/>
        <c:auto val="1"/>
        <c:lblAlgn val="ctr"/>
        <c:lblOffset val="100"/>
        <c:tickLblSkip val="10"/>
        <c:noMultiLvlLbl val="0"/>
      </c:catAx>
      <c:valAx>
        <c:axId val="1388953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Ticket Sales ($b)</a:t>
                </a:r>
              </a:p>
            </c:rich>
          </c:tx>
          <c:overlay val="0"/>
          <c:spPr>
            <a:noFill/>
            <a:ln>
              <a:noFill/>
            </a:ln>
            <a:effectLst/>
          </c:sp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2432"/>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ln>
      <a:noFill/>
    </a:ln>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'PBL OLD'!$AN$6</c:f>
              <c:strCache>
                <c:ptCount val="1"/>
                <c:pt idx="0">
                  <c:v>FY18</c:v>
                </c:pt>
              </c:strCache>
            </c:strRef>
          </c:tx>
          <c:spPr>
            <a:ln w="28575" cap="rnd">
              <a:solidFill>
                <a:schemeClr val="tx2"/>
              </a:solidFill>
              <a:round/>
            </a:ln>
            <a:effectLst/>
          </c:spPr>
          <c:marker>
            <c:symbol val="none"/>
          </c:marker>
          <c:cat>
            <c:numRef>
              <c:f>'PBL OLD'!$AM$7:$AM$60</c:f>
              <c:numCache>
                <c:formatCode>General</c:formatCode>
                <c:ptCount val="5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numCache>
            </c:numRef>
          </c:cat>
          <c:val>
            <c:numRef>
              <c:f>'PBL OLD'!$AN$7:$AN$60</c:f>
              <c:numCache>
                <c:formatCode>_-* #,##0.000_-;\-* #,##0.000_-;_-* "-"??_-;_-@_-</c:formatCode>
                <c:ptCount val="54"/>
                <c:pt idx="0" formatCode="0.000">
                  <c:v>0</c:v>
                </c:pt>
                <c:pt idx="1">
                  <c:v>1.3252916830999998E-2</c:v>
                </c:pt>
                <c:pt idx="2">
                  <c:v>2.7884757543499998E-2</c:v>
                </c:pt>
                <c:pt idx="3">
                  <c:v>4.0568036657500001E-2</c:v>
                </c:pt>
                <c:pt idx="4">
                  <c:v>5.1985522308500003E-2</c:v>
                </c:pt>
                <c:pt idx="5">
                  <c:v>6.807354670049999E-2</c:v>
                </c:pt>
                <c:pt idx="6">
                  <c:v>8.0850641283500002E-2</c:v>
                </c:pt>
                <c:pt idx="7">
                  <c:v>9.3063003533499999E-2</c:v>
                </c:pt>
                <c:pt idx="8">
                  <c:v>0.1080397540585</c:v>
                </c:pt>
                <c:pt idx="9">
                  <c:v>0.1253856006645</c:v>
                </c:pt>
                <c:pt idx="10">
                  <c:v>0.14921851102399999</c:v>
                </c:pt>
                <c:pt idx="11">
                  <c:v>0.18899821159449998</c:v>
                </c:pt>
                <c:pt idx="12">
                  <c:v>0.25368285331949997</c:v>
                </c:pt>
                <c:pt idx="13">
                  <c:v>0.26693750747399997</c:v>
                </c:pt>
                <c:pt idx="14">
                  <c:v>0.28319241711749993</c:v>
                </c:pt>
                <c:pt idx="15">
                  <c:v>0.30665854782749991</c:v>
                </c:pt>
                <c:pt idx="16">
                  <c:v>0.33301272336749993</c:v>
                </c:pt>
                <c:pt idx="17">
                  <c:v>0.34482243534749996</c:v>
                </c:pt>
                <c:pt idx="18">
                  <c:v>0.35979703976699995</c:v>
                </c:pt>
                <c:pt idx="19">
                  <c:v>0.37190945481799997</c:v>
                </c:pt>
                <c:pt idx="20">
                  <c:v>0.38807044679699992</c:v>
                </c:pt>
                <c:pt idx="21">
                  <c:v>0.41142395806599991</c:v>
                </c:pt>
                <c:pt idx="22">
                  <c:v>0.42354894316349995</c:v>
                </c:pt>
                <c:pt idx="23">
                  <c:v>0.43943952584949997</c:v>
                </c:pt>
                <c:pt idx="24">
                  <c:v>0.45751433295699995</c:v>
                </c:pt>
                <c:pt idx="25">
                  <c:v>0.47920543002749999</c:v>
                </c:pt>
                <c:pt idx="26">
                  <c:v>0.50481337402649995</c:v>
                </c:pt>
                <c:pt idx="27">
                  <c:v>0.54832576523449994</c:v>
                </c:pt>
                <c:pt idx="28">
                  <c:v>0.62289373376449986</c:v>
                </c:pt>
                <c:pt idx="29">
                  <c:v>0.63632242685549989</c:v>
                </c:pt>
                <c:pt idx="30">
                  <c:v>0.65116765177199987</c:v>
                </c:pt>
                <c:pt idx="31">
                  <c:v>0.66306361675399983</c:v>
                </c:pt>
                <c:pt idx="32">
                  <c:v>0.67808349377999988</c:v>
                </c:pt>
                <c:pt idx="33">
                  <c:v>0.69135214871799977</c:v>
                </c:pt>
                <c:pt idx="34">
                  <c:v>0.70726746271499974</c:v>
                </c:pt>
                <c:pt idx="35">
                  <c:v>0.72734990041999981</c:v>
                </c:pt>
                <c:pt idx="36">
                  <c:v>0.75273536481549974</c:v>
                </c:pt>
                <c:pt idx="37">
                  <c:v>0.79166755810449985</c:v>
                </c:pt>
                <c:pt idx="38">
                  <c:v>0.84011108657849976</c:v>
                </c:pt>
                <c:pt idx="39">
                  <c:v>0.85412137425999979</c:v>
                </c:pt>
                <c:pt idx="40">
                  <c:v>0.87113835574699972</c:v>
                </c:pt>
                <c:pt idx="41">
                  <c:v>0.88302880217199964</c:v>
                </c:pt>
                <c:pt idx="42">
                  <c:v>0.90496275061719966</c:v>
                </c:pt>
                <c:pt idx="43">
                  <c:v>0.9191283958977996</c:v>
                </c:pt>
                <c:pt idx="44">
                  <c:v>0.93933287186199965</c:v>
                </c:pt>
                <c:pt idx="45">
                  <c:v>0.96051504135399957</c:v>
                </c:pt>
                <c:pt idx="46">
                  <c:v>0.99223544729319968</c:v>
                </c:pt>
                <c:pt idx="47">
                  <c:v>1.0358130752991996</c:v>
                </c:pt>
                <c:pt idx="48">
                  <c:v>1.0914419405229998</c:v>
                </c:pt>
                <c:pt idx="49">
                  <c:v>1.1596527478029997</c:v>
                </c:pt>
                <c:pt idx="50">
                  <c:v>1.1738783830443997</c:v>
                </c:pt>
                <c:pt idx="51">
                  <c:v>1.1871202146693998</c:v>
                </c:pt>
                <c:pt idx="52">
                  <c:v>1.2070041093615997</c:v>
                </c:pt>
              </c:numCache>
            </c:numRef>
          </c:val>
          <c:smooth val="0"/>
          <c:extLst>
            <c:ext xmlns:c16="http://schemas.microsoft.com/office/drawing/2014/chart" uri="{C3380CC4-5D6E-409C-BE32-E72D297353CC}">
              <c16:uniqueId val="{00000000-910C-4C20-AFA7-AACF2C735C94}"/>
            </c:ext>
          </c:extLst>
        </c:ser>
        <c:ser>
          <c:idx val="1"/>
          <c:order val="1"/>
          <c:tx>
            <c:strRef>
              <c:f>'PBL OLD'!$AO$6</c:f>
              <c:strCache>
                <c:ptCount val="1"/>
                <c:pt idx="0">
                  <c:v>FY19</c:v>
                </c:pt>
              </c:strCache>
            </c:strRef>
          </c:tx>
          <c:spPr>
            <a:ln w="28575" cap="rnd">
              <a:solidFill>
                <a:schemeClr val="bg2"/>
              </a:solidFill>
              <a:round/>
            </a:ln>
            <a:effectLst/>
          </c:spPr>
          <c:marker>
            <c:symbol val="none"/>
          </c:marker>
          <c:cat>
            <c:numRef>
              <c:f>'PBL OLD'!$AM$7:$AM$60</c:f>
              <c:numCache>
                <c:formatCode>General</c:formatCode>
                <c:ptCount val="5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numCache>
            </c:numRef>
          </c:cat>
          <c:val>
            <c:numRef>
              <c:f>'PBL OLD'!$AO$7:$AO$60</c:f>
              <c:numCache>
                <c:formatCode>_-* #,##0.000_-;\-* #,##0.000_-;_-* "-"??_-;_-@_-</c:formatCode>
                <c:ptCount val="54"/>
                <c:pt idx="0" formatCode="0.000">
                  <c:v>0</c:v>
                </c:pt>
                <c:pt idx="1">
                  <c:v>2.4234595182600002E-2</c:v>
                </c:pt>
                <c:pt idx="2">
                  <c:v>5.7172416437400009E-2</c:v>
                </c:pt>
                <c:pt idx="3">
                  <c:v>9.5831343768600016E-2</c:v>
                </c:pt>
                <c:pt idx="4">
                  <c:v>0.14260526227860004</c:v>
                </c:pt>
                <c:pt idx="5">
                  <c:v>0.20022704795940005</c:v>
                </c:pt>
                <c:pt idx="6">
                  <c:v>0.3090859734930001</c:v>
                </c:pt>
                <c:pt idx="7">
                  <c:v>0.51181649139060004</c:v>
                </c:pt>
                <c:pt idx="8">
                  <c:v>0.52953844629180014</c:v>
                </c:pt>
                <c:pt idx="9">
                  <c:v>0.55037202332640001</c:v>
                </c:pt>
                <c:pt idx="10">
                  <c:v>0.57662334450600006</c:v>
                </c:pt>
                <c:pt idx="11">
                  <c:v>0.61092950820000003</c:v>
                </c:pt>
                <c:pt idx="12">
                  <c:v>0.65609052202320006</c:v>
                </c:pt>
                <c:pt idx="13">
                  <c:v>0.67163720603099997</c:v>
                </c:pt>
                <c:pt idx="14">
                  <c:v>0.69383158708380011</c:v>
                </c:pt>
                <c:pt idx="15">
                  <c:v>0.72326475673980006</c:v>
                </c:pt>
                <c:pt idx="16">
                  <c:v>0.75835935991860004</c:v>
                </c:pt>
                <c:pt idx="17">
                  <c:v>0.80001611890200008</c:v>
                </c:pt>
                <c:pt idx="18">
                  <c:v>0.85065573970080011</c:v>
                </c:pt>
                <c:pt idx="19">
                  <c:v>0.93406122640379996</c:v>
                </c:pt>
                <c:pt idx="20">
                  <c:v>0.9503713540794001</c:v>
                </c:pt>
                <c:pt idx="21">
                  <c:v>0.96620814826800006</c:v>
                </c:pt>
                <c:pt idx="22">
                  <c:v>0.98973373511759999</c:v>
                </c:pt>
                <c:pt idx="23">
                  <c:v>1.0186353270654001</c:v>
                </c:pt>
                <c:pt idx="24">
                  <c:v>1.0569277284323999</c:v>
                </c:pt>
                <c:pt idx="25">
                  <c:v>1.0956737840399999</c:v>
                </c:pt>
                <c:pt idx="26">
                  <c:v>1.1393866275132001</c:v>
                </c:pt>
                <c:pt idx="27">
                  <c:v>1.2183377802750002</c:v>
                </c:pt>
                <c:pt idx="28">
                  <c:v>1.3503298186554</c:v>
                </c:pt>
                <c:pt idx="29">
                  <c:v>1.5568189139118001</c:v>
                </c:pt>
                <c:pt idx="30">
                  <c:v>1.5737393362812002</c:v>
                </c:pt>
                <c:pt idx="31">
                  <c:v>1.5958052467698003</c:v>
                </c:pt>
                <c:pt idx="32">
                  <c:v>1.6268040274398003</c:v>
                </c:pt>
                <c:pt idx="33">
                  <c:v>1.6655636522052002</c:v>
                </c:pt>
                <c:pt idx="34">
                  <c:v>1.7128492311216001</c:v>
                </c:pt>
                <c:pt idx="35">
                  <c:v>1.7673436830126001</c:v>
                </c:pt>
                <c:pt idx="36">
                  <c:v>1.7827864161624003</c:v>
                </c:pt>
                <c:pt idx="37">
                  <c:v>1.8024663767286002</c:v>
                </c:pt>
                <c:pt idx="38">
                  <c:v>1.8282295256346002</c:v>
                </c:pt>
                <c:pt idx="39">
                  <c:v>1.8598575660786001</c:v>
                </c:pt>
                <c:pt idx="40">
                  <c:v>1.8759501904704001</c:v>
                </c:pt>
                <c:pt idx="41">
                  <c:v>1.8977881232376002</c:v>
                </c:pt>
                <c:pt idx="42">
                  <c:v>1.9235925350796002</c:v>
                </c:pt>
                <c:pt idx="43">
                  <c:v>1.9508194866402002</c:v>
                </c:pt>
                <c:pt idx="44">
                  <c:v>1.9922009742294002</c:v>
                </c:pt>
                <c:pt idx="45">
                  <c:v>2.0061019019052004</c:v>
                </c:pt>
                <c:pt idx="46">
                  <c:v>2.0268232754946003</c:v>
                </c:pt>
                <c:pt idx="47">
                  <c:v>2.0413748879304006</c:v>
                </c:pt>
                <c:pt idx="48">
                  <c:v>2.0606901476238004</c:v>
                </c:pt>
                <c:pt idx="49">
                  <c:v>2.0838859483926004</c:v>
                </c:pt>
                <c:pt idx="50">
                  <c:v>2.1117508884252003</c:v>
                </c:pt>
                <c:pt idx="51">
                  <c:v>2.1467966108952004</c:v>
                </c:pt>
                <c:pt idx="52">
                  <c:v>2.1948974502048002</c:v>
                </c:pt>
              </c:numCache>
            </c:numRef>
          </c:val>
          <c:smooth val="0"/>
          <c:extLst>
            <c:ext xmlns:c16="http://schemas.microsoft.com/office/drawing/2014/chart" uri="{C3380CC4-5D6E-409C-BE32-E72D297353CC}">
              <c16:uniqueId val="{00000001-910C-4C20-AFA7-AACF2C735C94}"/>
            </c:ext>
          </c:extLst>
        </c:ser>
        <c:ser>
          <c:idx val="2"/>
          <c:order val="2"/>
          <c:tx>
            <c:strRef>
              <c:f>'PBL OLD'!$AP$6</c:f>
              <c:strCache>
                <c:ptCount val="1"/>
                <c:pt idx="0">
                  <c:v>FY20</c:v>
                </c:pt>
              </c:strCache>
            </c:strRef>
          </c:tx>
          <c:spPr>
            <a:ln w="28575" cap="rnd">
              <a:solidFill>
                <a:schemeClr val="accent4"/>
              </a:solidFill>
              <a:round/>
            </a:ln>
            <a:effectLst/>
          </c:spPr>
          <c:marker>
            <c:symbol val="none"/>
          </c:marker>
          <c:cat>
            <c:numRef>
              <c:f>'PBL OLD'!$AM$7:$AM$60</c:f>
              <c:numCache>
                <c:formatCode>General</c:formatCode>
                <c:ptCount val="5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numCache>
            </c:numRef>
          </c:cat>
          <c:val>
            <c:numRef>
              <c:f>'PBL OLD'!$AP$7:$AP$60</c:f>
              <c:numCache>
                <c:formatCode>_-* #,##0.000_-;\-* #,##0.000_-;_-* "-"??_-;_-@_-</c:formatCode>
                <c:ptCount val="54"/>
                <c:pt idx="0" formatCode="0.000">
                  <c:v>0</c:v>
                </c:pt>
                <c:pt idx="1">
                  <c:v>6.3792737111400002E-2</c:v>
                </c:pt>
                <c:pt idx="2">
                  <c:v>0.152397909213</c:v>
                </c:pt>
                <c:pt idx="3">
                  <c:v>0.33964704963420006</c:v>
                </c:pt>
                <c:pt idx="4">
                  <c:v>0.35693542630020003</c:v>
                </c:pt>
                <c:pt idx="5">
                  <c:v>0.37779995053680004</c:v>
                </c:pt>
                <c:pt idx="6">
                  <c:v>0.40685429469960005</c:v>
                </c:pt>
                <c:pt idx="7">
                  <c:v>0.44477707538220007</c:v>
                </c:pt>
                <c:pt idx="8">
                  <c:v>0.49425228786780007</c:v>
                </c:pt>
                <c:pt idx="9">
                  <c:v>0.5619957923976</c:v>
                </c:pt>
                <c:pt idx="10">
                  <c:v>0.66485691212820008</c:v>
                </c:pt>
                <c:pt idx="11">
                  <c:v>0.81297276015780007</c:v>
                </c:pt>
                <c:pt idx="12">
                  <c:v>1.0622424739410001</c:v>
                </c:pt>
                <c:pt idx="13">
                  <c:v>1.0812228690384003</c:v>
                </c:pt>
                <c:pt idx="14">
                  <c:v>1.1036211902430002</c:v>
                </c:pt>
                <c:pt idx="15">
                  <c:v>1.1311248715866002</c:v>
                </c:pt>
                <c:pt idx="16">
                  <c:v>1.1496884271048002</c:v>
                </c:pt>
                <c:pt idx="17">
                  <c:v>1.1761261127748004</c:v>
                </c:pt>
                <c:pt idx="18">
                  <c:v>1.2044927124912002</c:v>
                </c:pt>
                <c:pt idx="19">
                  <c:v>1.2415876322520003</c:v>
                </c:pt>
                <c:pt idx="20">
                  <c:v>1.2905154883632004</c:v>
                </c:pt>
                <c:pt idx="21">
                  <c:v>1.3494382550814004</c:v>
                </c:pt>
                <c:pt idx="22">
                  <c:v>1.3667452297620004</c:v>
                </c:pt>
                <c:pt idx="23">
                  <c:v>1.3911257968278004</c:v>
                </c:pt>
                <c:pt idx="24">
                  <c:v>1.4230165404444004</c:v>
                </c:pt>
                <c:pt idx="25">
                  <c:v>1.4545245922548002</c:v>
                </c:pt>
                <c:pt idx="26">
                  <c:v>1.4846321634210002</c:v>
                </c:pt>
                <c:pt idx="27">
                  <c:v>1.5019547532726001</c:v>
                </c:pt>
                <c:pt idx="28">
                  <c:v>1.5260941260048</c:v>
                </c:pt>
                <c:pt idx="29">
                  <c:v>1.5588784577915999</c:v>
                </c:pt>
                <c:pt idx="30">
                  <c:v>1.601237451891</c:v>
                </c:pt>
                <c:pt idx="31">
                  <c:v>1.6560169932372</c:v>
                </c:pt>
                <c:pt idx="32">
                  <c:v>1.7372451108342</c:v>
                </c:pt>
                <c:pt idx="33">
                  <c:v>1.7546034954623999</c:v>
                </c:pt>
                <c:pt idx="34">
                  <c:v>1.7807707584018</c:v>
                </c:pt>
                <c:pt idx="35">
                  <c:v>1.8139041493188</c:v>
                </c:pt>
                <c:pt idx="36">
                  <c:v>1.8587518012865998</c:v>
                </c:pt>
                <c:pt idx="37">
                  <c:v>1.9151332990217997</c:v>
                </c:pt>
                <c:pt idx="38">
                  <c:v>1.9946937964337998</c:v>
                </c:pt>
                <c:pt idx="39">
                  <c:v>2.0989035219305996</c:v>
                </c:pt>
                <c:pt idx="40">
                  <c:v>2.1174573079571997</c:v>
                </c:pt>
                <c:pt idx="41">
                  <c:v>2.1455780688275996</c:v>
                </c:pt>
                <c:pt idx="42">
                  <c:v>2.1801784850405994</c:v>
                </c:pt>
                <c:pt idx="43">
                  <c:v>2.2288195024721995</c:v>
                </c:pt>
                <c:pt idx="44">
                  <c:v>2.2498058118293995</c:v>
                </c:pt>
                <c:pt idx="45">
                  <c:v>2.2777414328261996</c:v>
                </c:pt>
                <c:pt idx="46">
                  <c:v>2.2990205866979996</c:v>
                </c:pt>
                <c:pt idx="47">
                  <c:v>2.3289201958175991</c:v>
                </c:pt>
                <c:pt idx="48">
                  <c:v>2.3741850531233992</c:v>
                </c:pt>
                <c:pt idx="49">
                  <c:v>2.3979206735879992</c:v>
                </c:pt>
                <c:pt idx="50">
                  <c:v>2.4287109079991995</c:v>
                </c:pt>
                <c:pt idx="51">
                  <c:v>2.4655201902473993</c:v>
                </c:pt>
                <c:pt idx="52">
                  <c:v>2.5238888986673995</c:v>
                </c:pt>
              </c:numCache>
            </c:numRef>
          </c:val>
          <c:smooth val="0"/>
          <c:extLst>
            <c:ext xmlns:c16="http://schemas.microsoft.com/office/drawing/2014/chart" uri="{C3380CC4-5D6E-409C-BE32-E72D297353CC}">
              <c16:uniqueId val="{00000002-910C-4C20-AFA7-AACF2C735C94}"/>
            </c:ext>
          </c:extLst>
        </c:ser>
        <c:ser>
          <c:idx val="3"/>
          <c:order val="3"/>
          <c:tx>
            <c:strRef>
              <c:f>'PBL OLD'!$AQ$6</c:f>
              <c:strCache>
                <c:ptCount val="1"/>
                <c:pt idx="0">
                  <c:v>FY21</c:v>
                </c:pt>
              </c:strCache>
            </c:strRef>
          </c:tx>
          <c:spPr>
            <a:ln w="28575" cap="rnd">
              <a:solidFill>
                <a:schemeClr val="accent2"/>
              </a:solidFill>
              <a:round/>
            </a:ln>
            <a:effectLst/>
          </c:spPr>
          <c:marker>
            <c:symbol val="none"/>
          </c:marker>
          <c:cat>
            <c:numRef>
              <c:f>'PBL OLD'!$AM$7:$AM$60</c:f>
              <c:numCache>
                <c:formatCode>General</c:formatCode>
                <c:ptCount val="5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numCache>
            </c:numRef>
          </c:cat>
          <c:val>
            <c:numRef>
              <c:f>'PBL OLD'!$AQ$7:$AQ$60</c:f>
              <c:numCache>
                <c:formatCode>_-* #,##0.000_-;\-* #,##0.000_-;_-* "-"??_-;_-@_-</c:formatCode>
                <c:ptCount val="54"/>
                <c:pt idx="0" formatCode="0.000">
                  <c:v>0</c:v>
                </c:pt>
                <c:pt idx="1">
                  <c:v>8.3878292388E-2</c:v>
                </c:pt>
                <c:pt idx="2">
                  <c:v>0.21553140064499998</c:v>
                </c:pt>
                <c:pt idx="3">
                  <c:v>0.24056564279219997</c:v>
                </c:pt>
                <c:pt idx="4">
                  <c:v>0.27198953283479993</c:v>
                </c:pt>
                <c:pt idx="5">
                  <c:v>0.32423092823219996</c:v>
                </c:pt>
                <c:pt idx="6">
                  <c:v>0.35060951648579997</c:v>
                </c:pt>
                <c:pt idx="7">
                  <c:v>0.38322128061359995</c:v>
                </c:pt>
                <c:pt idx="8">
                  <c:v>0.40523963265719998</c:v>
                </c:pt>
                <c:pt idx="9">
                  <c:v>0.43841106052919998</c:v>
                </c:pt>
                <c:pt idx="10">
                  <c:v>0.48890187514079991</c:v>
                </c:pt>
                <c:pt idx="11">
                  <c:v>0.56263254855719991</c:v>
                </c:pt>
                <c:pt idx="12">
                  <c:v>0.66412635538919995</c:v>
                </c:pt>
                <c:pt idx="13">
                  <c:v>0.68886350889839998</c:v>
                </c:pt>
                <c:pt idx="14">
                  <c:v>0.72218107875539994</c:v>
                </c:pt>
                <c:pt idx="15">
                  <c:v>0.77568642214799999</c:v>
                </c:pt>
                <c:pt idx="16">
                  <c:v>0.854410506939</c:v>
                </c:pt>
                <c:pt idx="17">
                  <c:v>0.87791558341739995</c:v>
                </c:pt>
                <c:pt idx="18">
                  <c:v>0.9085567930427999</c:v>
                </c:pt>
                <c:pt idx="19">
                  <c:v>0.95703789510780002</c:v>
                </c:pt>
                <c:pt idx="20">
                  <c:v>0.97898705993219992</c:v>
                </c:pt>
                <c:pt idx="21">
                  <c:v>1.0091054416013998</c:v>
                </c:pt>
                <c:pt idx="22">
                  <c:v>1.0575821393873999</c:v>
                </c:pt>
                <c:pt idx="23">
                  <c:v>1.0791525362177998</c:v>
                </c:pt>
                <c:pt idx="24">
                  <c:v>1.1119100419415999</c:v>
                </c:pt>
                <c:pt idx="25">
                  <c:v>1.1634365027406</c:v>
                </c:pt>
                <c:pt idx="26">
                  <c:v>1.1861645042478</c:v>
                </c:pt>
                <c:pt idx="27">
                  <c:v>1.2199573358477998</c:v>
                </c:pt>
                <c:pt idx="28">
                  <c:v>1.2415091546285999</c:v>
                </c:pt>
                <c:pt idx="29">
                  <c:v>1.2703546195890001</c:v>
                </c:pt>
                <c:pt idx="30">
                  <c:v>1.3168683702635999</c:v>
                </c:pt>
                <c:pt idx="31">
                  <c:v>1.3445162717249999</c:v>
                </c:pt>
                <c:pt idx="32">
                  <c:v>1.3907447051982</c:v>
                </c:pt>
                <c:pt idx="33">
                  <c:v>1.4492922273455999</c:v>
                </c:pt>
                <c:pt idx="34">
                  <c:v>1.5446136373535997</c:v>
                </c:pt>
                <c:pt idx="35">
                  <c:v>1.5734880103997999</c:v>
                </c:pt>
                <c:pt idx="36">
                  <c:v>1.6187873011595997</c:v>
                </c:pt>
                <c:pt idx="37">
                  <c:v>1.6742748904133997</c:v>
                </c:pt>
                <c:pt idx="38">
                  <c:v>1.7575352224187997</c:v>
                </c:pt>
                <c:pt idx="39">
                  <c:v>1.7863687557869996</c:v>
                </c:pt>
                <c:pt idx="40">
                  <c:v>1.8319923616367999</c:v>
                </c:pt>
                <c:pt idx="41">
                  <c:v>1.8833738816177998</c:v>
                </c:pt>
                <c:pt idx="42">
                  <c:v>1.9623325142849999</c:v>
                </c:pt>
                <c:pt idx="43">
                  <c:v>2.1033304615685999</c:v>
                </c:pt>
                <c:pt idx="44">
                  <c:v>2.1325967353680002</c:v>
                </c:pt>
                <c:pt idx="45">
                  <c:v>2.1778897800594001</c:v>
                </c:pt>
                <c:pt idx="46">
                  <c:v>2.2377158243616</c:v>
                </c:pt>
                <c:pt idx="47">
                  <c:v>2.2620606767286002</c:v>
                </c:pt>
                <c:pt idx="48">
                  <c:v>2.2931668180608002</c:v>
                </c:pt>
                <c:pt idx="49">
                  <c:v>2.3166344982066001</c:v>
                </c:pt>
                <c:pt idx="50">
                  <c:v>2.3441540349546002</c:v>
                </c:pt>
                <c:pt idx="51">
                  <c:v>2.3871795966612006</c:v>
                </c:pt>
                <c:pt idx="52">
                  <c:v>2.4538385194818004</c:v>
                </c:pt>
              </c:numCache>
            </c:numRef>
          </c:val>
          <c:smooth val="0"/>
          <c:extLst xmlns:c15="http://schemas.microsoft.com/office/drawing/2012/chart">
            <c:ext xmlns:c16="http://schemas.microsoft.com/office/drawing/2014/chart" uri="{C3380CC4-5D6E-409C-BE32-E72D297353CC}">
              <c16:uniqueId val="{00000003-910C-4C20-AFA7-AACF2C735C94}"/>
            </c:ext>
          </c:extLst>
        </c:ser>
        <c:ser>
          <c:idx val="4"/>
          <c:order val="4"/>
          <c:tx>
            <c:strRef>
              <c:f>'PBL OLD'!$AR$6</c:f>
              <c:strCache>
                <c:ptCount val="1"/>
                <c:pt idx="0">
                  <c:v>FY22</c:v>
                </c:pt>
              </c:strCache>
            </c:strRef>
          </c:tx>
          <c:spPr>
            <a:ln w="28575" cap="rnd">
              <a:solidFill>
                <a:schemeClr val="accent1"/>
              </a:solidFill>
              <a:round/>
            </a:ln>
            <a:effectLst/>
          </c:spPr>
          <c:marker>
            <c:symbol val="none"/>
          </c:marker>
          <c:cat>
            <c:numRef>
              <c:f>'PBL OLD'!$AM$7:$AM$60</c:f>
              <c:numCache>
                <c:formatCode>General</c:formatCode>
                <c:ptCount val="5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numCache>
            </c:numRef>
          </c:cat>
          <c:val>
            <c:numRef>
              <c:f>'PBL OLD'!$AR$7:$AR$60</c:f>
              <c:numCache>
                <c:formatCode>_-* #,##0.000_-;\-* #,##0.000_-;_-* "-"??_-;_-@_-</c:formatCode>
                <c:ptCount val="54"/>
                <c:pt idx="0" formatCode="0.000">
                  <c:v>0</c:v>
                </c:pt>
                <c:pt idx="1">
                  <c:v>9.5665744548000003E-2</c:v>
                </c:pt>
                <c:pt idx="2">
                  <c:v>0.11793257800500001</c:v>
                </c:pt>
                <c:pt idx="3">
                  <c:v>0.14911191044640001</c:v>
                </c:pt>
                <c:pt idx="4">
                  <c:v>0.20023678107840001</c:v>
                </c:pt>
                <c:pt idx="5">
                  <c:v>0.2701509465468</c:v>
                </c:pt>
                <c:pt idx="6">
                  <c:v>0.36942956119740006</c:v>
                </c:pt>
                <c:pt idx="7">
                  <c:v>0.52990114819620004</c:v>
                </c:pt>
                <c:pt idx="8">
                  <c:v>0.55553957734440007</c:v>
                </c:pt>
                <c:pt idx="9">
                  <c:v>0.59104062857399997</c:v>
                </c:pt>
                <c:pt idx="10">
                  <c:v>0.64431783031439993</c:v>
                </c:pt>
                <c:pt idx="11">
                  <c:v>0.66758515580459998</c:v>
                </c:pt>
                <c:pt idx="12">
                  <c:v>0.69931494304319997</c:v>
                </c:pt>
                <c:pt idx="13">
                  <c:v>0.72348987031860001</c:v>
                </c:pt>
                <c:pt idx="14">
                  <c:v>0.7559707072434001</c:v>
                </c:pt>
                <c:pt idx="15">
                  <c:v>0.80990678912220015</c:v>
                </c:pt>
                <c:pt idx="16">
                  <c:v>0.88230096405660008</c:v>
                </c:pt>
                <c:pt idx="17">
                  <c:v>0.98874678204060007</c:v>
                </c:pt>
                <c:pt idx="18">
                  <c:v>1.0120299629352001</c:v>
                </c:pt>
                <c:pt idx="19">
                  <c:v>1.0438740211944</c:v>
                </c:pt>
                <c:pt idx="20">
                  <c:v>1.0936904205744002</c:v>
                </c:pt>
                <c:pt idx="21">
                  <c:v>1.1660568885900002</c:v>
                </c:pt>
                <c:pt idx="22">
                  <c:v>1.2674987249298</c:v>
                </c:pt>
                <c:pt idx="23">
                  <c:v>1.4037287599235999</c:v>
                </c:pt>
                <c:pt idx="24">
                  <c:v>1.4266092295620001</c:v>
                </c:pt>
                <c:pt idx="25">
                  <c:v>1.4579451141024</c:v>
                </c:pt>
                <c:pt idx="26">
                  <c:v>1.5087963588918001</c:v>
                </c:pt>
                <c:pt idx="27">
                  <c:v>1.5639026176620001</c:v>
                </c:pt>
                <c:pt idx="28">
                  <c:v>1.6569426111480003</c:v>
                </c:pt>
                <c:pt idx="29">
                  <c:v>1.6806172924068004</c:v>
                </c:pt>
                <c:pt idx="30">
                  <c:v>1.7072860826076002</c:v>
                </c:pt>
                <c:pt idx="31">
                  <c:v>1.7486309714478001</c:v>
                </c:pt>
                <c:pt idx="32">
                  <c:v>1.8182678274948001</c:v>
                </c:pt>
                <c:pt idx="33">
                  <c:v>1.9142152857432</c:v>
                </c:pt>
                <c:pt idx="34">
                  <c:v>2.0558697108312001</c:v>
                </c:pt>
                <c:pt idx="35">
                  <c:v>2.3574291724830001</c:v>
                </c:pt>
                <c:pt idx="36">
                  <c:v>2.3817293414376</c:v>
                </c:pt>
                <c:pt idx="37">
                  <c:v>2.4127516413132</c:v>
                </c:pt>
                <c:pt idx="38">
                  <c:v>2.4651885866982002</c:v>
                </c:pt>
                <c:pt idx="39">
                  <c:v>2.489099497467</c:v>
                </c:pt>
                <c:pt idx="40">
                  <c:v>2.5236070234320001</c:v>
                </c:pt>
                <c:pt idx="41">
                  <c:v>2.5775473494342003</c:v>
                </c:pt>
                <c:pt idx="42">
                  <c:v>2.6028146980572004</c:v>
                </c:pt>
                <c:pt idx="43">
                  <c:v>2.6322778831668003</c:v>
                </c:pt>
                <c:pt idx="44">
                  <c:v>2.6837529340182003</c:v>
                </c:pt>
                <c:pt idx="45">
                  <c:v>2.7563431394070004</c:v>
                </c:pt>
                <c:pt idx="46">
                  <c:v>2.8601138784042006</c:v>
                </c:pt>
                <c:pt idx="47">
                  <c:v>3.0047512816200004</c:v>
                </c:pt>
                <c:pt idx="48">
                  <c:v>3.0297182584152003</c:v>
                </c:pt>
                <c:pt idx="49">
                  <c:v>3.0565454425044001</c:v>
                </c:pt>
                <c:pt idx="50">
                  <c:v>3.0899016098610002</c:v>
                </c:pt>
                <c:pt idx="51">
                  <c:v>3.1411297007772001</c:v>
                </c:pt>
                <c:pt idx="52">
                  <c:v>3.2132586580380003</c:v>
                </c:pt>
                <c:pt idx="53">
                  <c:v>3.3078763443396002</c:v>
                </c:pt>
              </c:numCache>
            </c:numRef>
          </c:val>
          <c:smooth val="0"/>
          <c:extLst xmlns:c15="http://schemas.microsoft.com/office/drawing/2012/chart">
            <c:ext xmlns:c16="http://schemas.microsoft.com/office/drawing/2014/chart" uri="{C3380CC4-5D6E-409C-BE32-E72D297353CC}">
              <c16:uniqueId val="{00000004-910C-4C20-AFA7-AACF2C735C94}"/>
            </c:ext>
          </c:extLst>
        </c:ser>
        <c:dLbls>
          <c:showLegendKey val="0"/>
          <c:showVal val="0"/>
          <c:showCatName val="0"/>
          <c:showSerName val="0"/>
          <c:showPercent val="0"/>
          <c:showBubbleSize val="0"/>
        </c:dLbls>
        <c:smooth val="0"/>
        <c:axId val="1388952432"/>
        <c:axId val="1388953088"/>
        <c:extLst>
          <c:ext xmlns:c15="http://schemas.microsoft.com/office/drawing/2012/chart" uri="{02D57815-91ED-43cb-92C2-25804820EDAC}">
            <c15:filteredLineSeries>
              <c15:ser>
                <c:idx val="5"/>
                <c:order val="5"/>
                <c:tx>
                  <c:strRef>
                    <c:extLst>
                      <c:ext uri="{02D57815-91ED-43cb-92C2-25804820EDAC}">
                        <c15:formulaRef>
                          <c15:sqref>'PBL OLD'!$AV$6</c15:sqref>
                        </c15:formulaRef>
                      </c:ext>
                    </c:extLst>
                    <c:strCache>
                      <c:ptCount val="1"/>
                      <c:pt idx="0">
                        <c:v>0.8x Yr Avg</c:v>
                      </c:pt>
                    </c:strCache>
                  </c:strRef>
                </c:tx>
                <c:spPr>
                  <a:ln w="28575" cap="rnd">
                    <a:solidFill>
                      <a:schemeClr val="accent5">
                        <a:lumMod val="40000"/>
                        <a:lumOff val="60000"/>
                      </a:schemeClr>
                    </a:solidFill>
                    <a:prstDash val="sysDash"/>
                    <a:round/>
                  </a:ln>
                  <a:effectLst/>
                </c:spPr>
                <c:marker>
                  <c:symbol val="none"/>
                </c:marker>
                <c:cat>
                  <c:numRef>
                    <c:extLst>
                      <c:ext uri="{02D57815-91ED-43cb-92C2-25804820EDAC}">
                        <c15:formulaRef>
                          <c15:sqref>'PBL OLD'!$AM$7:$AM$60</c15:sqref>
                        </c15:formulaRef>
                      </c:ext>
                    </c:extLst>
                    <c:numCache>
                      <c:formatCode>General</c:formatCode>
                      <c:ptCount val="5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numCache>
                  </c:numRef>
                </c:cat>
                <c:val>
                  <c:numRef>
                    <c:extLst>
                      <c:ext uri="{02D57815-91ED-43cb-92C2-25804820EDAC}">
                        <c15:formulaRef>
                          <c15:sqref>'PBL OLD'!$AV$7:$AV$60</c15:sqref>
                        </c15:formulaRef>
                      </c:ext>
                    </c:extLst>
                    <c:numCache>
                      <c:formatCode>0.000</c:formatCode>
                      <c:ptCount val="54"/>
                      <c:pt idx="0">
                        <c:v>0</c:v>
                      </c:pt>
                      <c:pt idx="44">
                        <c:v>2.6837529340182003</c:v>
                      </c:pt>
                      <c:pt idx="45">
                        <c:v>2.6837529340182003</c:v>
                      </c:pt>
                      <c:pt idx="46">
                        <c:v>2.6837529340182003</c:v>
                      </c:pt>
                      <c:pt idx="47">
                        <c:v>2.6837529340182003</c:v>
                      </c:pt>
                      <c:pt idx="48">
                        <c:v>2.6837529340182003</c:v>
                      </c:pt>
                      <c:pt idx="49">
                        <c:v>2.6837529340182003</c:v>
                      </c:pt>
                      <c:pt idx="50">
                        <c:v>2.6837529340182003</c:v>
                      </c:pt>
                      <c:pt idx="51">
                        <c:v>2.6837529340182003</c:v>
                      </c:pt>
                      <c:pt idx="52">
                        <c:v>2.6837529340182003</c:v>
                      </c:pt>
                      <c:pt idx="53">
                        <c:v>2.6837529340182003</c:v>
                      </c:pt>
                    </c:numCache>
                  </c:numRef>
                </c:val>
                <c:smooth val="0"/>
                <c:extLst>
                  <c:ext xmlns:c16="http://schemas.microsoft.com/office/drawing/2014/chart" uri="{C3380CC4-5D6E-409C-BE32-E72D297353CC}">
                    <c16:uniqueId val="{00000005-910C-4C20-AFA7-AACF2C735C94}"/>
                  </c:ext>
                </c:extLst>
              </c15:ser>
            </c15:filteredLineSeries>
            <c15:filteredLineSeries>
              <c15:ser>
                <c:idx val="6"/>
                <c:order val="6"/>
                <c:tx>
                  <c:strRef>
                    <c:extLst xmlns:c15="http://schemas.microsoft.com/office/drawing/2012/chart">
                      <c:ext xmlns:c15="http://schemas.microsoft.com/office/drawing/2012/chart" uri="{02D57815-91ED-43cb-92C2-25804820EDAC}">
                        <c15:formulaRef>
                          <c15:sqref>'PBL OLD'!$AW$6</c15:sqref>
                        </c15:formulaRef>
                      </c:ext>
                    </c:extLst>
                    <c:strCache>
                      <c:ptCount val="1"/>
                      <c:pt idx="0">
                        <c:v>1.0x Yr Avg</c:v>
                      </c:pt>
                    </c:strCache>
                  </c:strRef>
                </c:tx>
                <c:spPr>
                  <a:ln w="28575" cap="rnd">
                    <a:solidFill>
                      <a:schemeClr val="accent1">
                        <a:lumMod val="60000"/>
                      </a:schemeClr>
                    </a:solidFill>
                    <a:prstDash val="sysDash"/>
                    <a:round/>
                  </a:ln>
                  <a:effectLst/>
                </c:spPr>
                <c:marker>
                  <c:symbol val="none"/>
                </c:marker>
                <c:cat>
                  <c:numRef>
                    <c:extLst xmlns:c15="http://schemas.microsoft.com/office/drawing/2012/chart">
                      <c:ext xmlns:c15="http://schemas.microsoft.com/office/drawing/2012/chart" uri="{02D57815-91ED-43cb-92C2-25804820EDAC}">
                        <c15:formulaRef>
                          <c15:sqref>'PBL OLD'!$AM$7:$AM$60</c15:sqref>
                        </c15:formulaRef>
                      </c:ext>
                    </c:extLst>
                    <c:numCache>
                      <c:formatCode>General</c:formatCode>
                      <c:ptCount val="5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numCache>
                  </c:numRef>
                </c:cat>
                <c:val>
                  <c:numRef>
                    <c:extLst xmlns:c15="http://schemas.microsoft.com/office/drawing/2012/chart">
                      <c:ext xmlns:c15="http://schemas.microsoft.com/office/drawing/2012/chart" uri="{02D57815-91ED-43cb-92C2-25804820EDAC}">
                        <c15:formulaRef>
                          <c15:sqref>'PBL OLD'!$AW$7:$AW$60</c15:sqref>
                        </c15:formulaRef>
                      </c:ext>
                    </c:extLst>
                    <c:numCache>
                      <c:formatCode>0.000</c:formatCode>
                      <c:ptCount val="54"/>
                      <c:pt idx="0">
                        <c:v>0</c:v>
                      </c:pt>
                      <c:pt idx="44">
                        <c:v>2.6837529340182003</c:v>
                      </c:pt>
                      <c:pt idx="45">
                        <c:v>2.6837529340182003</c:v>
                      </c:pt>
                      <c:pt idx="46">
                        <c:v>2.6837529340182003</c:v>
                      </c:pt>
                      <c:pt idx="47">
                        <c:v>2.6837529340182003</c:v>
                      </c:pt>
                      <c:pt idx="48">
                        <c:v>2.6837529340182003</c:v>
                      </c:pt>
                      <c:pt idx="49">
                        <c:v>2.6837529340182003</c:v>
                      </c:pt>
                      <c:pt idx="50">
                        <c:v>2.6837529340182003</c:v>
                      </c:pt>
                      <c:pt idx="51">
                        <c:v>2.6837529340182003</c:v>
                      </c:pt>
                      <c:pt idx="52">
                        <c:v>2.6837529340182003</c:v>
                      </c:pt>
                      <c:pt idx="53">
                        <c:v>2.6837529340182003</c:v>
                      </c:pt>
                    </c:numCache>
                  </c:numRef>
                </c:val>
                <c:smooth val="0"/>
                <c:extLst xmlns:c15="http://schemas.microsoft.com/office/drawing/2012/chart">
                  <c:ext xmlns:c16="http://schemas.microsoft.com/office/drawing/2014/chart" uri="{C3380CC4-5D6E-409C-BE32-E72D297353CC}">
                    <c16:uniqueId val="{00000006-910C-4C20-AFA7-AACF2C735C94}"/>
                  </c:ext>
                </c:extLst>
              </c15:ser>
            </c15:filteredLineSeries>
            <c15:filteredLineSeries>
              <c15:ser>
                <c:idx val="7"/>
                <c:order val="7"/>
                <c:tx>
                  <c:strRef>
                    <c:extLst xmlns:c15="http://schemas.microsoft.com/office/drawing/2012/chart">
                      <c:ext xmlns:c15="http://schemas.microsoft.com/office/drawing/2012/chart" uri="{02D57815-91ED-43cb-92C2-25804820EDAC}">
                        <c15:formulaRef>
                          <c15:sqref>'PBL OLD'!$AX$6</c15:sqref>
                        </c15:formulaRef>
                      </c:ext>
                    </c:extLst>
                    <c:strCache>
                      <c:ptCount val="1"/>
                      <c:pt idx="0">
                        <c:v>1.2x Yr Avg</c:v>
                      </c:pt>
                    </c:strCache>
                  </c:strRef>
                </c:tx>
                <c:spPr>
                  <a:ln w="28575" cap="rnd">
                    <a:solidFill>
                      <a:schemeClr val="accent5">
                        <a:lumMod val="50000"/>
                      </a:schemeClr>
                    </a:solidFill>
                    <a:prstDash val="dash"/>
                    <a:round/>
                  </a:ln>
                  <a:effectLst/>
                </c:spPr>
                <c:marker>
                  <c:symbol val="none"/>
                </c:marker>
                <c:cat>
                  <c:numRef>
                    <c:extLst xmlns:c15="http://schemas.microsoft.com/office/drawing/2012/chart">
                      <c:ext xmlns:c15="http://schemas.microsoft.com/office/drawing/2012/chart" uri="{02D57815-91ED-43cb-92C2-25804820EDAC}">
                        <c15:formulaRef>
                          <c15:sqref>'PBL OLD'!$AM$7:$AM$60</c15:sqref>
                        </c15:formulaRef>
                      </c:ext>
                    </c:extLst>
                    <c:numCache>
                      <c:formatCode>General</c:formatCode>
                      <c:ptCount val="5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numCache>
                  </c:numRef>
                </c:cat>
                <c:val>
                  <c:numRef>
                    <c:extLst xmlns:c15="http://schemas.microsoft.com/office/drawing/2012/chart">
                      <c:ext xmlns:c15="http://schemas.microsoft.com/office/drawing/2012/chart" uri="{02D57815-91ED-43cb-92C2-25804820EDAC}">
                        <c15:formulaRef>
                          <c15:sqref>'PBL OLD'!$AX$7:$AX$60</c15:sqref>
                        </c15:formulaRef>
                      </c:ext>
                    </c:extLst>
                    <c:numCache>
                      <c:formatCode>0.000</c:formatCode>
                      <c:ptCount val="54"/>
                      <c:pt idx="0">
                        <c:v>0</c:v>
                      </c:pt>
                      <c:pt idx="44">
                        <c:v>2.6837529340182003</c:v>
                      </c:pt>
                      <c:pt idx="45">
                        <c:v>2.6837529340182003</c:v>
                      </c:pt>
                      <c:pt idx="46">
                        <c:v>2.6837529340182003</c:v>
                      </c:pt>
                      <c:pt idx="47">
                        <c:v>2.6837529340182003</c:v>
                      </c:pt>
                      <c:pt idx="48">
                        <c:v>2.6837529340182003</c:v>
                      </c:pt>
                      <c:pt idx="49">
                        <c:v>2.6837529340182003</c:v>
                      </c:pt>
                      <c:pt idx="50">
                        <c:v>2.6837529340182003</c:v>
                      </c:pt>
                      <c:pt idx="51">
                        <c:v>2.6837529340182003</c:v>
                      </c:pt>
                      <c:pt idx="52">
                        <c:v>2.6837529340182003</c:v>
                      </c:pt>
                      <c:pt idx="53">
                        <c:v>2.6837529340182003</c:v>
                      </c:pt>
                    </c:numCache>
                  </c:numRef>
                </c:val>
                <c:smooth val="0"/>
                <c:extLst xmlns:c15="http://schemas.microsoft.com/office/drawing/2012/chart">
                  <c:ext xmlns:c16="http://schemas.microsoft.com/office/drawing/2014/chart" uri="{C3380CC4-5D6E-409C-BE32-E72D297353CC}">
                    <c16:uniqueId val="{00000007-910C-4C20-AFA7-AACF2C735C94}"/>
                  </c:ext>
                </c:extLst>
              </c15:ser>
            </c15:filteredLineSeries>
          </c:ext>
        </c:extLst>
      </c:lineChart>
      <c:catAx>
        <c:axId val="1388952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3088"/>
        <c:crosses val="autoZero"/>
        <c:auto val="1"/>
        <c:lblAlgn val="ctr"/>
        <c:lblOffset val="100"/>
        <c:tickLblSkip val="10"/>
        <c:noMultiLvlLbl val="0"/>
      </c:catAx>
      <c:valAx>
        <c:axId val="1388953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Ticket Sales ($b)</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'PBL OLD'!$CU$6:$CU$7</c:f>
              <c:strCache>
                <c:ptCount val="2"/>
                <c:pt idx="0">
                  <c:v>Actual</c:v>
                </c:pt>
              </c:strCache>
            </c:strRef>
          </c:tx>
          <c:spPr>
            <a:ln w="28575" cap="rnd">
              <a:solidFill>
                <a:schemeClr val="tx2"/>
              </a:solidFill>
              <a:round/>
            </a:ln>
            <a:effectLst/>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OLD'!$CU$8:$CU$60</c:f>
              <c:numCache>
                <c:formatCode>0.000</c:formatCode>
                <c:ptCount val="53"/>
                <c:pt idx="0">
                  <c:v>2.4383432684147156E-2</c:v>
                </c:pt>
                <c:pt idx="1">
                  <c:v>5.7456335077458197E-2</c:v>
                </c:pt>
                <c:pt idx="2">
                  <c:v>8.2897301732709039E-2</c:v>
                </c:pt>
                <c:pt idx="3">
                  <c:v>0.10634933406608696</c:v>
                </c:pt>
                <c:pt idx="4">
                  <c:v>0.13586762292789298</c:v>
                </c:pt>
                <c:pt idx="5">
                  <c:v>0.18374004427397994</c:v>
                </c:pt>
                <c:pt idx="6">
                  <c:v>0.20803473319331103</c:v>
                </c:pt>
                <c:pt idx="7">
                  <c:v>0.23891877923157193</c:v>
                </c:pt>
                <c:pt idx="8">
                  <c:v>0.28713984685163879</c:v>
                </c:pt>
                <c:pt idx="9">
                  <c:v>0.3616614278523077</c:v>
                </c:pt>
                <c:pt idx="10">
                  <c:v>0.392004627321204</c:v>
                </c:pt>
                <c:pt idx="11">
                  <c:v>0.41949779873926418</c:v>
                </c:pt>
                <c:pt idx="12">
                  <c:v>0.46306182742073576</c:v>
                </c:pt>
                <c:pt idx="13">
                  <c:v>0.52060037325672237</c:v>
                </c:pt>
                <c:pt idx="14">
                  <c:v>0.6148648724923077</c:v>
                </c:pt>
                <c:pt idx="15">
                  <c:v>0.83700126369498329</c:v>
                </c:pt>
                <c:pt idx="16">
                  <c:v>1.1825944978628762</c:v>
                </c:pt>
                <c:pt idx="17">
                  <c:v>1.2153577144507022</c:v>
                </c:pt>
                <c:pt idx="18">
                  <c:v>1.2691323901694982</c:v>
                </c:pt>
                <c:pt idx="19">
                  <c:v>1.3310424487488961</c:v>
                </c:pt>
                <c:pt idx="20">
                  <c:v>1.4175102073723076</c:v>
                </c:pt>
                <c:pt idx="21">
                  <c:v>1.4481012105839461</c:v>
                </c:pt>
                <c:pt idx="22">
                  <c:v>1.4946211055890297</c:v>
                </c:pt>
                <c:pt idx="23">
                  <c:v>1.5554005903488961</c:v>
                </c:pt>
                <c:pt idx="24">
                  <c:v>1.6472886013460868</c:v>
                </c:pt>
                <c:pt idx="25">
                  <c:v>1.8141838940449495</c:v>
                </c:pt>
                <c:pt idx="26">
                  <c:v>1.8392503831253511</c:v>
                </c:pt>
                <c:pt idx="27">
                  <c:v>1.866157764302341</c:v>
                </c:pt>
                <c:pt idx="28">
                  <c:v>1.9009749529614712</c:v>
                </c:pt>
                <c:pt idx="29">
                  <c:v>1.9519053104066888</c:v>
                </c:pt>
                <c:pt idx="30">
                  <c:v>2.0244714168671569</c:v>
                </c:pt>
                <c:pt idx="31">
                  <c:v>2.0488217174971233</c:v>
                </c:pt>
                <c:pt idx="32">
                  <c:v>2.0819389554734444</c:v>
                </c:pt>
                <c:pt idx="33">
                  <c:v>2.135068076795986</c:v>
                </c:pt>
                <c:pt idx="34">
                  <c:v>2.2086620296321069</c:v>
                </c:pt>
                <c:pt idx="35">
                  <c:v>2.2340468803692306</c:v>
                </c:pt>
                <c:pt idx="36">
                  <c:v>2.2608009917649499</c:v>
                </c:pt>
                <c:pt idx="37">
                  <c:v>2.2922285879399333</c:v>
                </c:pt>
                <c:pt idx="38">
                  <c:v>2.3232771205685618</c:v>
                </c:pt>
                <c:pt idx="39">
                  <c:v>2.3730794774674249</c:v>
                </c:pt>
                <c:pt idx="40">
                  <c:v>2.4331034888271574</c:v>
                </c:pt>
                <c:pt idx="41">
                  <c:v>2.459481893485485</c:v>
                </c:pt>
                <c:pt idx="42">
                  <c:v>2.4922966782375924</c:v>
                </c:pt>
                <c:pt idx="43">
                  <c:v>2.5430290760305017</c:v>
                </c:pt>
                <c:pt idx="44">
                  <c:v>2.5665048546627425</c:v>
                </c:pt>
                <c:pt idx="45">
                  <c:v>2.5900549864143145</c:v>
                </c:pt>
                <c:pt idx="46">
                  <c:v>2.6316794518334712</c:v>
                </c:pt>
                <c:pt idx="47">
                  <c:v>2.6865530592113069</c:v>
                </c:pt>
                <c:pt idx="48">
                  <c:v>2.7625586865996037</c:v>
                </c:pt>
                <c:pt idx="49">
                  <c:v>2.8807855607703785</c:v>
                </c:pt>
                <c:pt idx="50">
                  <c:v>3.1087288440336671</c:v>
                </c:pt>
                <c:pt idx="51">
                  <c:v>3.1350399566342553</c:v>
                </c:pt>
              </c:numCache>
            </c:numRef>
          </c:val>
          <c:smooth val="0"/>
          <c:extLst>
            <c:ext xmlns:c16="http://schemas.microsoft.com/office/drawing/2014/chart" uri="{C3380CC4-5D6E-409C-BE32-E72D297353CC}">
              <c16:uniqueId val="{00000000-9972-401A-9CCE-EA7CDAF4B62B}"/>
            </c:ext>
          </c:extLst>
        </c:ser>
        <c:ser>
          <c:idx val="1"/>
          <c:order val="4"/>
          <c:tx>
            <c:strRef>
              <c:f>'PBL OLD'!$CY$6:$CY$7</c:f>
              <c:strCache>
                <c:ptCount val="2"/>
                <c:pt idx="0">
                  <c:v>10th Percentile</c:v>
                </c:pt>
              </c:strCache>
            </c:strRef>
          </c:tx>
          <c:spPr>
            <a:ln w="28575" cap="rnd" cmpd="sng">
              <a:solidFill>
                <a:schemeClr val="accent6"/>
              </a:solidFill>
              <a:prstDash val="sysDot"/>
              <a:round/>
              <a:headEnd type="none"/>
            </a:ln>
            <a:effectLst/>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OLD'!$CY$8:$CY$60</c:f>
              <c:numCache>
                <c:formatCode>0.000</c:formatCode>
                <c:ptCount val="53"/>
                <c:pt idx="0">
                  <c:v>5.0502007292025322E-2</c:v>
                </c:pt>
                <c:pt idx="1">
                  <c:v>0.10100401458405064</c:v>
                </c:pt>
                <c:pt idx="2">
                  <c:v>0.15150602187607598</c:v>
                </c:pt>
                <c:pt idx="3">
                  <c:v>0.20200802916810129</c:v>
                </c:pt>
                <c:pt idx="4">
                  <c:v>0.2525100364601266</c:v>
                </c:pt>
                <c:pt idx="5">
                  <c:v>0.30301204375215191</c:v>
                </c:pt>
                <c:pt idx="6">
                  <c:v>0.35351405104417721</c:v>
                </c:pt>
                <c:pt idx="7">
                  <c:v>0.40401605833620252</c:v>
                </c:pt>
                <c:pt idx="8">
                  <c:v>0.45451806562822783</c:v>
                </c:pt>
                <c:pt idx="9">
                  <c:v>0.50502007292025319</c:v>
                </c:pt>
                <c:pt idx="10">
                  <c:v>0.55552208021227856</c:v>
                </c:pt>
                <c:pt idx="11">
                  <c:v>0.60602408750430392</c:v>
                </c:pt>
                <c:pt idx="12">
                  <c:v>0.65652609479632928</c:v>
                </c:pt>
                <c:pt idx="13">
                  <c:v>0.70702810208835465</c:v>
                </c:pt>
                <c:pt idx="14">
                  <c:v>0.75753010938038001</c:v>
                </c:pt>
                <c:pt idx="15">
                  <c:v>0.80803211667240538</c:v>
                </c:pt>
                <c:pt idx="16">
                  <c:v>0.85853412396443074</c:v>
                </c:pt>
                <c:pt idx="17">
                  <c:v>0.9090361312564561</c:v>
                </c:pt>
                <c:pt idx="18">
                  <c:v>0.95953813854848147</c:v>
                </c:pt>
                <c:pt idx="19">
                  <c:v>1.0100401458405068</c:v>
                </c:pt>
                <c:pt idx="20">
                  <c:v>1.0605421531325321</c:v>
                </c:pt>
                <c:pt idx="21">
                  <c:v>1.1110441604245573</c:v>
                </c:pt>
                <c:pt idx="22">
                  <c:v>1.1615461677165826</c:v>
                </c:pt>
                <c:pt idx="23">
                  <c:v>1.2120481750086078</c:v>
                </c:pt>
                <c:pt idx="24">
                  <c:v>1.2625501823006331</c:v>
                </c:pt>
                <c:pt idx="25">
                  <c:v>1.3130521895926583</c:v>
                </c:pt>
                <c:pt idx="26">
                  <c:v>1.3635541968846836</c:v>
                </c:pt>
                <c:pt idx="27">
                  <c:v>1.4140562041767089</c:v>
                </c:pt>
                <c:pt idx="28">
                  <c:v>1.4645582114687341</c:v>
                </c:pt>
                <c:pt idx="29">
                  <c:v>1.5150602187607594</c:v>
                </c:pt>
                <c:pt idx="30">
                  <c:v>1.5655622260527846</c:v>
                </c:pt>
                <c:pt idx="31">
                  <c:v>1.6160642333448099</c:v>
                </c:pt>
                <c:pt idx="32">
                  <c:v>1.6665662406368351</c:v>
                </c:pt>
                <c:pt idx="33">
                  <c:v>1.7170682479288604</c:v>
                </c:pt>
                <c:pt idx="34">
                  <c:v>1.7675702552208856</c:v>
                </c:pt>
                <c:pt idx="35">
                  <c:v>1.8180722625129109</c:v>
                </c:pt>
                <c:pt idx="36">
                  <c:v>1.8685742698049361</c:v>
                </c:pt>
                <c:pt idx="37">
                  <c:v>1.9190762770969614</c:v>
                </c:pt>
                <c:pt idx="38">
                  <c:v>1.9695782843889866</c:v>
                </c:pt>
                <c:pt idx="39">
                  <c:v>2.0200802916810119</c:v>
                </c:pt>
                <c:pt idx="40">
                  <c:v>2.0705822989730374</c:v>
                </c:pt>
                <c:pt idx="41">
                  <c:v>2.1210843062650628</c:v>
                </c:pt>
                <c:pt idx="42">
                  <c:v>2.1715863135570883</c:v>
                </c:pt>
                <c:pt idx="43">
                  <c:v>2.2220883208491138</c:v>
                </c:pt>
                <c:pt idx="44">
                  <c:v>2.2725903281411393</c:v>
                </c:pt>
                <c:pt idx="45">
                  <c:v>2.3230923354331647</c:v>
                </c:pt>
                <c:pt idx="46">
                  <c:v>2.3735943427251902</c:v>
                </c:pt>
                <c:pt idx="47">
                  <c:v>2.4240963500172157</c:v>
                </c:pt>
                <c:pt idx="48">
                  <c:v>2.4745983573092412</c:v>
                </c:pt>
                <c:pt idx="49">
                  <c:v>2.5251003646012666</c:v>
                </c:pt>
                <c:pt idx="50">
                  <c:v>2.5756023718932921</c:v>
                </c:pt>
                <c:pt idx="51">
                  <c:v>2.6261043791853176</c:v>
                </c:pt>
              </c:numCache>
            </c:numRef>
          </c:val>
          <c:smooth val="0"/>
          <c:extLst xmlns:c15="http://schemas.microsoft.com/office/drawing/2012/chart">
            <c:ext xmlns:c16="http://schemas.microsoft.com/office/drawing/2014/chart" uri="{C3380CC4-5D6E-409C-BE32-E72D297353CC}">
              <c16:uniqueId val="{00000001-9972-401A-9CCE-EA7CDAF4B62B}"/>
            </c:ext>
          </c:extLst>
        </c:ser>
        <c:ser>
          <c:idx val="4"/>
          <c:order val="6"/>
          <c:tx>
            <c:strRef>
              <c:f>'PBL OLD'!$DA$6:$DA$7</c:f>
              <c:strCache>
                <c:ptCount val="2"/>
                <c:pt idx="0">
                  <c:v>50th Percentile</c:v>
                </c:pt>
              </c:strCache>
            </c:strRef>
          </c:tx>
          <c:spPr>
            <a:ln w="28575">
              <a:solidFill>
                <a:schemeClr val="bg2"/>
              </a:solidFill>
              <a:prstDash val="sysDot"/>
            </a:ln>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OLD'!$DA$8:$DA$60</c:f>
              <c:numCache>
                <c:formatCode>0.000</c:formatCode>
                <c:ptCount val="53"/>
                <c:pt idx="0">
                  <c:v>6.0209708872007502E-2</c:v>
                </c:pt>
                <c:pt idx="1">
                  <c:v>0.120419417744015</c:v>
                </c:pt>
                <c:pt idx="2">
                  <c:v>0.18062912661602251</c:v>
                </c:pt>
                <c:pt idx="3">
                  <c:v>0.24083883548803001</c:v>
                </c:pt>
                <c:pt idx="4">
                  <c:v>0.30104854436003753</c:v>
                </c:pt>
                <c:pt idx="5">
                  <c:v>0.36125825323204502</c:v>
                </c:pt>
                <c:pt idx="6">
                  <c:v>0.42146796210405252</c:v>
                </c:pt>
                <c:pt idx="7">
                  <c:v>0.48167767097606001</c:v>
                </c:pt>
                <c:pt idx="8">
                  <c:v>0.54188737984806756</c:v>
                </c:pt>
                <c:pt idx="9">
                  <c:v>0.60209708872007506</c:v>
                </c:pt>
                <c:pt idx="10">
                  <c:v>0.66230679759208255</c:v>
                </c:pt>
                <c:pt idx="11">
                  <c:v>0.72251650646409005</c:v>
                </c:pt>
                <c:pt idx="12">
                  <c:v>0.78272621533609754</c:v>
                </c:pt>
                <c:pt idx="13">
                  <c:v>0.84293592420810504</c:v>
                </c:pt>
                <c:pt idx="14">
                  <c:v>0.90314563308011253</c:v>
                </c:pt>
                <c:pt idx="15">
                  <c:v>0.96335534195212003</c:v>
                </c:pt>
                <c:pt idx="16">
                  <c:v>1.0235650508241276</c:v>
                </c:pt>
                <c:pt idx="17">
                  <c:v>1.0837747596961351</c:v>
                </c:pt>
                <c:pt idx="18">
                  <c:v>1.1439844685681426</c:v>
                </c:pt>
                <c:pt idx="19">
                  <c:v>1.2041941774401501</c:v>
                </c:pt>
                <c:pt idx="20">
                  <c:v>1.2644038863121576</c:v>
                </c:pt>
                <c:pt idx="21">
                  <c:v>1.3246135951841651</c:v>
                </c:pt>
                <c:pt idx="22">
                  <c:v>1.3848233040561726</c:v>
                </c:pt>
                <c:pt idx="23">
                  <c:v>1.4450330129281801</c:v>
                </c:pt>
                <c:pt idx="24">
                  <c:v>1.5052427218001876</c:v>
                </c:pt>
                <c:pt idx="25">
                  <c:v>1.5654524306721951</c:v>
                </c:pt>
                <c:pt idx="26">
                  <c:v>1.6256621395442026</c:v>
                </c:pt>
                <c:pt idx="27">
                  <c:v>1.6858718484162101</c:v>
                </c:pt>
                <c:pt idx="28">
                  <c:v>1.7460815572882176</c:v>
                </c:pt>
                <c:pt idx="29">
                  <c:v>1.8062912661602251</c:v>
                </c:pt>
                <c:pt idx="30">
                  <c:v>1.8665009750322326</c:v>
                </c:pt>
                <c:pt idx="31">
                  <c:v>1.9267106839042401</c:v>
                </c:pt>
                <c:pt idx="32">
                  <c:v>1.9869203927762475</c:v>
                </c:pt>
                <c:pt idx="33">
                  <c:v>2.0471301016482553</c:v>
                </c:pt>
                <c:pt idx="34">
                  <c:v>2.107339810520263</c:v>
                </c:pt>
                <c:pt idx="35">
                  <c:v>2.1675495193922707</c:v>
                </c:pt>
                <c:pt idx="36">
                  <c:v>2.2277592282642784</c:v>
                </c:pt>
                <c:pt idx="37">
                  <c:v>2.2879689371362861</c:v>
                </c:pt>
                <c:pt idx="38">
                  <c:v>2.3481786460082938</c:v>
                </c:pt>
                <c:pt idx="39">
                  <c:v>2.4083883548803016</c:v>
                </c:pt>
                <c:pt idx="40">
                  <c:v>2.4685980637523093</c:v>
                </c:pt>
                <c:pt idx="41">
                  <c:v>2.528807772624317</c:v>
                </c:pt>
                <c:pt idx="42">
                  <c:v>2.5890174814963247</c:v>
                </c:pt>
                <c:pt idx="43">
                  <c:v>2.6492271903683324</c:v>
                </c:pt>
                <c:pt idx="44">
                  <c:v>2.7094368992403401</c:v>
                </c:pt>
                <c:pt idx="45">
                  <c:v>2.7696466081123479</c:v>
                </c:pt>
                <c:pt idx="46">
                  <c:v>2.8298563169843556</c:v>
                </c:pt>
                <c:pt idx="47">
                  <c:v>2.8900660258563633</c:v>
                </c:pt>
                <c:pt idx="48">
                  <c:v>2.950275734728371</c:v>
                </c:pt>
                <c:pt idx="49">
                  <c:v>3.0104854436003787</c:v>
                </c:pt>
                <c:pt idx="50">
                  <c:v>3.0706951524723864</c:v>
                </c:pt>
                <c:pt idx="51">
                  <c:v>3.1309048613443942</c:v>
                </c:pt>
              </c:numCache>
            </c:numRef>
          </c:val>
          <c:smooth val="0"/>
          <c:extLst xmlns:c15="http://schemas.microsoft.com/office/drawing/2012/chart">
            <c:ext xmlns:c16="http://schemas.microsoft.com/office/drawing/2014/chart" uri="{C3380CC4-5D6E-409C-BE32-E72D297353CC}">
              <c16:uniqueId val="{00000002-9972-401A-9CCE-EA7CDAF4B62B}"/>
            </c:ext>
          </c:extLst>
        </c:ser>
        <c:ser>
          <c:idx val="8"/>
          <c:order val="8"/>
          <c:tx>
            <c:strRef>
              <c:f>'PBL OLD'!$DC$6:$DC$7</c:f>
              <c:strCache>
                <c:ptCount val="2"/>
                <c:pt idx="0">
                  <c:v>90th Percentile</c:v>
                </c:pt>
              </c:strCache>
            </c:strRef>
          </c:tx>
          <c:spPr>
            <a:ln w="28575">
              <a:solidFill>
                <a:schemeClr val="accent1"/>
              </a:solidFill>
              <a:prstDash val="sysDot"/>
            </a:ln>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OLD'!$DC$8:$DC$60</c:f>
              <c:numCache>
                <c:formatCode>0.000</c:formatCode>
                <c:ptCount val="53"/>
                <c:pt idx="0">
                  <c:v>7.261484324723147E-2</c:v>
                </c:pt>
                <c:pt idx="1">
                  <c:v>0.14522968649446294</c:v>
                </c:pt>
                <c:pt idx="2">
                  <c:v>0.21784452974169441</c:v>
                </c:pt>
                <c:pt idx="3">
                  <c:v>0.29045937298892588</c:v>
                </c:pt>
                <c:pt idx="4">
                  <c:v>0.36307421623615732</c:v>
                </c:pt>
                <c:pt idx="5">
                  <c:v>0.43568905948338876</c:v>
                </c:pt>
                <c:pt idx="6">
                  <c:v>0.50830390273062021</c:v>
                </c:pt>
                <c:pt idx="7">
                  <c:v>0.58091874597785165</c:v>
                </c:pt>
                <c:pt idx="8">
                  <c:v>0.65353358922508309</c:v>
                </c:pt>
                <c:pt idx="9">
                  <c:v>0.72614843247231453</c:v>
                </c:pt>
                <c:pt idx="10">
                  <c:v>0.79876327571954597</c:v>
                </c:pt>
                <c:pt idx="11">
                  <c:v>0.87137811896677742</c:v>
                </c:pt>
                <c:pt idx="12">
                  <c:v>0.94399296221400886</c:v>
                </c:pt>
                <c:pt idx="13">
                  <c:v>1.0166078054612404</c:v>
                </c:pt>
                <c:pt idx="14">
                  <c:v>1.089222648708472</c:v>
                </c:pt>
                <c:pt idx="15">
                  <c:v>1.1618374919557035</c:v>
                </c:pt>
                <c:pt idx="16">
                  <c:v>1.2344523352029351</c:v>
                </c:pt>
                <c:pt idx="17">
                  <c:v>1.3070671784501666</c:v>
                </c:pt>
                <c:pt idx="18">
                  <c:v>1.3796820216973982</c:v>
                </c:pt>
                <c:pt idx="19">
                  <c:v>1.4522968649446297</c:v>
                </c:pt>
                <c:pt idx="20">
                  <c:v>1.5249117081918613</c:v>
                </c:pt>
                <c:pt idx="21">
                  <c:v>1.5975265514390928</c:v>
                </c:pt>
                <c:pt idx="22">
                  <c:v>1.6701413946863244</c:v>
                </c:pt>
                <c:pt idx="23">
                  <c:v>1.7427562379335559</c:v>
                </c:pt>
                <c:pt idx="24">
                  <c:v>1.8153710811807875</c:v>
                </c:pt>
                <c:pt idx="25">
                  <c:v>1.887985924428019</c:v>
                </c:pt>
                <c:pt idx="26">
                  <c:v>1.9606007676752506</c:v>
                </c:pt>
                <c:pt idx="27">
                  <c:v>2.0332156109224822</c:v>
                </c:pt>
                <c:pt idx="28">
                  <c:v>2.1058304541697135</c:v>
                </c:pt>
                <c:pt idx="29">
                  <c:v>2.1784452974169448</c:v>
                </c:pt>
                <c:pt idx="30">
                  <c:v>2.2510601406641761</c:v>
                </c:pt>
                <c:pt idx="31">
                  <c:v>2.3236749839114075</c:v>
                </c:pt>
                <c:pt idx="32">
                  <c:v>2.3962898271586388</c:v>
                </c:pt>
                <c:pt idx="33">
                  <c:v>2.4689046704058701</c:v>
                </c:pt>
                <c:pt idx="34">
                  <c:v>2.5415195136531015</c:v>
                </c:pt>
                <c:pt idx="35">
                  <c:v>2.6141343569003328</c:v>
                </c:pt>
                <c:pt idx="36">
                  <c:v>2.6867492001475641</c:v>
                </c:pt>
                <c:pt idx="37">
                  <c:v>2.7593640433947955</c:v>
                </c:pt>
                <c:pt idx="38">
                  <c:v>2.8319788866420268</c:v>
                </c:pt>
                <c:pt idx="39">
                  <c:v>2.9045937298892581</c:v>
                </c:pt>
                <c:pt idx="40">
                  <c:v>2.9772085731364895</c:v>
                </c:pt>
                <c:pt idx="41">
                  <c:v>3.0498234163837208</c:v>
                </c:pt>
                <c:pt idx="42">
                  <c:v>3.1224382596309521</c:v>
                </c:pt>
                <c:pt idx="43">
                  <c:v>3.1950531028781834</c:v>
                </c:pt>
                <c:pt idx="44">
                  <c:v>3.2676679461254148</c:v>
                </c:pt>
                <c:pt idx="45">
                  <c:v>3.3402827893726461</c:v>
                </c:pt>
                <c:pt idx="46">
                  <c:v>3.4128976326198774</c:v>
                </c:pt>
                <c:pt idx="47">
                  <c:v>3.4855124758671088</c:v>
                </c:pt>
                <c:pt idx="48">
                  <c:v>3.5581273191143401</c:v>
                </c:pt>
                <c:pt idx="49">
                  <c:v>3.6307421623615714</c:v>
                </c:pt>
                <c:pt idx="50">
                  <c:v>3.7033570056088028</c:v>
                </c:pt>
                <c:pt idx="51">
                  <c:v>3.7759718488560341</c:v>
                </c:pt>
              </c:numCache>
            </c:numRef>
          </c:val>
          <c:smooth val="0"/>
          <c:extLst xmlns:c15="http://schemas.microsoft.com/office/drawing/2012/chart">
            <c:ext xmlns:c16="http://schemas.microsoft.com/office/drawing/2014/chart" uri="{C3380CC4-5D6E-409C-BE32-E72D297353CC}">
              <c16:uniqueId val="{00000003-9972-401A-9CCE-EA7CDAF4B62B}"/>
            </c:ext>
          </c:extLst>
        </c:ser>
        <c:dLbls>
          <c:showLegendKey val="0"/>
          <c:showVal val="0"/>
          <c:showCatName val="0"/>
          <c:showSerName val="0"/>
          <c:showPercent val="0"/>
          <c:showBubbleSize val="0"/>
        </c:dLbls>
        <c:smooth val="0"/>
        <c:axId val="1388952432"/>
        <c:axId val="1388953088"/>
        <c:extLst>
          <c:ext xmlns:c15="http://schemas.microsoft.com/office/drawing/2012/chart" uri="{02D57815-91ED-43cb-92C2-25804820EDAC}">
            <c15:filteredLineSeries>
              <c15:ser>
                <c:idx val="3"/>
                <c:order val="1"/>
                <c:tx>
                  <c:strRef>
                    <c:extLst>
                      <c:ext uri="{02D57815-91ED-43cb-92C2-25804820EDAC}">
                        <c15:formulaRef>
                          <c15:sqref>'PBL OLD'!$CV$6:$CV$7</c15:sqref>
                        </c15:formulaRef>
                      </c:ext>
                    </c:extLst>
                    <c:strCache>
                      <c:ptCount val="2"/>
                      <c:pt idx="0">
                        <c:v>Min</c:v>
                      </c:pt>
                    </c:strCache>
                  </c:strRef>
                </c:tx>
                <c:marker>
                  <c:symbol val="none"/>
                </c:marker>
                <c:cat>
                  <c:numRef>
                    <c:extLst>
                      <c:ex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c:ext uri="{02D57815-91ED-43cb-92C2-25804820EDAC}">
                        <c15:formulaRef>
                          <c15:sqref>'PBL OLD'!$CV$8:$CV$60</c15:sqref>
                        </c15:formulaRef>
                      </c:ext>
                    </c:extLst>
                    <c:numCache>
                      <c:formatCode>0.000</c:formatCode>
                      <c:ptCount val="53"/>
                      <c:pt idx="0">
                        <c:v>3.7943638869952147E-2</c:v>
                      </c:pt>
                      <c:pt idx="1">
                        <c:v>7.5887277739904294E-2</c:v>
                      </c:pt>
                      <c:pt idx="2">
                        <c:v>0.11383091660985645</c:v>
                      </c:pt>
                      <c:pt idx="3">
                        <c:v>0.15177455547980859</c:v>
                      </c:pt>
                      <c:pt idx="4">
                        <c:v>0.18971819434976073</c:v>
                      </c:pt>
                      <c:pt idx="5">
                        <c:v>0.22766183321971287</c:v>
                      </c:pt>
                      <c:pt idx="6">
                        <c:v>0.26560547208966501</c:v>
                      </c:pt>
                      <c:pt idx="7">
                        <c:v>0.30354911095961717</c:v>
                      </c:pt>
                      <c:pt idx="8">
                        <c:v>0.34149274982956934</c:v>
                      </c:pt>
                      <c:pt idx="9">
                        <c:v>0.37943638869952151</c:v>
                      </c:pt>
                      <c:pt idx="10">
                        <c:v>0.41738002756947368</c:v>
                      </c:pt>
                      <c:pt idx="11">
                        <c:v>0.45532366643942584</c:v>
                      </c:pt>
                      <c:pt idx="12">
                        <c:v>0.49326730530937801</c:v>
                      </c:pt>
                      <c:pt idx="13">
                        <c:v>0.53121094417933012</c:v>
                      </c:pt>
                      <c:pt idx="14">
                        <c:v>0.56915458304928224</c:v>
                      </c:pt>
                      <c:pt idx="15">
                        <c:v>0.60709822191923435</c:v>
                      </c:pt>
                      <c:pt idx="16">
                        <c:v>0.64504186078918646</c:v>
                      </c:pt>
                      <c:pt idx="17">
                        <c:v>0.68298549965913857</c:v>
                      </c:pt>
                      <c:pt idx="18">
                        <c:v>0.72092913852909069</c:v>
                      </c:pt>
                      <c:pt idx="19">
                        <c:v>0.7588727773990428</c:v>
                      </c:pt>
                      <c:pt idx="20">
                        <c:v>0.79681641626899491</c:v>
                      </c:pt>
                      <c:pt idx="21">
                        <c:v>0.83476005513894702</c:v>
                      </c:pt>
                      <c:pt idx="22">
                        <c:v>0.87270369400889913</c:v>
                      </c:pt>
                      <c:pt idx="23">
                        <c:v>0.91064733287885125</c:v>
                      </c:pt>
                      <c:pt idx="24">
                        <c:v>0.94859097174880336</c:v>
                      </c:pt>
                      <c:pt idx="25">
                        <c:v>0.98653461061875547</c:v>
                      </c:pt>
                      <c:pt idx="26">
                        <c:v>1.0244782494887077</c:v>
                      </c:pt>
                      <c:pt idx="27">
                        <c:v>1.0624218883586598</c:v>
                      </c:pt>
                      <c:pt idx="28">
                        <c:v>1.1003655272286119</c:v>
                      </c:pt>
                      <c:pt idx="29">
                        <c:v>1.138309166098564</c:v>
                      </c:pt>
                      <c:pt idx="30">
                        <c:v>1.1762528049685161</c:v>
                      </c:pt>
                      <c:pt idx="31">
                        <c:v>1.2141964438384683</c:v>
                      </c:pt>
                      <c:pt idx="32">
                        <c:v>1.2521400827084204</c:v>
                      </c:pt>
                      <c:pt idx="33">
                        <c:v>1.2900837215783725</c:v>
                      </c:pt>
                      <c:pt idx="34">
                        <c:v>1.3280273604483246</c:v>
                      </c:pt>
                      <c:pt idx="35">
                        <c:v>1.3659709993182767</c:v>
                      </c:pt>
                      <c:pt idx="36">
                        <c:v>1.4039146381882288</c:v>
                      </c:pt>
                      <c:pt idx="37">
                        <c:v>1.4418582770581809</c:v>
                      </c:pt>
                      <c:pt idx="38">
                        <c:v>1.479801915928133</c:v>
                      </c:pt>
                      <c:pt idx="39">
                        <c:v>1.5177455547980852</c:v>
                      </c:pt>
                      <c:pt idx="40">
                        <c:v>1.5556891936680373</c:v>
                      </c:pt>
                      <c:pt idx="41">
                        <c:v>1.5936328325379894</c:v>
                      </c:pt>
                      <c:pt idx="42">
                        <c:v>1.6315764714079415</c:v>
                      </c:pt>
                      <c:pt idx="43">
                        <c:v>1.6695201102778936</c:v>
                      </c:pt>
                      <c:pt idx="44">
                        <c:v>1.7074637491478457</c:v>
                      </c:pt>
                      <c:pt idx="45">
                        <c:v>1.7454073880177978</c:v>
                      </c:pt>
                      <c:pt idx="46">
                        <c:v>1.7833510268877499</c:v>
                      </c:pt>
                      <c:pt idx="47">
                        <c:v>1.821294665757702</c:v>
                      </c:pt>
                      <c:pt idx="48">
                        <c:v>1.8592383046276542</c:v>
                      </c:pt>
                      <c:pt idx="49">
                        <c:v>1.8971819434976063</c:v>
                      </c:pt>
                      <c:pt idx="50">
                        <c:v>1.9351255823675584</c:v>
                      </c:pt>
                      <c:pt idx="51">
                        <c:v>1.9730692212375105</c:v>
                      </c:pt>
                    </c:numCache>
                  </c:numRef>
                </c:val>
                <c:smooth val="0"/>
                <c:extLst>
                  <c:ext xmlns:c16="http://schemas.microsoft.com/office/drawing/2014/chart" uri="{C3380CC4-5D6E-409C-BE32-E72D297353CC}">
                    <c16:uniqueId val="{00000004-9972-401A-9CCE-EA7CDAF4B62B}"/>
                  </c:ext>
                </c:extLst>
              </c15:ser>
            </c15:filteredLineSeries>
            <c15:filteredLineSeries>
              <c15:ser>
                <c:idx val="5"/>
                <c:order val="2"/>
                <c:tx>
                  <c:strRef>
                    <c:extLst xmlns:c15="http://schemas.microsoft.com/office/drawing/2012/chart">
                      <c:ext xmlns:c15="http://schemas.microsoft.com/office/drawing/2012/chart" uri="{02D57815-91ED-43cb-92C2-25804820EDAC}">
                        <c15:formulaRef>
                          <c15:sqref>'PBL OLD'!$CW$6:$CW$7</c15:sqref>
                        </c15:formulaRef>
                      </c:ext>
                    </c:extLst>
                    <c:strCache>
                      <c:ptCount val="2"/>
                      <c:pt idx="0">
                        <c:v>1st Percentile</c:v>
                      </c:pt>
                    </c:strCache>
                  </c:strRef>
                </c:tx>
                <c:spPr>
                  <a:ln w="28575" cap="rnd">
                    <a:solidFill>
                      <a:schemeClr val="accent2"/>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OLD'!$CW$8:$CW$60</c15:sqref>
                        </c15:formulaRef>
                      </c:ext>
                    </c:extLst>
                    <c:numCache>
                      <c:formatCode>0.000</c:formatCode>
                      <c:ptCount val="53"/>
                      <c:pt idx="0">
                        <c:v>4.5436313528305135E-2</c:v>
                      </c:pt>
                      <c:pt idx="1">
                        <c:v>9.087262705661027E-2</c:v>
                      </c:pt>
                      <c:pt idx="2">
                        <c:v>0.13630894058491541</c:v>
                      </c:pt>
                      <c:pt idx="3">
                        <c:v>0.18174525411322054</c:v>
                      </c:pt>
                      <c:pt idx="4">
                        <c:v>0.22718156764152567</c:v>
                      </c:pt>
                      <c:pt idx="5">
                        <c:v>0.27261788116983082</c:v>
                      </c:pt>
                      <c:pt idx="6">
                        <c:v>0.31805419469813595</c:v>
                      </c:pt>
                      <c:pt idx="7">
                        <c:v>0.36349050822644108</c:v>
                      </c:pt>
                      <c:pt idx="8">
                        <c:v>0.40892682175474621</c:v>
                      </c:pt>
                      <c:pt idx="9">
                        <c:v>0.45436313528305133</c:v>
                      </c:pt>
                      <c:pt idx="10">
                        <c:v>0.49979944881135646</c:v>
                      </c:pt>
                      <c:pt idx="11">
                        <c:v>0.54523576233966164</c:v>
                      </c:pt>
                      <c:pt idx="12">
                        <c:v>0.59067207586796677</c:v>
                      </c:pt>
                      <c:pt idx="13">
                        <c:v>0.6361083893962719</c:v>
                      </c:pt>
                      <c:pt idx="14">
                        <c:v>0.68154470292457703</c:v>
                      </c:pt>
                      <c:pt idx="15">
                        <c:v>0.72698101645288216</c:v>
                      </c:pt>
                      <c:pt idx="16">
                        <c:v>0.77241732998118728</c:v>
                      </c:pt>
                      <c:pt idx="17">
                        <c:v>0.81785364350949241</c:v>
                      </c:pt>
                      <c:pt idx="18">
                        <c:v>0.86328995703779754</c:v>
                      </c:pt>
                      <c:pt idx="19">
                        <c:v>0.90872627056610267</c:v>
                      </c:pt>
                      <c:pt idx="20">
                        <c:v>0.9541625840944078</c:v>
                      </c:pt>
                      <c:pt idx="21">
                        <c:v>0.99959889762271292</c:v>
                      </c:pt>
                      <c:pt idx="22">
                        <c:v>1.0450352111510182</c:v>
                      </c:pt>
                      <c:pt idx="23">
                        <c:v>1.0904715246793233</c:v>
                      </c:pt>
                      <c:pt idx="24">
                        <c:v>1.1359078382076284</c:v>
                      </c:pt>
                      <c:pt idx="25">
                        <c:v>1.1813441517359335</c:v>
                      </c:pt>
                      <c:pt idx="26">
                        <c:v>1.2267804652642387</c:v>
                      </c:pt>
                      <c:pt idx="27">
                        <c:v>1.2722167787925438</c:v>
                      </c:pt>
                      <c:pt idx="28">
                        <c:v>1.3176530923208489</c:v>
                      </c:pt>
                      <c:pt idx="29">
                        <c:v>1.3630894058491541</c:v>
                      </c:pt>
                      <c:pt idx="30">
                        <c:v>1.4085257193774592</c:v>
                      </c:pt>
                      <c:pt idx="31">
                        <c:v>1.4539620329057643</c:v>
                      </c:pt>
                      <c:pt idx="32">
                        <c:v>1.4993983464340694</c:v>
                      </c:pt>
                      <c:pt idx="33">
                        <c:v>1.5448346599623746</c:v>
                      </c:pt>
                      <c:pt idx="34">
                        <c:v>1.5902709734906797</c:v>
                      </c:pt>
                      <c:pt idx="35">
                        <c:v>1.6357072870189848</c:v>
                      </c:pt>
                      <c:pt idx="36">
                        <c:v>1.68114360054729</c:v>
                      </c:pt>
                      <c:pt idx="37">
                        <c:v>1.7265799140755951</c:v>
                      </c:pt>
                      <c:pt idx="38">
                        <c:v>1.7720162276039002</c:v>
                      </c:pt>
                      <c:pt idx="39">
                        <c:v>1.8174525411322053</c:v>
                      </c:pt>
                      <c:pt idx="40">
                        <c:v>1.8628888546605105</c:v>
                      </c:pt>
                      <c:pt idx="41">
                        <c:v>1.9083251681888156</c:v>
                      </c:pt>
                      <c:pt idx="42">
                        <c:v>1.9537614817171207</c:v>
                      </c:pt>
                      <c:pt idx="43">
                        <c:v>1.9991977952454258</c:v>
                      </c:pt>
                      <c:pt idx="44">
                        <c:v>2.0446341087737312</c:v>
                      </c:pt>
                      <c:pt idx="45">
                        <c:v>2.0900704223020363</c:v>
                      </c:pt>
                      <c:pt idx="46">
                        <c:v>2.1355067358303415</c:v>
                      </c:pt>
                      <c:pt idx="47">
                        <c:v>2.1809430493586466</c:v>
                      </c:pt>
                      <c:pt idx="48">
                        <c:v>2.2263793628869517</c:v>
                      </c:pt>
                      <c:pt idx="49">
                        <c:v>2.2718156764152568</c:v>
                      </c:pt>
                      <c:pt idx="50">
                        <c:v>2.317251989943562</c:v>
                      </c:pt>
                      <c:pt idx="51">
                        <c:v>2.3626883034718671</c:v>
                      </c:pt>
                    </c:numCache>
                  </c:numRef>
                </c:val>
                <c:smooth val="0"/>
                <c:extLst xmlns:c15="http://schemas.microsoft.com/office/drawing/2012/chart">
                  <c:ext xmlns:c16="http://schemas.microsoft.com/office/drawing/2014/chart" uri="{C3380CC4-5D6E-409C-BE32-E72D297353CC}">
                    <c16:uniqueId val="{00000005-9972-401A-9CCE-EA7CDAF4B62B}"/>
                  </c:ext>
                </c:extLst>
              </c15:ser>
            </c15:filteredLineSeries>
            <c15:filteredLineSeries>
              <c15:ser>
                <c:idx val="7"/>
                <c:order val="3"/>
                <c:tx>
                  <c:strRef>
                    <c:extLst xmlns:c15="http://schemas.microsoft.com/office/drawing/2012/chart">
                      <c:ext xmlns:c15="http://schemas.microsoft.com/office/drawing/2012/chart" uri="{02D57815-91ED-43cb-92C2-25804820EDAC}">
                        <c15:formulaRef>
                          <c15:sqref>'PBL OLD'!$CX$6:$CX$7</c15:sqref>
                        </c15:formulaRef>
                      </c:ext>
                    </c:extLst>
                    <c:strCache>
                      <c:ptCount val="2"/>
                      <c:pt idx="0">
                        <c:v>5th Percentile</c:v>
                      </c:pt>
                    </c:strCache>
                  </c:strRef>
                </c:tx>
                <c:spPr>
                  <a:ln w="28575" cap="rnd">
                    <a:solidFill>
                      <a:schemeClr val="bg2"/>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OLD'!$CX$8:$CX$60</c15:sqref>
                        </c15:formulaRef>
                      </c:ext>
                    </c:extLst>
                    <c:numCache>
                      <c:formatCode>0.000</c:formatCode>
                      <c:ptCount val="53"/>
                      <c:pt idx="0">
                        <c:v>4.8416818848466985E-2</c:v>
                      </c:pt>
                      <c:pt idx="1">
                        <c:v>9.6833637696933969E-2</c:v>
                      </c:pt>
                      <c:pt idx="2">
                        <c:v>0.14525045654540095</c:v>
                      </c:pt>
                      <c:pt idx="3">
                        <c:v>0.19366727539386794</c:v>
                      </c:pt>
                      <c:pt idx="4">
                        <c:v>0.24208409424233493</c:v>
                      </c:pt>
                      <c:pt idx="5">
                        <c:v>0.29050091309080189</c:v>
                      </c:pt>
                      <c:pt idx="6">
                        <c:v>0.33891773193926888</c:v>
                      </c:pt>
                      <c:pt idx="7">
                        <c:v>0.38733455078773588</c:v>
                      </c:pt>
                      <c:pt idx="8">
                        <c:v>0.43575136963620287</c:v>
                      </c:pt>
                      <c:pt idx="9">
                        <c:v>0.48416818848466986</c:v>
                      </c:pt>
                      <c:pt idx="10">
                        <c:v>0.53258500733313685</c:v>
                      </c:pt>
                      <c:pt idx="11">
                        <c:v>0.58100182618160379</c:v>
                      </c:pt>
                      <c:pt idx="12">
                        <c:v>0.62941864503007072</c:v>
                      </c:pt>
                      <c:pt idx="13">
                        <c:v>0.67783546387853766</c:v>
                      </c:pt>
                      <c:pt idx="14">
                        <c:v>0.72625228272700459</c:v>
                      </c:pt>
                      <c:pt idx="15">
                        <c:v>0.77466910157547153</c:v>
                      </c:pt>
                      <c:pt idx="16">
                        <c:v>0.82308592042393847</c:v>
                      </c:pt>
                      <c:pt idx="17">
                        <c:v>0.8715027392724054</c:v>
                      </c:pt>
                      <c:pt idx="18">
                        <c:v>0.91991955812087234</c:v>
                      </c:pt>
                      <c:pt idx="19">
                        <c:v>0.96833637696933927</c:v>
                      </c:pt>
                      <c:pt idx="20">
                        <c:v>1.0167531958178062</c:v>
                      </c:pt>
                      <c:pt idx="21">
                        <c:v>1.0651700146662733</c:v>
                      </c:pt>
                      <c:pt idx="22">
                        <c:v>1.1135868335147403</c:v>
                      </c:pt>
                      <c:pt idx="23">
                        <c:v>1.1620036523632074</c:v>
                      </c:pt>
                      <c:pt idx="24">
                        <c:v>1.2104204712116744</c:v>
                      </c:pt>
                      <c:pt idx="25">
                        <c:v>1.2588372900601414</c:v>
                      </c:pt>
                      <c:pt idx="26">
                        <c:v>1.3072541089086085</c:v>
                      </c:pt>
                      <c:pt idx="27">
                        <c:v>1.3556709277570755</c:v>
                      </c:pt>
                      <c:pt idx="28">
                        <c:v>1.4040877466055426</c:v>
                      </c:pt>
                      <c:pt idx="29">
                        <c:v>1.4525045654540096</c:v>
                      </c:pt>
                      <c:pt idx="30">
                        <c:v>1.5009213843024767</c:v>
                      </c:pt>
                      <c:pt idx="31">
                        <c:v>1.5493382031509437</c:v>
                      </c:pt>
                      <c:pt idx="32">
                        <c:v>1.5977550219994108</c:v>
                      </c:pt>
                      <c:pt idx="33">
                        <c:v>1.6461718408478778</c:v>
                      </c:pt>
                      <c:pt idx="34">
                        <c:v>1.6945886596963449</c:v>
                      </c:pt>
                      <c:pt idx="35">
                        <c:v>1.7430054785448119</c:v>
                      </c:pt>
                      <c:pt idx="36">
                        <c:v>1.791422297393279</c:v>
                      </c:pt>
                      <c:pt idx="37">
                        <c:v>1.839839116241746</c:v>
                      </c:pt>
                      <c:pt idx="38">
                        <c:v>1.8882559350902131</c:v>
                      </c:pt>
                      <c:pt idx="39">
                        <c:v>1.9366727539386801</c:v>
                      </c:pt>
                      <c:pt idx="40">
                        <c:v>1.9850895727871471</c:v>
                      </c:pt>
                      <c:pt idx="41">
                        <c:v>2.0335063916356142</c:v>
                      </c:pt>
                      <c:pt idx="42">
                        <c:v>2.081923210484081</c:v>
                      </c:pt>
                      <c:pt idx="43">
                        <c:v>2.1303400293325478</c:v>
                      </c:pt>
                      <c:pt idx="44">
                        <c:v>2.1787568481810147</c:v>
                      </c:pt>
                      <c:pt idx="45">
                        <c:v>2.2271736670294815</c:v>
                      </c:pt>
                      <c:pt idx="46">
                        <c:v>2.2755904858779483</c:v>
                      </c:pt>
                      <c:pt idx="47">
                        <c:v>2.3240073047264151</c:v>
                      </c:pt>
                      <c:pt idx="48">
                        <c:v>2.372424123574882</c:v>
                      </c:pt>
                      <c:pt idx="49">
                        <c:v>2.4208409424233488</c:v>
                      </c:pt>
                      <c:pt idx="50">
                        <c:v>2.4692577612718156</c:v>
                      </c:pt>
                      <c:pt idx="51">
                        <c:v>2.5176745801202824</c:v>
                      </c:pt>
                    </c:numCache>
                  </c:numRef>
                </c:val>
                <c:smooth val="0"/>
                <c:extLst xmlns:c15="http://schemas.microsoft.com/office/drawing/2012/chart">
                  <c:ext xmlns:c16="http://schemas.microsoft.com/office/drawing/2014/chart" uri="{C3380CC4-5D6E-409C-BE32-E72D297353CC}">
                    <c16:uniqueId val="{00000006-9972-401A-9CCE-EA7CDAF4B62B}"/>
                  </c:ext>
                </c:extLst>
              </c15:ser>
            </c15:filteredLineSeries>
            <c15:filteredLineSeries>
              <c15:ser>
                <c:idx val="2"/>
                <c:order val="5"/>
                <c:tx>
                  <c:strRef>
                    <c:extLst xmlns:c15="http://schemas.microsoft.com/office/drawing/2012/chart">
                      <c:ext xmlns:c15="http://schemas.microsoft.com/office/drawing/2012/chart" uri="{02D57815-91ED-43cb-92C2-25804820EDAC}">
                        <c15:formulaRef>
                          <c15:sqref>'PBL OLD'!$CZ$6:$CZ$7</c15:sqref>
                        </c15:formulaRef>
                      </c:ext>
                    </c:extLst>
                    <c:strCache>
                      <c:ptCount val="2"/>
                      <c:pt idx="0">
                        <c:v>25th Percentile</c:v>
                      </c:pt>
                    </c:strCache>
                  </c:strRef>
                </c:tx>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OLD'!$CZ$8:$CZ$60</c15:sqref>
                        </c15:formulaRef>
                      </c:ext>
                    </c:extLst>
                    <c:numCache>
                      <c:formatCode>0.000</c:formatCode>
                      <c:ptCount val="53"/>
                      <c:pt idx="0">
                        <c:v>5.470863400459542E-2</c:v>
                      </c:pt>
                      <c:pt idx="1">
                        <c:v>0.10941726800919084</c:v>
                      </c:pt>
                      <c:pt idx="2">
                        <c:v>0.16412590201378627</c:v>
                      </c:pt>
                      <c:pt idx="3">
                        <c:v>0.21883453601838168</c:v>
                      </c:pt>
                      <c:pt idx="4">
                        <c:v>0.27354317002297712</c:v>
                      </c:pt>
                      <c:pt idx="5">
                        <c:v>0.32825180402757254</c:v>
                      </c:pt>
                      <c:pt idx="6">
                        <c:v>0.38296043803216795</c:v>
                      </c:pt>
                      <c:pt idx="7">
                        <c:v>0.43766907203676336</c:v>
                      </c:pt>
                      <c:pt idx="8">
                        <c:v>0.49237770604135878</c:v>
                      </c:pt>
                      <c:pt idx="9">
                        <c:v>0.54708634004595424</c:v>
                      </c:pt>
                      <c:pt idx="10">
                        <c:v>0.60179497405054971</c:v>
                      </c:pt>
                      <c:pt idx="11">
                        <c:v>0.65650360805514518</c:v>
                      </c:pt>
                      <c:pt idx="12">
                        <c:v>0.71121224205974065</c:v>
                      </c:pt>
                      <c:pt idx="13">
                        <c:v>0.76592087606433612</c:v>
                      </c:pt>
                      <c:pt idx="14">
                        <c:v>0.82062951006893159</c:v>
                      </c:pt>
                      <c:pt idx="15">
                        <c:v>0.87533814407352706</c:v>
                      </c:pt>
                      <c:pt idx="16">
                        <c:v>0.93004677807812253</c:v>
                      </c:pt>
                      <c:pt idx="17">
                        <c:v>0.984755412082718</c:v>
                      </c:pt>
                      <c:pt idx="18">
                        <c:v>1.0394640460873135</c:v>
                      </c:pt>
                      <c:pt idx="19">
                        <c:v>1.0941726800919089</c:v>
                      </c:pt>
                      <c:pt idx="20">
                        <c:v>1.1488813140965044</c:v>
                      </c:pt>
                      <c:pt idx="21">
                        <c:v>1.2035899481010999</c:v>
                      </c:pt>
                      <c:pt idx="22">
                        <c:v>1.2582985821056953</c:v>
                      </c:pt>
                      <c:pt idx="23">
                        <c:v>1.3130072161102908</c:v>
                      </c:pt>
                      <c:pt idx="24">
                        <c:v>1.3677158501148863</c:v>
                      </c:pt>
                      <c:pt idx="25">
                        <c:v>1.4224244841194817</c:v>
                      </c:pt>
                      <c:pt idx="26">
                        <c:v>1.4771331181240772</c:v>
                      </c:pt>
                      <c:pt idx="27">
                        <c:v>1.5318417521286727</c:v>
                      </c:pt>
                      <c:pt idx="28">
                        <c:v>1.5865503861332682</c:v>
                      </c:pt>
                      <c:pt idx="29">
                        <c:v>1.6412590201378636</c:v>
                      </c:pt>
                      <c:pt idx="30">
                        <c:v>1.6959676541424591</c:v>
                      </c:pt>
                      <c:pt idx="31">
                        <c:v>1.7506762881470546</c:v>
                      </c:pt>
                      <c:pt idx="32">
                        <c:v>1.80538492215165</c:v>
                      </c:pt>
                      <c:pt idx="33">
                        <c:v>1.8600935561562455</c:v>
                      </c:pt>
                      <c:pt idx="34">
                        <c:v>1.914802190160841</c:v>
                      </c:pt>
                      <c:pt idx="35">
                        <c:v>1.9695108241654364</c:v>
                      </c:pt>
                      <c:pt idx="36">
                        <c:v>2.0242194581700317</c:v>
                      </c:pt>
                      <c:pt idx="37">
                        <c:v>2.0789280921746269</c:v>
                      </c:pt>
                      <c:pt idx="38">
                        <c:v>2.1336367261792222</c:v>
                      </c:pt>
                      <c:pt idx="39">
                        <c:v>2.1883453601838174</c:v>
                      </c:pt>
                      <c:pt idx="40">
                        <c:v>2.2430539941884127</c:v>
                      </c:pt>
                      <c:pt idx="41">
                        <c:v>2.2977626281930079</c:v>
                      </c:pt>
                      <c:pt idx="42">
                        <c:v>2.3524712621976032</c:v>
                      </c:pt>
                      <c:pt idx="43">
                        <c:v>2.4071798962021984</c:v>
                      </c:pt>
                      <c:pt idx="44">
                        <c:v>2.4618885302067937</c:v>
                      </c:pt>
                      <c:pt idx="45">
                        <c:v>2.5165971642113889</c:v>
                      </c:pt>
                      <c:pt idx="46">
                        <c:v>2.5713057982159842</c:v>
                      </c:pt>
                      <c:pt idx="47">
                        <c:v>2.6260144322205794</c:v>
                      </c:pt>
                      <c:pt idx="48">
                        <c:v>2.6807230662251746</c:v>
                      </c:pt>
                      <c:pt idx="49">
                        <c:v>2.7354317002297699</c:v>
                      </c:pt>
                      <c:pt idx="50">
                        <c:v>2.7901403342343651</c:v>
                      </c:pt>
                      <c:pt idx="51">
                        <c:v>2.8448489682389604</c:v>
                      </c:pt>
                    </c:numCache>
                  </c:numRef>
                </c:val>
                <c:smooth val="0"/>
                <c:extLst xmlns:c15="http://schemas.microsoft.com/office/drawing/2012/chart">
                  <c:ext xmlns:c16="http://schemas.microsoft.com/office/drawing/2014/chart" uri="{C3380CC4-5D6E-409C-BE32-E72D297353CC}">
                    <c16:uniqueId val="{00000007-9972-401A-9CCE-EA7CDAF4B62B}"/>
                  </c:ext>
                </c:extLst>
              </c15:ser>
            </c15:filteredLineSeries>
            <c15:filteredLineSeries>
              <c15:ser>
                <c:idx val="6"/>
                <c:order val="7"/>
                <c:tx>
                  <c:strRef>
                    <c:extLst xmlns:c15="http://schemas.microsoft.com/office/drawing/2012/chart">
                      <c:ext xmlns:c15="http://schemas.microsoft.com/office/drawing/2012/chart" uri="{02D57815-91ED-43cb-92C2-25804820EDAC}">
                        <c15:formulaRef>
                          <c15:sqref>'PBL OLD'!$DB$6:$DB$7</c15:sqref>
                        </c15:formulaRef>
                      </c:ext>
                    </c:extLst>
                    <c:strCache>
                      <c:ptCount val="2"/>
                      <c:pt idx="0">
                        <c:v>75th Percentile</c:v>
                      </c:pt>
                    </c:strCache>
                  </c:strRef>
                </c:tx>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OLD'!$DB$8:$DB$60</c15:sqref>
                        </c15:formulaRef>
                      </c:ext>
                    </c:extLst>
                    <c:numCache>
                      <c:formatCode>0.000</c:formatCode>
                      <c:ptCount val="53"/>
                      <c:pt idx="0">
                        <c:v>6.6232533541717833E-2</c:v>
                      </c:pt>
                      <c:pt idx="1">
                        <c:v>0.13246506708343567</c:v>
                      </c:pt>
                      <c:pt idx="2">
                        <c:v>0.19869760062515351</c:v>
                      </c:pt>
                      <c:pt idx="3">
                        <c:v>0.26493013416687133</c:v>
                      </c:pt>
                      <c:pt idx="4">
                        <c:v>0.33116266770858915</c:v>
                      </c:pt>
                      <c:pt idx="5">
                        <c:v>0.39739520125030697</c:v>
                      </c:pt>
                      <c:pt idx="6">
                        <c:v>0.46362773479202479</c:v>
                      </c:pt>
                      <c:pt idx="7">
                        <c:v>0.52986026833374267</c:v>
                      </c:pt>
                      <c:pt idx="8">
                        <c:v>0.59609280187546054</c:v>
                      </c:pt>
                      <c:pt idx="9">
                        <c:v>0.66232533541717842</c:v>
                      </c:pt>
                      <c:pt idx="10">
                        <c:v>0.72855786895889629</c:v>
                      </c:pt>
                      <c:pt idx="11">
                        <c:v>0.79479040250061417</c:v>
                      </c:pt>
                      <c:pt idx="12">
                        <c:v>0.86102293604233204</c:v>
                      </c:pt>
                      <c:pt idx="13">
                        <c:v>0.92725546958404992</c:v>
                      </c:pt>
                      <c:pt idx="14">
                        <c:v>0.99348800312576779</c:v>
                      </c:pt>
                      <c:pt idx="15">
                        <c:v>1.0597205366674856</c:v>
                      </c:pt>
                      <c:pt idx="16">
                        <c:v>1.1259530702092033</c:v>
                      </c:pt>
                      <c:pt idx="17">
                        <c:v>1.1921856037509211</c:v>
                      </c:pt>
                      <c:pt idx="18">
                        <c:v>1.2584181372926388</c:v>
                      </c:pt>
                      <c:pt idx="19">
                        <c:v>1.3246506708343566</c:v>
                      </c:pt>
                      <c:pt idx="20">
                        <c:v>1.3908832043760744</c:v>
                      </c:pt>
                      <c:pt idx="21">
                        <c:v>1.4571157379177921</c:v>
                      </c:pt>
                      <c:pt idx="22">
                        <c:v>1.5233482714595099</c:v>
                      </c:pt>
                      <c:pt idx="23">
                        <c:v>1.5895808050012277</c:v>
                      </c:pt>
                      <c:pt idx="24">
                        <c:v>1.6558133385429454</c:v>
                      </c:pt>
                      <c:pt idx="25">
                        <c:v>1.7220458720846632</c:v>
                      </c:pt>
                      <c:pt idx="26">
                        <c:v>1.788278405626381</c:v>
                      </c:pt>
                      <c:pt idx="27">
                        <c:v>1.8545109391680987</c:v>
                      </c:pt>
                      <c:pt idx="28">
                        <c:v>1.9207434727098165</c:v>
                      </c:pt>
                      <c:pt idx="29">
                        <c:v>1.9869760062515343</c:v>
                      </c:pt>
                      <c:pt idx="30">
                        <c:v>2.053208539793252</c:v>
                      </c:pt>
                      <c:pt idx="31">
                        <c:v>2.1194410733349698</c:v>
                      </c:pt>
                      <c:pt idx="32">
                        <c:v>2.1856736068766875</c:v>
                      </c:pt>
                      <c:pt idx="33">
                        <c:v>2.2519061404184053</c:v>
                      </c:pt>
                      <c:pt idx="34">
                        <c:v>2.3181386739601231</c:v>
                      </c:pt>
                      <c:pt idx="35">
                        <c:v>2.3843712075018408</c:v>
                      </c:pt>
                      <c:pt idx="36">
                        <c:v>2.4506037410435586</c:v>
                      </c:pt>
                      <c:pt idx="37">
                        <c:v>2.5168362745852764</c:v>
                      </c:pt>
                      <c:pt idx="38">
                        <c:v>2.5830688081269941</c:v>
                      </c:pt>
                      <c:pt idx="39">
                        <c:v>2.6493013416687119</c:v>
                      </c:pt>
                      <c:pt idx="40">
                        <c:v>2.7155338752104297</c:v>
                      </c:pt>
                      <c:pt idx="41">
                        <c:v>2.7817664087521474</c:v>
                      </c:pt>
                      <c:pt idx="42">
                        <c:v>2.8479989422938652</c:v>
                      </c:pt>
                      <c:pt idx="43">
                        <c:v>2.914231475835583</c:v>
                      </c:pt>
                      <c:pt idx="44">
                        <c:v>2.9804640093773007</c:v>
                      </c:pt>
                      <c:pt idx="45">
                        <c:v>3.0466965429190185</c:v>
                      </c:pt>
                      <c:pt idx="46">
                        <c:v>3.1129290764607362</c:v>
                      </c:pt>
                      <c:pt idx="47">
                        <c:v>3.179161610002454</c:v>
                      </c:pt>
                      <c:pt idx="48">
                        <c:v>3.2453941435441718</c:v>
                      </c:pt>
                      <c:pt idx="49">
                        <c:v>3.3116266770858895</c:v>
                      </c:pt>
                      <c:pt idx="50">
                        <c:v>3.3778592106276073</c:v>
                      </c:pt>
                      <c:pt idx="51">
                        <c:v>3.4440917441693251</c:v>
                      </c:pt>
                    </c:numCache>
                  </c:numRef>
                </c:val>
                <c:smooth val="0"/>
                <c:extLst xmlns:c15="http://schemas.microsoft.com/office/drawing/2012/chart">
                  <c:ext xmlns:c16="http://schemas.microsoft.com/office/drawing/2014/chart" uri="{C3380CC4-5D6E-409C-BE32-E72D297353CC}">
                    <c16:uniqueId val="{00000008-9972-401A-9CCE-EA7CDAF4B62B}"/>
                  </c:ext>
                </c:extLst>
              </c15:ser>
            </c15:filteredLineSeries>
            <c15:filteredLineSeries>
              <c15:ser>
                <c:idx val="9"/>
                <c:order val="9"/>
                <c:tx>
                  <c:strRef>
                    <c:extLst xmlns:c15="http://schemas.microsoft.com/office/drawing/2012/chart">
                      <c:ext xmlns:c15="http://schemas.microsoft.com/office/drawing/2012/chart" uri="{02D57815-91ED-43cb-92C2-25804820EDAC}">
                        <c15:formulaRef>
                          <c15:sqref>'PBL OLD'!$DD$6:$DD$7</c15:sqref>
                        </c15:formulaRef>
                      </c:ext>
                    </c:extLst>
                    <c:strCache>
                      <c:ptCount val="2"/>
                      <c:pt idx="0">
                        <c:v>95th Percentile</c:v>
                      </c:pt>
                    </c:strCache>
                  </c:strRef>
                </c:tx>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OLD'!$DD$8:$DD$60</c15:sqref>
                        </c15:formulaRef>
                      </c:ext>
                    </c:extLst>
                    <c:numCache>
                      <c:formatCode>0.000</c:formatCode>
                      <c:ptCount val="53"/>
                      <c:pt idx="0">
                        <c:v>7.643445292523153E-2</c:v>
                      </c:pt>
                      <c:pt idx="1">
                        <c:v>0.15286890585046306</c:v>
                      </c:pt>
                      <c:pt idx="2">
                        <c:v>0.22930335877569458</c:v>
                      </c:pt>
                      <c:pt idx="3">
                        <c:v>0.30573781170092612</c:v>
                      </c:pt>
                      <c:pt idx="4">
                        <c:v>0.38217226462615767</c:v>
                      </c:pt>
                      <c:pt idx="5">
                        <c:v>0.45860671755138921</c:v>
                      </c:pt>
                      <c:pt idx="6">
                        <c:v>0.5350411704766207</c:v>
                      </c:pt>
                      <c:pt idx="7">
                        <c:v>0.61147562340185224</c:v>
                      </c:pt>
                      <c:pt idx="8">
                        <c:v>0.68791007632708379</c:v>
                      </c:pt>
                      <c:pt idx="9">
                        <c:v>0.76434452925231533</c:v>
                      </c:pt>
                      <c:pt idx="10">
                        <c:v>0.84077898217754687</c:v>
                      </c:pt>
                      <c:pt idx="11">
                        <c:v>0.91721343510277842</c:v>
                      </c:pt>
                      <c:pt idx="12">
                        <c:v>0.99364788802800996</c:v>
                      </c:pt>
                      <c:pt idx="13">
                        <c:v>1.0700823409532414</c:v>
                      </c:pt>
                      <c:pt idx="14">
                        <c:v>1.1465167938784728</c:v>
                      </c:pt>
                      <c:pt idx="15">
                        <c:v>1.2229512468037043</c:v>
                      </c:pt>
                      <c:pt idx="16">
                        <c:v>1.2993856997289357</c:v>
                      </c:pt>
                      <c:pt idx="17">
                        <c:v>1.3758201526541671</c:v>
                      </c:pt>
                      <c:pt idx="18">
                        <c:v>1.4522546055793986</c:v>
                      </c:pt>
                      <c:pt idx="19">
                        <c:v>1.52868905850463</c:v>
                      </c:pt>
                      <c:pt idx="20">
                        <c:v>1.6051235114298614</c:v>
                      </c:pt>
                      <c:pt idx="21">
                        <c:v>1.6815579643550929</c:v>
                      </c:pt>
                      <c:pt idx="22">
                        <c:v>1.7579924172803243</c:v>
                      </c:pt>
                      <c:pt idx="23">
                        <c:v>1.8344268702055557</c:v>
                      </c:pt>
                      <c:pt idx="24">
                        <c:v>1.9108613231307872</c:v>
                      </c:pt>
                      <c:pt idx="25">
                        <c:v>1.9872957760560186</c:v>
                      </c:pt>
                      <c:pt idx="26">
                        <c:v>2.06373022898125</c:v>
                      </c:pt>
                      <c:pt idx="27">
                        <c:v>2.1401646819064815</c:v>
                      </c:pt>
                      <c:pt idx="28">
                        <c:v>2.2165991348317129</c:v>
                      </c:pt>
                      <c:pt idx="29">
                        <c:v>2.2930335877569443</c:v>
                      </c:pt>
                      <c:pt idx="30">
                        <c:v>2.3694680406821758</c:v>
                      </c:pt>
                      <c:pt idx="31">
                        <c:v>2.4459024936074072</c:v>
                      </c:pt>
                      <c:pt idx="32">
                        <c:v>2.5223369465326386</c:v>
                      </c:pt>
                      <c:pt idx="33">
                        <c:v>2.5987713994578701</c:v>
                      </c:pt>
                      <c:pt idx="34">
                        <c:v>2.6752058523831015</c:v>
                      </c:pt>
                      <c:pt idx="35">
                        <c:v>2.7516403053083329</c:v>
                      </c:pt>
                      <c:pt idx="36">
                        <c:v>2.8280747582335644</c:v>
                      </c:pt>
                      <c:pt idx="37">
                        <c:v>2.9045092111587958</c:v>
                      </c:pt>
                      <c:pt idx="38">
                        <c:v>2.9809436640840272</c:v>
                      </c:pt>
                      <c:pt idx="39">
                        <c:v>3.0573781170092587</c:v>
                      </c:pt>
                      <c:pt idx="40">
                        <c:v>3.1338125699344901</c:v>
                      </c:pt>
                      <c:pt idx="41">
                        <c:v>3.2102470228597215</c:v>
                      </c:pt>
                      <c:pt idx="42">
                        <c:v>3.286681475784953</c:v>
                      </c:pt>
                      <c:pt idx="43">
                        <c:v>3.3631159287101844</c:v>
                      </c:pt>
                      <c:pt idx="44">
                        <c:v>3.4395503816354158</c:v>
                      </c:pt>
                      <c:pt idx="45">
                        <c:v>3.5159848345606473</c:v>
                      </c:pt>
                      <c:pt idx="46">
                        <c:v>3.5924192874858787</c:v>
                      </c:pt>
                      <c:pt idx="47">
                        <c:v>3.6688537404111101</c:v>
                      </c:pt>
                      <c:pt idx="48">
                        <c:v>3.7452881933363416</c:v>
                      </c:pt>
                      <c:pt idx="49">
                        <c:v>3.821722646261573</c:v>
                      </c:pt>
                      <c:pt idx="50">
                        <c:v>3.8981570991868044</c:v>
                      </c:pt>
                      <c:pt idx="51">
                        <c:v>3.9745915521120359</c:v>
                      </c:pt>
                    </c:numCache>
                  </c:numRef>
                </c:val>
                <c:smooth val="0"/>
                <c:extLst xmlns:c15="http://schemas.microsoft.com/office/drawing/2012/chart">
                  <c:ext xmlns:c16="http://schemas.microsoft.com/office/drawing/2014/chart" uri="{C3380CC4-5D6E-409C-BE32-E72D297353CC}">
                    <c16:uniqueId val="{00000009-9972-401A-9CCE-EA7CDAF4B62B}"/>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'PBL OLD'!$DE$6:$DE$7</c15:sqref>
                        </c15:formulaRef>
                      </c:ext>
                    </c:extLst>
                    <c:strCache>
                      <c:ptCount val="2"/>
                      <c:pt idx="0">
                        <c:v>99th Percentile</c:v>
                      </c:pt>
                    </c:strCache>
                  </c:strRef>
                </c:tx>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OLD'!$DE$8:$DE$60</c15:sqref>
                        </c15:formulaRef>
                      </c:ext>
                    </c:extLst>
                    <c:numCache>
                      <c:formatCode>0.000</c:formatCode>
                      <c:ptCount val="53"/>
                      <c:pt idx="0">
                        <c:v>8.472863847550996E-2</c:v>
                      </c:pt>
                      <c:pt idx="1">
                        <c:v>0.16945727695101992</c:v>
                      </c:pt>
                      <c:pt idx="2">
                        <c:v>0.25418591542652991</c:v>
                      </c:pt>
                      <c:pt idx="3">
                        <c:v>0.33891455390203984</c:v>
                      </c:pt>
                      <c:pt idx="4">
                        <c:v>0.42364319237754977</c:v>
                      </c:pt>
                      <c:pt idx="5">
                        <c:v>0.5083718308530597</c:v>
                      </c:pt>
                      <c:pt idx="6">
                        <c:v>0.59310046932856963</c:v>
                      </c:pt>
                      <c:pt idx="7">
                        <c:v>0.67782910780407957</c:v>
                      </c:pt>
                      <c:pt idx="8">
                        <c:v>0.7625577462795895</c:v>
                      </c:pt>
                      <c:pt idx="9">
                        <c:v>0.84728638475509943</c:v>
                      </c:pt>
                      <c:pt idx="10">
                        <c:v>0.93201502323060936</c:v>
                      </c:pt>
                      <c:pt idx="11">
                        <c:v>1.0167436617061194</c:v>
                      </c:pt>
                      <c:pt idx="12">
                        <c:v>1.1014723001816293</c:v>
                      </c:pt>
                      <c:pt idx="13">
                        <c:v>1.1862009386571393</c:v>
                      </c:pt>
                      <c:pt idx="14">
                        <c:v>1.2709295771326492</c:v>
                      </c:pt>
                      <c:pt idx="15">
                        <c:v>1.3556582156081591</c:v>
                      </c:pt>
                      <c:pt idx="16">
                        <c:v>1.4403868540836691</c:v>
                      </c:pt>
                      <c:pt idx="17">
                        <c:v>1.525115492559179</c:v>
                      </c:pt>
                      <c:pt idx="18">
                        <c:v>1.6098441310346889</c:v>
                      </c:pt>
                      <c:pt idx="19">
                        <c:v>1.6945727695101989</c:v>
                      </c:pt>
                      <c:pt idx="20">
                        <c:v>1.7793014079857088</c:v>
                      </c:pt>
                      <c:pt idx="21">
                        <c:v>1.8640300464612187</c:v>
                      </c:pt>
                      <c:pt idx="22">
                        <c:v>1.9487586849367287</c:v>
                      </c:pt>
                      <c:pt idx="23">
                        <c:v>2.0334873234122388</c:v>
                      </c:pt>
                      <c:pt idx="24">
                        <c:v>2.1182159618877487</c:v>
                      </c:pt>
                      <c:pt idx="25">
                        <c:v>2.2029446003632587</c:v>
                      </c:pt>
                      <c:pt idx="26">
                        <c:v>2.2876732388387686</c:v>
                      </c:pt>
                      <c:pt idx="27">
                        <c:v>2.3724018773142785</c:v>
                      </c:pt>
                      <c:pt idx="28">
                        <c:v>2.4571305157897885</c:v>
                      </c:pt>
                      <c:pt idx="29">
                        <c:v>2.5418591542652984</c:v>
                      </c:pt>
                      <c:pt idx="30">
                        <c:v>2.6265877927408083</c:v>
                      </c:pt>
                      <c:pt idx="31">
                        <c:v>2.7113164312163183</c:v>
                      </c:pt>
                      <c:pt idx="32">
                        <c:v>2.7960450696918282</c:v>
                      </c:pt>
                      <c:pt idx="33">
                        <c:v>2.8807737081673381</c:v>
                      </c:pt>
                      <c:pt idx="34">
                        <c:v>2.9655023466428481</c:v>
                      </c:pt>
                      <c:pt idx="35">
                        <c:v>3.050230985118358</c:v>
                      </c:pt>
                      <c:pt idx="36">
                        <c:v>3.1349596235938679</c:v>
                      </c:pt>
                      <c:pt idx="37">
                        <c:v>3.2196882620693779</c:v>
                      </c:pt>
                      <c:pt idx="38">
                        <c:v>3.3044169005448878</c:v>
                      </c:pt>
                      <c:pt idx="39">
                        <c:v>3.3891455390203977</c:v>
                      </c:pt>
                      <c:pt idx="40">
                        <c:v>3.4738741774959077</c:v>
                      </c:pt>
                      <c:pt idx="41">
                        <c:v>3.5586028159714176</c:v>
                      </c:pt>
                      <c:pt idx="42">
                        <c:v>3.6433314544469275</c:v>
                      </c:pt>
                      <c:pt idx="43">
                        <c:v>3.7280600929224375</c:v>
                      </c:pt>
                      <c:pt idx="44">
                        <c:v>3.8127887313979474</c:v>
                      </c:pt>
                      <c:pt idx="45">
                        <c:v>3.8975173698734573</c:v>
                      </c:pt>
                      <c:pt idx="46">
                        <c:v>3.9822460083489672</c:v>
                      </c:pt>
                      <c:pt idx="47">
                        <c:v>4.0669746468244776</c:v>
                      </c:pt>
                      <c:pt idx="48">
                        <c:v>4.1517032852999876</c:v>
                      </c:pt>
                      <c:pt idx="49">
                        <c:v>4.2364319237754975</c:v>
                      </c:pt>
                      <c:pt idx="50">
                        <c:v>4.3211605622510074</c:v>
                      </c:pt>
                      <c:pt idx="51">
                        <c:v>4.4058892007265174</c:v>
                      </c:pt>
                    </c:numCache>
                  </c:numRef>
                </c:val>
                <c:smooth val="0"/>
                <c:extLst xmlns:c15="http://schemas.microsoft.com/office/drawing/2012/chart">
                  <c:ext xmlns:c16="http://schemas.microsoft.com/office/drawing/2014/chart" uri="{C3380CC4-5D6E-409C-BE32-E72D297353CC}">
                    <c16:uniqueId val="{0000000A-9972-401A-9CCE-EA7CDAF4B62B}"/>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'PBL OLD'!$DF$6:$DF$7</c15:sqref>
                        </c15:formulaRef>
                      </c:ext>
                    </c:extLst>
                    <c:strCache>
                      <c:ptCount val="2"/>
                      <c:pt idx="0">
                        <c:v>Max</c:v>
                      </c:pt>
                    </c:strCache>
                  </c:strRef>
                </c:tx>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OLD'!$DF$8:$DF$60</c15:sqref>
                        </c15:formulaRef>
                      </c:ext>
                    </c:extLst>
                    <c:numCache>
                      <c:formatCode>0.000</c:formatCode>
                      <c:ptCount val="53"/>
                      <c:pt idx="0">
                        <c:v>0.10288241710741779</c:v>
                      </c:pt>
                      <c:pt idx="1">
                        <c:v>0.20576483421483557</c:v>
                      </c:pt>
                      <c:pt idx="2">
                        <c:v>0.30864725132225335</c:v>
                      </c:pt>
                      <c:pt idx="3">
                        <c:v>0.41152966842967115</c:v>
                      </c:pt>
                      <c:pt idx="4">
                        <c:v>0.51441208553708895</c:v>
                      </c:pt>
                      <c:pt idx="5">
                        <c:v>0.61729450264450669</c:v>
                      </c:pt>
                      <c:pt idx="6">
                        <c:v>0.72017691975192444</c:v>
                      </c:pt>
                      <c:pt idx="7">
                        <c:v>0.82305933685934218</c:v>
                      </c:pt>
                      <c:pt idx="8">
                        <c:v>0.92594175396675993</c:v>
                      </c:pt>
                      <c:pt idx="9">
                        <c:v>1.0288241710741777</c:v>
                      </c:pt>
                      <c:pt idx="10">
                        <c:v>1.1317065881815955</c:v>
                      </c:pt>
                      <c:pt idx="11">
                        <c:v>1.2345890052890134</c:v>
                      </c:pt>
                      <c:pt idx="12">
                        <c:v>1.3374714223964312</c:v>
                      </c:pt>
                      <c:pt idx="13">
                        <c:v>1.4403538395038491</c:v>
                      </c:pt>
                      <c:pt idx="14">
                        <c:v>1.543236256611267</c:v>
                      </c:pt>
                      <c:pt idx="15">
                        <c:v>1.6461186737186848</c:v>
                      </c:pt>
                      <c:pt idx="16">
                        <c:v>1.7490010908261027</c:v>
                      </c:pt>
                      <c:pt idx="17">
                        <c:v>1.8518835079335205</c:v>
                      </c:pt>
                      <c:pt idx="18">
                        <c:v>1.9547659250409384</c:v>
                      </c:pt>
                      <c:pt idx="19">
                        <c:v>2.0576483421483562</c:v>
                      </c:pt>
                      <c:pt idx="20">
                        <c:v>2.1605307592557739</c:v>
                      </c:pt>
                      <c:pt idx="21">
                        <c:v>2.2634131763631915</c:v>
                      </c:pt>
                      <c:pt idx="22">
                        <c:v>2.3662955934706091</c:v>
                      </c:pt>
                      <c:pt idx="23">
                        <c:v>2.4691780105780268</c:v>
                      </c:pt>
                      <c:pt idx="24">
                        <c:v>2.5720604276854444</c:v>
                      </c:pt>
                      <c:pt idx="25">
                        <c:v>2.674942844792862</c:v>
                      </c:pt>
                      <c:pt idx="26">
                        <c:v>2.7778252619002797</c:v>
                      </c:pt>
                      <c:pt idx="27">
                        <c:v>2.8807076790076973</c:v>
                      </c:pt>
                      <c:pt idx="28">
                        <c:v>2.9835900961151149</c:v>
                      </c:pt>
                      <c:pt idx="29">
                        <c:v>3.0864725132225326</c:v>
                      </c:pt>
                      <c:pt idx="30">
                        <c:v>3.1893549303299502</c:v>
                      </c:pt>
                      <c:pt idx="31">
                        <c:v>3.2922373474373678</c:v>
                      </c:pt>
                      <c:pt idx="32">
                        <c:v>3.3951197645447855</c:v>
                      </c:pt>
                      <c:pt idx="33">
                        <c:v>3.4980021816522031</c:v>
                      </c:pt>
                      <c:pt idx="34">
                        <c:v>3.6008845987596207</c:v>
                      </c:pt>
                      <c:pt idx="35">
                        <c:v>3.7037670158670384</c:v>
                      </c:pt>
                      <c:pt idx="36">
                        <c:v>3.806649432974456</c:v>
                      </c:pt>
                      <c:pt idx="37">
                        <c:v>3.9095318500818736</c:v>
                      </c:pt>
                      <c:pt idx="38">
                        <c:v>4.0124142671892917</c:v>
                      </c:pt>
                      <c:pt idx="39">
                        <c:v>4.1152966842967098</c:v>
                      </c:pt>
                      <c:pt idx="40">
                        <c:v>4.2181791014041279</c:v>
                      </c:pt>
                      <c:pt idx="41">
                        <c:v>4.321061518511546</c:v>
                      </c:pt>
                      <c:pt idx="42">
                        <c:v>4.423943935618964</c:v>
                      </c:pt>
                      <c:pt idx="43">
                        <c:v>4.5268263527263821</c:v>
                      </c:pt>
                      <c:pt idx="44">
                        <c:v>4.6297087698338002</c:v>
                      </c:pt>
                      <c:pt idx="45">
                        <c:v>4.7325911869412183</c:v>
                      </c:pt>
                      <c:pt idx="46">
                        <c:v>4.8354736040486364</c:v>
                      </c:pt>
                      <c:pt idx="47">
                        <c:v>4.9383560211560544</c:v>
                      </c:pt>
                      <c:pt idx="48">
                        <c:v>5.0412384382634725</c:v>
                      </c:pt>
                      <c:pt idx="49">
                        <c:v>5.1441208553708906</c:v>
                      </c:pt>
                      <c:pt idx="50">
                        <c:v>5.2470032724783087</c:v>
                      </c:pt>
                      <c:pt idx="51">
                        <c:v>5.3498856895857267</c:v>
                      </c:pt>
                    </c:numCache>
                  </c:numRef>
                </c:val>
                <c:smooth val="0"/>
                <c:extLst xmlns:c15="http://schemas.microsoft.com/office/drawing/2012/chart">
                  <c:ext xmlns:c16="http://schemas.microsoft.com/office/drawing/2014/chart" uri="{C3380CC4-5D6E-409C-BE32-E72D297353CC}">
                    <c16:uniqueId val="{0000000B-9972-401A-9CCE-EA7CDAF4B62B}"/>
                  </c:ext>
                </c:extLst>
              </c15:ser>
            </c15:filteredLineSeries>
          </c:ext>
        </c:extLst>
      </c:lineChart>
      <c:dateAx>
        <c:axId val="1388952432"/>
        <c:scaling>
          <c:orientation val="minMax"/>
        </c:scaling>
        <c:delete val="0"/>
        <c:axPos val="b"/>
        <c:numFmt formatCode="d\-mmm\-yy_);\(###0\);&quot;-  &quot;;&quot; &quot;@&quot; &quot;"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3088"/>
        <c:crosses val="autoZero"/>
        <c:auto val="1"/>
        <c:lblOffset val="100"/>
        <c:baseTimeUnit val="days"/>
        <c:majorUnit val="3"/>
        <c:majorTimeUnit val="months"/>
      </c:dateAx>
      <c:valAx>
        <c:axId val="1388953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Ticket Sales ($b)</a:t>
                </a:r>
              </a:p>
            </c:rich>
          </c:tx>
          <c:overlay val="0"/>
          <c:spPr>
            <a:noFill/>
            <a:ln>
              <a:noFill/>
            </a:ln>
            <a:effectLst/>
          </c:sp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2432"/>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2"/>
          <c:order val="0"/>
          <c:tx>
            <c:strRef>
              <c:f>'PBL OLD'!$MW$19</c:f>
              <c:strCache>
                <c:ptCount val="1"/>
                <c:pt idx="0">
                  <c:v>hytd 50th Percentile</c:v>
                </c:pt>
              </c:strCache>
            </c:strRef>
          </c:tx>
          <c:spPr>
            <a:pattFill prst="wdDnDiag">
              <a:fgClr>
                <a:schemeClr val="accent1"/>
              </a:fgClr>
              <a:bgClr>
                <a:schemeClr val="bg1"/>
              </a:bgClr>
            </a:pattFill>
            <a:ln>
              <a:solidFill>
                <a:schemeClr val="accent1"/>
              </a:solidFill>
            </a:ln>
            <a:effectLst/>
          </c:spPr>
          <c:invertIfNegative val="0"/>
          <c:val>
            <c:numRef>
              <c:f>'PBL OLD'!$MX$19:$NG$19</c:f>
              <c:numCache>
                <c:formatCode>General</c:formatCode>
                <c:ptCount val="10"/>
                <c:pt idx="9" formatCode="0.0000">
                  <c:v>0.97847740477409995</c:v>
                </c:pt>
              </c:numCache>
            </c:numRef>
          </c:val>
          <c:extLst>
            <c:ext xmlns:c16="http://schemas.microsoft.com/office/drawing/2014/chart" uri="{C3380CC4-5D6E-409C-BE32-E72D297353CC}">
              <c16:uniqueId val="{00000000-75C9-40E6-BA04-CA4778757FED}"/>
            </c:ext>
          </c:extLst>
        </c:ser>
        <c:ser>
          <c:idx val="0"/>
          <c:order val="1"/>
          <c:tx>
            <c:strRef>
              <c:f>'PBL OLD'!$MW$12</c:f>
              <c:strCache>
                <c:ptCount val="1"/>
                <c:pt idx="0">
                  <c:v>Actual</c:v>
                </c:pt>
              </c:strCache>
            </c:strRef>
          </c:tx>
          <c:spPr>
            <a:solidFill>
              <a:schemeClr val="tx2"/>
            </a:solidFill>
            <a:ln>
              <a:noFill/>
            </a:ln>
            <a:effectLst/>
          </c:spPr>
          <c:invertIfNegative val="0"/>
          <c:dPt>
            <c:idx val="9"/>
            <c:invertIfNegative val="0"/>
            <c:bubble3D val="0"/>
            <c:spPr>
              <a:pattFill prst="wdDnDiag">
                <a:fgClr>
                  <a:schemeClr val="tx2"/>
                </a:fgClr>
                <a:bgClr>
                  <a:schemeClr val="bg1"/>
                </a:bgClr>
              </a:pattFill>
              <a:ln>
                <a:solidFill>
                  <a:schemeClr val="tx2"/>
                </a:solidFill>
              </a:ln>
              <a:effectLst/>
            </c:spPr>
            <c:extLst>
              <c:ext xmlns:c16="http://schemas.microsoft.com/office/drawing/2014/chart" uri="{C3380CC4-5D6E-409C-BE32-E72D297353CC}">
                <c16:uniqueId val="{00000002-75C9-40E6-BA04-CA4778757FED}"/>
              </c:ext>
            </c:extLst>
          </c:dPt>
          <c:cat>
            <c:strRef>
              <c:f>'PBL OLD'!$MX$9:$NG$9</c:f>
              <c:strCache>
                <c:ptCount val="10"/>
                <c:pt idx="0">
                  <c:v>1H18</c:v>
                </c:pt>
                <c:pt idx="1">
                  <c:v>2H18</c:v>
                </c:pt>
                <c:pt idx="2">
                  <c:v>1H19</c:v>
                </c:pt>
                <c:pt idx="3">
                  <c:v>2H19</c:v>
                </c:pt>
                <c:pt idx="4">
                  <c:v>1H20</c:v>
                </c:pt>
                <c:pt idx="5">
                  <c:v>2H20</c:v>
                </c:pt>
                <c:pt idx="6">
                  <c:v>1H21</c:v>
                </c:pt>
                <c:pt idx="7">
                  <c:v>2H21</c:v>
                </c:pt>
                <c:pt idx="8">
                  <c:v>1H22</c:v>
                </c:pt>
                <c:pt idx="9">
                  <c:v>2H22*</c:v>
                </c:pt>
              </c:strCache>
            </c:strRef>
          </c:cat>
          <c:val>
            <c:numRef>
              <c:f>'PBL OLD'!$MX$12:$NG$12</c:f>
              <c:numCache>
                <c:formatCode>_-* #,##0.0000_-;\-* #,##0.0000_-;_-* "-"??_-;_-@_-</c:formatCode>
                <c:ptCount val="10"/>
                <c:pt idx="0">
                  <c:v>0.50481337402649995</c:v>
                </c:pt>
                <c:pt idx="1">
                  <c:v>0.7021907353350999</c:v>
                </c:pt>
                <c:pt idx="2">
                  <c:v>1.1393866275132001</c:v>
                </c:pt>
                <c:pt idx="3">
                  <c:v>1.0555108226916003</c:v>
                </c:pt>
                <c:pt idx="4">
                  <c:v>1.4846321634210002</c:v>
                </c:pt>
                <c:pt idx="5">
                  <c:v>1.0392567352463999</c:v>
                </c:pt>
                <c:pt idx="6">
                  <c:v>1.2199573358477998</c:v>
                </c:pt>
                <c:pt idx="7">
                  <c:v>1.2338811836339998</c:v>
                </c:pt>
                <c:pt idx="8">
                  <c:v>1.5639026176620001</c:v>
                </c:pt>
                <c:pt idx="9">
                  <c:v>1.7439737266775999</c:v>
                </c:pt>
              </c:numCache>
            </c:numRef>
          </c:val>
          <c:extLst>
            <c:ext xmlns:c16="http://schemas.microsoft.com/office/drawing/2014/chart" uri="{C3380CC4-5D6E-409C-BE32-E72D297353CC}">
              <c16:uniqueId val="{00000003-75C9-40E6-BA04-CA4778757FED}"/>
            </c:ext>
          </c:extLst>
        </c:ser>
        <c:ser>
          <c:idx val="6"/>
          <c:order val="2"/>
          <c:tx>
            <c:strRef>
              <c:f>'PBL OLD'!$MW$26</c:f>
              <c:strCache>
                <c:ptCount val="1"/>
                <c:pt idx="0">
                  <c:v>50th Percentile</c:v>
                </c:pt>
              </c:strCache>
            </c:strRef>
          </c:tx>
          <c:spPr>
            <a:solidFill>
              <a:schemeClr val="accent1"/>
            </a:solidFill>
            <a:ln>
              <a:noFill/>
            </a:ln>
            <a:effectLst/>
          </c:spPr>
          <c:invertIfNegative val="0"/>
          <c:cat>
            <c:strRef>
              <c:f>'PBL OLD'!$MX$9:$NG$9</c:f>
              <c:strCache>
                <c:ptCount val="10"/>
                <c:pt idx="0">
                  <c:v>1H18</c:v>
                </c:pt>
                <c:pt idx="1">
                  <c:v>2H18</c:v>
                </c:pt>
                <c:pt idx="2">
                  <c:v>1H19</c:v>
                </c:pt>
                <c:pt idx="3">
                  <c:v>2H19</c:v>
                </c:pt>
                <c:pt idx="4">
                  <c:v>1H20</c:v>
                </c:pt>
                <c:pt idx="5">
                  <c:v>2H20</c:v>
                </c:pt>
                <c:pt idx="6">
                  <c:v>1H21</c:v>
                </c:pt>
                <c:pt idx="7">
                  <c:v>2H21</c:v>
                </c:pt>
                <c:pt idx="8">
                  <c:v>1H22</c:v>
                </c:pt>
                <c:pt idx="9">
                  <c:v>2H22*</c:v>
                </c:pt>
              </c:strCache>
            </c:strRef>
          </c:cat>
          <c:val>
            <c:numRef>
              <c:f>'PBL OLD'!$MX$26:$NG$26</c:f>
              <c:numCache>
                <c:formatCode>_-* #,##0.0000_-;\-* #,##0.0000_-;_-* "-"??_-;_-@_-</c:formatCode>
                <c:ptCount val="10"/>
                <c:pt idx="0" formatCode="0.0000">
                  <c:v>0.58694072275100795</c:v>
                </c:pt>
                <c:pt idx="1">
                  <c:v>0.77310761847410792</c:v>
                </c:pt>
                <c:pt idx="2" formatCode="0.0000">
                  <c:v>0.96941166639845078</c:v>
                </c:pt>
                <c:pt idx="3" formatCode="0.0000">
                  <c:v>1.0683672690746</c:v>
                </c:pt>
                <c:pt idx="4" formatCode="0.0000">
                  <c:v>1.1223956437155</c:v>
                </c:pt>
                <c:pt idx="5" formatCode="0.0000">
                  <c:v>1.0642568242118999</c:v>
                </c:pt>
                <c:pt idx="6" formatCode="0.0000">
                  <c:v>1.5206680782033715</c:v>
                </c:pt>
                <c:pt idx="7" formatCode="0.0000">
                  <c:v>1.2099246151729002</c:v>
                </c:pt>
                <c:pt idx="8" formatCode="0.0000">
                  <c:v>1.6005199160539603</c:v>
                </c:pt>
                <c:pt idx="9" formatCode="0.0000">
                  <c:v>1.530087374287725</c:v>
                </c:pt>
              </c:numCache>
            </c:numRef>
          </c:val>
          <c:extLst>
            <c:ext xmlns:c16="http://schemas.microsoft.com/office/drawing/2014/chart" uri="{C3380CC4-5D6E-409C-BE32-E72D297353CC}">
              <c16:uniqueId val="{00000004-75C9-40E6-BA04-CA4778757FED}"/>
            </c:ext>
          </c:extLst>
        </c:ser>
        <c:ser>
          <c:idx val="1"/>
          <c:order val="3"/>
          <c:tx>
            <c:strRef>
              <c:f>'PBL OLD'!$MW$13</c:f>
              <c:strCache>
                <c:ptCount val="1"/>
                <c:pt idx="0">
                  <c:v>Actual htd Standardised</c:v>
                </c:pt>
              </c:strCache>
            </c:strRef>
          </c:tx>
          <c:spPr>
            <a:solidFill>
              <a:schemeClr val="accent2"/>
            </a:solidFill>
            <a:ln>
              <a:noFill/>
            </a:ln>
            <a:effectLst/>
          </c:spPr>
          <c:invertIfNegative val="0"/>
          <c:cat>
            <c:strRef>
              <c:f>'PBL OLD'!$MX$9:$NG$9</c:f>
              <c:strCache>
                <c:ptCount val="10"/>
                <c:pt idx="0">
                  <c:v>1H18</c:v>
                </c:pt>
                <c:pt idx="1">
                  <c:v>2H18</c:v>
                </c:pt>
                <c:pt idx="2">
                  <c:v>1H19</c:v>
                </c:pt>
                <c:pt idx="3">
                  <c:v>2H19</c:v>
                </c:pt>
                <c:pt idx="4">
                  <c:v>1H20</c:v>
                </c:pt>
                <c:pt idx="5">
                  <c:v>2H20</c:v>
                </c:pt>
                <c:pt idx="6">
                  <c:v>1H21</c:v>
                </c:pt>
                <c:pt idx="7">
                  <c:v>2H21</c:v>
                </c:pt>
                <c:pt idx="8">
                  <c:v>1H22</c:v>
                </c:pt>
                <c:pt idx="9">
                  <c:v>2H22*</c:v>
                </c:pt>
              </c:strCache>
            </c:strRef>
          </c:cat>
          <c:val>
            <c:numRef>
              <c:f>'PBL OLD'!$MX$13:$NG$13</c:f>
              <c:numCache>
                <c:formatCode>_-* #,##0.0000_-;\-* #,##0.0000_-;_-* "-"??_-;_-@_-</c:formatCode>
                <c:ptCount val="10"/>
                <c:pt idx="9">
                  <c:v>1.7439737266775999</c:v>
                </c:pt>
              </c:numCache>
            </c:numRef>
          </c:val>
          <c:extLst xmlns:c15="http://schemas.microsoft.com/office/drawing/2012/chart">
            <c:ext xmlns:c16="http://schemas.microsoft.com/office/drawing/2014/chart" uri="{C3380CC4-5D6E-409C-BE32-E72D297353CC}">
              <c16:uniqueId val="{00000005-75C9-40E6-BA04-CA4778757FED}"/>
            </c:ext>
          </c:extLst>
        </c:ser>
        <c:ser>
          <c:idx val="12"/>
          <c:order val="4"/>
          <c:tx>
            <c:strRef>
              <c:f>'PBL OLD'!$MW$14</c:f>
              <c:strCache>
                <c:ptCount val="1"/>
                <c:pt idx="0">
                  <c:v>Actual htd + 50th percentile</c:v>
                </c:pt>
              </c:strCache>
            </c:strRef>
          </c:tx>
          <c:spPr>
            <a:solidFill>
              <a:schemeClr val="bg2"/>
            </a:solidFill>
            <a:ln>
              <a:noFill/>
            </a:ln>
            <a:effectLst/>
          </c:spPr>
          <c:invertIfNegative val="0"/>
          <c:val>
            <c:numRef>
              <c:f>'PBL OLD'!$MX$14:$NG$14</c:f>
              <c:numCache>
                <c:formatCode>_-* #,##0.0000_-;\-* #,##0.0000_-;_-* "-"??_-;_-@_-</c:formatCode>
                <c:ptCount val="10"/>
                <c:pt idx="9">
                  <c:v>2.2322746980071999</c:v>
                </c:pt>
              </c:numCache>
            </c:numRef>
          </c:val>
          <c:extLst>
            <c:ext xmlns:c16="http://schemas.microsoft.com/office/drawing/2014/chart" uri="{C3380CC4-5D6E-409C-BE32-E72D297353CC}">
              <c16:uniqueId val="{00000006-75C9-40E6-BA04-CA4778757FED}"/>
            </c:ext>
          </c:extLst>
        </c:ser>
        <c:dLbls>
          <c:showLegendKey val="0"/>
          <c:showVal val="0"/>
          <c:showCatName val="0"/>
          <c:showSerName val="0"/>
          <c:showPercent val="0"/>
          <c:showBubbleSize val="0"/>
        </c:dLbls>
        <c:gapWidth val="0"/>
        <c:overlap val="-20"/>
        <c:axId val="1019316528"/>
        <c:axId val="1019315544"/>
        <c:extLst/>
      </c:barChart>
      <c:catAx>
        <c:axId val="101931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19315544"/>
        <c:crosses val="autoZero"/>
        <c:auto val="1"/>
        <c:lblAlgn val="ctr"/>
        <c:lblOffset val="100"/>
        <c:noMultiLvlLbl val="0"/>
      </c:catAx>
      <c:valAx>
        <c:axId val="1019315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Ticket Sales ($b)</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193165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'PBL OLD'!$MW$34</c:f>
              <c:strCache>
                <c:ptCount val="1"/>
                <c:pt idx="0">
                  <c:v>Delete</c:v>
                </c:pt>
              </c:strCache>
            </c:strRef>
          </c:tx>
          <c:spPr>
            <a:noFill/>
          </c:spPr>
          <c:invertIfNegative val="0"/>
          <c:cat>
            <c:strRef>
              <c:f>'PBL OLD'!$MX$9:$NG$9</c:f>
              <c:strCache>
                <c:ptCount val="10"/>
                <c:pt idx="0">
                  <c:v>1H18</c:v>
                </c:pt>
                <c:pt idx="1">
                  <c:v>2H18</c:v>
                </c:pt>
                <c:pt idx="2">
                  <c:v>1H19</c:v>
                </c:pt>
                <c:pt idx="3">
                  <c:v>2H19</c:v>
                </c:pt>
                <c:pt idx="4">
                  <c:v>1H20</c:v>
                </c:pt>
                <c:pt idx="5">
                  <c:v>2H20</c:v>
                </c:pt>
                <c:pt idx="6">
                  <c:v>1H21</c:v>
                </c:pt>
                <c:pt idx="7">
                  <c:v>2H21</c:v>
                </c:pt>
                <c:pt idx="8">
                  <c:v>1H22</c:v>
                </c:pt>
                <c:pt idx="9">
                  <c:v>2H22*</c:v>
                </c:pt>
              </c:strCache>
            </c:strRef>
          </c:cat>
          <c:val>
            <c:numRef>
              <c:f>'PBL OLD'!$MX$34:$NG$34</c:f>
              <c:numCache>
                <c:formatCode>0.0000</c:formatCode>
                <c:ptCount val="10"/>
                <c:pt idx="0">
                  <c:v>0.37583408158170628</c:v>
                </c:pt>
                <c:pt idx="1">
                  <c:v>0.48334225115126928</c:v>
                </c:pt>
                <c:pt idx="2">
                  <c:v>0.61617600454795007</c:v>
                </c:pt>
                <c:pt idx="3">
                  <c:v>0.5812529123496698</c:v>
                </c:pt>
                <c:pt idx="4">
                  <c:v>0.64077554229480016</c:v>
                </c:pt>
                <c:pt idx="5">
                  <c:v>0.68960513609679974</c:v>
                </c:pt>
                <c:pt idx="6">
                  <c:v>0.89806694538667831</c:v>
                </c:pt>
                <c:pt idx="7">
                  <c:v>0.69842772105810014</c:v>
                </c:pt>
                <c:pt idx="8">
                  <c:v>0.92649137214238053</c:v>
                </c:pt>
                <c:pt idx="9">
                  <c:v>0.85497303346455</c:v>
                </c:pt>
              </c:numCache>
            </c:numRef>
          </c:val>
          <c:extLst>
            <c:ext xmlns:c16="http://schemas.microsoft.com/office/drawing/2014/chart" uri="{C3380CC4-5D6E-409C-BE32-E72D297353CC}">
              <c16:uniqueId val="{00000000-BA6E-4626-9ACF-3708E768CDE1}"/>
            </c:ext>
          </c:extLst>
        </c:ser>
        <c:ser>
          <c:idx val="6"/>
          <c:order val="1"/>
          <c:tx>
            <c:strRef>
              <c:f>'PBL OLD'!$MW$35</c:f>
              <c:strCache>
                <c:ptCount val="1"/>
                <c:pt idx="0">
                  <c:v>Min to 5th Percentile</c:v>
                </c:pt>
              </c:strCache>
            </c:strRef>
          </c:tx>
          <c:spPr>
            <a:noFill/>
          </c:spPr>
          <c:invertIfNegative val="0"/>
          <c:cat>
            <c:strRef>
              <c:f>'PBL OLD'!$MX$9:$NG$9</c:f>
              <c:strCache>
                <c:ptCount val="10"/>
                <c:pt idx="0">
                  <c:v>1H18</c:v>
                </c:pt>
                <c:pt idx="1">
                  <c:v>2H18</c:v>
                </c:pt>
                <c:pt idx="2">
                  <c:v>1H19</c:v>
                </c:pt>
                <c:pt idx="3">
                  <c:v>2H19</c:v>
                </c:pt>
                <c:pt idx="4">
                  <c:v>1H20</c:v>
                </c:pt>
                <c:pt idx="5">
                  <c:v>2H20</c:v>
                </c:pt>
                <c:pt idx="6">
                  <c:v>1H21</c:v>
                </c:pt>
                <c:pt idx="7">
                  <c:v>2H21</c:v>
                </c:pt>
                <c:pt idx="8">
                  <c:v>1H22</c:v>
                </c:pt>
                <c:pt idx="9">
                  <c:v>2H22*</c:v>
                </c:pt>
              </c:strCache>
            </c:strRef>
          </c:cat>
          <c:val>
            <c:numRef>
              <c:f>'PBL OLD'!$MX$35:$NH$35</c:f>
              <c:numCache>
                <c:formatCode>0.0000</c:formatCode>
                <c:ptCount val="11"/>
                <c:pt idx="0">
                  <c:v>7.3791062117492034E-2</c:v>
                </c:pt>
                <c:pt idx="1">
                  <c:v>0.11084919937223425</c:v>
                </c:pt>
                <c:pt idx="2">
                  <c:v>9.6637313388550083E-2</c:v>
                </c:pt>
                <c:pt idx="3">
                  <c:v>0.16875074931748002</c:v>
                </c:pt>
                <c:pt idx="4">
                  <c:v>0.1791373704318</c:v>
                </c:pt>
                <c:pt idx="5">
                  <c:v>0.12409248269220041</c:v>
                </c:pt>
                <c:pt idx="6">
                  <c:v>0.28229330828293575</c:v>
                </c:pt>
                <c:pt idx="7">
                  <c:v>0.20858056952914505</c:v>
                </c:pt>
                <c:pt idx="8">
                  <c:v>0.25970788853987992</c:v>
                </c:pt>
                <c:pt idx="9">
                  <c:v>0.24778481861974488</c:v>
                </c:pt>
                <c:pt idx="10">
                  <c:v>0.13559059374134996</c:v>
                </c:pt>
              </c:numCache>
            </c:numRef>
          </c:val>
          <c:extLst>
            <c:ext xmlns:c16="http://schemas.microsoft.com/office/drawing/2014/chart" uri="{C3380CC4-5D6E-409C-BE32-E72D297353CC}">
              <c16:uniqueId val="{00000001-BA6E-4626-9ACF-3708E768CDE1}"/>
            </c:ext>
          </c:extLst>
        </c:ser>
        <c:ser>
          <c:idx val="8"/>
          <c:order val="2"/>
          <c:tx>
            <c:v>5th to 95th percentile</c:v>
          </c:tx>
          <c:spPr>
            <a:solidFill>
              <a:schemeClr val="bg1">
                <a:lumMod val="85000"/>
              </a:schemeClr>
            </a:solidFill>
          </c:spPr>
          <c:invertIfNegative val="0"/>
          <c:cat>
            <c:strRef>
              <c:f>'PBL OLD'!$MX$9:$NG$9</c:f>
              <c:strCache>
                <c:ptCount val="10"/>
                <c:pt idx="0">
                  <c:v>1H18</c:v>
                </c:pt>
                <c:pt idx="1">
                  <c:v>2H18</c:v>
                </c:pt>
                <c:pt idx="2">
                  <c:v>1H19</c:v>
                </c:pt>
                <c:pt idx="3">
                  <c:v>2H19</c:v>
                </c:pt>
                <c:pt idx="4">
                  <c:v>1H20</c:v>
                </c:pt>
                <c:pt idx="5">
                  <c:v>2H20</c:v>
                </c:pt>
                <c:pt idx="6">
                  <c:v>1H21</c:v>
                </c:pt>
                <c:pt idx="7">
                  <c:v>2H21</c:v>
                </c:pt>
                <c:pt idx="8">
                  <c:v>1H22</c:v>
                </c:pt>
                <c:pt idx="9">
                  <c:v>2H22*</c:v>
                </c:pt>
              </c:strCache>
            </c:strRef>
          </c:cat>
          <c:val>
            <c:numRef>
              <c:f>'PBL OLD'!$MX$36:$NG$36</c:f>
              <c:numCache>
                <c:formatCode>0.0000</c:formatCode>
                <c:ptCount val="10"/>
                <c:pt idx="0">
                  <c:v>6.9267170674690515E-2</c:v>
                </c:pt>
                <c:pt idx="1">
                  <c:v>9.2819252143504505E-2</c:v>
                </c:pt>
                <c:pt idx="2">
                  <c:v>0.11619768417950005</c:v>
                </c:pt>
                <c:pt idx="3">
                  <c:v>0.15370431624977043</c:v>
                </c:pt>
                <c:pt idx="4">
                  <c:v>0.15163377156179991</c:v>
                </c:pt>
                <c:pt idx="5">
                  <c:v>0.12891974597809985</c:v>
                </c:pt>
                <c:pt idx="6">
                  <c:v>0.1794607207516361</c:v>
                </c:pt>
                <c:pt idx="7">
                  <c:v>0.15722700604275497</c:v>
                </c:pt>
                <c:pt idx="8">
                  <c:v>0.19393915592149957</c:v>
                </c:pt>
                <c:pt idx="9">
                  <c:v>0.19866206915890516</c:v>
                </c:pt>
              </c:numCache>
            </c:numRef>
          </c:val>
          <c:extLst>
            <c:ext xmlns:c16="http://schemas.microsoft.com/office/drawing/2014/chart" uri="{C3380CC4-5D6E-409C-BE32-E72D297353CC}">
              <c16:uniqueId val="{00000002-BA6E-4626-9ACF-3708E768CDE1}"/>
            </c:ext>
          </c:extLst>
        </c:ser>
        <c:ser>
          <c:idx val="1"/>
          <c:order val="3"/>
          <c:tx>
            <c:strRef>
              <c:f>'PBL OLD'!$MW$37</c:f>
              <c:strCache>
                <c:ptCount val="1"/>
                <c:pt idx="0">
                  <c:v>25th to 75th Percentile</c:v>
                </c:pt>
              </c:strCache>
            </c:strRef>
          </c:tx>
          <c:spPr>
            <a:solidFill>
              <a:schemeClr val="bg2">
                <a:lumMod val="40000"/>
                <a:lumOff val="60000"/>
              </a:schemeClr>
            </a:solidFill>
            <a:ln>
              <a:noFill/>
            </a:ln>
          </c:spPr>
          <c:invertIfNegative val="0"/>
          <c:cat>
            <c:strRef>
              <c:f>'PBL OLD'!$MX$9:$NG$9</c:f>
              <c:strCache>
                <c:ptCount val="10"/>
                <c:pt idx="0">
                  <c:v>1H18</c:v>
                </c:pt>
                <c:pt idx="1">
                  <c:v>2H18</c:v>
                </c:pt>
                <c:pt idx="2">
                  <c:v>1H19</c:v>
                </c:pt>
                <c:pt idx="3">
                  <c:v>2H19</c:v>
                </c:pt>
                <c:pt idx="4">
                  <c:v>1H20</c:v>
                </c:pt>
                <c:pt idx="5">
                  <c:v>2H20</c:v>
                </c:pt>
                <c:pt idx="6">
                  <c:v>1H21</c:v>
                </c:pt>
                <c:pt idx="7">
                  <c:v>2H21</c:v>
                </c:pt>
                <c:pt idx="8">
                  <c:v>1H22</c:v>
                </c:pt>
                <c:pt idx="9">
                  <c:v>2H22*</c:v>
                </c:pt>
              </c:strCache>
            </c:strRef>
          </c:cat>
          <c:val>
            <c:numRef>
              <c:f>'PBL OLD'!$MX$37:$NG$37</c:f>
              <c:numCache>
                <c:formatCode>0.0000</c:formatCode>
                <c:ptCount val="10"/>
                <c:pt idx="0">
                  <c:v>0.14740096184447626</c:v>
                </c:pt>
                <c:pt idx="1">
                  <c:v>0.19368339463956508</c:v>
                </c:pt>
                <c:pt idx="2">
                  <c:v>0.31578806619690036</c:v>
                </c:pt>
                <c:pt idx="3">
                  <c:v>0.36435384092799994</c:v>
                </c:pt>
                <c:pt idx="4">
                  <c:v>0.3631321223442</c:v>
                </c:pt>
                <c:pt idx="5">
                  <c:v>0.29653156343800025</c:v>
                </c:pt>
                <c:pt idx="6">
                  <c:v>0.3622364046836859</c:v>
                </c:pt>
                <c:pt idx="7">
                  <c:v>0.3262911565243003</c:v>
                </c:pt>
                <c:pt idx="8">
                  <c:v>0.46971561863424016</c:v>
                </c:pt>
                <c:pt idx="9">
                  <c:v>0.46085408516564996</c:v>
                </c:pt>
              </c:numCache>
            </c:numRef>
          </c:val>
          <c:extLst>
            <c:ext xmlns:c16="http://schemas.microsoft.com/office/drawing/2014/chart" uri="{C3380CC4-5D6E-409C-BE32-E72D297353CC}">
              <c16:uniqueId val="{00000003-BA6E-4626-9ACF-3708E768CDE1}"/>
            </c:ext>
          </c:extLst>
        </c:ser>
        <c:ser>
          <c:idx val="2"/>
          <c:order val="4"/>
          <c:tx>
            <c:strRef>
              <c:f>'PBL OLD'!$MW$38</c:f>
              <c:strCache>
                <c:ptCount val="1"/>
                <c:pt idx="0">
                  <c:v>75th to 95th Percentile</c:v>
                </c:pt>
              </c:strCache>
            </c:strRef>
          </c:tx>
          <c:spPr>
            <a:solidFill>
              <a:schemeClr val="bg1">
                <a:lumMod val="85000"/>
              </a:schemeClr>
            </a:solidFill>
          </c:spPr>
          <c:invertIfNegative val="0"/>
          <c:cat>
            <c:strRef>
              <c:f>'PBL OLD'!$MX$9:$NG$9</c:f>
              <c:strCache>
                <c:ptCount val="10"/>
                <c:pt idx="0">
                  <c:v>1H18</c:v>
                </c:pt>
                <c:pt idx="1">
                  <c:v>2H18</c:v>
                </c:pt>
                <c:pt idx="2">
                  <c:v>1H19</c:v>
                </c:pt>
                <c:pt idx="3">
                  <c:v>2H19</c:v>
                </c:pt>
                <c:pt idx="4">
                  <c:v>1H20</c:v>
                </c:pt>
                <c:pt idx="5">
                  <c:v>2H20</c:v>
                </c:pt>
                <c:pt idx="6">
                  <c:v>1H21</c:v>
                </c:pt>
                <c:pt idx="7">
                  <c:v>2H21</c:v>
                </c:pt>
                <c:pt idx="8">
                  <c:v>1H22</c:v>
                </c:pt>
                <c:pt idx="9">
                  <c:v>2H22*</c:v>
                </c:pt>
              </c:strCache>
            </c:strRef>
          </c:cat>
          <c:val>
            <c:numRef>
              <c:f>'PBL OLD'!$MX$38:$NG$38</c:f>
              <c:numCache>
                <c:formatCode>0.0000</c:formatCode>
                <c:ptCount val="10"/>
                <c:pt idx="0">
                  <c:v>0.16049131409634898</c:v>
                </c:pt>
                <c:pt idx="1">
                  <c:v>0.19167961575935233</c:v>
                </c:pt>
                <c:pt idx="2">
                  <c:v>0.29538807082405527</c:v>
                </c:pt>
                <c:pt idx="3">
                  <c:v>0.35648636107037812</c:v>
                </c:pt>
                <c:pt idx="4">
                  <c:v>0.37574770983651118</c:v>
                </c:pt>
                <c:pt idx="5">
                  <c:v>0.34315700929729998</c:v>
                </c:pt>
                <c:pt idx="6">
                  <c:v>0.3638682919703855</c:v>
                </c:pt>
                <c:pt idx="7">
                  <c:v>0.33894747374372525</c:v>
                </c:pt>
                <c:pt idx="8">
                  <c:v>0.44800609824975446</c:v>
                </c:pt>
                <c:pt idx="9">
                  <c:v>0.46915691485299993</c:v>
                </c:pt>
              </c:numCache>
            </c:numRef>
          </c:val>
          <c:extLst>
            <c:ext xmlns:c16="http://schemas.microsoft.com/office/drawing/2014/chart" uri="{C3380CC4-5D6E-409C-BE32-E72D297353CC}">
              <c16:uniqueId val="{00000004-BA6E-4626-9ACF-3708E768CDE1}"/>
            </c:ext>
          </c:extLst>
        </c:ser>
        <c:dLbls>
          <c:showLegendKey val="0"/>
          <c:showVal val="0"/>
          <c:showCatName val="0"/>
          <c:showSerName val="0"/>
          <c:showPercent val="0"/>
          <c:showBubbleSize val="0"/>
        </c:dLbls>
        <c:gapWidth val="150"/>
        <c:overlap val="100"/>
        <c:axId val="1019316528"/>
        <c:axId val="1019315544"/>
      </c:barChart>
      <c:lineChart>
        <c:grouping val="standard"/>
        <c:varyColors val="0"/>
        <c:ser>
          <c:idx val="3"/>
          <c:order val="5"/>
          <c:tx>
            <c:strRef>
              <c:f>'PBL OLD'!$MW$12</c:f>
              <c:strCache>
                <c:ptCount val="1"/>
                <c:pt idx="0">
                  <c:v>Actual</c:v>
                </c:pt>
              </c:strCache>
            </c:strRef>
          </c:tx>
          <c:spPr>
            <a:ln w="19050">
              <a:noFill/>
            </a:ln>
          </c:spPr>
          <c:marker>
            <c:symbol val="circle"/>
            <c:size val="12"/>
            <c:spPr>
              <a:solidFill>
                <a:schemeClr val="tx2"/>
              </a:solidFill>
              <a:ln w="19050">
                <a:solidFill>
                  <a:schemeClr val="bg1"/>
                </a:solidFill>
              </a:ln>
            </c:spPr>
          </c:marker>
          <c:val>
            <c:numRef>
              <c:f>'PBL OLD'!$MX$12:$NG$12</c:f>
              <c:numCache>
                <c:formatCode>_-* #,##0.0000_-;\-* #,##0.0000_-;_-* "-"??_-;_-@_-</c:formatCode>
                <c:ptCount val="10"/>
                <c:pt idx="0">
                  <c:v>0.50481337402649995</c:v>
                </c:pt>
                <c:pt idx="1">
                  <c:v>0.7021907353350999</c:v>
                </c:pt>
                <c:pt idx="2">
                  <c:v>1.1393866275132001</c:v>
                </c:pt>
                <c:pt idx="3">
                  <c:v>1.0555108226916003</c:v>
                </c:pt>
                <c:pt idx="4">
                  <c:v>1.4846321634210002</c:v>
                </c:pt>
                <c:pt idx="5">
                  <c:v>1.0392567352463999</c:v>
                </c:pt>
                <c:pt idx="6">
                  <c:v>1.2199573358477998</c:v>
                </c:pt>
                <c:pt idx="7">
                  <c:v>1.2338811836339998</c:v>
                </c:pt>
                <c:pt idx="8">
                  <c:v>1.5639026176620001</c:v>
                </c:pt>
                <c:pt idx="9">
                  <c:v>1.7439737266775999</c:v>
                </c:pt>
              </c:numCache>
            </c:numRef>
          </c:val>
          <c:smooth val="0"/>
          <c:extLst>
            <c:ext xmlns:c16="http://schemas.microsoft.com/office/drawing/2014/chart" uri="{C3380CC4-5D6E-409C-BE32-E72D297353CC}">
              <c16:uniqueId val="{00000005-BA6E-4626-9ACF-3708E768CDE1}"/>
            </c:ext>
          </c:extLst>
        </c:ser>
        <c:dLbls>
          <c:showLegendKey val="0"/>
          <c:showVal val="0"/>
          <c:showCatName val="0"/>
          <c:showSerName val="0"/>
          <c:showPercent val="0"/>
          <c:showBubbleSize val="0"/>
        </c:dLbls>
        <c:marker val="1"/>
        <c:smooth val="0"/>
        <c:axId val="1019316528"/>
        <c:axId val="1019315544"/>
        <c:extLst/>
      </c:lineChart>
      <c:catAx>
        <c:axId val="101931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1019315544"/>
        <c:crosses val="autoZero"/>
        <c:auto val="1"/>
        <c:lblAlgn val="ctr"/>
        <c:lblOffset val="100"/>
        <c:noMultiLvlLbl val="0"/>
      </c:catAx>
      <c:valAx>
        <c:axId val="101931554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vert="horz"/>
          <a:lstStyle/>
          <a:p>
            <a:pPr>
              <a:defRPr/>
            </a:pPr>
            <a:endParaRPr lang="en-US"/>
          </a:p>
        </c:txPr>
        <c:crossAx val="1019316528"/>
        <c:crosses val="autoZero"/>
        <c:crossBetween val="between"/>
      </c:valAx>
    </c:plotArea>
    <c:legend>
      <c:legendPos val="b"/>
      <c:legendEntry>
        <c:idx val="0"/>
        <c:delete val="1"/>
      </c:legendEntry>
      <c:legendEntry>
        <c:idx val="1"/>
        <c:delete val="1"/>
      </c:legendEntry>
      <c:legendEntry>
        <c:idx val="4"/>
        <c:delete val="1"/>
      </c:legendEntry>
      <c:overlay val="0"/>
    </c:legend>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orientation="portrait"/>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noFill/>
            <a:ln w="28575" cap="rnd">
              <a:noFill/>
              <a:round/>
            </a:ln>
            <a:effectLst/>
          </c:spPr>
          <c:invertIfNegative val="0"/>
          <c:cat>
            <c:strRef>
              <c:extLst>
                <c:ext xmlns:c15="http://schemas.microsoft.com/office/drawing/2012/chart" uri="{02D57815-91ED-43cb-92C2-25804820EDAC}">
                  <c15:fullRef>
                    <c15:sqref>'PBL OLD'!$MX$9:$NH$9</c15:sqref>
                  </c15:fullRef>
                </c:ext>
              </c:extLst>
              <c:f>('PBL OLD'!$MX$9:$NF$9,'PBL OLD'!$NH$9)</c:f>
              <c:strCache>
                <c:ptCount val="10"/>
                <c:pt idx="0">
                  <c:v>1H18</c:v>
                </c:pt>
                <c:pt idx="1">
                  <c:v>2H18</c:v>
                </c:pt>
                <c:pt idx="2">
                  <c:v>1H19</c:v>
                </c:pt>
                <c:pt idx="3">
                  <c:v>2H19</c:v>
                </c:pt>
                <c:pt idx="4">
                  <c:v>1H20</c:v>
                </c:pt>
                <c:pt idx="5">
                  <c:v>2H20</c:v>
                </c:pt>
                <c:pt idx="6">
                  <c:v>1H21</c:v>
                </c:pt>
                <c:pt idx="7">
                  <c:v>2H21</c:v>
                </c:pt>
                <c:pt idx="8">
                  <c:v>1H22</c:v>
                </c:pt>
                <c:pt idx="9">
                  <c:v>2H22 ytd</c:v>
                </c:pt>
              </c:strCache>
            </c:strRef>
          </c:cat>
          <c:val>
            <c:numRef>
              <c:extLst>
                <c:ext xmlns:c15="http://schemas.microsoft.com/office/drawing/2012/chart" uri="{02D57815-91ED-43cb-92C2-25804820EDAC}">
                  <c15:fullRef>
                    <c15:sqref>'PBL OLD'!$MX$57:$NH$57</c15:sqref>
                  </c15:fullRef>
                </c:ext>
              </c:extLst>
              <c:f>('PBL OLD'!$MX$57:$NF$57,'PBL OLD'!$NH$57)</c:f>
              <c:numCache>
                <c:formatCode>0.0000</c:formatCode>
                <c:ptCount val="10"/>
                <c:pt idx="0">
                  <c:v>0.25100030617158031</c:v>
                </c:pt>
                <c:pt idx="1">
                  <c:v>0.34679646755118992</c:v>
                </c:pt>
                <c:pt idx="2">
                  <c:v>0.29845076511058954</c:v>
                </c:pt>
                <c:pt idx="3">
                  <c:v>0.28345958151100703</c:v>
                </c:pt>
                <c:pt idx="4">
                  <c:v>0.33279676285047599</c:v>
                </c:pt>
                <c:pt idx="5">
                  <c:v>0.3931579052801496</c:v>
                </c:pt>
                <c:pt idx="6">
                  <c:v>0.72278550382637596</c:v>
                </c:pt>
                <c:pt idx="7">
                  <c:v>0.4824419285362973</c:v>
                </c:pt>
                <c:pt idx="8">
                  <c:v>0.59883113350099171</c:v>
                </c:pt>
                <c:pt idx="9">
                  <c:v>0.11630763445644776</c:v>
                </c:pt>
              </c:numCache>
            </c:numRef>
          </c:val>
          <c:extLst>
            <c:ext xmlns:c16="http://schemas.microsoft.com/office/drawing/2014/chart" uri="{C3380CC4-5D6E-409C-BE32-E72D297353CC}">
              <c16:uniqueId val="{00000000-A2EC-49B4-B654-5C794762543C}"/>
            </c:ext>
          </c:extLst>
        </c:ser>
        <c:ser>
          <c:idx val="6"/>
          <c:order val="1"/>
          <c:spPr>
            <a:solidFill>
              <a:schemeClr val="bg2">
                <a:lumMod val="40000"/>
                <a:lumOff val="60000"/>
              </a:schemeClr>
            </a:solidFill>
            <a:ln w="28575" cap="rnd">
              <a:noFill/>
              <a:round/>
            </a:ln>
            <a:effectLst/>
          </c:spPr>
          <c:invertIfNegative val="0"/>
          <c:cat>
            <c:strRef>
              <c:extLst>
                <c:ext xmlns:c15="http://schemas.microsoft.com/office/drawing/2012/chart" uri="{02D57815-91ED-43cb-92C2-25804820EDAC}">
                  <c15:fullRef>
                    <c15:sqref>'PBL OLD'!$MX$9:$NH$9</c15:sqref>
                  </c15:fullRef>
                </c:ext>
              </c:extLst>
              <c:f>('PBL OLD'!$MX$9:$NF$9,'PBL OLD'!$NH$9)</c:f>
              <c:strCache>
                <c:ptCount val="10"/>
                <c:pt idx="0">
                  <c:v>1H18</c:v>
                </c:pt>
                <c:pt idx="1">
                  <c:v>2H18</c:v>
                </c:pt>
                <c:pt idx="2">
                  <c:v>1H19</c:v>
                </c:pt>
                <c:pt idx="3">
                  <c:v>2H19</c:v>
                </c:pt>
                <c:pt idx="4">
                  <c:v>1H20</c:v>
                </c:pt>
                <c:pt idx="5">
                  <c:v>2H20</c:v>
                </c:pt>
                <c:pt idx="6">
                  <c:v>1H21</c:v>
                </c:pt>
                <c:pt idx="7">
                  <c:v>2H21</c:v>
                </c:pt>
                <c:pt idx="8">
                  <c:v>1H22</c:v>
                </c:pt>
                <c:pt idx="9">
                  <c:v>2H22 ytd</c:v>
                </c:pt>
              </c:strCache>
            </c:strRef>
          </c:cat>
          <c:val>
            <c:numRef>
              <c:extLst>
                <c:ext xmlns:c15="http://schemas.microsoft.com/office/drawing/2012/chart" uri="{02D57815-91ED-43cb-92C2-25804820EDAC}">
                  <c15:fullRef>
                    <c15:sqref>'PBL OLD'!$MX$58:$NH$58</c15:sqref>
                  </c15:fullRef>
                </c:ext>
              </c:extLst>
              <c:f>('PBL OLD'!$MX$58:$NF$58,'PBL OLD'!$NH$58)</c:f>
              <c:numCache>
                <c:formatCode>0.0000</c:formatCode>
                <c:ptCount val="10"/>
                <c:pt idx="0">
                  <c:v>0.11782480552789676</c:v>
                </c:pt>
                <c:pt idx="1">
                  <c:v>0.14965937932413514</c:v>
                </c:pt>
                <c:pt idx="2">
                  <c:v>0.2363130978532767</c:v>
                </c:pt>
                <c:pt idx="3">
                  <c:v>0.27693426833019963</c:v>
                </c:pt>
                <c:pt idx="4">
                  <c:v>0.281905339253406</c:v>
                </c:pt>
                <c:pt idx="5">
                  <c:v>0.24086909755987695</c:v>
                </c:pt>
                <c:pt idx="6">
                  <c:v>0.28067875529233599</c:v>
                </c:pt>
                <c:pt idx="7">
                  <c:v>0.255163271395763</c:v>
                </c:pt>
                <c:pt idx="8">
                  <c:v>0.35066359585242446</c:v>
                </c:pt>
                <c:pt idx="9">
                  <c:v>0.25252690135428646</c:v>
                </c:pt>
              </c:numCache>
            </c:numRef>
          </c:val>
          <c:extLst>
            <c:ext xmlns:c16="http://schemas.microsoft.com/office/drawing/2014/chart" uri="{C3380CC4-5D6E-409C-BE32-E72D297353CC}">
              <c16:uniqueId val="{00000001-A2EC-49B4-B654-5C794762543C}"/>
            </c:ext>
          </c:extLst>
        </c:ser>
        <c:ser>
          <c:idx val="8"/>
          <c:order val="2"/>
          <c:spPr>
            <a:solidFill>
              <a:schemeClr val="accent5">
                <a:lumMod val="40000"/>
                <a:lumOff val="60000"/>
              </a:schemeClr>
            </a:solidFill>
            <a:ln w="28575" cap="rnd">
              <a:noFill/>
              <a:round/>
            </a:ln>
            <a:effectLst/>
          </c:spPr>
          <c:invertIfNegative val="0"/>
          <c:cat>
            <c:strRef>
              <c:extLst>
                <c:ext xmlns:c15="http://schemas.microsoft.com/office/drawing/2012/chart" uri="{02D57815-91ED-43cb-92C2-25804820EDAC}">
                  <c15:fullRef>
                    <c15:sqref>'PBL OLD'!$MX$9:$NH$9</c15:sqref>
                  </c15:fullRef>
                </c:ext>
              </c:extLst>
              <c:f>('PBL OLD'!$MX$9:$NF$9,'PBL OLD'!$NH$9)</c:f>
              <c:strCache>
                <c:ptCount val="10"/>
                <c:pt idx="0">
                  <c:v>1H18</c:v>
                </c:pt>
                <c:pt idx="1">
                  <c:v>2H18</c:v>
                </c:pt>
                <c:pt idx="2">
                  <c:v>1H19</c:v>
                </c:pt>
                <c:pt idx="3">
                  <c:v>2H19</c:v>
                </c:pt>
                <c:pt idx="4">
                  <c:v>1H20</c:v>
                </c:pt>
                <c:pt idx="5">
                  <c:v>2H20</c:v>
                </c:pt>
                <c:pt idx="6">
                  <c:v>1H21</c:v>
                </c:pt>
                <c:pt idx="7">
                  <c:v>2H21</c:v>
                </c:pt>
                <c:pt idx="8">
                  <c:v>1H22</c:v>
                </c:pt>
                <c:pt idx="9">
                  <c:v>2H22 ytd</c:v>
                </c:pt>
              </c:strCache>
            </c:strRef>
          </c:cat>
          <c:val>
            <c:numRef>
              <c:extLst>
                <c:ext xmlns:c15="http://schemas.microsoft.com/office/drawing/2012/chart" uri="{02D57815-91ED-43cb-92C2-25804820EDAC}">
                  <c15:fullRef>
                    <c15:sqref>'PBL OLD'!$MX$59:$NH$59</c15:sqref>
                  </c15:fullRef>
                </c:ext>
              </c:extLst>
              <c:f>('PBL OLD'!$MX$59:$NF$59,'PBL OLD'!$NH$59)</c:f>
              <c:numCache>
                <c:formatCode>0.0000</c:formatCode>
                <c:ptCount val="10"/>
                <c:pt idx="0">
                  <c:v>0.1178248055278967</c:v>
                </c:pt>
                <c:pt idx="1">
                  <c:v>0.14965937932413509</c:v>
                </c:pt>
                <c:pt idx="2">
                  <c:v>0.23631309785327659</c:v>
                </c:pt>
                <c:pt idx="3">
                  <c:v>0.27693426833019963</c:v>
                </c:pt>
                <c:pt idx="4">
                  <c:v>0.281905339253406</c:v>
                </c:pt>
                <c:pt idx="5">
                  <c:v>0.24086909755987707</c:v>
                </c:pt>
                <c:pt idx="6">
                  <c:v>0.28067875529233577</c:v>
                </c:pt>
                <c:pt idx="7">
                  <c:v>0.255163271395763</c:v>
                </c:pt>
                <c:pt idx="8">
                  <c:v>0.35066359585242446</c:v>
                </c:pt>
                <c:pt idx="9">
                  <c:v>0.25252690135428646</c:v>
                </c:pt>
              </c:numCache>
            </c:numRef>
          </c:val>
          <c:extLst>
            <c:ext xmlns:c16="http://schemas.microsoft.com/office/drawing/2014/chart" uri="{C3380CC4-5D6E-409C-BE32-E72D297353CC}">
              <c16:uniqueId val="{00000002-A2EC-49B4-B654-5C794762543C}"/>
            </c:ext>
          </c:extLst>
        </c:ser>
        <c:ser>
          <c:idx val="9"/>
          <c:order val="3"/>
          <c:spPr>
            <a:solidFill>
              <a:schemeClr val="tx2">
                <a:lumMod val="20000"/>
                <a:lumOff val="80000"/>
              </a:schemeClr>
            </a:solidFill>
            <a:ln w="28575" cap="rnd">
              <a:noFill/>
              <a:round/>
            </a:ln>
            <a:effectLst/>
          </c:spPr>
          <c:invertIfNegative val="0"/>
          <c:cat>
            <c:strRef>
              <c:extLst>
                <c:ext xmlns:c15="http://schemas.microsoft.com/office/drawing/2012/chart" uri="{02D57815-91ED-43cb-92C2-25804820EDAC}">
                  <c15:fullRef>
                    <c15:sqref>'PBL OLD'!$MX$9:$NH$9</c15:sqref>
                  </c15:fullRef>
                </c:ext>
              </c:extLst>
              <c:f>('PBL OLD'!$MX$9:$NF$9,'PBL OLD'!$NH$9)</c:f>
              <c:strCache>
                <c:ptCount val="10"/>
                <c:pt idx="0">
                  <c:v>1H18</c:v>
                </c:pt>
                <c:pt idx="1">
                  <c:v>2H18</c:v>
                </c:pt>
                <c:pt idx="2">
                  <c:v>1H19</c:v>
                </c:pt>
                <c:pt idx="3">
                  <c:v>2H19</c:v>
                </c:pt>
                <c:pt idx="4">
                  <c:v>1H20</c:v>
                </c:pt>
                <c:pt idx="5">
                  <c:v>2H20</c:v>
                </c:pt>
                <c:pt idx="6">
                  <c:v>1H21</c:v>
                </c:pt>
                <c:pt idx="7">
                  <c:v>2H21</c:v>
                </c:pt>
                <c:pt idx="8">
                  <c:v>1H22</c:v>
                </c:pt>
                <c:pt idx="9">
                  <c:v>2H22 ytd</c:v>
                </c:pt>
              </c:strCache>
            </c:strRef>
          </c:cat>
          <c:val>
            <c:numRef>
              <c:extLst>
                <c:ext xmlns:c15="http://schemas.microsoft.com/office/drawing/2012/chart" uri="{02D57815-91ED-43cb-92C2-25804820EDAC}">
                  <c15:fullRef>
                    <c15:sqref>'PBL OLD'!$MX$60:$NH$60</c15:sqref>
                  </c15:fullRef>
                </c:ext>
              </c:extLst>
              <c:f>('PBL OLD'!$MX$60:$NF$60,'PBL OLD'!$NH$60)</c:f>
              <c:numCache>
                <c:formatCode>0.0000</c:formatCode>
                <c:ptCount val="10"/>
                <c:pt idx="0">
                  <c:v>0.1178248055278967</c:v>
                </c:pt>
                <c:pt idx="1">
                  <c:v>0.14965937932413509</c:v>
                </c:pt>
                <c:pt idx="2">
                  <c:v>0.23631309785327659</c:v>
                </c:pt>
                <c:pt idx="3">
                  <c:v>0.27693426833019963</c:v>
                </c:pt>
                <c:pt idx="4">
                  <c:v>0.28190533925340611</c:v>
                </c:pt>
                <c:pt idx="5">
                  <c:v>0.24086909755987707</c:v>
                </c:pt>
                <c:pt idx="6">
                  <c:v>0.28067875529233577</c:v>
                </c:pt>
                <c:pt idx="7">
                  <c:v>0.255163271395763</c:v>
                </c:pt>
                <c:pt idx="8">
                  <c:v>0.35066359585242446</c:v>
                </c:pt>
                <c:pt idx="9">
                  <c:v>0.25252690135428635</c:v>
                </c:pt>
              </c:numCache>
            </c:numRef>
          </c:val>
          <c:extLst>
            <c:ext xmlns:c16="http://schemas.microsoft.com/office/drawing/2014/chart" uri="{C3380CC4-5D6E-409C-BE32-E72D297353CC}">
              <c16:uniqueId val="{00000003-A2EC-49B4-B654-5C794762543C}"/>
            </c:ext>
          </c:extLst>
        </c:ser>
        <c:ser>
          <c:idx val="10"/>
          <c:order val="4"/>
          <c:spPr>
            <a:solidFill>
              <a:schemeClr val="tx2">
                <a:lumMod val="20000"/>
                <a:lumOff val="80000"/>
              </a:schemeClr>
            </a:solidFill>
            <a:ln w="28575" cap="rnd">
              <a:noFill/>
              <a:round/>
            </a:ln>
            <a:effectLst/>
          </c:spPr>
          <c:invertIfNegative val="0"/>
          <c:cat>
            <c:strRef>
              <c:extLst>
                <c:ext xmlns:c15="http://schemas.microsoft.com/office/drawing/2012/chart" uri="{02D57815-91ED-43cb-92C2-25804820EDAC}">
                  <c15:fullRef>
                    <c15:sqref>'PBL OLD'!$MX$9:$NH$9</c15:sqref>
                  </c15:fullRef>
                </c:ext>
              </c:extLst>
              <c:f>('PBL OLD'!$MX$9:$NF$9,'PBL OLD'!$NH$9)</c:f>
              <c:strCache>
                <c:ptCount val="10"/>
                <c:pt idx="0">
                  <c:v>1H18</c:v>
                </c:pt>
                <c:pt idx="1">
                  <c:v>2H18</c:v>
                </c:pt>
                <c:pt idx="2">
                  <c:v>1H19</c:v>
                </c:pt>
                <c:pt idx="3">
                  <c:v>2H19</c:v>
                </c:pt>
                <c:pt idx="4">
                  <c:v>1H20</c:v>
                </c:pt>
                <c:pt idx="5">
                  <c:v>2H20</c:v>
                </c:pt>
                <c:pt idx="6">
                  <c:v>1H21</c:v>
                </c:pt>
                <c:pt idx="7">
                  <c:v>2H21</c:v>
                </c:pt>
                <c:pt idx="8">
                  <c:v>1H22</c:v>
                </c:pt>
                <c:pt idx="9">
                  <c:v>2H22 ytd</c:v>
                </c:pt>
              </c:strCache>
            </c:strRef>
          </c:cat>
          <c:val>
            <c:numRef>
              <c:extLst>
                <c:ext xmlns:c15="http://schemas.microsoft.com/office/drawing/2012/chart" uri="{02D57815-91ED-43cb-92C2-25804820EDAC}">
                  <c15:fullRef>
                    <c15:sqref>'PBL OLD'!$MX$61:$NH$61</c15:sqref>
                  </c15:fullRef>
                </c:ext>
              </c:extLst>
              <c:f>('PBL OLD'!$MX$61:$NF$61,'PBL OLD'!$NH$61)</c:f>
              <c:numCache>
                <c:formatCode>0.0000</c:formatCode>
                <c:ptCount val="10"/>
                <c:pt idx="0">
                  <c:v>0.11782480552789676</c:v>
                </c:pt>
                <c:pt idx="1">
                  <c:v>0.14965937932413498</c:v>
                </c:pt>
                <c:pt idx="2">
                  <c:v>0.23631309785327659</c:v>
                </c:pt>
                <c:pt idx="3">
                  <c:v>0.27693426833019963</c:v>
                </c:pt>
                <c:pt idx="4">
                  <c:v>0.28190533925340611</c:v>
                </c:pt>
                <c:pt idx="5">
                  <c:v>0.24086909755987707</c:v>
                </c:pt>
                <c:pt idx="6">
                  <c:v>0.28067875529233577</c:v>
                </c:pt>
                <c:pt idx="7">
                  <c:v>0.255163271395763</c:v>
                </c:pt>
                <c:pt idx="8">
                  <c:v>0.35066359585242446</c:v>
                </c:pt>
                <c:pt idx="9">
                  <c:v>0.25252690135428635</c:v>
                </c:pt>
              </c:numCache>
            </c:numRef>
          </c:val>
          <c:extLst>
            <c:ext xmlns:c16="http://schemas.microsoft.com/office/drawing/2014/chart" uri="{C3380CC4-5D6E-409C-BE32-E72D297353CC}">
              <c16:uniqueId val="{00000004-A2EC-49B4-B654-5C794762543C}"/>
            </c:ext>
          </c:extLst>
        </c:ser>
        <c:ser>
          <c:idx val="1"/>
          <c:order val="5"/>
          <c:spPr>
            <a:solidFill>
              <a:schemeClr val="accent5">
                <a:lumMod val="40000"/>
                <a:lumOff val="60000"/>
              </a:schemeClr>
            </a:solidFill>
            <a:ln>
              <a:noFill/>
            </a:ln>
          </c:spPr>
          <c:invertIfNegative val="0"/>
          <c:cat>
            <c:strRef>
              <c:extLst>
                <c:ext xmlns:c15="http://schemas.microsoft.com/office/drawing/2012/chart" uri="{02D57815-91ED-43cb-92C2-25804820EDAC}">
                  <c15:fullRef>
                    <c15:sqref>'PBL OLD'!$MX$9:$NH$9</c15:sqref>
                  </c15:fullRef>
                </c:ext>
              </c:extLst>
              <c:f>('PBL OLD'!$MX$9:$NF$9,'PBL OLD'!$NH$9)</c:f>
              <c:strCache>
                <c:ptCount val="10"/>
                <c:pt idx="0">
                  <c:v>1H18</c:v>
                </c:pt>
                <c:pt idx="1">
                  <c:v>2H18</c:v>
                </c:pt>
                <c:pt idx="2">
                  <c:v>1H19</c:v>
                </c:pt>
                <c:pt idx="3">
                  <c:v>2H19</c:v>
                </c:pt>
                <c:pt idx="4">
                  <c:v>1H20</c:v>
                </c:pt>
                <c:pt idx="5">
                  <c:v>2H20</c:v>
                </c:pt>
                <c:pt idx="6">
                  <c:v>1H21</c:v>
                </c:pt>
                <c:pt idx="7">
                  <c:v>2H21</c:v>
                </c:pt>
                <c:pt idx="8">
                  <c:v>1H22</c:v>
                </c:pt>
                <c:pt idx="9">
                  <c:v>2H22 ytd</c:v>
                </c:pt>
              </c:strCache>
            </c:strRef>
          </c:cat>
          <c:val>
            <c:numRef>
              <c:extLst>
                <c:ext xmlns:c15="http://schemas.microsoft.com/office/drawing/2012/chart" uri="{02D57815-91ED-43cb-92C2-25804820EDAC}">
                  <c15:fullRef>
                    <c15:sqref>'PBL OLD'!$MX$62:$NH$62</c15:sqref>
                  </c15:fullRef>
                </c:ext>
              </c:extLst>
              <c:f>('PBL OLD'!$MX$62:$NF$62,'PBL OLD'!$NH$62)</c:f>
              <c:numCache>
                <c:formatCode>0.0000</c:formatCode>
                <c:ptCount val="10"/>
                <c:pt idx="0">
                  <c:v>0.11782480552789665</c:v>
                </c:pt>
                <c:pt idx="1">
                  <c:v>0.1496593793241352</c:v>
                </c:pt>
                <c:pt idx="2">
                  <c:v>0.23631309785327659</c:v>
                </c:pt>
                <c:pt idx="3">
                  <c:v>0.27693426833019963</c:v>
                </c:pt>
                <c:pt idx="4">
                  <c:v>0.28190533925340588</c:v>
                </c:pt>
                <c:pt idx="5">
                  <c:v>0.24086909755987707</c:v>
                </c:pt>
                <c:pt idx="6">
                  <c:v>0.28067875529233577</c:v>
                </c:pt>
                <c:pt idx="7">
                  <c:v>0.255163271395763</c:v>
                </c:pt>
                <c:pt idx="8">
                  <c:v>0.35066359585242468</c:v>
                </c:pt>
                <c:pt idx="9">
                  <c:v>0.25252690135428657</c:v>
                </c:pt>
              </c:numCache>
            </c:numRef>
          </c:val>
          <c:extLst>
            <c:ext xmlns:c15="http://schemas.microsoft.com/office/drawing/2012/chart" uri="{02D57815-91ED-43cb-92C2-25804820EDAC}">
              <c15:categoryFilterExceptions>
                <c15:categoryFilterException>
                  <c15:sqref>'PBL OLD'!$NG$62</c15:sqref>
                  <c15:invertIfNegative val="0"/>
                  <c15:bubble3D val="0"/>
                </c15:categoryFilterException>
              </c15:categoryFilterExceptions>
            </c:ext>
            <c:ext xmlns:c16="http://schemas.microsoft.com/office/drawing/2014/chart" uri="{C3380CC4-5D6E-409C-BE32-E72D297353CC}">
              <c16:uniqueId val="{00000005-A2EC-49B4-B654-5C794762543C}"/>
            </c:ext>
          </c:extLst>
        </c:ser>
        <c:ser>
          <c:idx val="2"/>
          <c:order val="6"/>
          <c:spPr>
            <a:solidFill>
              <a:schemeClr val="bg2">
                <a:lumMod val="40000"/>
                <a:lumOff val="60000"/>
              </a:schemeClr>
            </a:solidFill>
            <a:ln>
              <a:noFill/>
            </a:ln>
          </c:spPr>
          <c:invertIfNegative val="0"/>
          <c:cat>
            <c:strRef>
              <c:extLst>
                <c:ext xmlns:c15="http://schemas.microsoft.com/office/drawing/2012/chart" uri="{02D57815-91ED-43cb-92C2-25804820EDAC}">
                  <c15:fullRef>
                    <c15:sqref>'PBL OLD'!$MX$9:$NH$9</c15:sqref>
                  </c15:fullRef>
                </c:ext>
              </c:extLst>
              <c:f>('PBL OLD'!$MX$9:$NF$9,'PBL OLD'!$NH$9)</c:f>
              <c:strCache>
                <c:ptCount val="10"/>
                <c:pt idx="0">
                  <c:v>1H18</c:v>
                </c:pt>
                <c:pt idx="1">
                  <c:v>2H18</c:v>
                </c:pt>
                <c:pt idx="2">
                  <c:v>1H19</c:v>
                </c:pt>
                <c:pt idx="3">
                  <c:v>2H19</c:v>
                </c:pt>
                <c:pt idx="4">
                  <c:v>1H20</c:v>
                </c:pt>
                <c:pt idx="5">
                  <c:v>2H20</c:v>
                </c:pt>
                <c:pt idx="6">
                  <c:v>1H21</c:v>
                </c:pt>
                <c:pt idx="7">
                  <c:v>2H21</c:v>
                </c:pt>
                <c:pt idx="8">
                  <c:v>1H22</c:v>
                </c:pt>
                <c:pt idx="9">
                  <c:v>2H22 ytd</c:v>
                </c:pt>
              </c:strCache>
            </c:strRef>
          </c:cat>
          <c:val>
            <c:numRef>
              <c:extLst>
                <c:ext xmlns:c15="http://schemas.microsoft.com/office/drawing/2012/chart" uri="{02D57815-91ED-43cb-92C2-25804820EDAC}">
                  <c15:fullRef>
                    <c15:sqref>'PBL OLD'!$MX$63:$NH$63</c15:sqref>
                  </c15:fullRef>
                </c:ext>
              </c:extLst>
              <c:f>('PBL OLD'!$MX$63:$NF$63,'PBL OLD'!$NH$63)</c:f>
              <c:numCache>
                <c:formatCode>0.0000</c:formatCode>
                <c:ptCount val="10"/>
                <c:pt idx="0">
                  <c:v>0.11782480552789676</c:v>
                </c:pt>
                <c:pt idx="1">
                  <c:v>0.14965937932413498</c:v>
                </c:pt>
                <c:pt idx="2">
                  <c:v>0.23631309785327681</c:v>
                </c:pt>
                <c:pt idx="3">
                  <c:v>0.27693426833019963</c:v>
                </c:pt>
                <c:pt idx="4">
                  <c:v>0.28190533925340633</c:v>
                </c:pt>
                <c:pt idx="5">
                  <c:v>0.24086909755987707</c:v>
                </c:pt>
                <c:pt idx="6">
                  <c:v>0.28067875529233577</c:v>
                </c:pt>
                <c:pt idx="7">
                  <c:v>0.255163271395763</c:v>
                </c:pt>
                <c:pt idx="8">
                  <c:v>0.35066359585242424</c:v>
                </c:pt>
                <c:pt idx="9">
                  <c:v>0.25252690135428635</c:v>
                </c:pt>
              </c:numCache>
            </c:numRef>
          </c:val>
          <c:extLst>
            <c:ext xmlns:c16="http://schemas.microsoft.com/office/drawing/2014/chart" uri="{C3380CC4-5D6E-409C-BE32-E72D297353CC}">
              <c16:uniqueId val="{00000006-A2EC-49B4-B654-5C794762543C}"/>
            </c:ext>
          </c:extLst>
        </c:ser>
        <c:dLbls>
          <c:showLegendKey val="0"/>
          <c:showVal val="0"/>
          <c:showCatName val="0"/>
          <c:showSerName val="0"/>
          <c:showPercent val="0"/>
          <c:showBubbleSize val="0"/>
        </c:dLbls>
        <c:gapWidth val="150"/>
        <c:overlap val="100"/>
        <c:axId val="1019316528"/>
        <c:axId val="1019315544"/>
      </c:barChart>
      <c:lineChart>
        <c:grouping val="stacked"/>
        <c:varyColors val="0"/>
        <c:ser>
          <c:idx val="3"/>
          <c:order val="7"/>
          <c:tx>
            <c:strRef>
              <c:f>'PBL OLD'!$MW$12</c:f>
              <c:strCache>
                <c:ptCount val="1"/>
                <c:pt idx="0">
                  <c:v>Actual</c:v>
                </c:pt>
              </c:strCache>
            </c:strRef>
          </c:tx>
          <c:spPr>
            <a:ln w="19050">
              <a:noFill/>
            </a:ln>
          </c:spPr>
          <c:marker>
            <c:symbol val="diamond"/>
            <c:size val="13"/>
            <c:spPr>
              <a:solidFill>
                <a:schemeClr val="tx2"/>
              </a:solidFill>
              <a:ln w="25400">
                <a:solidFill>
                  <a:schemeClr val="tx1"/>
                </a:solidFill>
              </a:ln>
            </c:spPr>
          </c:marker>
          <c:cat>
            <c:strLit>
              <c:ptCount val="10"/>
              <c:pt idx="0">
                <c:v>1H18</c:v>
              </c:pt>
              <c:pt idx="1">
                <c:v>2H18</c:v>
              </c:pt>
              <c:pt idx="2">
                <c:v>1H19</c:v>
              </c:pt>
              <c:pt idx="3">
                <c:v>2H19</c:v>
              </c:pt>
              <c:pt idx="4">
                <c:v>1H20</c:v>
              </c:pt>
              <c:pt idx="5">
                <c:v>2H20</c:v>
              </c:pt>
              <c:pt idx="6">
                <c:v>1H21</c:v>
              </c:pt>
              <c:pt idx="7">
                <c:v>2H21</c:v>
              </c:pt>
              <c:pt idx="8">
                <c:v>1H22</c:v>
              </c:pt>
              <c:pt idx="9">
                <c:v>2H22 ytd</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'PBL OLD'!$MX$12:$NH$12</c15:sqref>
                  </c15:fullRef>
                </c:ext>
              </c:extLst>
              <c:f>('PBL OLD'!$MX$12:$NF$12,'PBL OLD'!$NH$12)</c:f>
              <c:numCache>
                <c:formatCode>_-* #,##0.0000_-;\-* #,##0.0000_-;_-* "-"??_-;_-@_-</c:formatCode>
                <c:ptCount val="10"/>
                <c:pt idx="0">
                  <c:v>0.50481337402649995</c:v>
                </c:pt>
                <c:pt idx="1">
                  <c:v>0.7021907353350999</c:v>
                </c:pt>
                <c:pt idx="2">
                  <c:v>1.1393866275132001</c:v>
                </c:pt>
                <c:pt idx="3">
                  <c:v>1.0555108226916003</c:v>
                </c:pt>
                <c:pt idx="4">
                  <c:v>1.4846321634210002</c:v>
                </c:pt>
                <c:pt idx="5">
                  <c:v>1.0392567352463999</c:v>
                </c:pt>
                <c:pt idx="6">
                  <c:v>1.2199573358477998</c:v>
                </c:pt>
                <c:pt idx="7">
                  <c:v>1.2338811836339998</c:v>
                </c:pt>
                <c:pt idx="8">
                  <c:v>1.5639026176620001</c:v>
                </c:pt>
                <c:pt idx="9">
                  <c:v>1.7439737266775999</c:v>
                </c:pt>
              </c:numCache>
            </c:numRef>
          </c:val>
          <c:smooth val="0"/>
          <c:extLst>
            <c:ext xmlns:c16="http://schemas.microsoft.com/office/drawing/2014/chart" uri="{C3380CC4-5D6E-409C-BE32-E72D297353CC}">
              <c16:uniqueId val="{00000007-A2EC-49B4-B654-5C794762543C}"/>
            </c:ext>
          </c:extLst>
        </c:ser>
        <c:dLbls>
          <c:showLegendKey val="0"/>
          <c:showVal val="0"/>
          <c:showCatName val="0"/>
          <c:showSerName val="0"/>
          <c:showPercent val="0"/>
          <c:showBubbleSize val="0"/>
        </c:dLbls>
        <c:marker val="1"/>
        <c:smooth val="0"/>
        <c:axId val="1019316528"/>
        <c:axId val="1019315544"/>
      </c:lineChart>
      <c:catAx>
        <c:axId val="101931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19315544"/>
        <c:crosses val="autoZero"/>
        <c:auto val="1"/>
        <c:lblAlgn val="ctr"/>
        <c:lblOffset val="100"/>
        <c:noMultiLvlLbl val="0"/>
      </c:catAx>
      <c:valAx>
        <c:axId val="1019315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Ticket Sales ($b)</a:t>
                </a:r>
              </a:p>
            </c:rich>
          </c:tx>
          <c:overlay val="0"/>
          <c:spPr>
            <a:noFill/>
            <a:ln>
              <a:noFill/>
            </a:ln>
            <a:effectLst/>
          </c:sp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19316528"/>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3"/>
          <c:order val="0"/>
          <c:tx>
            <c:strRef>
              <c:f>'PBL OLD'!$BG$20</c:f>
              <c:strCache>
                <c:ptCount val="1"/>
                <c:pt idx="0">
                  <c:v>ytd 50th Percentile</c:v>
                </c:pt>
              </c:strCache>
            </c:strRef>
          </c:tx>
          <c:spPr>
            <a:solidFill>
              <a:schemeClr val="accent4"/>
            </a:solidFill>
            <a:ln>
              <a:noFill/>
            </a:ln>
            <a:effectLst/>
          </c:spPr>
          <c:invertIfNegative val="0"/>
          <c:cat>
            <c:strRef>
              <c:f>'PBL OLD'!$BH$9:$BN$9</c:f>
              <c:strCache>
                <c:ptCount val="7"/>
                <c:pt idx="0">
                  <c:v>FY18</c:v>
                </c:pt>
                <c:pt idx="1">
                  <c:v>FY19</c:v>
                </c:pt>
                <c:pt idx="2">
                  <c:v>FY20</c:v>
                </c:pt>
                <c:pt idx="3">
                  <c:v>FY21</c:v>
                </c:pt>
                <c:pt idx="4">
                  <c:v>FY22</c:v>
                </c:pt>
                <c:pt idx="5">
                  <c:v>FY23e</c:v>
                </c:pt>
                <c:pt idx="6">
                  <c:v>FY22 ytd</c:v>
                </c:pt>
              </c:strCache>
            </c:strRef>
          </c:cat>
          <c:val>
            <c:numRef>
              <c:f>'PBL OLD'!$BH$20:$BN$20</c:f>
              <c:numCache>
                <c:formatCode>General</c:formatCode>
                <c:ptCount val="7"/>
                <c:pt idx="4" formatCode="0.0000">
                  <c:v>3.0602049846180996</c:v>
                </c:pt>
              </c:numCache>
            </c:numRef>
          </c:val>
          <c:extLst>
            <c:ext xmlns:c16="http://schemas.microsoft.com/office/drawing/2014/chart" uri="{C3380CC4-5D6E-409C-BE32-E72D297353CC}">
              <c16:uniqueId val="{00000000-A3DB-4AF4-BEEE-1AA410D84338}"/>
            </c:ext>
          </c:extLst>
        </c:ser>
        <c:ser>
          <c:idx val="0"/>
          <c:order val="1"/>
          <c:tx>
            <c:strRef>
              <c:f>'PBL OLD'!$BG$12</c:f>
              <c:strCache>
                <c:ptCount val="1"/>
                <c:pt idx="0">
                  <c:v>Actual</c:v>
                </c:pt>
              </c:strCache>
            </c:strRef>
          </c:tx>
          <c:spPr>
            <a:solidFill>
              <a:schemeClr val="accent1"/>
            </a:solidFill>
            <a:ln>
              <a:noFill/>
            </a:ln>
            <a:effectLst/>
          </c:spPr>
          <c:invertIfNegative val="0"/>
          <c:cat>
            <c:strRef>
              <c:f>'PBL OLD'!$BH$9:$BN$9</c:f>
              <c:strCache>
                <c:ptCount val="7"/>
                <c:pt idx="0">
                  <c:v>FY18</c:v>
                </c:pt>
                <c:pt idx="1">
                  <c:v>FY19</c:v>
                </c:pt>
                <c:pt idx="2">
                  <c:v>FY20</c:v>
                </c:pt>
                <c:pt idx="3">
                  <c:v>FY21</c:v>
                </c:pt>
                <c:pt idx="4">
                  <c:v>FY22</c:v>
                </c:pt>
                <c:pt idx="5">
                  <c:v>FY23e</c:v>
                </c:pt>
                <c:pt idx="6">
                  <c:v>FY22 ytd</c:v>
                </c:pt>
              </c:strCache>
            </c:strRef>
          </c:cat>
          <c:val>
            <c:numRef>
              <c:f>'PBL OLD'!$BH$12:$BN$12</c:f>
              <c:numCache>
                <c:formatCode>_(* #,##0.00_);_(* \(#,##0.00\);_(* "-"??_);_(@_)</c:formatCode>
                <c:ptCount val="7"/>
                <c:pt idx="0">
                  <c:v>1.2070041093615997</c:v>
                </c:pt>
                <c:pt idx="1">
                  <c:v>2.1948974502048002</c:v>
                </c:pt>
                <c:pt idx="2">
                  <c:v>2.5238888986673995</c:v>
                </c:pt>
                <c:pt idx="3">
                  <c:v>2.4538385194818004</c:v>
                </c:pt>
                <c:pt idx="4">
                  <c:v>3.3078763443396002</c:v>
                </c:pt>
                <c:pt idx="6">
                  <c:v>3.3078763443396002</c:v>
                </c:pt>
              </c:numCache>
            </c:numRef>
          </c:val>
          <c:extLst>
            <c:ext xmlns:c16="http://schemas.microsoft.com/office/drawing/2014/chart" uri="{C3380CC4-5D6E-409C-BE32-E72D297353CC}">
              <c16:uniqueId val="{00000001-A3DB-4AF4-BEEE-1AA410D84338}"/>
            </c:ext>
          </c:extLst>
        </c:ser>
        <c:ser>
          <c:idx val="6"/>
          <c:order val="2"/>
          <c:tx>
            <c:strRef>
              <c:f>'PBL OLD'!$BG$27</c:f>
              <c:strCache>
                <c:ptCount val="1"/>
                <c:pt idx="0">
                  <c:v>50th Percentile</c:v>
                </c:pt>
              </c:strCache>
            </c:strRef>
          </c:tx>
          <c:spPr>
            <a:solidFill>
              <a:schemeClr val="accent1">
                <a:lumMod val="60000"/>
              </a:schemeClr>
            </a:solidFill>
            <a:ln>
              <a:noFill/>
            </a:ln>
            <a:effectLst/>
          </c:spPr>
          <c:invertIfNegative val="0"/>
          <c:cat>
            <c:strRef>
              <c:f>'PBL OLD'!$BH$9:$BN$9</c:f>
              <c:strCache>
                <c:ptCount val="7"/>
                <c:pt idx="0">
                  <c:v>FY18</c:v>
                </c:pt>
                <c:pt idx="1">
                  <c:v>FY19</c:v>
                </c:pt>
                <c:pt idx="2">
                  <c:v>FY20</c:v>
                </c:pt>
                <c:pt idx="3">
                  <c:v>FY21</c:v>
                </c:pt>
                <c:pt idx="4">
                  <c:v>FY22</c:v>
                </c:pt>
                <c:pt idx="5">
                  <c:v>FY23e</c:v>
                </c:pt>
                <c:pt idx="6">
                  <c:v>FY22 ytd</c:v>
                </c:pt>
              </c:strCache>
            </c:strRef>
          </c:cat>
          <c:val>
            <c:numRef>
              <c:f>'PBL OLD'!$BH$27:$BL$27</c:f>
              <c:numCache>
                <c:formatCode>0.0000</c:formatCode>
                <c:ptCount val="5"/>
                <c:pt idx="0">
                  <c:v>1.3267778605845755</c:v>
                </c:pt>
                <c:pt idx="1">
                  <c:v>1.9872182048483018</c:v>
                </c:pt>
                <c:pt idx="2">
                  <c:v>2.3285456441066303</c:v>
                </c:pt>
                <c:pt idx="3">
                  <c:v>2.7944760670203199</c:v>
                </c:pt>
                <c:pt idx="4">
                  <c:v>3.0602049846181001</c:v>
                </c:pt>
              </c:numCache>
            </c:numRef>
          </c:val>
          <c:extLst>
            <c:ext xmlns:c16="http://schemas.microsoft.com/office/drawing/2014/chart" uri="{C3380CC4-5D6E-409C-BE32-E72D297353CC}">
              <c16:uniqueId val="{00000002-A3DB-4AF4-BEEE-1AA410D84338}"/>
            </c:ext>
          </c:extLst>
        </c:ser>
        <c:ser>
          <c:idx val="1"/>
          <c:order val="3"/>
          <c:tx>
            <c:strRef>
              <c:f>'PBL OLD'!$BG$13</c:f>
              <c:strCache>
                <c:ptCount val="1"/>
                <c:pt idx="0">
                  <c:v>Actual ytd Standardised</c:v>
                </c:pt>
              </c:strCache>
            </c:strRef>
          </c:tx>
          <c:spPr>
            <a:solidFill>
              <a:schemeClr val="accent2"/>
            </a:solidFill>
            <a:ln>
              <a:noFill/>
            </a:ln>
            <a:effectLst/>
          </c:spPr>
          <c:invertIfNegative val="0"/>
          <c:cat>
            <c:strRef>
              <c:f>'PBL OLD'!$BH$9:$BN$9</c:f>
              <c:strCache>
                <c:ptCount val="7"/>
                <c:pt idx="0">
                  <c:v>FY18</c:v>
                </c:pt>
                <c:pt idx="1">
                  <c:v>FY19</c:v>
                </c:pt>
                <c:pt idx="2">
                  <c:v>FY20</c:v>
                </c:pt>
                <c:pt idx="3">
                  <c:v>FY21</c:v>
                </c:pt>
                <c:pt idx="4">
                  <c:v>FY22</c:v>
                </c:pt>
                <c:pt idx="5">
                  <c:v>FY23e</c:v>
                </c:pt>
                <c:pt idx="6">
                  <c:v>FY22 ytd</c:v>
                </c:pt>
              </c:strCache>
            </c:strRef>
          </c:cat>
          <c:val>
            <c:numRef>
              <c:f>'PBL OLD'!$BH$13:$BL$13</c:f>
              <c:numCache>
                <c:formatCode>_(* #,##0.00_);_(* \(#,##0.00\);_(* "-"??_);_(@_)</c:formatCode>
                <c:ptCount val="5"/>
                <c:pt idx="4">
                  <c:v>3.2454635831256451</c:v>
                </c:pt>
              </c:numCache>
            </c:numRef>
          </c:val>
          <c:extLst>
            <c:ext xmlns:c16="http://schemas.microsoft.com/office/drawing/2014/chart" uri="{C3380CC4-5D6E-409C-BE32-E72D297353CC}">
              <c16:uniqueId val="{00000003-A3DB-4AF4-BEEE-1AA410D84338}"/>
            </c:ext>
          </c:extLst>
        </c:ser>
        <c:ser>
          <c:idx val="2"/>
          <c:order val="4"/>
          <c:tx>
            <c:strRef>
              <c:f>'PBL OLD'!$BG$14</c:f>
              <c:strCache>
                <c:ptCount val="1"/>
                <c:pt idx="0">
                  <c:v>Actual ytd + 50th percentile</c:v>
                </c:pt>
              </c:strCache>
            </c:strRef>
          </c:tx>
          <c:spPr>
            <a:solidFill>
              <a:schemeClr val="accent3"/>
            </a:solidFill>
            <a:ln>
              <a:noFill/>
            </a:ln>
            <a:effectLst/>
          </c:spPr>
          <c:invertIfNegative val="0"/>
          <c:cat>
            <c:strRef>
              <c:f>'PBL OLD'!$BH$9:$BN$9</c:f>
              <c:strCache>
                <c:ptCount val="7"/>
                <c:pt idx="0">
                  <c:v>FY18</c:v>
                </c:pt>
                <c:pt idx="1">
                  <c:v>FY19</c:v>
                </c:pt>
                <c:pt idx="2">
                  <c:v>FY20</c:v>
                </c:pt>
                <c:pt idx="3">
                  <c:v>FY21</c:v>
                </c:pt>
                <c:pt idx="4">
                  <c:v>FY22</c:v>
                </c:pt>
                <c:pt idx="5">
                  <c:v>FY23e</c:v>
                </c:pt>
                <c:pt idx="6">
                  <c:v>FY22 ytd</c:v>
                </c:pt>
              </c:strCache>
            </c:strRef>
          </c:cat>
          <c:val>
            <c:numRef>
              <c:f>'PBL OLD'!$BH$14:$BL$14</c:f>
              <c:numCache>
                <c:formatCode>General</c:formatCode>
                <c:ptCount val="5"/>
                <c:pt idx="4" formatCode="_(* #,##0.00_);_(* \(#,##0.00\);_(* &quot;-&quot;??_);_(@_)">
                  <c:v>3.7961773156692002</c:v>
                </c:pt>
              </c:numCache>
            </c:numRef>
          </c:val>
          <c:extLst>
            <c:ext xmlns:c16="http://schemas.microsoft.com/office/drawing/2014/chart" uri="{C3380CC4-5D6E-409C-BE32-E72D297353CC}">
              <c16:uniqueId val="{00000004-A3DB-4AF4-BEEE-1AA410D84338}"/>
            </c:ext>
          </c:extLst>
        </c:ser>
        <c:dLbls>
          <c:showLegendKey val="0"/>
          <c:showVal val="0"/>
          <c:showCatName val="0"/>
          <c:showSerName val="0"/>
          <c:showPercent val="0"/>
          <c:showBubbleSize val="0"/>
        </c:dLbls>
        <c:gapWidth val="219"/>
        <c:overlap val="-27"/>
        <c:axId val="1019316528"/>
        <c:axId val="1019315544"/>
        <c:extLst/>
      </c:barChart>
      <c:catAx>
        <c:axId val="101931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19315544"/>
        <c:crosses val="autoZero"/>
        <c:auto val="1"/>
        <c:lblAlgn val="ctr"/>
        <c:lblOffset val="100"/>
        <c:noMultiLvlLbl val="0"/>
      </c:catAx>
      <c:valAx>
        <c:axId val="1019315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Ticket Sales ($b)</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19316528"/>
        <c:crosses val="autoZero"/>
        <c:crossBetween val="between"/>
      </c:valAx>
      <c:spPr>
        <a:noFill/>
        <a:ln>
          <a:noFill/>
        </a:ln>
        <a:effectLst/>
      </c:spPr>
    </c:plotArea>
    <c:legend>
      <c:legendPos val="b"/>
      <c:layout>
        <c:manualLayout>
          <c:xMode val="edge"/>
          <c:yMode val="edge"/>
          <c:x val="8.1881466461451349E-2"/>
          <c:y val="0.79282873644320018"/>
          <c:w val="0.89132637951506244"/>
          <c:h val="0.1814091600168096"/>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595740524807711"/>
          <c:y val="4.5604279555213005E-2"/>
          <c:w val="0.85715770307956141"/>
          <c:h val="0.63918755829072416"/>
        </c:manualLayout>
      </c:layout>
      <c:barChart>
        <c:barDir val="col"/>
        <c:grouping val="stacked"/>
        <c:varyColors val="0"/>
        <c:ser>
          <c:idx val="0"/>
          <c:order val="0"/>
          <c:tx>
            <c:strRef>
              <c:f>'PBL OLD'!$BG$35</c:f>
              <c:strCache>
                <c:ptCount val="1"/>
                <c:pt idx="0">
                  <c:v>Delete</c:v>
                </c:pt>
              </c:strCache>
            </c:strRef>
          </c:tx>
          <c:spPr>
            <a:noFill/>
          </c:spPr>
          <c:invertIfNegative val="0"/>
          <c:cat>
            <c:strRef>
              <c:f>'PBL OLD'!$BH$9:$BN$9</c:f>
              <c:strCache>
                <c:ptCount val="7"/>
                <c:pt idx="0">
                  <c:v>FY18</c:v>
                </c:pt>
                <c:pt idx="1">
                  <c:v>FY19</c:v>
                </c:pt>
                <c:pt idx="2">
                  <c:v>FY20</c:v>
                </c:pt>
                <c:pt idx="3">
                  <c:v>FY21</c:v>
                </c:pt>
                <c:pt idx="4">
                  <c:v>FY22</c:v>
                </c:pt>
                <c:pt idx="5">
                  <c:v>FY23e</c:v>
                </c:pt>
                <c:pt idx="6">
                  <c:v>FY22 ytd</c:v>
                </c:pt>
              </c:strCache>
            </c:strRef>
          </c:cat>
          <c:val>
            <c:numRef>
              <c:f>'PBL OLD'!$BH$35:$BN$35</c:f>
              <c:numCache>
                <c:formatCode>0.0000</c:formatCode>
                <c:ptCount val="7"/>
                <c:pt idx="0">
                  <c:v>0.88898749196337468</c:v>
                </c:pt>
                <c:pt idx="1">
                  <c:v>1.2628339576374232</c:v>
                </c:pt>
                <c:pt idx="2">
                  <c:v>1.497466908542763</c:v>
                </c:pt>
                <c:pt idx="3">
                  <c:v>1.8014767645404111</c:v>
                </c:pt>
                <c:pt idx="4">
                  <c:v>1.8374304196768296</c:v>
                </c:pt>
                <c:pt idx="5">
                  <c:v>1.6867811392566225</c:v>
                </c:pt>
                <c:pt idx="6">
                  <c:v>1.8374304196768296</c:v>
                </c:pt>
              </c:numCache>
            </c:numRef>
          </c:val>
          <c:extLst>
            <c:ext xmlns:c16="http://schemas.microsoft.com/office/drawing/2014/chart" uri="{C3380CC4-5D6E-409C-BE32-E72D297353CC}">
              <c16:uniqueId val="{00000000-344B-45F7-81C2-A30A3D117B61}"/>
            </c:ext>
          </c:extLst>
        </c:ser>
        <c:ser>
          <c:idx val="6"/>
          <c:order val="1"/>
          <c:tx>
            <c:strRef>
              <c:f>'PBL OLD'!$BG$36</c:f>
              <c:strCache>
                <c:ptCount val="1"/>
                <c:pt idx="0">
                  <c:v>Min to 5th Percentile</c:v>
                </c:pt>
              </c:strCache>
            </c:strRef>
          </c:tx>
          <c:spPr>
            <a:solidFill>
              <a:srgbClr val="7030A0"/>
            </a:solidFill>
          </c:spPr>
          <c:invertIfNegative val="0"/>
          <c:cat>
            <c:strRef>
              <c:f>'PBL OLD'!$BH$9:$BN$9</c:f>
              <c:strCache>
                <c:ptCount val="7"/>
                <c:pt idx="0">
                  <c:v>FY18</c:v>
                </c:pt>
                <c:pt idx="1">
                  <c:v>FY19</c:v>
                </c:pt>
                <c:pt idx="2">
                  <c:v>FY20</c:v>
                </c:pt>
                <c:pt idx="3">
                  <c:v>FY21</c:v>
                </c:pt>
                <c:pt idx="4">
                  <c:v>FY22</c:v>
                </c:pt>
                <c:pt idx="5">
                  <c:v>FY23e</c:v>
                </c:pt>
                <c:pt idx="6">
                  <c:v>FY22 ytd</c:v>
                </c:pt>
              </c:strCache>
            </c:strRef>
          </c:cat>
          <c:val>
            <c:numRef>
              <c:f>'PBL OLD'!$BH$36:$BN$36</c:f>
              <c:numCache>
                <c:formatCode>0.0000</c:formatCode>
                <c:ptCount val="7"/>
                <c:pt idx="0">
                  <c:v>0.1887850472067778</c:v>
                </c:pt>
                <c:pt idx="1">
                  <c:v>0.2713339913093713</c:v>
                </c:pt>
                <c:pt idx="2">
                  <c:v>0.33690357289335715</c:v>
                </c:pt>
                <c:pt idx="3">
                  <c:v>0.45935994667453928</c:v>
                </c:pt>
                <c:pt idx="4">
                  <c:v>0.59522218044897857</c:v>
                </c:pt>
                <c:pt idx="5">
                  <c:v>0.47374977495426629</c:v>
                </c:pt>
                <c:pt idx="6">
                  <c:v>0.59522218044897857</c:v>
                </c:pt>
              </c:numCache>
            </c:numRef>
          </c:val>
          <c:extLst>
            <c:ext xmlns:c16="http://schemas.microsoft.com/office/drawing/2014/chart" uri="{C3380CC4-5D6E-409C-BE32-E72D297353CC}">
              <c16:uniqueId val="{00000001-344B-45F7-81C2-A30A3D117B61}"/>
            </c:ext>
          </c:extLst>
        </c:ser>
        <c:ser>
          <c:idx val="8"/>
          <c:order val="2"/>
          <c:tx>
            <c:strRef>
              <c:f>'PBL OLD'!$BG$37</c:f>
              <c:strCache>
                <c:ptCount val="1"/>
                <c:pt idx="0">
                  <c:v>5th to 25th Percentile</c:v>
                </c:pt>
              </c:strCache>
            </c:strRef>
          </c:tx>
          <c:spPr>
            <a:solidFill>
              <a:schemeClr val="tx2">
                <a:lumMod val="60000"/>
                <a:lumOff val="40000"/>
              </a:schemeClr>
            </a:solidFill>
          </c:spPr>
          <c:invertIfNegative val="0"/>
          <c:cat>
            <c:strRef>
              <c:f>'PBL OLD'!$BH$9:$BN$9</c:f>
              <c:strCache>
                <c:ptCount val="7"/>
                <c:pt idx="0">
                  <c:v>FY18</c:v>
                </c:pt>
                <c:pt idx="1">
                  <c:v>FY19</c:v>
                </c:pt>
                <c:pt idx="2">
                  <c:v>FY20</c:v>
                </c:pt>
                <c:pt idx="3">
                  <c:v>FY21</c:v>
                </c:pt>
                <c:pt idx="4">
                  <c:v>FY22</c:v>
                </c:pt>
                <c:pt idx="5">
                  <c:v>FY23e</c:v>
                </c:pt>
                <c:pt idx="6">
                  <c:v>FY22 ytd</c:v>
                </c:pt>
              </c:strCache>
            </c:strRef>
          </c:cat>
          <c:val>
            <c:numRef>
              <c:f>'PBL OLD'!$BH$37:$BN$37</c:f>
              <c:numCache>
                <c:formatCode>0.0000</c:formatCode>
                <c:ptCount val="7"/>
                <c:pt idx="0">
                  <c:v>0.13256015533953636</c:v>
                </c:pt>
                <c:pt idx="1">
                  <c:v>0.23308226126661813</c:v>
                </c:pt>
                <c:pt idx="2">
                  <c:v>0.2535364855598945</c:v>
                </c:pt>
                <c:pt idx="3">
                  <c:v>0.29696568427794157</c:v>
                </c:pt>
                <c:pt idx="4">
                  <c:v>0.34347359494438656</c:v>
                </c:pt>
                <c:pt idx="5">
                  <c:v>0.30960932000823504</c:v>
                </c:pt>
                <c:pt idx="6">
                  <c:v>0.34347359494438656</c:v>
                </c:pt>
              </c:numCache>
            </c:numRef>
          </c:val>
          <c:extLst>
            <c:ext xmlns:c16="http://schemas.microsoft.com/office/drawing/2014/chart" uri="{C3380CC4-5D6E-409C-BE32-E72D297353CC}">
              <c16:uniqueId val="{00000002-344B-45F7-81C2-A30A3D117B61}"/>
            </c:ext>
          </c:extLst>
        </c:ser>
        <c:ser>
          <c:idx val="1"/>
          <c:order val="3"/>
          <c:tx>
            <c:strRef>
              <c:f>'PBL OLD'!$BG$38</c:f>
              <c:strCache>
                <c:ptCount val="1"/>
                <c:pt idx="0">
                  <c:v>25th to 75th Percentile</c:v>
                </c:pt>
              </c:strCache>
            </c:strRef>
          </c:tx>
          <c:spPr>
            <a:solidFill>
              <a:schemeClr val="bg2"/>
            </a:solidFill>
          </c:spPr>
          <c:invertIfNegative val="0"/>
          <c:cat>
            <c:strRef>
              <c:f>'PBL OLD'!$BH$9:$BN$9</c:f>
              <c:strCache>
                <c:ptCount val="7"/>
                <c:pt idx="0">
                  <c:v>FY18</c:v>
                </c:pt>
                <c:pt idx="1">
                  <c:v>FY19</c:v>
                </c:pt>
                <c:pt idx="2">
                  <c:v>FY20</c:v>
                </c:pt>
                <c:pt idx="3">
                  <c:v>FY21</c:v>
                </c:pt>
                <c:pt idx="4">
                  <c:v>FY22</c:v>
                </c:pt>
                <c:pt idx="5">
                  <c:v>FY23e</c:v>
                </c:pt>
                <c:pt idx="6">
                  <c:v>FY22 ytd</c:v>
                </c:pt>
              </c:strCache>
            </c:strRef>
          </c:cat>
          <c:val>
            <c:numRef>
              <c:f>'PBL OLD'!$BH$38:$BL$38</c:f>
              <c:numCache>
                <c:formatCode>0.0000</c:formatCode>
                <c:ptCount val="5"/>
                <c:pt idx="0">
                  <c:v>0.25687366549660706</c:v>
                </c:pt>
                <c:pt idx="1">
                  <c:v>0.4770360311494084</c:v>
                </c:pt>
                <c:pt idx="2">
                  <c:v>0.51521146886833735</c:v>
                </c:pt>
                <c:pt idx="3">
                  <c:v>0.51809636821058636</c:v>
                </c:pt>
                <c:pt idx="4">
                  <c:v>0.60676558914972034</c:v>
                </c:pt>
              </c:numCache>
            </c:numRef>
          </c:val>
          <c:extLst>
            <c:ext xmlns:c16="http://schemas.microsoft.com/office/drawing/2014/chart" uri="{C3380CC4-5D6E-409C-BE32-E72D297353CC}">
              <c16:uniqueId val="{00000003-344B-45F7-81C2-A30A3D117B61}"/>
            </c:ext>
          </c:extLst>
        </c:ser>
        <c:ser>
          <c:idx val="2"/>
          <c:order val="4"/>
          <c:tx>
            <c:strRef>
              <c:f>'PBL OLD'!$BG$39</c:f>
              <c:strCache>
                <c:ptCount val="1"/>
                <c:pt idx="0">
                  <c:v>75th to 95th Percentile</c:v>
                </c:pt>
              </c:strCache>
            </c:strRef>
          </c:tx>
          <c:spPr>
            <a:solidFill>
              <a:schemeClr val="accent2"/>
            </a:solidFill>
            <a:ln w="19050">
              <a:noFill/>
            </a:ln>
          </c:spPr>
          <c:invertIfNegative val="0"/>
          <c:cat>
            <c:strRef>
              <c:f>'PBL OLD'!$BH$9:$BN$9</c:f>
              <c:strCache>
                <c:ptCount val="7"/>
                <c:pt idx="0">
                  <c:v>FY18</c:v>
                </c:pt>
                <c:pt idx="1">
                  <c:v>FY19</c:v>
                </c:pt>
                <c:pt idx="2">
                  <c:v>FY20</c:v>
                </c:pt>
                <c:pt idx="3">
                  <c:v>FY21</c:v>
                </c:pt>
                <c:pt idx="4">
                  <c:v>FY22</c:v>
                </c:pt>
                <c:pt idx="5">
                  <c:v>FY23e</c:v>
                </c:pt>
                <c:pt idx="6">
                  <c:v>FY22 ytd</c:v>
                </c:pt>
              </c:strCache>
            </c:strRef>
          </c:cat>
          <c:val>
            <c:numRef>
              <c:f>'PBL OLD'!$BH$39:$BN$39</c:f>
              <c:numCache>
                <c:formatCode>0.0000</c:formatCode>
                <c:ptCount val="7"/>
                <c:pt idx="0">
                  <c:v>0.2479172920291095</c:v>
                </c:pt>
                <c:pt idx="1">
                  <c:v>0.45457143321454829</c:v>
                </c:pt>
                <c:pt idx="2">
                  <c:v>0.47435899378051793</c:v>
                </c:pt>
                <c:pt idx="3">
                  <c:v>0.48810928627648398</c:v>
                </c:pt>
                <c:pt idx="4">
                  <c:v>0.55646038184767832</c:v>
                </c:pt>
                <c:pt idx="5">
                  <c:v>0.52874832124535098</c:v>
                </c:pt>
                <c:pt idx="6">
                  <c:v>0.55646038184767832</c:v>
                </c:pt>
              </c:numCache>
            </c:numRef>
          </c:val>
          <c:extLst>
            <c:ext xmlns:c16="http://schemas.microsoft.com/office/drawing/2014/chart" uri="{C3380CC4-5D6E-409C-BE32-E72D297353CC}">
              <c16:uniqueId val="{00000004-344B-45F7-81C2-A30A3D117B61}"/>
            </c:ext>
          </c:extLst>
        </c:ser>
        <c:ser>
          <c:idx val="4"/>
          <c:order val="5"/>
          <c:tx>
            <c:strRef>
              <c:f>'PBL OLD'!$BG$40</c:f>
              <c:strCache>
                <c:ptCount val="1"/>
                <c:pt idx="0">
                  <c:v>95th Percentile to Max</c:v>
                </c:pt>
              </c:strCache>
            </c:strRef>
          </c:tx>
          <c:spPr>
            <a:solidFill>
              <a:schemeClr val="accent1"/>
            </a:solidFill>
            <a:ln w="19050">
              <a:noFill/>
            </a:ln>
          </c:spPr>
          <c:invertIfNegative val="0"/>
          <c:cat>
            <c:strRef>
              <c:f>'PBL OLD'!$BH$9:$BN$9</c:f>
              <c:strCache>
                <c:ptCount val="7"/>
                <c:pt idx="0">
                  <c:v>FY18</c:v>
                </c:pt>
                <c:pt idx="1">
                  <c:v>FY19</c:v>
                </c:pt>
                <c:pt idx="2">
                  <c:v>FY20</c:v>
                </c:pt>
                <c:pt idx="3">
                  <c:v>FY21</c:v>
                </c:pt>
                <c:pt idx="4">
                  <c:v>FY22</c:v>
                </c:pt>
                <c:pt idx="5">
                  <c:v>FY23e</c:v>
                </c:pt>
                <c:pt idx="6">
                  <c:v>FY22 ytd</c:v>
                </c:pt>
              </c:strCache>
            </c:strRef>
          </c:cat>
          <c:val>
            <c:numRef>
              <c:f>'PBL OLD'!$BH$40:$BN$40</c:f>
              <c:numCache>
                <c:formatCode>0.0000</c:formatCode>
                <c:ptCount val="7"/>
                <c:pt idx="0">
                  <c:v>0.82537497438512819</c:v>
                </c:pt>
                <c:pt idx="1">
                  <c:v>1.0215119601576026</c:v>
                </c:pt>
                <c:pt idx="2">
                  <c:v>1.2814072798090059</c:v>
                </c:pt>
                <c:pt idx="3">
                  <c:v>1.3035681378389739</c:v>
                </c:pt>
                <c:pt idx="4">
                  <c:v>1.2354468106542869</c:v>
                </c:pt>
                <c:pt idx="5">
                  <c:v>1.0777187838231868</c:v>
                </c:pt>
                <c:pt idx="6">
                  <c:v>1.2354468106542869</c:v>
                </c:pt>
              </c:numCache>
            </c:numRef>
          </c:val>
          <c:extLst>
            <c:ext xmlns:c16="http://schemas.microsoft.com/office/drawing/2014/chart" uri="{C3380CC4-5D6E-409C-BE32-E72D297353CC}">
              <c16:uniqueId val="{00000005-344B-45F7-81C2-A30A3D117B61}"/>
            </c:ext>
          </c:extLst>
        </c:ser>
        <c:dLbls>
          <c:showLegendKey val="0"/>
          <c:showVal val="0"/>
          <c:showCatName val="0"/>
          <c:showSerName val="0"/>
          <c:showPercent val="0"/>
          <c:showBubbleSize val="0"/>
        </c:dLbls>
        <c:gapWidth val="150"/>
        <c:overlap val="100"/>
        <c:axId val="1019316528"/>
        <c:axId val="1019315544"/>
      </c:barChart>
      <c:lineChart>
        <c:grouping val="standard"/>
        <c:varyColors val="0"/>
        <c:ser>
          <c:idx val="3"/>
          <c:order val="6"/>
          <c:tx>
            <c:strRef>
              <c:f>'PBL OLD'!$BG$12</c:f>
              <c:strCache>
                <c:ptCount val="1"/>
                <c:pt idx="0">
                  <c:v>Actual</c:v>
                </c:pt>
              </c:strCache>
            </c:strRef>
          </c:tx>
          <c:spPr>
            <a:ln>
              <a:noFill/>
            </a:ln>
          </c:spPr>
          <c:marker>
            <c:symbol val="diamond"/>
            <c:size val="12"/>
            <c:spPr>
              <a:solidFill>
                <a:schemeClr val="tx2"/>
              </a:solidFill>
              <a:ln w="19050">
                <a:solidFill>
                  <a:schemeClr val="tx1"/>
                </a:solidFill>
              </a:ln>
            </c:spPr>
          </c:marker>
          <c:dPt>
            <c:idx val="4"/>
            <c:marker>
              <c:spPr>
                <a:solidFill>
                  <a:schemeClr val="accent6"/>
                </a:solidFill>
                <a:ln w="19050">
                  <a:solidFill>
                    <a:schemeClr val="tx1"/>
                  </a:solidFill>
                </a:ln>
              </c:spPr>
            </c:marker>
            <c:bubble3D val="0"/>
            <c:extLst>
              <c:ext xmlns:c16="http://schemas.microsoft.com/office/drawing/2014/chart" uri="{C3380CC4-5D6E-409C-BE32-E72D297353CC}">
                <c16:uniqueId val="{00000006-344B-45F7-81C2-A30A3D117B61}"/>
              </c:ext>
            </c:extLst>
          </c:dPt>
          <c:cat>
            <c:strRef>
              <c:f>'PBL OLD'!$BH$9:$BL$9</c:f>
              <c:strCache>
                <c:ptCount val="5"/>
                <c:pt idx="0">
                  <c:v>FY18</c:v>
                </c:pt>
                <c:pt idx="1">
                  <c:v>FY19</c:v>
                </c:pt>
                <c:pt idx="2">
                  <c:v>FY20</c:v>
                </c:pt>
                <c:pt idx="3">
                  <c:v>FY21</c:v>
                </c:pt>
                <c:pt idx="4">
                  <c:v>FY22</c:v>
                </c:pt>
              </c:strCache>
            </c:strRef>
          </c:cat>
          <c:val>
            <c:numRef>
              <c:f>'PBL OLD'!$BH$12:$BN$12</c:f>
              <c:numCache>
                <c:formatCode>_(* #,##0.00_);_(* \(#,##0.00\);_(* "-"??_);_(@_)</c:formatCode>
                <c:ptCount val="7"/>
                <c:pt idx="0">
                  <c:v>1.2070041093615997</c:v>
                </c:pt>
                <c:pt idx="1">
                  <c:v>2.1948974502048002</c:v>
                </c:pt>
                <c:pt idx="2">
                  <c:v>2.5238888986673995</c:v>
                </c:pt>
                <c:pt idx="3">
                  <c:v>2.4538385194818004</c:v>
                </c:pt>
                <c:pt idx="4">
                  <c:v>3.3078763443396002</c:v>
                </c:pt>
                <c:pt idx="6">
                  <c:v>3.3078763443396002</c:v>
                </c:pt>
              </c:numCache>
            </c:numRef>
          </c:val>
          <c:smooth val="0"/>
          <c:extLst>
            <c:ext xmlns:c16="http://schemas.microsoft.com/office/drawing/2014/chart" uri="{C3380CC4-5D6E-409C-BE32-E72D297353CC}">
              <c16:uniqueId val="{00000007-344B-45F7-81C2-A30A3D117B61}"/>
            </c:ext>
          </c:extLst>
        </c:ser>
        <c:dLbls>
          <c:showLegendKey val="0"/>
          <c:showVal val="0"/>
          <c:showCatName val="0"/>
          <c:showSerName val="0"/>
          <c:showPercent val="0"/>
          <c:showBubbleSize val="0"/>
        </c:dLbls>
        <c:marker val="1"/>
        <c:smooth val="0"/>
        <c:axId val="1019316528"/>
        <c:axId val="1019315544"/>
        <c:extLst>
          <c:ext xmlns:c15="http://schemas.microsoft.com/office/drawing/2012/chart" uri="{02D57815-91ED-43cb-92C2-25804820EDAC}">
            <c15:filteredLineSeries>
              <c15:ser>
                <c:idx val="5"/>
                <c:order val="7"/>
                <c:tx>
                  <c:strRef>
                    <c:extLst>
                      <c:ext uri="{02D57815-91ED-43cb-92C2-25804820EDAC}">
                        <c15:formulaRef>
                          <c15:sqref>'PBL OLD'!$BG$13</c15:sqref>
                        </c15:formulaRef>
                      </c:ext>
                    </c:extLst>
                    <c:strCache>
                      <c:ptCount val="1"/>
                      <c:pt idx="0">
                        <c:v>Actual ytd Standardised</c:v>
                      </c:pt>
                    </c:strCache>
                  </c:strRef>
                </c:tx>
                <c:spPr>
                  <a:ln w="19050">
                    <a:noFill/>
                  </a:ln>
                </c:spPr>
                <c:marker>
                  <c:symbol val="triangle"/>
                  <c:size val="10"/>
                  <c:spPr>
                    <a:solidFill>
                      <a:schemeClr val="accent6"/>
                    </a:solidFill>
                    <a:ln w="12700">
                      <a:solidFill>
                        <a:schemeClr val="tx1"/>
                      </a:solidFill>
                    </a:ln>
                  </c:spPr>
                </c:marker>
                <c:val>
                  <c:numRef>
                    <c:extLst>
                      <c:ext uri="{02D57815-91ED-43cb-92C2-25804820EDAC}">
                        <c15:formulaRef>
                          <c15:sqref>'PBL OLD'!$BH$13:$BL$13</c15:sqref>
                        </c15:formulaRef>
                      </c:ext>
                    </c:extLst>
                    <c:numCache>
                      <c:formatCode>_(* #,##0.00_);_(* \(#,##0.00\);_(* "-"??_);_(@_)</c:formatCode>
                      <c:ptCount val="5"/>
                      <c:pt idx="4">
                        <c:v>3.2454635831256451</c:v>
                      </c:pt>
                    </c:numCache>
                  </c:numRef>
                </c:val>
                <c:smooth val="0"/>
                <c:extLst>
                  <c:ext xmlns:c16="http://schemas.microsoft.com/office/drawing/2014/chart" uri="{C3380CC4-5D6E-409C-BE32-E72D297353CC}">
                    <c16:uniqueId val="{00000008-344B-45F7-81C2-A30A3D117B61}"/>
                  </c:ext>
                </c:extLst>
              </c15:ser>
            </c15:filteredLineSeries>
            <c15:filteredLineSeries>
              <c15:ser>
                <c:idx val="7"/>
                <c:order val="8"/>
                <c:tx>
                  <c:strRef>
                    <c:extLst xmlns:c15="http://schemas.microsoft.com/office/drawing/2012/chart">
                      <c:ext xmlns:c15="http://schemas.microsoft.com/office/drawing/2012/chart" uri="{02D57815-91ED-43cb-92C2-25804820EDAC}">
                        <c15:formulaRef>
                          <c15:sqref>'PBL OLD'!$BG$14</c15:sqref>
                        </c15:formulaRef>
                      </c:ext>
                    </c:extLst>
                    <c:strCache>
                      <c:ptCount val="1"/>
                      <c:pt idx="0">
                        <c:v>Actual ytd + 50th percentile</c:v>
                      </c:pt>
                    </c:strCache>
                  </c:strRef>
                </c:tx>
                <c:spPr>
                  <a:ln w="19050">
                    <a:noFill/>
                  </a:ln>
                </c:spPr>
                <c:marker>
                  <c:symbol val="square"/>
                  <c:size val="9"/>
                  <c:spPr>
                    <a:solidFill>
                      <a:schemeClr val="accent5"/>
                    </a:solidFill>
                    <a:ln w="12700">
                      <a:solidFill>
                        <a:schemeClr val="tx1"/>
                      </a:solidFill>
                    </a:ln>
                  </c:spPr>
                </c:marker>
                <c:val>
                  <c:numRef>
                    <c:extLst xmlns:c15="http://schemas.microsoft.com/office/drawing/2012/chart">
                      <c:ext xmlns:c15="http://schemas.microsoft.com/office/drawing/2012/chart" uri="{02D57815-91ED-43cb-92C2-25804820EDAC}">
                        <c15:formulaRef>
                          <c15:sqref>'PBL OLD'!$BH$14:$BL$14</c15:sqref>
                        </c15:formulaRef>
                      </c:ext>
                    </c:extLst>
                    <c:numCache>
                      <c:formatCode>General</c:formatCode>
                      <c:ptCount val="5"/>
                      <c:pt idx="4" formatCode="_(* #,##0.00_);_(* \(#,##0.00\);_(* &quot;-&quot;??_);_(@_)">
                        <c:v>3.7961773156692002</c:v>
                      </c:pt>
                    </c:numCache>
                  </c:numRef>
                </c:val>
                <c:smooth val="0"/>
                <c:extLst xmlns:c15="http://schemas.microsoft.com/office/drawing/2012/chart">
                  <c:ext xmlns:c16="http://schemas.microsoft.com/office/drawing/2014/chart" uri="{C3380CC4-5D6E-409C-BE32-E72D297353CC}">
                    <c16:uniqueId val="{00000009-344B-45F7-81C2-A30A3D117B61}"/>
                  </c:ext>
                </c:extLst>
              </c15:ser>
            </c15:filteredLineSeries>
          </c:ext>
        </c:extLst>
      </c:lineChart>
      <c:catAx>
        <c:axId val="101931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19315544"/>
        <c:crosses val="autoZero"/>
        <c:auto val="1"/>
        <c:lblAlgn val="ctr"/>
        <c:lblOffset val="100"/>
        <c:noMultiLvlLbl val="0"/>
      </c:catAx>
      <c:valAx>
        <c:axId val="1019315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Ticket Sales ($b)</a:t>
                </a:r>
              </a:p>
            </c:rich>
          </c:tx>
          <c:overlay val="0"/>
          <c:spPr>
            <a:noFill/>
            <a:ln>
              <a:noFill/>
            </a:ln>
            <a:effectLst/>
          </c:sp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19316528"/>
        <c:crosses val="autoZero"/>
        <c:crossBetween val="between"/>
      </c:valAx>
    </c:plotArea>
    <c:legend>
      <c:legendPos val="b"/>
      <c:legendEntry>
        <c:idx val="0"/>
        <c:delete val="1"/>
      </c:legendEntry>
      <c:layout>
        <c:manualLayout>
          <c:xMode val="edge"/>
          <c:yMode val="edge"/>
          <c:x val="8.129886775224672E-3"/>
          <c:y val="0.73996485499830411"/>
          <c:w val="0.97826490419964396"/>
          <c:h val="0.2335768281946092"/>
        </c:manualLayout>
      </c:layout>
      <c:overlay val="0"/>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6"/>
          <c:order val="1"/>
          <c:tx>
            <c:strRef>
              <c:f>'PBL OLD'!$BG$58</c:f>
              <c:strCache>
                <c:ptCount val="1"/>
                <c:pt idx="0">
                  <c:v>-3</c:v>
                </c:pt>
              </c:strCache>
            </c:strRef>
          </c:tx>
          <c:spPr>
            <a:noFill/>
          </c:spPr>
          <c:invertIfNegative val="0"/>
          <c:cat>
            <c:strRef>
              <c:f>'PBL OLD'!$BH$9:$BN$9</c:f>
              <c:strCache>
                <c:ptCount val="7"/>
                <c:pt idx="0">
                  <c:v>FY18</c:v>
                </c:pt>
                <c:pt idx="1">
                  <c:v>FY19</c:v>
                </c:pt>
                <c:pt idx="2">
                  <c:v>FY20</c:v>
                </c:pt>
                <c:pt idx="3">
                  <c:v>FY21</c:v>
                </c:pt>
                <c:pt idx="4">
                  <c:v>FY22</c:v>
                </c:pt>
                <c:pt idx="5">
                  <c:v>FY23e</c:v>
                </c:pt>
                <c:pt idx="6">
                  <c:v>FY22 ytd</c:v>
                </c:pt>
              </c:strCache>
            </c:strRef>
          </c:cat>
          <c:val>
            <c:numRef>
              <c:f>'PBL OLD'!$BH$58:$BN$58</c:f>
              <c:numCache>
                <c:formatCode>0.0000</c:formatCode>
                <c:ptCount val="7"/>
                <c:pt idx="0">
                  <c:v>0.76077140862439452</c:v>
                </c:pt>
                <c:pt idx="1">
                  <c:v>0.96211362050042659</c:v>
                </c:pt>
                <c:pt idx="2">
                  <c:v>1.2154511686147618</c:v>
                </c:pt>
                <c:pt idx="3">
                  <c:v>1.6401934120328179</c:v>
                </c:pt>
                <c:pt idx="4">
                  <c:v>1.7178364500186845</c:v>
                </c:pt>
                <c:pt idx="5">
                  <c:v>0</c:v>
                </c:pt>
                <c:pt idx="6">
                  <c:v>1.1702306615156521</c:v>
                </c:pt>
              </c:numCache>
            </c:numRef>
          </c:val>
          <c:extLst>
            <c:ext xmlns:c16="http://schemas.microsoft.com/office/drawing/2014/chart" uri="{C3380CC4-5D6E-409C-BE32-E72D297353CC}">
              <c16:uniqueId val="{00000000-68C6-457A-BBF1-3B10EE948B0F}"/>
            </c:ext>
          </c:extLst>
        </c:ser>
        <c:ser>
          <c:idx val="8"/>
          <c:order val="2"/>
          <c:tx>
            <c:strRef>
              <c:f>'PBL OLD'!$BG$59</c:f>
              <c:strCache>
                <c:ptCount val="1"/>
                <c:pt idx="0">
                  <c:v>-2</c:v>
                </c:pt>
              </c:strCache>
            </c:strRef>
          </c:tx>
          <c:spPr>
            <a:solidFill>
              <a:schemeClr val="bg2">
                <a:lumMod val="40000"/>
                <a:lumOff val="60000"/>
              </a:schemeClr>
            </a:solidFill>
          </c:spPr>
          <c:invertIfNegative val="0"/>
          <c:cat>
            <c:strRef>
              <c:f>'PBL OLD'!$BH$9:$BN$9</c:f>
              <c:strCache>
                <c:ptCount val="7"/>
                <c:pt idx="0">
                  <c:v>FY18</c:v>
                </c:pt>
                <c:pt idx="1">
                  <c:v>FY19</c:v>
                </c:pt>
                <c:pt idx="2">
                  <c:v>FY20</c:v>
                </c:pt>
                <c:pt idx="3">
                  <c:v>FY21</c:v>
                </c:pt>
                <c:pt idx="4">
                  <c:v>FY22</c:v>
                </c:pt>
                <c:pt idx="5">
                  <c:v>FY23e</c:v>
                </c:pt>
                <c:pt idx="6">
                  <c:v>FY22 ytd</c:v>
                </c:pt>
              </c:strCache>
            </c:strRef>
          </c:cat>
          <c:val>
            <c:numRef>
              <c:f>'PBL OLD'!$BH$59:$BN$59</c:f>
              <c:numCache>
                <c:formatCode>0.0000</c:formatCode>
                <c:ptCount val="7"/>
                <c:pt idx="0">
                  <c:v>0.19718453594883756</c:v>
                </c:pt>
                <c:pt idx="1">
                  <c:v>0.35736620415252784</c:v>
                </c:pt>
                <c:pt idx="2">
                  <c:v>0.38568527725185464</c:v>
                </c:pt>
                <c:pt idx="3">
                  <c:v>0.40000489037945752</c:v>
                </c:pt>
                <c:pt idx="4">
                  <c:v>0.46416594128201427</c:v>
                </c:pt>
                <c:pt idx="5">
                  <c:v>0</c:v>
                </c:pt>
                <c:pt idx="6">
                  <c:v>0.42016652921917363</c:v>
                </c:pt>
              </c:numCache>
            </c:numRef>
          </c:val>
          <c:extLst>
            <c:ext xmlns:c16="http://schemas.microsoft.com/office/drawing/2014/chart" uri="{C3380CC4-5D6E-409C-BE32-E72D297353CC}">
              <c16:uniqueId val="{00000001-68C6-457A-BBF1-3B10EE948B0F}"/>
            </c:ext>
          </c:extLst>
        </c:ser>
        <c:ser>
          <c:idx val="9"/>
          <c:order val="3"/>
          <c:tx>
            <c:strRef>
              <c:f>'PBL OLD'!$BG$60</c:f>
              <c:strCache>
                <c:ptCount val="1"/>
                <c:pt idx="0">
                  <c:v>-1</c:v>
                </c:pt>
              </c:strCache>
            </c:strRef>
          </c:tx>
          <c:spPr>
            <a:solidFill>
              <a:schemeClr val="accent5">
                <a:lumMod val="40000"/>
                <a:lumOff val="60000"/>
              </a:schemeClr>
            </a:solidFill>
          </c:spPr>
          <c:invertIfNegative val="0"/>
          <c:cat>
            <c:strRef>
              <c:f>'PBL OLD'!$BH$9:$BN$9</c:f>
              <c:strCache>
                <c:ptCount val="7"/>
                <c:pt idx="0">
                  <c:v>FY18</c:v>
                </c:pt>
                <c:pt idx="1">
                  <c:v>FY19</c:v>
                </c:pt>
                <c:pt idx="2">
                  <c:v>FY20</c:v>
                </c:pt>
                <c:pt idx="3">
                  <c:v>FY21</c:v>
                </c:pt>
                <c:pt idx="4">
                  <c:v>FY22</c:v>
                </c:pt>
                <c:pt idx="5">
                  <c:v>FY23e</c:v>
                </c:pt>
                <c:pt idx="6">
                  <c:v>FY22 ytd</c:v>
                </c:pt>
              </c:strCache>
            </c:strRef>
          </c:cat>
          <c:val>
            <c:numRef>
              <c:f>'PBL OLD'!$BH$60:$BN$60</c:f>
              <c:numCache>
                <c:formatCode>0.0000</c:formatCode>
                <c:ptCount val="7"/>
                <c:pt idx="0">
                  <c:v>0.19718453594883767</c:v>
                </c:pt>
                <c:pt idx="1">
                  <c:v>0.35736620415252784</c:v>
                </c:pt>
                <c:pt idx="2">
                  <c:v>0.38568527725185442</c:v>
                </c:pt>
                <c:pt idx="3">
                  <c:v>0.40000489037945774</c:v>
                </c:pt>
                <c:pt idx="4">
                  <c:v>0.46416594128201405</c:v>
                </c:pt>
                <c:pt idx="5">
                  <c:v>0</c:v>
                </c:pt>
                <c:pt idx="6">
                  <c:v>0.42016652921917363</c:v>
                </c:pt>
              </c:numCache>
            </c:numRef>
          </c:val>
          <c:extLst>
            <c:ext xmlns:c16="http://schemas.microsoft.com/office/drawing/2014/chart" uri="{C3380CC4-5D6E-409C-BE32-E72D297353CC}">
              <c16:uniqueId val="{00000002-68C6-457A-BBF1-3B10EE948B0F}"/>
            </c:ext>
          </c:extLst>
        </c:ser>
        <c:ser>
          <c:idx val="10"/>
          <c:order val="4"/>
          <c:tx>
            <c:strRef>
              <c:f>'PBL OLD'!$BG$61</c:f>
              <c:strCache>
                <c:ptCount val="1"/>
                <c:pt idx="0">
                  <c:v>0</c:v>
                </c:pt>
              </c:strCache>
            </c:strRef>
          </c:tx>
          <c:spPr>
            <a:solidFill>
              <a:schemeClr val="tx2">
                <a:lumMod val="20000"/>
                <a:lumOff val="80000"/>
              </a:schemeClr>
            </a:solidFill>
          </c:spPr>
          <c:invertIfNegative val="0"/>
          <c:cat>
            <c:strRef>
              <c:f>'PBL OLD'!$BH$9:$BN$9</c:f>
              <c:strCache>
                <c:ptCount val="7"/>
                <c:pt idx="0">
                  <c:v>FY18</c:v>
                </c:pt>
                <c:pt idx="1">
                  <c:v>FY19</c:v>
                </c:pt>
                <c:pt idx="2">
                  <c:v>FY20</c:v>
                </c:pt>
                <c:pt idx="3">
                  <c:v>FY21</c:v>
                </c:pt>
                <c:pt idx="4">
                  <c:v>FY22</c:v>
                </c:pt>
                <c:pt idx="5">
                  <c:v>FY23e</c:v>
                </c:pt>
                <c:pt idx="6">
                  <c:v>FY22 ytd</c:v>
                </c:pt>
              </c:strCache>
            </c:strRef>
          </c:cat>
          <c:val>
            <c:numRef>
              <c:f>'PBL OLD'!$BH$61:$BN$61</c:f>
              <c:numCache>
                <c:formatCode>0.0000</c:formatCode>
                <c:ptCount val="7"/>
                <c:pt idx="0">
                  <c:v>0.19718453594883756</c:v>
                </c:pt>
                <c:pt idx="1">
                  <c:v>0.35736620415252807</c:v>
                </c:pt>
                <c:pt idx="2">
                  <c:v>0.38568527725185442</c:v>
                </c:pt>
                <c:pt idx="3">
                  <c:v>0.4000048903794573</c:v>
                </c:pt>
                <c:pt idx="4">
                  <c:v>0.46416594128201449</c:v>
                </c:pt>
                <c:pt idx="5">
                  <c:v>0</c:v>
                </c:pt>
                <c:pt idx="6">
                  <c:v>0.42016652921917386</c:v>
                </c:pt>
              </c:numCache>
            </c:numRef>
          </c:val>
          <c:extLst>
            <c:ext xmlns:c16="http://schemas.microsoft.com/office/drawing/2014/chart" uri="{C3380CC4-5D6E-409C-BE32-E72D297353CC}">
              <c16:uniqueId val="{00000003-68C6-457A-BBF1-3B10EE948B0F}"/>
            </c:ext>
          </c:extLst>
        </c:ser>
        <c:ser>
          <c:idx val="1"/>
          <c:order val="5"/>
          <c:tx>
            <c:strRef>
              <c:f>'PBL OLD'!$BG$62</c:f>
              <c:strCache>
                <c:ptCount val="1"/>
                <c:pt idx="0">
                  <c:v>+1</c:v>
                </c:pt>
              </c:strCache>
            </c:strRef>
          </c:tx>
          <c:spPr>
            <a:solidFill>
              <a:schemeClr val="tx2">
                <a:lumMod val="20000"/>
                <a:lumOff val="80000"/>
              </a:schemeClr>
            </a:solidFill>
          </c:spPr>
          <c:invertIfNegative val="0"/>
          <c:cat>
            <c:strRef>
              <c:f>'PBL OLD'!$BH$9:$BN$9</c:f>
              <c:strCache>
                <c:ptCount val="7"/>
                <c:pt idx="0">
                  <c:v>FY18</c:v>
                </c:pt>
                <c:pt idx="1">
                  <c:v>FY19</c:v>
                </c:pt>
                <c:pt idx="2">
                  <c:v>FY20</c:v>
                </c:pt>
                <c:pt idx="3">
                  <c:v>FY21</c:v>
                </c:pt>
                <c:pt idx="4">
                  <c:v>FY22</c:v>
                </c:pt>
                <c:pt idx="5">
                  <c:v>FY23e</c:v>
                </c:pt>
                <c:pt idx="6">
                  <c:v>FY22 ytd</c:v>
                </c:pt>
              </c:strCache>
            </c:strRef>
          </c:cat>
          <c:val>
            <c:numRef>
              <c:f>'PBL OLD'!$BH$62:$BL$62</c:f>
              <c:numCache>
                <c:formatCode>0.0000</c:formatCode>
                <c:ptCount val="5"/>
                <c:pt idx="0">
                  <c:v>0.19718453594883778</c:v>
                </c:pt>
                <c:pt idx="1">
                  <c:v>0.35736620415252807</c:v>
                </c:pt>
                <c:pt idx="2">
                  <c:v>0.38568527725185442</c:v>
                </c:pt>
                <c:pt idx="3">
                  <c:v>0.4000048903794573</c:v>
                </c:pt>
                <c:pt idx="4">
                  <c:v>0.46416594128201449</c:v>
                </c:pt>
              </c:numCache>
            </c:numRef>
          </c:val>
          <c:extLst>
            <c:ext xmlns:c16="http://schemas.microsoft.com/office/drawing/2014/chart" uri="{C3380CC4-5D6E-409C-BE32-E72D297353CC}">
              <c16:uniqueId val="{00000004-68C6-457A-BBF1-3B10EE948B0F}"/>
            </c:ext>
          </c:extLst>
        </c:ser>
        <c:ser>
          <c:idx val="2"/>
          <c:order val="6"/>
          <c:tx>
            <c:strRef>
              <c:f>'PBL OLD'!$BG$63</c:f>
              <c:strCache>
                <c:ptCount val="1"/>
                <c:pt idx="0">
                  <c:v>+2</c:v>
                </c:pt>
              </c:strCache>
            </c:strRef>
          </c:tx>
          <c:spPr>
            <a:solidFill>
              <a:schemeClr val="accent5">
                <a:lumMod val="40000"/>
                <a:lumOff val="60000"/>
              </a:schemeClr>
            </a:solidFill>
          </c:spPr>
          <c:invertIfNegative val="0"/>
          <c:cat>
            <c:strRef>
              <c:f>'PBL OLD'!$BH$9:$BN$9</c:f>
              <c:strCache>
                <c:ptCount val="7"/>
                <c:pt idx="0">
                  <c:v>FY18</c:v>
                </c:pt>
                <c:pt idx="1">
                  <c:v>FY19</c:v>
                </c:pt>
                <c:pt idx="2">
                  <c:v>FY20</c:v>
                </c:pt>
                <c:pt idx="3">
                  <c:v>FY21</c:v>
                </c:pt>
                <c:pt idx="4">
                  <c:v>FY22</c:v>
                </c:pt>
                <c:pt idx="5">
                  <c:v>FY23e</c:v>
                </c:pt>
                <c:pt idx="6">
                  <c:v>FY22 ytd</c:v>
                </c:pt>
              </c:strCache>
            </c:strRef>
          </c:cat>
          <c:val>
            <c:numRef>
              <c:f>'PBL OLD'!$BH$63:$BN$63</c:f>
              <c:numCache>
                <c:formatCode>0.0000</c:formatCode>
                <c:ptCount val="7"/>
                <c:pt idx="0">
                  <c:v>0.19718453594883756</c:v>
                </c:pt>
                <c:pt idx="1">
                  <c:v>0.35736620415252807</c:v>
                </c:pt>
                <c:pt idx="2">
                  <c:v>0.38568527725185442</c:v>
                </c:pt>
                <c:pt idx="3">
                  <c:v>0.40000489037945774</c:v>
                </c:pt>
                <c:pt idx="4">
                  <c:v>0.46416594128201361</c:v>
                </c:pt>
                <c:pt idx="5">
                  <c:v>0</c:v>
                </c:pt>
                <c:pt idx="6">
                  <c:v>0.42016652921917386</c:v>
                </c:pt>
              </c:numCache>
            </c:numRef>
          </c:val>
          <c:extLst>
            <c:ext xmlns:c16="http://schemas.microsoft.com/office/drawing/2014/chart" uri="{C3380CC4-5D6E-409C-BE32-E72D297353CC}">
              <c16:uniqueId val="{00000005-68C6-457A-BBF1-3B10EE948B0F}"/>
            </c:ext>
          </c:extLst>
        </c:ser>
        <c:ser>
          <c:idx val="3"/>
          <c:order val="7"/>
          <c:tx>
            <c:strRef>
              <c:f>'PBL OLD'!$BG$64</c:f>
              <c:strCache>
                <c:ptCount val="1"/>
                <c:pt idx="0">
                  <c:v>+3</c:v>
                </c:pt>
              </c:strCache>
            </c:strRef>
          </c:tx>
          <c:spPr>
            <a:solidFill>
              <a:schemeClr val="bg2">
                <a:lumMod val="40000"/>
                <a:lumOff val="60000"/>
              </a:schemeClr>
            </a:solidFill>
            <a:ln w="19050">
              <a:noFill/>
            </a:ln>
          </c:spPr>
          <c:invertIfNegative val="0"/>
          <c:cat>
            <c:strRef>
              <c:f>'PBL OLD'!$BH$9:$BN$9</c:f>
              <c:strCache>
                <c:ptCount val="7"/>
                <c:pt idx="0">
                  <c:v>FY18</c:v>
                </c:pt>
                <c:pt idx="1">
                  <c:v>FY19</c:v>
                </c:pt>
                <c:pt idx="2">
                  <c:v>FY20</c:v>
                </c:pt>
                <c:pt idx="3">
                  <c:v>FY21</c:v>
                </c:pt>
                <c:pt idx="4">
                  <c:v>FY22</c:v>
                </c:pt>
                <c:pt idx="5">
                  <c:v>FY23e</c:v>
                </c:pt>
                <c:pt idx="6">
                  <c:v>FY22 ytd</c:v>
                </c:pt>
              </c:strCache>
            </c:strRef>
          </c:cat>
          <c:val>
            <c:numRef>
              <c:f>'PBL OLD'!$BH$64:$BN$64</c:f>
              <c:numCache>
                <c:formatCode>0.0000</c:formatCode>
                <c:ptCount val="7"/>
                <c:pt idx="0">
                  <c:v>0.19718453594883756</c:v>
                </c:pt>
                <c:pt idx="1">
                  <c:v>0.35736620415252762</c:v>
                </c:pt>
                <c:pt idx="2">
                  <c:v>0.38568527725185442</c:v>
                </c:pt>
                <c:pt idx="3">
                  <c:v>0.40000489037945774</c:v>
                </c:pt>
                <c:pt idx="4">
                  <c:v>0.46416594128201449</c:v>
                </c:pt>
                <c:pt idx="5">
                  <c:v>0</c:v>
                </c:pt>
                <c:pt idx="6">
                  <c:v>0.42016652921917341</c:v>
                </c:pt>
              </c:numCache>
            </c:numRef>
          </c:val>
          <c:extLst>
            <c:ext xmlns:c16="http://schemas.microsoft.com/office/drawing/2014/chart" uri="{C3380CC4-5D6E-409C-BE32-E72D297353CC}">
              <c16:uniqueId val="{00000006-68C6-457A-BBF1-3B10EE948B0F}"/>
            </c:ext>
          </c:extLst>
        </c:ser>
        <c:dLbls>
          <c:showLegendKey val="0"/>
          <c:showVal val="0"/>
          <c:showCatName val="0"/>
          <c:showSerName val="0"/>
          <c:showPercent val="0"/>
          <c:showBubbleSize val="0"/>
        </c:dLbls>
        <c:gapWidth val="150"/>
        <c:overlap val="100"/>
        <c:axId val="1019316528"/>
        <c:axId val="1019315544"/>
      </c:barChart>
      <c:lineChart>
        <c:grouping val="stacked"/>
        <c:varyColors val="0"/>
        <c:ser>
          <c:idx val="0"/>
          <c:order val="0"/>
          <c:tx>
            <c:strRef>
              <c:f>'PBL OLD'!$BG$12</c:f>
              <c:strCache>
                <c:ptCount val="1"/>
                <c:pt idx="0">
                  <c:v>Actual</c:v>
                </c:pt>
              </c:strCache>
            </c:strRef>
          </c:tx>
          <c:spPr>
            <a:ln>
              <a:noFill/>
            </a:ln>
          </c:spPr>
          <c:marker>
            <c:symbol val="diamond"/>
            <c:size val="13"/>
            <c:spPr>
              <a:solidFill>
                <a:schemeClr val="tx2"/>
              </a:solidFill>
              <a:ln w="25400">
                <a:solidFill>
                  <a:schemeClr val="tx1"/>
                </a:solidFill>
              </a:ln>
            </c:spPr>
          </c:marker>
          <c:dPt>
            <c:idx val="4"/>
            <c:marker>
              <c:spPr>
                <a:solidFill>
                  <a:schemeClr val="accent6"/>
                </a:solidFill>
                <a:ln w="25400">
                  <a:solidFill>
                    <a:schemeClr val="tx1"/>
                  </a:solidFill>
                </a:ln>
              </c:spPr>
            </c:marker>
            <c:bubble3D val="0"/>
            <c:extLst>
              <c:ext xmlns:c16="http://schemas.microsoft.com/office/drawing/2014/chart" uri="{C3380CC4-5D6E-409C-BE32-E72D297353CC}">
                <c16:uniqueId val="{00000007-68C6-457A-BBF1-3B10EE948B0F}"/>
              </c:ext>
            </c:extLst>
          </c:dPt>
          <c:cat>
            <c:strRef>
              <c:f>'PBL OLD'!$BH$9:$BN$9</c:f>
              <c:strCache>
                <c:ptCount val="7"/>
                <c:pt idx="0">
                  <c:v>FY18</c:v>
                </c:pt>
                <c:pt idx="1">
                  <c:v>FY19</c:v>
                </c:pt>
                <c:pt idx="2">
                  <c:v>FY20</c:v>
                </c:pt>
                <c:pt idx="3">
                  <c:v>FY21</c:v>
                </c:pt>
                <c:pt idx="4">
                  <c:v>FY22</c:v>
                </c:pt>
                <c:pt idx="5">
                  <c:v>FY23e</c:v>
                </c:pt>
                <c:pt idx="6">
                  <c:v>FY22 ytd</c:v>
                </c:pt>
              </c:strCache>
            </c:strRef>
          </c:cat>
          <c:val>
            <c:numRef>
              <c:f>'PBL OLD'!$BH$12:$BN$12</c:f>
              <c:numCache>
                <c:formatCode>_(* #,##0.00_);_(* \(#,##0.00\);_(* "-"??_);_(@_)</c:formatCode>
                <c:ptCount val="7"/>
                <c:pt idx="0">
                  <c:v>1.2070041093615997</c:v>
                </c:pt>
                <c:pt idx="1">
                  <c:v>2.1948974502048002</c:v>
                </c:pt>
                <c:pt idx="2">
                  <c:v>2.5238888986673995</c:v>
                </c:pt>
                <c:pt idx="3">
                  <c:v>2.4538385194818004</c:v>
                </c:pt>
                <c:pt idx="4">
                  <c:v>3.3078763443396002</c:v>
                </c:pt>
                <c:pt idx="6">
                  <c:v>3.3078763443396002</c:v>
                </c:pt>
              </c:numCache>
            </c:numRef>
          </c:val>
          <c:smooth val="0"/>
          <c:extLst>
            <c:ext xmlns:c16="http://schemas.microsoft.com/office/drawing/2014/chart" uri="{C3380CC4-5D6E-409C-BE32-E72D297353CC}">
              <c16:uniqueId val="{00000008-68C6-457A-BBF1-3B10EE948B0F}"/>
            </c:ext>
          </c:extLst>
        </c:ser>
        <c:dLbls>
          <c:showLegendKey val="0"/>
          <c:showVal val="0"/>
          <c:showCatName val="0"/>
          <c:showSerName val="0"/>
          <c:showPercent val="0"/>
          <c:showBubbleSize val="0"/>
        </c:dLbls>
        <c:marker val="1"/>
        <c:smooth val="0"/>
        <c:axId val="1019316528"/>
        <c:axId val="1019315544"/>
      </c:lineChart>
      <c:catAx>
        <c:axId val="101931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19315544"/>
        <c:crosses val="autoZero"/>
        <c:auto val="1"/>
        <c:lblAlgn val="ctr"/>
        <c:lblOffset val="100"/>
        <c:noMultiLvlLbl val="0"/>
      </c:catAx>
      <c:valAx>
        <c:axId val="1019315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Ticket Sales ($b)</a:t>
                </a:r>
              </a:p>
            </c:rich>
          </c:tx>
          <c:overlay val="0"/>
          <c:spPr>
            <a:noFill/>
            <a:ln>
              <a:noFill/>
            </a:ln>
            <a:effectLst/>
          </c:sp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19316528"/>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7"/>
          <c:order val="7"/>
          <c:tx>
            <c:strRef>
              <c:f>'PBL OLD'!$MH$6</c:f>
              <c:strCache>
                <c:ptCount val="1"/>
                <c:pt idx="0">
                  <c:v>1H21</c:v>
                </c:pt>
              </c:strCache>
            </c:strRef>
          </c:tx>
          <c:spPr>
            <a:ln w="28575" cap="rnd">
              <a:solidFill>
                <a:schemeClr val="tx2"/>
              </a:solidFill>
              <a:round/>
            </a:ln>
            <a:effectLst/>
          </c:spPr>
          <c:marker>
            <c:symbol val="none"/>
          </c:marker>
          <c:cat>
            <c:numRef>
              <c:f>'PBL OLD'!$MA$7:$MA$34</c:f>
              <c:numCache>
                <c:formatCode>General</c:formatCode>
                <c:ptCount val="2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numCache>
            </c:numRef>
          </c:cat>
          <c:val>
            <c:numRef>
              <c:f>'PBL OLD'!$MH$7:$MH$34</c:f>
              <c:numCache>
                <c:formatCode>_-* #,##0.0000_-;\-* #,##0.0000_-;_-* "-"??_-;_-@_-</c:formatCode>
                <c:ptCount val="28"/>
                <c:pt idx="0" formatCode="0.000">
                  <c:v>0</c:v>
                </c:pt>
                <c:pt idx="1">
                  <c:v>8.3878292388E-2</c:v>
                </c:pt>
                <c:pt idx="2">
                  <c:v>0.21553140064499998</c:v>
                </c:pt>
                <c:pt idx="3">
                  <c:v>0.24056564279219997</c:v>
                </c:pt>
                <c:pt idx="4">
                  <c:v>0.27198953283479993</c:v>
                </c:pt>
                <c:pt idx="5">
                  <c:v>0.32423092823219996</c:v>
                </c:pt>
                <c:pt idx="6">
                  <c:v>0.35060951648579997</c:v>
                </c:pt>
                <c:pt idx="7">
                  <c:v>0.38322128061359995</c:v>
                </c:pt>
                <c:pt idx="8">
                  <c:v>0.40523963265719998</c:v>
                </c:pt>
                <c:pt idx="9">
                  <c:v>0.43841106052919998</c:v>
                </c:pt>
                <c:pt idx="10">
                  <c:v>0.48890187514079991</c:v>
                </c:pt>
                <c:pt idx="11">
                  <c:v>0.56263254855719991</c:v>
                </c:pt>
                <c:pt idx="12">
                  <c:v>0.66412635538919995</c:v>
                </c:pt>
                <c:pt idx="13">
                  <c:v>0.68886350889839998</c:v>
                </c:pt>
                <c:pt idx="14">
                  <c:v>0.72218107875539994</c:v>
                </c:pt>
                <c:pt idx="15">
                  <c:v>0.77568642214799999</c:v>
                </c:pt>
                <c:pt idx="16">
                  <c:v>0.854410506939</c:v>
                </c:pt>
                <c:pt idx="17">
                  <c:v>0.87791558341739995</c:v>
                </c:pt>
                <c:pt idx="18">
                  <c:v>0.9085567930427999</c:v>
                </c:pt>
                <c:pt idx="19">
                  <c:v>0.95703789510780002</c:v>
                </c:pt>
                <c:pt idx="20">
                  <c:v>0.97898705993219992</c:v>
                </c:pt>
                <c:pt idx="21">
                  <c:v>1.0091054416013998</c:v>
                </c:pt>
                <c:pt idx="22">
                  <c:v>1.0575821393873999</c:v>
                </c:pt>
                <c:pt idx="23">
                  <c:v>1.0791525362177998</c:v>
                </c:pt>
                <c:pt idx="24">
                  <c:v>1.1119100419415999</c:v>
                </c:pt>
                <c:pt idx="25">
                  <c:v>1.1634365027406</c:v>
                </c:pt>
                <c:pt idx="26">
                  <c:v>1.1861645042478</c:v>
                </c:pt>
                <c:pt idx="27">
                  <c:v>1.2199573358477998</c:v>
                </c:pt>
              </c:numCache>
            </c:numRef>
          </c:val>
          <c:smooth val="0"/>
          <c:extLst>
            <c:ext xmlns:c16="http://schemas.microsoft.com/office/drawing/2014/chart" uri="{C3380CC4-5D6E-409C-BE32-E72D297353CC}">
              <c16:uniqueId val="{00000000-3822-45B1-A7A9-3019AF4EB950}"/>
            </c:ext>
          </c:extLst>
        </c:ser>
        <c:ser>
          <c:idx val="8"/>
          <c:order val="8"/>
          <c:tx>
            <c:strRef>
              <c:f>'PBL OLD'!$MI$6</c:f>
              <c:strCache>
                <c:ptCount val="1"/>
                <c:pt idx="0">
                  <c:v>2H21</c:v>
                </c:pt>
              </c:strCache>
            </c:strRef>
          </c:tx>
          <c:spPr>
            <a:ln w="28575" cap="rnd">
              <a:solidFill>
                <a:schemeClr val="accent4"/>
              </a:solidFill>
              <a:round/>
            </a:ln>
            <a:effectLst/>
          </c:spPr>
          <c:marker>
            <c:symbol val="none"/>
          </c:marker>
          <c:cat>
            <c:numRef>
              <c:f>'PBL OLD'!$MA$7:$MA$34</c:f>
              <c:numCache>
                <c:formatCode>General</c:formatCode>
                <c:ptCount val="2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numCache>
            </c:numRef>
          </c:cat>
          <c:val>
            <c:numRef>
              <c:f>'PBL OLD'!$MI$7:$MI$34</c:f>
              <c:numCache>
                <c:formatCode>_-* #,##0.0000_-;\-* #,##0.0000_-;_-* "-"??_-;_-@_-</c:formatCode>
                <c:ptCount val="28"/>
                <c:pt idx="0" formatCode="0.000">
                  <c:v>0</c:v>
                </c:pt>
                <c:pt idx="1">
                  <c:v>2.1551818780800001E-2</c:v>
                </c:pt>
                <c:pt idx="2">
                  <c:v>5.0397283741199998E-2</c:v>
                </c:pt>
                <c:pt idx="3">
                  <c:v>9.6911034415799999E-2</c:v>
                </c:pt>
                <c:pt idx="4">
                  <c:v>0.1245589358772</c:v>
                </c:pt>
                <c:pt idx="5">
                  <c:v>0.17078736935040001</c:v>
                </c:pt>
                <c:pt idx="6">
                  <c:v>0.22933489149779998</c:v>
                </c:pt>
                <c:pt idx="7">
                  <c:v>0.32465630150579999</c:v>
                </c:pt>
                <c:pt idx="8">
                  <c:v>0.35353067455199999</c:v>
                </c:pt>
                <c:pt idx="9">
                  <c:v>0.39882996531179998</c:v>
                </c:pt>
                <c:pt idx="10">
                  <c:v>0.45431755456560002</c:v>
                </c:pt>
                <c:pt idx="11">
                  <c:v>0.53757788657100014</c:v>
                </c:pt>
                <c:pt idx="12">
                  <c:v>0.56641141993920008</c:v>
                </c:pt>
                <c:pt idx="13">
                  <c:v>0.61203502578900004</c:v>
                </c:pt>
                <c:pt idx="14">
                  <c:v>0.66341654576999998</c:v>
                </c:pt>
                <c:pt idx="15">
                  <c:v>0.74237517843719991</c:v>
                </c:pt>
                <c:pt idx="16">
                  <c:v>0.88337312572079996</c:v>
                </c:pt>
                <c:pt idx="17">
                  <c:v>0.9126393995201999</c:v>
                </c:pt>
                <c:pt idx="18">
                  <c:v>0.95793244421159995</c:v>
                </c:pt>
                <c:pt idx="19">
                  <c:v>1.0177584885137998</c:v>
                </c:pt>
                <c:pt idx="20">
                  <c:v>1.0421033408807998</c:v>
                </c:pt>
                <c:pt idx="21">
                  <c:v>1.0732094822129998</c:v>
                </c:pt>
                <c:pt idx="22">
                  <c:v>1.0966771623587999</c:v>
                </c:pt>
                <c:pt idx="23">
                  <c:v>1.1241966991067998</c:v>
                </c:pt>
                <c:pt idx="24">
                  <c:v>1.1672222608133997</c:v>
                </c:pt>
                <c:pt idx="25">
                  <c:v>1.2338811836339998</c:v>
                </c:pt>
              </c:numCache>
            </c:numRef>
          </c:val>
          <c:smooth val="0"/>
          <c:extLst>
            <c:ext xmlns:c16="http://schemas.microsoft.com/office/drawing/2014/chart" uri="{C3380CC4-5D6E-409C-BE32-E72D297353CC}">
              <c16:uniqueId val="{00000001-3822-45B1-A7A9-3019AF4EB950}"/>
            </c:ext>
          </c:extLst>
        </c:ser>
        <c:ser>
          <c:idx val="9"/>
          <c:order val="9"/>
          <c:tx>
            <c:strRef>
              <c:f>'PBL OLD'!$MJ$6</c:f>
              <c:strCache>
                <c:ptCount val="1"/>
                <c:pt idx="0">
                  <c:v>1H22</c:v>
                </c:pt>
              </c:strCache>
            </c:strRef>
          </c:tx>
          <c:spPr>
            <a:ln w="28575" cap="rnd">
              <a:solidFill>
                <a:schemeClr val="accent2"/>
              </a:solidFill>
              <a:round/>
            </a:ln>
            <a:effectLst/>
          </c:spPr>
          <c:marker>
            <c:symbol val="none"/>
          </c:marker>
          <c:cat>
            <c:numRef>
              <c:f>'PBL OLD'!$MA$7:$MA$34</c:f>
              <c:numCache>
                <c:formatCode>General</c:formatCode>
                <c:ptCount val="2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numCache>
            </c:numRef>
          </c:cat>
          <c:val>
            <c:numRef>
              <c:f>'PBL OLD'!$MJ$7:$MJ$34</c:f>
              <c:numCache>
                <c:formatCode>_-* #,##0.0000_-;\-* #,##0.0000_-;_-* "-"??_-;_-@_-</c:formatCode>
                <c:ptCount val="28"/>
                <c:pt idx="0" formatCode="0.000">
                  <c:v>0</c:v>
                </c:pt>
                <c:pt idx="1">
                  <c:v>9.5665744548000003E-2</c:v>
                </c:pt>
                <c:pt idx="2">
                  <c:v>0.11793257800500001</c:v>
                </c:pt>
                <c:pt idx="3">
                  <c:v>0.14911191044640001</c:v>
                </c:pt>
                <c:pt idx="4">
                  <c:v>0.20023678107840001</c:v>
                </c:pt>
                <c:pt idx="5">
                  <c:v>0.2701509465468</c:v>
                </c:pt>
                <c:pt idx="6">
                  <c:v>0.36942956119740006</c:v>
                </c:pt>
                <c:pt idx="7">
                  <c:v>0.52990114819620004</c:v>
                </c:pt>
                <c:pt idx="8">
                  <c:v>0.55553957734440007</c:v>
                </c:pt>
                <c:pt idx="9">
                  <c:v>0.59104062857399997</c:v>
                </c:pt>
                <c:pt idx="10">
                  <c:v>0.64431783031439993</c:v>
                </c:pt>
                <c:pt idx="11">
                  <c:v>0.66758515580459998</c:v>
                </c:pt>
                <c:pt idx="12">
                  <c:v>0.69931494304319997</c:v>
                </c:pt>
                <c:pt idx="13">
                  <c:v>0.72348987031860001</c:v>
                </c:pt>
                <c:pt idx="14">
                  <c:v>0.7559707072434001</c:v>
                </c:pt>
                <c:pt idx="15">
                  <c:v>0.80990678912220015</c:v>
                </c:pt>
                <c:pt idx="16">
                  <c:v>0.88230096405660008</c:v>
                </c:pt>
                <c:pt idx="17">
                  <c:v>0.98874678204060007</c:v>
                </c:pt>
                <c:pt idx="18">
                  <c:v>1.0120299629352001</c:v>
                </c:pt>
                <c:pt idx="19">
                  <c:v>1.0438740211944</c:v>
                </c:pt>
                <c:pt idx="20">
                  <c:v>1.0936904205744002</c:v>
                </c:pt>
                <c:pt idx="21">
                  <c:v>1.1660568885900002</c:v>
                </c:pt>
                <c:pt idx="22">
                  <c:v>1.2674987249298</c:v>
                </c:pt>
                <c:pt idx="23">
                  <c:v>1.4037287599235999</c:v>
                </c:pt>
                <c:pt idx="24">
                  <c:v>1.4266092295620001</c:v>
                </c:pt>
                <c:pt idx="25">
                  <c:v>1.4579451141024</c:v>
                </c:pt>
                <c:pt idx="26">
                  <c:v>1.5087963588918001</c:v>
                </c:pt>
                <c:pt idx="27">
                  <c:v>1.5639026176620001</c:v>
                </c:pt>
              </c:numCache>
            </c:numRef>
          </c:val>
          <c:smooth val="0"/>
          <c:extLst>
            <c:ext xmlns:c16="http://schemas.microsoft.com/office/drawing/2014/chart" uri="{C3380CC4-5D6E-409C-BE32-E72D297353CC}">
              <c16:uniqueId val="{00000002-3822-45B1-A7A9-3019AF4EB950}"/>
            </c:ext>
          </c:extLst>
        </c:ser>
        <c:ser>
          <c:idx val="10"/>
          <c:order val="10"/>
          <c:tx>
            <c:strRef>
              <c:f>'PBL OLD'!$MK$6</c:f>
              <c:strCache>
                <c:ptCount val="1"/>
                <c:pt idx="0">
                  <c:v>2H22</c:v>
                </c:pt>
              </c:strCache>
            </c:strRef>
          </c:tx>
          <c:spPr>
            <a:ln w="28575" cap="rnd">
              <a:solidFill>
                <a:schemeClr val="accent1"/>
              </a:solidFill>
              <a:round/>
            </a:ln>
            <a:effectLst/>
          </c:spPr>
          <c:marker>
            <c:symbol val="none"/>
          </c:marker>
          <c:cat>
            <c:numRef>
              <c:f>'PBL OLD'!$MA$7:$MA$34</c:f>
              <c:numCache>
                <c:formatCode>General</c:formatCode>
                <c:ptCount val="2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numCache>
            </c:numRef>
          </c:cat>
          <c:val>
            <c:numRef>
              <c:f>'PBL OLD'!$MK$7:$MK$34</c:f>
              <c:numCache>
                <c:formatCode>_-* #,##0.0000_-;\-* #,##0.0000_-;_-* "-"??_-;_-@_-</c:formatCode>
                <c:ptCount val="28"/>
                <c:pt idx="0" formatCode="0.000">
                  <c:v>0</c:v>
                </c:pt>
                <c:pt idx="1">
                  <c:v>9.3039993486000006E-2</c:v>
                </c:pt>
                <c:pt idx="2">
                  <c:v>0.1167146747448</c:v>
                </c:pt>
                <c:pt idx="3">
                  <c:v>0.1433834649456</c:v>
                </c:pt>
                <c:pt idx="4">
                  <c:v>0.18472835378580002</c:v>
                </c:pt>
                <c:pt idx="5">
                  <c:v>0.25436520983280003</c:v>
                </c:pt>
                <c:pt idx="6">
                  <c:v>0.35031266808119998</c:v>
                </c:pt>
                <c:pt idx="7">
                  <c:v>0.49196709316920001</c:v>
                </c:pt>
                <c:pt idx="8">
                  <c:v>0.7935265548210001</c:v>
                </c:pt>
                <c:pt idx="9">
                  <c:v>0.81782672377560006</c:v>
                </c:pt>
                <c:pt idx="10">
                  <c:v>0.84884902365120007</c:v>
                </c:pt>
                <c:pt idx="11">
                  <c:v>0.90128596903620006</c:v>
                </c:pt>
                <c:pt idx="12">
                  <c:v>0.92519687980500009</c:v>
                </c:pt>
                <c:pt idx="13">
                  <c:v>0.95970440577000005</c:v>
                </c:pt>
                <c:pt idx="14">
                  <c:v>1.0136447317722002</c:v>
                </c:pt>
                <c:pt idx="15">
                  <c:v>1.0389120803952001</c:v>
                </c:pt>
                <c:pt idx="16">
                  <c:v>1.0683752655048</c:v>
                </c:pt>
                <c:pt idx="17">
                  <c:v>1.1198503163561999</c:v>
                </c:pt>
                <c:pt idx="18">
                  <c:v>1.1924405217449998</c:v>
                </c:pt>
                <c:pt idx="19">
                  <c:v>1.2962112607421998</c:v>
                </c:pt>
                <c:pt idx="20">
                  <c:v>1.440848663958</c:v>
                </c:pt>
                <c:pt idx="21">
                  <c:v>1.4658156407532001</c:v>
                </c:pt>
                <c:pt idx="22">
                  <c:v>1.4926428248424002</c:v>
                </c:pt>
                <c:pt idx="23">
                  <c:v>1.525998992199</c:v>
                </c:pt>
                <c:pt idx="24">
                  <c:v>1.5772270831152</c:v>
                </c:pt>
                <c:pt idx="25">
                  <c:v>1.6493560403759999</c:v>
                </c:pt>
                <c:pt idx="26">
                  <c:v>1.7439737266775999</c:v>
                </c:pt>
              </c:numCache>
            </c:numRef>
          </c:val>
          <c:smooth val="0"/>
          <c:extLst>
            <c:ext xmlns:c16="http://schemas.microsoft.com/office/drawing/2014/chart" uri="{C3380CC4-5D6E-409C-BE32-E72D297353CC}">
              <c16:uniqueId val="{00000003-3822-45B1-A7A9-3019AF4EB950}"/>
            </c:ext>
          </c:extLst>
        </c:ser>
        <c:dLbls>
          <c:showLegendKey val="0"/>
          <c:showVal val="0"/>
          <c:showCatName val="0"/>
          <c:showSerName val="0"/>
          <c:showPercent val="0"/>
          <c:showBubbleSize val="0"/>
        </c:dLbls>
        <c:smooth val="0"/>
        <c:axId val="1388952432"/>
        <c:axId val="1388953088"/>
        <c:extLst>
          <c:ext xmlns:c15="http://schemas.microsoft.com/office/drawing/2012/chart" uri="{02D57815-91ED-43cb-92C2-25804820EDAC}">
            <c15:filteredLineSeries>
              <c15:ser>
                <c:idx val="0"/>
                <c:order val="0"/>
                <c:tx>
                  <c:strRef>
                    <c:extLst>
                      <c:ext uri="{02D57815-91ED-43cb-92C2-25804820EDAC}">
                        <c15:formulaRef>
                          <c15:sqref>'PBL OLD'!$MA$6</c15:sqref>
                        </c15:formulaRef>
                      </c:ext>
                    </c:extLst>
                    <c:strCache>
                      <c:ptCount val="1"/>
                      <c:pt idx="0">
                        <c:v>Week</c:v>
                      </c:pt>
                    </c:strCache>
                  </c:strRef>
                </c:tx>
                <c:spPr>
                  <a:ln w="28575" cap="rnd">
                    <a:solidFill>
                      <a:schemeClr val="accent1"/>
                    </a:solidFill>
                    <a:round/>
                  </a:ln>
                  <a:effectLst/>
                </c:spPr>
                <c:marker>
                  <c:symbol val="none"/>
                </c:marker>
                <c:cat>
                  <c:numRef>
                    <c:extLst>
                      <c:ext uri="{02D57815-91ED-43cb-92C2-25804820EDAC}">
                        <c15:formulaRef>
                          <c15:sqref>'PBL OLD'!$MA$7:$MA$34</c15:sqref>
                        </c15:formulaRef>
                      </c:ext>
                    </c:extLst>
                    <c:numCache>
                      <c:formatCode>General</c:formatCode>
                      <c:ptCount val="2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numCache>
                  </c:numRef>
                </c:cat>
                <c:val>
                  <c:numRef>
                    <c:extLst>
                      <c:ext uri="{02D57815-91ED-43cb-92C2-25804820EDAC}">
                        <c15:formulaRef>
                          <c15:sqref>'PBL OLD'!$MA$7:$MA$34</c15:sqref>
                        </c15:formulaRef>
                      </c:ext>
                    </c:extLst>
                    <c:numCache>
                      <c:formatCode>General</c:formatCode>
                      <c:ptCount val="2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numCache>
                  </c:numRef>
                </c:val>
                <c:smooth val="0"/>
                <c:extLst>
                  <c:ext xmlns:c16="http://schemas.microsoft.com/office/drawing/2014/chart" uri="{C3380CC4-5D6E-409C-BE32-E72D297353CC}">
                    <c16:uniqueId val="{00000004-3822-45B1-A7A9-3019AF4EB950}"/>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'PBL OLD'!$MB$6</c15:sqref>
                        </c15:formulaRef>
                      </c:ext>
                    </c:extLst>
                    <c:strCache>
                      <c:ptCount val="1"/>
                      <c:pt idx="0">
                        <c:v>1H18</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'PBL OLD'!$MA$7:$MA$34</c15:sqref>
                        </c15:formulaRef>
                      </c:ext>
                    </c:extLst>
                    <c:numCache>
                      <c:formatCode>General</c:formatCode>
                      <c:ptCount val="2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numCache>
                  </c:numRef>
                </c:cat>
                <c:val>
                  <c:numRef>
                    <c:extLst xmlns:c15="http://schemas.microsoft.com/office/drawing/2012/chart">
                      <c:ext xmlns:c15="http://schemas.microsoft.com/office/drawing/2012/chart" uri="{02D57815-91ED-43cb-92C2-25804820EDAC}">
                        <c15:formulaRef>
                          <c15:sqref>'PBL OLD'!$MB$7:$MB$34</c15:sqref>
                        </c15:formulaRef>
                      </c:ext>
                    </c:extLst>
                    <c:numCache>
                      <c:formatCode>_-* #,##0.0000_-;\-* #,##0.0000_-;_-* "-"??_-;_-@_-</c:formatCode>
                      <c:ptCount val="28"/>
                      <c:pt idx="0" formatCode="0.000">
                        <c:v>0</c:v>
                      </c:pt>
                      <c:pt idx="1">
                        <c:v>1.3252916830999998E-2</c:v>
                      </c:pt>
                      <c:pt idx="2">
                        <c:v>2.7884757543499998E-2</c:v>
                      </c:pt>
                      <c:pt idx="3">
                        <c:v>4.0568036657500001E-2</c:v>
                      </c:pt>
                      <c:pt idx="4">
                        <c:v>5.1985522308500003E-2</c:v>
                      </c:pt>
                      <c:pt idx="5">
                        <c:v>6.807354670049999E-2</c:v>
                      </c:pt>
                      <c:pt idx="6">
                        <c:v>8.0850641283500002E-2</c:v>
                      </c:pt>
                      <c:pt idx="7">
                        <c:v>9.3063003533499999E-2</c:v>
                      </c:pt>
                      <c:pt idx="8">
                        <c:v>0.1080397540585</c:v>
                      </c:pt>
                      <c:pt idx="9">
                        <c:v>0.1253856006645</c:v>
                      </c:pt>
                      <c:pt idx="10">
                        <c:v>0.14921851102399999</c:v>
                      </c:pt>
                      <c:pt idx="11">
                        <c:v>0.18899821159449998</c:v>
                      </c:pt>
                      <c:pt idx="12">
                        <c:v>0.25368285331949997</c:v>
                      </c:pt>
                      <c:pt idx="13">
                        <c:v>0.26693750747399997</c:v>
                      </c:pt>
                      <c:pt idx="14">
                        <c:v>0.28319241711749993</c:v>
                      </c:pt>
                      <c:pt idx="15">
                        <c:v>0.30665854782749991</c:v>
                      </c:pt>
                      <c:pt idx="16">
                        <c:v>0.33301272336749993</c:v>
                      </c:pt>
                      <c:pt idx="17">
                        <c:v>0.34482243534749996</c:v>
                      </c:pt>
                      <c:pt idx="18">
                        <c:v>0.35979703976699995</c:v>
                      </c:pt>
                      <c:pt idx="19">
                        <c:v>0.37190945481799997</c:v>
                      </c:pt>
                      <c:pt idx="20">
                        <c:v>0.38807044679699992</c:v>
                      </c:pt>
                      <c:pt idx="21">
                        <c:v>0.41142395806599991</c:v>
                      </c:pt>
                      <c:pt idx="22">
                        <c:v>0.42354894316349995</c:v>
                      </c:pt>
                      <c:pt idx="23">
                        <c:v>0.43943952584949997</c:v>
                      </c:pt>
                      <c:pt idx="24">
                        <c:v>0.45751433295699995</c:v>
                      </c:pt>
                      <c:pt idx="25">
                        <c:v>0.47920543002749999</c:v>
                      </c:pt>
                      <c:pt idx="26">
                        <c:v>0.50481337402649995</c:v>
                      </c:pt>
                    </c:numCache>
                  </c:numRef>
                </c:val>
                <c:smooth val="0"/>
                <c:extLst xmlns:c15="http://schemas.microsoft.com/office/drawing/2012/chart">
                  <c:ext xmlns:c16="http://schemas.microsoft.com/office/drawing/2014/chart" uri="{C3380CC4-5D6E-409C-BE32-E72D297353CC}">
                    <c16:uniqueId val="{00000005-3822-45B1-A7A9-3019AF4EB950}"/>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'PBL OLD'!$MC$6</c15:sqref>
                        </c15:formulaRef>
                      </c:ext>
                    </c:extLst>
                    <c:strCache>
                      <c:ptCount val="1"/>
                      <c:pt idx="0">
                        <c:v>2H18</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'PBL OLD'!$MA$7:$MA$34</c15:sqref>
                        </c15:formulaRef>
                      </c:ext>
                    </c:extLst>
                    <c:numCache>
                      <c:formatCode>General</c:formatCode>
                      <c:ptCount val="2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numCache>
                  </c:numRef>
                </c:cat>
                <c:val>
                  <c:numRef>
                    <c:extLst xmlns:c15="http://schemas.microsoft.com/office/drawing/2012/chart">
                      <c:ext xmlns:c15="http://schemas.microsoft.com/office/drawing/2012/chart" uri="{02D57815-91ED-43cb-92C2-25804820EDAC}">
                        <c15:formulaRef>
                          <c15:sqref>'PBL OLD'!$MC$7:$MC$34</c15:sqref>
                        </c15:formulaRef>
                      </c:ext>
                    </c:extLst>
                    <c:numCache>
                      <c:formatCode>_-* #,##0.0000_-;\-* #,##0.0000_-;_-* "-"??_-;_-@_-</c:formatCode>
                      <c:ptCount val="28"/>
                      <c:pt idx="0" formatCode="0.000">
                        <c:v>0</c:v>
                      </c:pt>
                      <c:pt idx="1">
                        <c:v>4.3512391207999997E-2</c:v>
                      </c:pt>
                      <c:pt idx="2">
                        <c:v>0.118080359738</c:v>
                      </c:pt>
                      <c:pt idx="3">
                        <c:v>0.13150905282899999</c:v>
                      </c:pt>
                      <c:pt idx="4">
                        <c:v>0.1463542777455</c:v>
                      </c:pt>
                      <c:pt idx="5">
                        <c:v>0.15825024272749999</c:v>
                      </c:pt>
                      <c:pt idx="6">
                        <c:v>0.17327011975349998</c:v>
                      </c:pt>
                      <c:pt idx="7">
                        <c:v>0.18653877469149999</c:v>
                      </c:pt>
                      <c:pt idx="8">
                        <c:v>0.20245408868849998</c:v>
                      </c:pt>
                      <c:pt idx="9">
                        <c:v>0.22253652639349997</c:v>
                      </c:pt>
                      <c:pt idx="10">
                        <c:v>0.24792199078899999</c:v>
                      </c:pt>
                      <c:pt idx="11">
                        <c:v>0.28685418407799995</c:v>
                      </c:pt>
                      <c:pt idx="12">
                        <c:v>0.33529771255199992</c:v>
                      </c:pt>
                      <c:pt idx="13">
                        <c:v>0.34930800023349995</c:v>
                      </c:pt>
                      <c:pt idx="14">
                        <c:v>0.36632498172049993</c:v>
                      </c:pt>
                      <c:pt idx="15">
                        <c:v>0.37821542814549997</c:v>
                      </c:pt>
                      <c:pt idx="16">
                        <c:v>0.40014937659069999</c:v>
                      </c:pt>
                      <c:pt idx="17">
                        <c:v>0.41431502187129998</c:v>
                      </c:pt>
                      <c:pt idx="18">
                        <c:v>0.43451949783549998</c:v>
                      </c:pt>
                      <c:pt idx="19">
                        <c:v>0.4557016673275</c:v>
                      </c:pt>
                      <c:pt idx="20">
                        <c:v>0.48742207326669995</c:v>
                      </c:pt>
                      <c:pt idx="21">
                        <c:v>0.53099970127269991</c:v>
                      </c:pt>
                      <c:pt idx="22">
                        <c:v>0.58662856649649997</c:v>
                      </c:pt>
                      <c:pt idx="23">
                        <c:v>0.65483937377650003</c:v>
                      </c:pt>
                      <c:pt idx="24">
                        <c:v>0.6690650090179</c:v>
                      </c:pt>
                      <c:pt idx="25">
                        <c:v>0.68230684064290004</c:v>
                      </c:pt>
                      <c:pt idx="26">
                        <c:v>0.7021907353350999</c:v>
                      </c:pt>
                    </c:numCache>
                  </c:numRef>
                </c:val>
                <c:smooth val="0"/>
                <c:extLst xmlns:c15="http://schemas.microsoft.com/office/drawing/2012/chart">
                  <c:ext xmlns:c16="http://schemas.microsoft.com/office/drawing/2014/chart" uri="{C3380CC4-5D6E-409C-BE32-E72D297353CC}">
                    <c16:uniqueId val="{00000006-3822-45B1-A7A9-3019AF4EB950}"/>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'PBL OLD'!$MD$6</c15:sqref>
                        </c15:formulaRef>
                      </c:ext>
                    </c:extLst>
                    <c:strCache>
                      <c:ptCount val="1"/>
                      <c:pt idx="0">
                        <c:v>1H19</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'PBL OLD'!$MA$7:$MA$34</c15:sqref>
                        </c15:formulaRef>
                      </c:ext>
                    </c:extLst>
                    <c:numCache>
                      <c:formatCode>General</c:formatCode>
                      <c:ptCount val="2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numCache>
                  </c:numRef>
                </c:cat>
                <c:val>
                  <c:numRef>
                    <c:extLst xmlns:c15="http://schemas.microsoft.com/office/drawing/2012/chart">
                      <c:ext xmlns:c15="http://schemas.microsoft.com/office/drawing/2012/chart" uri="{02D57815-91ED-43cb-92C2-25804820EDAC}">
                        <c15:formulaRef>
                          <c15:sqref>'PBL OLD'!$MD$7:$MD$34</c15:sqref>
                        </c15:formulaRef>
                      </c:ext>
                    </c:extLst>
                    <c:numCache>
                      <c:formatCode>_-* #,##0.0000_-;\-* #,##0.0000_-;_-* "-"??_-;_-@_-</c:formatCode>
                      <c:ptCount val="28"/>
                      <c:pt idx="0" formatCode="0.000">
                        <c:v>0</c:v>
                      </c:pt>
                      <c:pt idx="1">
                        <c:v>2.4234595182600002E-2</c:v>
                      </c:pt>
                      <c:pt idx="2">
                        <c:v>5.7172416437400009E-2</c:v>
                      </c:pt>
                      <c:pt idx="3">
                        <c:v>9.5831343768600016E-2</c:v>
                      </c:pt>
                      <c:pt idx="4">
                        <c:v>0.14260526227860004</c:v>
                      </c:pt>
                      <c:pt idx="5">
                        <c:v>0.20022704795940005</c:v>
                      </c:pt>
                      <c:pt idx="6">
                        <c:v>0.3090859734930001</c:v>
                      </c:pt>
                      <c:pt idx="7">
                        <c:v>0.51181649139060004</c:v>
                      </c:pt>
                      <c:pt idx="8">
                        <c:v>0.52953844629180014</c:v>
                      </c:pt>
                      <c:pt idx="9">
                        <c:v>0.55037202332640001</c:v>
                      </c:pt>
                      <c:pt idx="10">
                        <c:v>0.57662334450600006</c:v>
                      </c:pt>
                      <c:pt idx="11">
                        <c:v>0.61092950820000003</c:v>
                      </c:pt>
                      <c:pt idx="12">
                        <c:v>0.65609052202320006</c:v>
                      </c:pt>
                      <c:pt idx="13">
                        <c:v>0.67163720603099997</c:v>
                      </c:pt>
                      <c:pt idx="14">
                        <c:v>0.69383158708380011</c:v>
                      </c:pt>
                      <c:pt idx="15">
                        <c:v>0.72326475673980006</c:v>
                      </c:pt>
                      <c:pt idx="16">
                        <c:v>0.75835935991860004</c:v>
                      </c:pt>
                      <c:pt idx="17">
                        <c:v>0.80001611890200008</c:v>
                      </c:pt>
                      <c:pt idx="18">
                        <c:v>0.85065573970080011</c:v>
                      </c:pt>
                      <c:pt idx="19">
                        <c:v>0.93406122640379996</c:v>
                      </c:pt>
                      <c:pt idx="20">
                        <c:v>0.9503713540794001</c:v>
                      </c:pt>
                      <c:pt idx="21">
                        <c:v>0.96620814826800006</c:v>
                      </c:pt>
                      <c:pt idx="22">
                        <c:v>0.98973373511759999</c:v>
                      </c:pt>
                      <c:pt idx="23">
                        <c:v>1.0186353270654001</c:v>
                      </c:pt>
                      <c:pt idx="24">
                        <c:v>1.0569277284323999</c:v>
                      </c:pt>
                      <c:pt idx="25">
                        <c:v>1.0956737840399999</c:v>
                      </c:pt>
                      <c:pt idx="26">
                        <c:v>1.1393866275132001</c:v>
                      </c:pt>
                    </c:numCache>
                  </c:numRef>
                </c:val>
                <c:smooth val="0"/>
                <c:extLst xmlns:c15="http://schemas.microsoft.com/office/drawing/2012/chart">
                  <c:ext xmlns:c16="http://schemas.microsoft.com/office/drawing/2014/chart" uri="{C3380CC4-5D6E-409C-BE32-E72D297353CC}">
                    <c16:uniqueId val="{00000007-3822-45B1-A7A9-3019AF4EB950}"/>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'PBL OLD'!$ME$6</c15:sqref>
                        </c15:formulaRef>
                      </c:ext>
                    </c:extLst>
                    <c:strCache>
                      <c:ptCount val="1"/>
                      <c:pt idx="0">
                        <c:v>2H19</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'PBL OLD'!$MA$7:$MA$34</c15:sqref>
                        </c15:formulaRef>
                      </c:ext>
                    </c:extLst>
                    <c:numCache>
                      <c:formatCode>General</c:formatCode>
                      <c:ptCount val="2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numCache>
                  </c:numRef>
                </c:cat>
                <c:val>
                  <c:numRef>
                    <c:extLst xmlns:c15="http://schemas.microsoft.com/office/drawing/2012/chart">
                      <c:ext xmlns:c15="http://schemas.microsoft.com/office/drawing/2012/chart" uri="{02D57815-91ED-43cb-92C2-25804820EDAC}">
                        <c15:formulaRef>
                          <c15:sqref>'PBL OLD'!$ME$7:$ME$34</c15:sqref>
                        </c15:formulaRef>
                      </c:ext>
                    </c:extLst>
                    <c:numCache>
                      <c:formatCode>_-* #,##0.0000_-;\-* #,##0.0000_-;_-* "-"??_-;_-@_-</c:formatCode>
                      <c:ptCount val="28"/>
                      <c:pt idx="0" formatCode="0.000">
                        <c:v>0</c:v>
                      </c:pt>
                      <c:pt idx="1">
                        <c:v>7.8951152761800009E-2</c:v>
                      </c:pt>
                      <c:pt idx="2">
                        <c:v>0.21094319114220003</c:v>
                      </c:pt>
                      <c:pt idx="3">
                        <c:v>0.41743228639860003</c:v>
                      </c:pt>
                      <c:pt idx="4">
                        <c:v>0.43435270876800008</c:v>
                      </c:pt>
                      <c:pt idx="5">
                        <c:v>0.4564186192566001</c:v>
                      </c:pt>
                      <c:pt idx="6">
                        <c:v>0.4874173999266001</c:v>
                      </c:pt>
                      <c:pt idx="7">
                        <c:v>0.52617702469200012</c:v>
                      </c:pt>
                      <c:pt idx="8">
                        <c:v>0.57346260360840007</c:v>
                      </c:pt>
                      <c:pt idx="9">
                        <c:v>0.62795705549940017</c:v>
                      </c:pt>
                      <c:pt idx="10">
                        <c:v>0.64339978864920022</c:v>
                      </c:pt>
                      <c:pt idx="11">
                        <c:v>0.66307974921540025</c:v>
                      </c:pt>
                      <c:pt idx="12">
                        <c:v>0.6888428981214002</c:v>
                      </c:pt>
                      <c:pt idx="13">
                        <c:v>0.72047093856540023</c:v>
                      </c:pt>
                      <c:pt idx="14">
                        <c:v>0.73656356295720027</c:v>
                      </c:pt>
                      <c:pt idx="15">
                        <c:v>0.7584014957244003</c:v>
                      </c:pt>
                      <c:pt idx="16">
                        <c:v>0.7842059075664003</c:v>
                      </c:pt>
                      <c:pt idx="17">
                        <c:v>0.81143285912700036</c:v>
                      </c:pt>
                      <c:pt idx="18">
                        <c:v>0.85281434671620038</c:v>
                      </c:pt>
                      <c:pt idx="19">
                        <c:v>0.86671527439200036</c:v>
                      </c:pt>
                      <c:pt idx="20">
                        <c:v>0.88743664798140032</c:v>
                      </c:pt>
                      <c:pt idx="21">
                        <c:v>0.90198826041720037</c:v>
                      </c:pt>
                      <c:pt idx="22">
                        <c:v>0.92130352011060035</c:v>
                      </c:pt>
                      <c:pt idx="23">
                        <c:v>0.94449932087940036</c:v>
                      </c:pt>
                      <c:pt idx="24">
                        <c:v>0.97236426091200046</c:v>
                      </c:pt>
                      <c:pt idx="25">
                        <c:v>1.0074099833820005</c:v>
                      </c:pt>
                      <c:pt idx="26">
                        <c:v>1.0555108226916003</c:v>
                      </c:pt>
                    </c:numCache>
                  </c:numRef>
                </c:val>
                <c:smooth val="0"/>
                <c:extLst xmlns:c15="http://schemas.microsoft.com/office/drawing/2012/chart">
                  <c:ext xmlns:c16="http://schemas.microsoft.com/office/drawing/2014/chart" uri="{C3380CC4-5D6E-409C-BE32-E72D297353CC}">
                    <c16:uniqueId val="{00000008-3822-45B1-A7A9-3019AF4EB950}"/>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'PBL OLD'!$MF$6</c15:sqref>
                        </c15:formulaRef>
                      </c:ext>
                    </c:extLst>
                    <c:strCache>
                      <c:ptCount val="1"/>
                      <c:pt idx="0">
                        <c:v>1H20</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'PBL OLD'!$MA$7:$MA$34</c15:sqref>
                        </c15:formulaRef>
                      </c:ext>
                    </c:extLst>
                    <c:numCache>
                      <c:formatCode>General</c:formatCode>
                      <c:ptCount val="2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numCache>
                  </c:numRef>
                </c:cat>
                <c:val>
                  <c:numRef>
                    <c:extLst xmlns:c15="http://schemas.microsoft.com/office/drawing/2012/chart">
                      <c:ext xmlns:c15="http://schemas.microsoft.com/office/drawing/2012/chart" uri="{02D57815-91ED-43cb-92C2-25804820EDAC}">
                        <c15:formulaRef>
                          <c15:sqref>'PBL OLD'!$MF$7:$MF$34</c15:sqref>
                        </c15:formulaRef>
                      </c:ext>
                    </c:extLst>
                    <c:numCache>
                      <c:formatCode>_-* #,##0.0000_-;\-* #,##0.0000_-;_-* "-"??_-;_-@_-</c:formatCode>
                      <c:ptCount val="28"/>
                      <c:pt idx="0" formatCode="0.000">
                        <c:v>0</c:v>
                      </c:pt>
                      <c:pt idx="1">
                        <c:v>6.3792737111400002E-2</c:v>
                      </c:pt>
                      <c:pt idx="2">
                        <c:v>0.152397909213</c:v>
                      </c:pt>
                      <c:pt idx="3">
                        <c:v>0.33964704963420006</c:v>
                      </c:pt>
                      <c:pt idx="4">
                        <c:v>0.35693542630020003</c:v>
                      </c:pt>
                      <c:pt idx="5">
                        <c:v>0.37779995053680004</c:v>
                      </c:pt>
                      <c:pt idx="6">
                        <c:v>0.40685429469960005</c:v>
                      </c:pt>
                      <c:pt idx="7">
                        <c:v>0.44477707538220007</c:v>
                      </c:pt>
                      <c:pt idx="8">
                        <c:v>0.49425228786780007</c:v>
                      </c:pt>
                      <c:pt idx="9">
                        <c:v>0.5619957923976</c:v>
                      </c:pt>
                      <c:pt idx="10">
                        <c:v>0.66485691212820008</c:v>
                      </c:pt>
                      <c:pt idx="11">
                        <c:v>0.81297276015780007</c:v>
                      </c:pt>
                      <c:pt idx="12">
                        <c:v>1.0622424739410001</c:v>
                      </c:pt>
                      <c:pt idx="13">
                        <c:v>1.0812228690384003</c:v>
                      </c:pt>
                      <c:pt idx="14">
                        <c:v>1.1036211902430002</c:v>
                      </c:pt>
                      <c:pt idx="15">
                        <c:v>1.1311248715866002</c:v>
                      </c:pt>
                      <c:pt idx="16">
                        <c:v>1.1496884271048002</c:v>
                      </c:pt>
                      <c:pt idx="17">
                        <c:v>1.1761261127748004</c:v>
                      </c:pt>
                      <c:pt idx="18">
                        <c:v>1.2044927124912002</c:v>
                      </c:pt>
                      <c:pt idx="19">
                        <c:v>1.2415876322520003</c:v>
                      </c:pt>
                      <c:pt idx="20">
                        <c:v>1.2905154883632004</c:v>
                      </c:pt>
                      <c:pt idx="21">
                        <c:v>1.3494382550814004</c:v>
                      </c:pt>
                      <c:pt idx="22">
                        <c:v>1.3667452297620004</c:v>
                      </c:pt>
                      <c:pt idx="23">
                        <c:v>1.3911257968278004</c:v>
                      </c:pt>
                      <c:pt idx="24">
                        <c:v>1.4230165404444004</c:v>
                      </c:pt>
                      <c:pt idx="25">
                        <c:v>1.4545245922548002</c:v>
                      </c:pt>
                      <c:pt idx="26">
                        <c:v>1.4846321634210002</c:v>
                      </c:pt>
                    </c:numCache>
                  </c:numRef>
                </c:val>
                <c:smooth val="0"/>
                <c:extLst xmlns:c15="http://schemas.microsoft.com/office/drawing/2012/chart">
                  <c:ext xmlns:c16="http://schemas.microsoft.com/office/drawing/2014/chart" uri="{C3380CC4-5D6E-409C-BE32-E72D297353CC}">
                    <c16:uniqueId val="{00000009-3822-45B1-A7A9-3019AF4EB950}"/>
                  </c:ext>
                </c:extLst>
              </c15:ser>
            </c15:filteredLineSeries>
            <c15:filteredLineSeries>
              <c15:ser>
                <c:idx val="6"/>
                <c:order val="6"/>
                <c:tx>
                  <c:strRef>
                    <c:extLst xmlns:c15="http://schemas.microsoft.com/office/drawing/2012/chart">
                      <c:ext xmlns:c15="http://schemas.microsoft.com/office/drawing/2012/chart" uri="{02D57815-91ED-43cb-92C2-25804820EDAC}">
                        <c15:formulaRef>
                          <c15:sqref>'PBL OLD'!$MG$6</c15:sqref>
                        </c15:formulaRef>
                      </c:ext>
                    </c:extLst>
                    <c:strCache>
                      <c:ptCount val="1"/>
                      <c:pt idx="0">
                        <c:v>2H20</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'PBL OLD'!$MA$7:$MA$34</c15:sqref>
                        </c15:formulaRef>
                      </c:ext>
                    </c:extLst>
                    <c:numCache>
                      <c:formatCode>General</c:formatCode>
                      <c:ptCount val="2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numCache>
                  </c:numRef>
                </c:cat>
                <c:val>
                  <c:numRef>
                    <c:extLst xmlns:c15="http://schemas.microsoft.com/office/drawing/2012/chart">
                      <c:ext xmlns:c15="http://schemas.microsoft.com/office/drawing/2012/chart" uri="{02D57815-91ED-43cb-92C2-25804820EDAC}">
                        <c15:formulaRef>
                          <c15:sqref>'PBL OLD'!$MG$7:$MG$34</c15:sqref>
                        </c15:formulaRef>
                      </c:ext>
                    </c:extLst>
                    <c:numCache>
                      <c:formatCode>_-* #,##0.0000_-;\-* #,##0.0000_-;_-* "-"??_-;_-@_-</c:formatCode>
                      <c:ptCount val="28"/>
                      <c:pt idx="0" formatCode="0.000">
                        <c:v>0</c:v>
                      </c:pt>
                      <c:pt idx="1">
                        <c:v>1.7322589851600002E-2</c:v>
                      </c:pt>
                      <c:pt idx="2">
                        <c:v>4.1461962583800006E-2</c:v>
                      </c:pt>
                      <c:pt idx="3">
                        <c:v>7.4246294370599999E-2</c:v>
                      </c:pt>
                      <c:pt idx="4">
                        <c:v>0.11660528847</c:v>
                      </c:pt>
                      <c:pt idx="5">
                        <c:v>0.17138482981620001</c:v>
                      </c:pt>
                      <c:pt idx="6">
                        <c:v>0.25261294741320001</c:v>
                      </c:pt>
                      <c:pt idx="7">
                        <c:v>0.2699713320414</c:v>
                      </c:pt>
                      <c:pt idx="8">
                        <c:v>0.29613859498080003</c:v>
                      </c:pt>
                      <c:pt idx="9">
                        <c:v>0.32927198589780005</c:v>
                      </c:pt>
                      <c:pt idx="10">
                        <c:v>0.37411963786560004</c:v>
                      </c:pt>
                      <c:pt idx="11">
                        <c:v>0.43050113560080006</c:v>
                      </c:pt>
                      <c:pt idx="12">
                        <c:v>0.51006163301280005</c:v>
                      </c:pt>
                      <c:pt idx="13">
                        <c:v>0.61427135850960002</c:v>
                      </c:pt>
                      <c:pt idx="14">
                        <c:v>0.63282514453620009</c:v>
                      </c:pt>
                      <c:pt idx="15">
                        <c:v>0.66094590540660003</c:v>
                      </c:pt>
                      <c:pt idx="16">
                        <c:v>0.69554632161960006</c:v>
                      </c:pt>
                      <c:pt idx="17">
                        <c:v>0.74418733905120005</c:v>
                      </c:pt>
                      <c:pt idx="18">
                        <c:v>0.76517364840840008</c:v>
                      </c:pt>
                      <c:pt idx="19">
                        <c:v>0.79310926940519999</c:v>
                      </c:pt>
                      <c:pt idx="20">
                        <c:v>0.8143884232769999</c:v>
                      </c:pt>
                      <c:pt idx="21">
                        <c:v>0.8442880323966</c:v>
                      </c:pt>
                      <c:pt idx="22">
                        <c:v>0.88955288970239998</c:v>
                      </c:pt>
                      <c:pt idx="23">
                        <c:v>0.91328851016699997</c:v>
                      </c:pt>
                      <c:pt idx="24">
                        <c:v>0.94407874457819996</c:v>
                      </c:pt>
                      <c:pt idx="25">
                        <c:v>0.98088802682640008</c:v>
                      </c:pt>
                      <c:pt idx="26">
                        <c:v>1.0392567352463999</c:v>
                      </c:pt>
                    </c:numCache>
                  </c:numRef>
                </c:val>
                <c:smooth val="0"/>
                <c:extLst xmlns:c15="http://schemas.microsoft.com/office/drawing/2012/chart">
                  <c:ext xmlns:c16="http://schemas.microsoft.com/office/drawing/2014/chart" uri="{C3380CC4-5D6E-409C-BE32-E72D297353CC}">
                    <c16:uniqueId val="{0000000A-3822-45B1-A7A9-3019AF4EB950}"/>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'PBL OLD'!$ML$6</c15:sqref>
                        </c15:formulaRef>
                      </c:ext>
                    </c:extLst>
                    <c:strCache>
                      <c:ptCount val="1"/>
                      <c:pt idx="0">
                        <c:v>0.8x Yr Avg</c:v>
                      </c:pt>
                    </c:strCache>
                  </c:strRef>
                </c:tx>
                <c:spPr>
                  <a:ln w="19050" cap="rnd">
                    <a:solidFill>
                      <a:schemeClr val="accent5">
                        <a:lumMod val="60000"/>
                        <a:lumOff val="40000"/>
                      </a:schemeClr>
                    </a:solidFill>
                    <a:prstDash val="dash"/>
                    <a:round/>
                  </a:ln>
                  <a:effectLst/>
                </c:spPr>
                <c:marker>
                  <c:symbol val="none"/>
                </c:marker>
                <c:cat>
                  <c:numRef>
                    <c:extLst xmlns:c15="http://schemas.microsoft.com/office/drawing/2012/chart">
                      <c:ext xmlns:c15="http://schemas.microsoft.com/office/drawing/2012/chart" uri="{02D57815-91ED-43cb-92C2-25804820EDAC}">
                        <c15:formulaRef>
                          <c15:sqref>'PBL OLD'!$MA$7:$MA$34</c15:sqref>
                        </c15:formulaRef>
                      </c:ext>
                    </c:extLst>
                    <c:numCache>
                      <c:formatCode>General</c:formatCode>
                      <c:ptCount val="2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numCache>
                  </c:numRef>
                </c:cat>
                <c:val>
                  <c:numRef>
                    <c:extLst xmlns:c15="http://schemas.microsoft.com/office/drawing/2012/chart">
                      <c:ext xmlns:c15="http://schemas.microsoft.com/office/drawing/2012/chart" uri="{02D57815-91ED-43cb-92C2-25804820EDAC}">
                        <c15:formulaRef>
                          <c15:sqref>'PBL OLD'!$ML$7:$ML$34</c15:sqref>
                        </c15:formulaRef>
                      </c:ext>
                    </c:extLst>
                    <c:numCache>
                      <c:formatCode>0.000</c:formatCode>
                      <c:ptCount val="28"/>
                      <c:pt idx="17" formatCode="0.0000">
                        <c:v>1.1198503163561999</c:v>
                      </c:pt>
                      <c:pt idx="18" formatCode="0.0000">
                        <c:v>1.1735110464078184</c:v>
                      </c:pt>
                      <c:pt idx="19" formatCode="0.0000">
                        <c:v>1.227171776459437</c:v>
                      </c:pt>
                      <c:pt idx="20" formatCode="0.0000">
                        <c:v>1.2808325065110555</c:v>
                      </c:pt>
                      <c:pt idx="21" formatCode="0.0000">
                        <c:v>1.334493236562674</c:v>
                      </c:pt>
                      <c:pt idx="22" formatCode="0.0000">
                        <c:v>1.3881539666142926</c:v>
                      </c:pt>
                      <c:pt idx="23" formatCode="0.0000">
                        <c:v>1.4418146966659111</c:v>
                      </c:pt>
                      <c:pt idx="24" formatCode="0.0000">
                        <c:v>1.4954754267175296</c:v>
                      </c:pt>
                      <c:pt idx="25" formatCode="0.0000">
                        <c:v>1.5491361567691482</c:v>
                      </c:pt>
                      <c:pt idx="26" formatCode="0.0000">
                        <c:v>1.6027968868207667</c:v>
                      </c:pt>
                    </c:numCache>
                  </c:numRef>
                </c:val>
                <c:smooth val="0"/>
                <c:extLst xmlns:c15="http://schemas.microsoft.com/office/drawing/2012/chart">
                  <c:ext xmlns:c16="http://schemas.microsoft.com/office/drawing/2014/chart" uri="{C3380CC4-5D6E-409C-BE32-E72D297353CC}">
                    <c16:uniqueId val="{0000000B-3822-45B1-A7A9-3019AF4EB950}"/>
                  </c:ext>
                </c:extLst>
              </c15:ser>
            </c15:filteredLineSeries>
            <c15:filteredLineSeries>
              <c15:ser>
                <c:idx val="12"/>
                <c:order val="12"/>
                <c:tx>
                  <c:strRef>
                    <c:extLst xmlns:c15="http://schemas.microsoft.com/office/drawing/2012/chart">
                      <c:ext xmlns:c15="http://schemas.microsoft.com/office/drawing/2012/chart" uri="{02D57815-91ED-43cb-92C2-25804820EDAC}">
                        <c15:formulaRef>
                          <c15:sqref>'PBL OLD'!$MM$6</c15:sqref>
                        </c15:formulaRef>
                      </c:ext>
                    </c:extLst>
                    <c:strCache>
                      <c:ptCount val="1"/>
                      <c:pt idx="0">
                        <c:v>1.0x Yr Avg</c:v>
                      </c:pt>
                    </c:strCache>
                  </c:strRef>
                </c:tx>
                <c:spPr>
                  <a:ln w="19050" cap="rnd">
                    <a:solidFill>
                      <a:srgbClr val="0070C0"/>
                    </a:solidFill>
                    <a:prstDash val="dash"/>
                    <a:round/>
                  </a:ln>
                  <a:effectLst/>
                </c:spPr>
                <c:marker>
                  <c:symbol val="none"/>
                </c:marker>
                <c:cat>
                  <c:numRef>
                    <c:extLst xmlns:c15="http://schemas.microsoft.com/office/drawing/2012/chart">
                      <c:ext xmlns:c15="http://schemas.microsoft.com/office/drawing/2012/chart" uri="{02D57815-91ED-43cb-92C2-25804820EDAC}">
                        <c15:formulaRef>
                          <c15:sqref>'PBL OLD'!$MA$7:$MA$34</c15:sqref>
                        </c15:formulaRef>
                      </c:ext>
                    </c:extLst>
                    <c:numCache>
                      <c:formatCode>General</c:formatCode>
                      <c:ptCount val="2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numCache>
                  </c:numRef>
                </c:cat>
                <c:val>
                  <c:numRef>
                    <c:extLst xmlns:c15="http://schemas.microsoft.com/office/drawing/2012/chart">
                      <c:ext xmlns:c15="http://schemas.microsoft.com/office/drawing/2012/chart" uri="{02D57815-91ED-43cb-92C2-25804820EDAC}">
                        <c15:formulaRef>
                          <c15:sqref>'PBL OLD'!$MM$7:$MM$34</c15:sqref>
                        </c15:formulaRef>
                      </c:ext>
                    </c:extLst>
                    <c:numCache>
                      <c:formatCode>0.000</c:formatCode>
                      <c:ptCount val="28"/>
                      <c:pt idx="17" formatCode="0.0000">
                        <c:v>1.1198503163561999</c:v>
                      </c:pt>
                      <c:pt idx="18" formatCode="0.0000">
                        <c:v>1.186926228920723</c:v>
                      </c:pt>
                      <c:pt idx="19" formatCode="0.0000">
                        <c:v>1.254002141485246</c:v>
                      </c:pt>
                      <c:pt idx="20" formatCode="0.0000">
                        <c:v>1.3210780540497691</c:v>
                      </c:pt>
                      <c:pt idx="21" formatCode="0.0000">
                        <c:v>1.3881539666142921</c:v>
                      </c:pt>
                      <c:pt idx="22" formatCode="0.0000">
                        <c:v>1.4552298791788152</c:v>
                      </c:pt>
                      <c:pt idx="23" formatCode="0.0000">
                        <c:v>1.5223057917433382</c:v>
                      </c:pt>
                      <c:pt idx="24" formatCode="0.0000">
                        <c:v>1.5893817043078613</c:v>
                      </c:pt>
                      <c:pt idx="25" formatCode="0.0000">
                        <c:v>1.6564576168723844</c:v>
                      </c:pt>
                      <c:pt idx="26" formatCode="0.0000">
                        <c:v>1.7235335294369074</c:v>
                      </c:pt>
                    </c:numCache>
                  </c:numRef>
                </c:val>
                <c:smooth val="0"/>
                <c:extLst xmlns:c15="http://schemas.microsoft.com/office/drawing/2012/chart">
                  <c:ext xmlns:c16="http://schemas.microsoft.com/office/drawing/2014/chart" uri="{C3380CC4-5D6E-409C-BE32-E72D297353CC}">
                    <c16:uniqueId val="{0000000C-3822-45B1-A7A9-3019AF4EB950}"/>
                  </c:ext>
                </c:extLst>
              </c15:ser>
            </c15:filteredLineSeries>
            <c15:filteredLineSeries>
              <c15:ser>
                <c:idx val="13"/>
                <c:order val="13"/>
                <c:tx>
                  <c:strRef>
                    <c:extLst xmlns:c15="http://schemas.microsoft.com/office/drawing/2012/chart">
                      <c:ext xmlns:c15="http://schemas.microsoft.com/office/drawing/2012/chart" uri="{02D57815-91ED-43cb-92C2-25804820EDAC}">
                        <c15:formulaRef>
                          <c15:sqref>'PBL OLD'!$MN$6</c15:sqref>
                        </c15:formulaRef>
                      </c:ext>
                    </c:extLst>
                    <c:strCache>
                      <c:ptCount val="1"/>
                      <c:pt idx="0">
                        <c:v>1.2x Yr Avg</c:v>
                      </c:pt>
                    </c:strCache>
                  </c:strRef>
                </c:tx>
                <c:spPr>
                  <a:ln w="19050" cap="rnd">
                    <a:solidFill>
                      <a:schemeClr val="accent1">
                        <a:lumMod val="75000"/>
                      </a:schemeClr>
                    </a:solidFill>
                    <a:prstDash val="dash"/>
                    <a:round/>
                  </a:ln>
                  <a:effectLst/>
                </c:spPr>
                <c:marker>
                  <c:symbol val="none"/>
                </c:marker>
                <c:cat>
                  <c:numRef>
                    <c:extLst xmlns:c15="http://schemas.microsoft.com/office/drawing/2012/chart">
                      <c:ext xmlns:c15="http://schemas.microsoft.com/office/drawing/2012/chart" uri="{02D57815-91ED-43cb-92C2-25804820EDAC}">
                        <c15:formulaRef>
                          <c15:sqref>'PBL OLD'!$MA$7:$MA$34</c15:sqref>
                        </c15:formulaRef>
                      </c:ext>
                    </c:extLst>
                    <c:numCache>
                      <c:formatCode>General</c:formatCode>
                      <c:ptCount val="2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numCache>
                  </c:numRef>
                </c:cat>
                <c:val>
                  <c:numRef>
                    <c:extLst xmlns:c15="http://schemas.microsoft.com/office/drawing/2012/chart">
                      <c:ext xmlns:c15="http://schemas.microsoft.com/office/drawing/2012/chart" uri="{02D57815-91ED-43cb-92C2-25804820EDAC}">
                        <c15:formulaRef>
                          <c15:sqref>'PBL OLD'!$MN$7:$MN$34</c15:sqref>
                        </c15:formulaRef>
                      </c:ext>
                    </c:extLst>
                    <c:numCache>
                      <c:formatCode>0.000</c:formatCode>
                      <c:ptCount val="28"/>
                      <c:pt idx="17" formatCode="0.0000">
                        <c:v>1.1198503163561999</c:v>
                      </c:pt>
                      <c:pt idx="18" formatCode="0.0000">
                        <c:v>1.2003414114336275</c:v>
                      </c:pt>
                      <c:pt idx="19" formatCode="0.0000">
                        <c:v>1.2808325065110551</c:v>
                      </c:pt>
                      <c:pt idx="20" formatCode="0.0000">
                        <c:v>1.3613236015884826</c:v>
                      </c:pt>
                      <c:pt idx="21" formatCode="0.0000">
                        <c:v>1.4418146966659102</c:v>
                      </c:pt>
                      <c:pt idx="22" formatCode="0.0000">
                        <c:v>1.5223057917433378</c:v>
                      </c:pt>
                      <c:pt idx="23" formatCode="0.0000">
                        <c:v>1.6027968868207654</c:v>
                      </c:pt>
                      <c:pt idx="24" formatCode="0.0000">
                        <c:v>1.683287981898193</c:v>
                      </c:pt>
                      <c:pt idx="25" formatCode="0.0000">
                        <c:v>1.7637790769756205</c:v>
                      </c:pt>
                      <c:pt idx="26" formatCode="0.0000">
                        <c:v>1.8442701720530481</c:v>
                      </c:pt>
                    </c:numCache>
                  </c:numRef>
                </c:val>
                <c:smooth val="0"/>
                <c:extLst xmlns:c15="http://schemas.microsoft.com/office/drawing/2012/chart">
                  <c:ext xmlns:c16="http://schemas.microsoft.com/office/drawing/2014/chart" uri="{C3380CC4-5D6E-409C-BE32-E72D297353CC}">
                    <c16:uniqueId val="{0000000D-3822-45B1-A7A9-3019AF4EB950}"/>
                  </c:ext>
                </c:extLst>
              </c15:ser>
            </c15:filteredLineSeries>
          </c:ext>
        </c:extLst>
      </c:lineChart>
      <c:catAx>
        <c:axId val="1388952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3088"/>
        <c:crosses val="autoZero"/>
        <c:auto val="1"/>
        <c:lblAlgn val="ctr"/>
        <c:lblOffset val="100"/>
        <c:tickLblSkip val="10"/>
        <c:noMultiLvlLbl val="0"/>
      </c:catAx>
      <c:valAx>
        <c:axId val="1388953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Ticket Sales ($b)</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7"/>
          <c:order val="7"/>
          <c:tx>
            <c:strRef>
              <c:f>'PBL OLD'!$MH$6</c:f>
              <c:strCache>
                <c:ptCount val="1"/>
                <c:pt idx="0">
                  <c:v>1H21</c:v>
                </c:pt>
              </c:strCache>
            </c:strRef>
          </c:tx>
          <c:spPr>
            <a:ln w="28575" cap="rnd">
              <a:solidFill>
                <a:schemeClr val="tx2"/>
              </a:solidFill>
              <a:round/>
            </a:ln>
            <a:effectLst/>
          </c:spPr>
          <c:marker>
            <c:symbol val="none"/>
          </c:marker>
          <c:cat>
            <c:numRef>
              <c:f>'PBL OLD'!$MA$7:$MA$34</c:f>
              <c:numCache>
                <c:formatCode>General</c:formatCode>
                <c:ptCount val="2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numCache>
            </c:numRef>
          </c:cat>
          <c:val>
            <c:numRef>
              <c:f>'PBL OLD'!$MH$7:$MH$34</c:f>
              <c:numCache>
                <c:formatCode>_-* #,##0.0000_-;\-* #,##0.0000_-;_-* "-"??_-;_-@_-</c:formatCode>
                <c:ptCount val="28"/>
                <c:pt idx="0" formatCode="0.000">
                  <c:v>0</c:v>
                </c:pt>
                <c:pt idx="1">
                  <c:v>8.3878292388E-2</c:v>
                </c:pt>
                <c:pt idx="2">
                  <c:v>0.21553140064499998</c:v>
                </c:pt>
                <c:pt idx="3">
                  <c:v>0.24056564279219997</c:v>
                </c:pt>
                <c:pt idx="4">
                  <c:v>0.27198953283479993</c:v>
                </c:pt>
                <c:pt idx="5">
                  <c:v>0.32423092823219996</c:v>
                </c:pt>
                <c:pt idx="6">
                  <c:v>0.35060951648579997</c:v>
                </c:pt>
                <c:pt idx="7">
                  <c:v>0.38322128061359995</c:v>
                </c:pt>
                <c:pt idx="8">
                  <c:v>0.40523963265719998</c:v>
                </c:pt>
                <c:pt idx="9">
                  <c:v>0.43841106052919998</c:v>
                </c:pt>
                <c:pt idx="10">
                  <c:v>0.48890187514079991</c:v>
                </c:pt>
                <c:pt idx="11">
                  <c:v>0.56263254855719991</c:v>
                </c:pt>
                <c:pt idx="12">
                  <c:v>0.66412635538919995</c:v>
                </c:pt>
                <c:pt idx="13">
                  <c:v>0.68886350889839998</c:v>
                </c:pt>
                <c:pt idx="14">
                  <c:v>0.72218107875539994</c:v>
                </c:pt>
                <c:pt idx="15">
                  <c:v>0.77568642214799999</c:v>
                </c:pt>
                <c:pt idx="16">
                  <c:v>0.854410506939</c:v>
                </c:pt>
                <c:pt idx="17">
                  <c:v>0.87791558341739995</c:v>
                </c:pt>
                <c:pt idx="18">
                  <c:v>0.9085567930427999</c:v>
                </c:pt>
                <c:pt idx="19">
                  <c:v>0.95703789510780002</c:v>
                </c:pt>
                <c:pt idx="20">
                  <c:v>0.97898705993219992</c:v>
                </c:pt>
                <c:pt idx="21">
                  <c:v>1.0091054416013998</c:v>
                </c:pt>
                <c:pt idx="22">
                  <c:v>1.0575821393873999</c:v>
                </c:pt>
                <c:pt idx="23">
                  <c:v>1.0791525362177998</c:v>
                </c:pt>
                <c:pt idx="24">
                  <c:v>1.1119100419415999</c:v>
                </c:pt>
                <c:pt idx="25">
                  <c:v>1.1634365027406</c:v>
                </c:pt>
                <c:pt idx="26">
                  <c:v>1.1861645042478</c:v>
                </c:pt>
                <c:pt idx="27">
                  <c:v>1.2199573358477998</c:v>
                </c:pt>
              </c:numCache>
            </c:numRef>
          </c:val>
          <c:smooth val="0"/>
          <c:extLst>
            <c:ext xmlns:c16="http://schemas.microsoft.com/office/drawing/2014/chart" uri="{C3380CC4-5D6E-409C-BE32-E72D297353CC}">
              <c16:uniqueId val="{00000000-3995-4CEE-86AD-66992D5B60F7}"/>
            </c:ext>
          </c:extLst>
        </c:ser>
        <c:ser>
          <c:idx val="8"/>
          <c:order val="8"/>
          <c:tx>
            <c:strRef>
              <c:f>'PBL OLD'!$MI$6</c:f>
              <c:strCache>
                <c:ptCount val="1"/>
                <c:pt idx="0">
                  <c:v>2H21</c:v>
                </c:pt>
              </c:strCache>
            </c:strRef>
          </c:tx>
          <c:spPr>
            <a:ln w="28575" cap="rnd">
              <a:solidFill>
                <a:schemeClr val="accent4"/>
              </a:solidFill>
              <a:round/>
            </a:ln>
            <a:effectLst/>
          </c:spPr>
          <c:marker>
            <c:symbol val="none"/>
          </c:marker>
          <c:cat>
            <c:numRef>
              <c:f>'PBL OLD'!$MA$7:$MA$34</c:f>
              <c:numCache>
                <c:formatCode>General</c:formatCode>
                <c:ptCount val="2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numCache>
            </c:numRef>
          </c:cat>
          <c:val>
            <c:numRef>
              <c:f>'PBL OLD'!$MI$7:$MI$34</c:f>
              <c:numCache>
                <c:formatCode>_-* #,##0.0000_-;\-* #,##0.0000_-;_-* "-"??_-;_-@_-</c:formatCode>
                <c:ptCount val="28"/>
                <c:pt idx="0" formatCode="0.000">
                  <c:v>0</c:v>
                </c:pt>
                <c:pt idx="1">
                  <c:v>2.1551818780800001E-2</c:v>
                </c:pt>
                <c:pt idx="2">
                  <c:v>5.0397283741199998E-2</c:v>
                </c:pt>
                <c:pt idx="3">
                  <c:v>9.6911034415799999E-2</c:v>
                </c:pt>
                <c:pt idx="4">
                  <c:v>0.1245589358772</c:v>
                </c:pt>
                <c:pt idx="5">
                  <c:v>0.17078736935040001</c:v>
                </c:pt>
                <c:pt idx="6">
                  <c:v>0.22933489149779998</c:v>
                </c:pt>
                <c:pt idx="7">
                  <c:v>0.32465630150579999</c:v>
                </c:pt>
                <c:pt idx="8">
                  <c:v>0.35353067455199999</c:v>
                </c:pt>
                <c:pt idx="9">
                  <c:v>0.39882996531179998</c:v>
                </c:pt>
                <c:pt idx="10">
                  <c:v>0.45431755456560002</c:v>
                </c:pt>
                <c:pt idx="11">
                  <c:v>0.53757788657100014</c:v>
                </c:pt>
                <c:pt idx="12">
                  <c:v>0.56641141993920008</c:v>
                </c:pt>
                <c:pt idx="13">
                  <c:v>0.61203502578900004</c:v>
                </c:pt>
                <c:pt idx="14">
                  <c:v>0.66341654576999998</c:v>
                </c:pt>
                <c:pt idx="15">
                  <c:v>0.74237517843719991</c:v>
                </c:pt>
                <c:pt idx="16">
                  <c:v>0.88337312572079996</c:v>
                </c:pt>
                <c:pt idx="17">
                  <c:v>0.9126393995201999</c:v>
                </c:pt>
                <c:pt idx="18">
                  <c:v>0.95793244421159995</c:v>
                </c:pt>
                <c:pt idx="19">
                  <c:v>1.0177584885137998</c:v>
                </c:pt>
                <c:pt idx="20">
                  <c:v>1.0421033408807998</c:v>
                </c:pt>
                <c:pt idx="21">
                  <c:v>1.0732094822129998</c:v>
                </c:pt>
                <c:pt idx="22">
                  <c:v>1.0966771623587999</c:v>
                </c:pt>
                <c:pt idx="23">
                  <c:v>1.1241966991067998</c:v>
                </c:pt>
                <c:pt idx="24">
                  <c:v>1.1672222608133997</c:v>
                </c:pt>
                <c:pt idx="25">
                  <c:v>1.2338811836339998</c:v>
                </c:pt>
              </c:numCache>
            </c:numRef>
          </c:val>
          <c:smooth val="0"/>
          <c:extLst>
            <c:ext xmlns:c16="http://schemas.microsoft.com/office/drawing/2014/chart" uri="{C3380CC4-5D6E-409C-BE32-E72D297353CC}">
              <c16:uniqueId val="{00000001-3995-4CEE-86AD-66992D5B60F7}"/>
            </c:ext>
          </c:extLst>
        </c:ser>
        <c:ser>
          <c:idx val="9"/>
          <c:order val="9"/>
          <c:tx>
            <c:strRef>
              <c:f>'PBL OLD'!$MJ$6</c:f>
              <c:strCache>
                <c:ptCount val="1"/>
                <c:pt idx="0">
                  <c:v>1H22</c:v>
                </c:pt>
              </c:strCache>
            </c:strRef>
          </c:tx>
          <c:spPr>
            <a:ln w="28575" cap="rnd">
              <a:solidFill>
                <a:schemeClr val="accent2"/>
              </a:solidFill>
              <a:round/>
            </a:ln>
            <a:effectLst/>
          </c:spPr>
          <c:marker>
            <c:symbol val="none"/>
          </c:marker>
          <c:cat>
            <c:numRef>
              <c:f>'PBL OLD'!$MA$7:$MA$34</c:f>
              <c:numCache>
                <c:formatCode>General</c:formatCode>
                <c:ptCount val="2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numCache>
            </c:numRef>
          </c:cat>
          <c:val>
            <c:numRef>
              <c:f>'PBL OLD'!$MJ$7:$MJ$34</c:f>
              <c:numCache>
                <c:formatCode>_-* #,##0.0000_-;\-* #,##0.0000_-;_-* "-"??_-;_-@_-</c:formatCode>
                <c:ptCount val="28"/>
                <c:pt idx="0" formatCode="0.000">
                  <c:v>0</c:v>
                </c:pt>
                <c:pt idx="1">
                  <c:v>9.5665744548000003E-2</c:v>
                </c:pt>
                <c:pt idx="2">
                  <c:v>0.11793257800500001</c:v>
                </c:pt>
                <c:pt idx="3">
                  <c:v>0.14911191044640001</c:v>
                </c:pt>
                <c:pt idx="4">
                  <c:v>0.20023678107840001</c:v>
                </c:pt>
                <c:pt idx="5">
                  <c:v>0.2701509465468</c:v>
                </c:pt>
                <c:pt idx="6">
                  <c:v>0.36942956119740006</c:v>
                </c:pt>
                <c:pt idx="7">
                  <c:v>0.52990114819620004</c:v>
                </c:pt>
                <c:pt idx="8">
                  <c:v>0.55553957734440007</c:v>
                </c:pt>
                <c:pt idx="9">
                  <c:v>0.59104062857399997</c:v>
                </c:pt>
                <c:pt idx="10">
                  <c:v>0.64431783031439993</c:v>
                </c:pt>
                <c:pt idx="11">
                  <c:v>0.66758515580459998</c:v>
                </c:pt>
                <c:pt idx="12">
                  <c:v>0.69931494304319997</c:v>
                </c:pt>
                <c:pt idx="13">
                  <c:v>0.72348987031860001</c:v>
                </c:pt>
                <c:pt idx="14">
                  <c:v>0.7559707072434001</c:v>
                </c:pt>
                <c:pt idx="15">
                  <c:v>0.80990678912220015</c:v>
                </c:pt>
                <c:pt idx="16">
                  <c:v>0.88230096405660008</c:v>
                </c:pt>
                <c:pt idx="17">
                  <c:v>0.98874678204060007</c:v>
                </c:pt>
                <c:pt idx="18">
                  <c:v>1.0120299629352001</c:v>
                </c:pt>
                <c:pt idx="19">
                  <c:v>1.0438740211944</c:v>
                </c:pt>
                <c:pt idx="20">
                  <c:v>1.0936904205744002</c:v>
                </c:pt>
                <c:pt idx="21">
                  <c:v>1.1660568885900002</c:v>
                </c:pt>
                <c:pt idx="22">
                  <c:v>1.2674987249298</c:v>
                </c:pt>
                <c:pt idx="23">
                  <c:v>1.4037287599235999</c:v>
                </c:pt>
                <c:pt idx="24">
                  <c:v>1.4266092295620001</c:v>
                </c:pt>
                <c:pt idx="25">
                  <c:v>1.4579451141024</c:v>
                </c:pt>
                <c:pt idx="26">
                  <c:v>1.5087963588918001</c:v>
                </c:pt>
                <c:pt idx="27">
                  <c:v>1.5639026176620001</c:v>
                </c:pt>
              </c:numCache>
            </c:numRef>
          </c:val>
          <c:smooth val="0"/>
          <c:extLst>
            <c:ext xmlns:c16="http://schemas.microsoft.com/office/drawing/2014/chart" uri="{C3380CC4-5D6E-409C-BE32-E72D297353CC}">
              <c16:uniqueId val="{00000002-3995-4CEE-86AD-66992D5B60F7}"/>
            </c:ext>
          </c:extLst>
        </c:ser>
        <c:ser>
          <c:idx val="10"/>
          <c:order val="10"/>
          <c:tx>
            <c:strRef>
              <c:f>'PBL OLD'!$MK$6</c:f>
              <c:strCache>
                <c:ptCount val="1"/>
                <c:pt idx="0">
                  <c:v>2H22</c:v>
                </c:pt>
              </c:strCache>
            </c:strRef>
          </c:tx>
          <c:spPr>
            <a:ln w="28575" cap="rnd">
              <a:solidFill>
                <a:schemeClr val="accent1"/>
              </a:solidFill>
              <a:round/>
            </a:ln>
            <a:effectLst/>
          </c:spPr>
          <c:marker>
            <c:symbol val="none"/>
          </c:marker>
          <c:cat>
            <c:numRef>
              <c:f>'PBL OLD'!$MA$7:$MA$34</c:f>
              <c:numCache>
                <c:formatCode>General</c:formatCode>
                <c:ptCount val="2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numCache>
            </c:numRef>
          </c:cat>
          <c:val>
            <c:numRef>
              <c:f>'PBL OLD'!$MK$7:$MK$34</c:f>
              <c:numCache>
                <c:formatCode>_-* #,##0.0000_-;\-* #,##0.0000_-;_-* "-"??_-;_-@_-</c:formatCode>
                <c:ptCount val="28"/>
                <c:pt idx="0" formatCode="0.000">
                  <c:v>0</c:v>
                </c:pt>
                <c:pt idx="1">
                  <c:v>9.3039993486000006E-2</c:v>
                </c:pt>
                <c:pt idx="2">
                  <c:v>0.1167146747448</c:v>
                </c:pt>
                <c:pt idx="3">
                  <c:v>0.1433834649456</c:v>
                </c:pt>
                <c:pt idx="4">
                  <c:v>0.18472835378580002</c:v>
                </c:pt>
                <c:pt idx="5">
                  <c:v>0.25436520983280003</c:v>
                </c:pt>
                <c:pt idx="6">
                  <c:v>0.35031266808119998</c:v>
                </c:pt>
                <c:pt idx="7">
                  <c:v>0.49196709316920001</c:v>
                </c:pt>
                <c:pt idx="8">
                  <c:v>0.7935265548210001</c:v>
                </c:pt>
                <c:pt idx="9">
                  <c:v>0.81782672377560006</c:v>
                </c:pt>
                <c:pt idx="10">
                  <c:v>0.84884902365120007</c:v>
                </c:pt>
                <c:pt idx="11">
                  <c:v>0.90128596903620006</c:v>
                </c:pt>
                <c:pt idx="12">
                  <c:v>0.92519687980500009</c:v>
                </c:pt>
                <c:pt idx="13">
                  <c:v>0.95970440577000005</c:v>
                </c:pt>
                <c:pt idx="14">
                  <c:v>1.0136447317722002</c:v>
                </c:pt>
                <c:pt idx="15">
                  <c:v>1.0389120803952001</c:v>
                </c:pt>
                <c:pt idx="16">
                  <c:v>1.0683752655048</c:v>
                </c:pt>
                <c:pt idx="17">
                  <c:v>1.1198503163561999</c:v>
                </c:pt>
                <c:pt idx="18">
                  <c:v>1.1924405217449998</c:v>
                </c:pt>
                <c:pt idx="19">
                  <c:v>1.2962112607421998</c:v>
                </c:pt>
                <c:pt idx="20">
                  <c:v>1.440848663958</c:v>
                </c:pt>
                <c:pt idx="21">
                  <c:v>1.4658156407532001</c:v>
                </c:pt>
                <c:pt idx="22">
                  <c:v>1.4926428248424002</c:v>
                </c:pt>
                <c:pt idx="23">
                  <c:v>1.525998992199</c:v>
                </c:pt>
                <c:pt idx="24">
                  <c:v>1.5772270831152</c:v>
                </c:pt>
                <c:pt idx="25">
                  <c:v>1.6493560403759999</c:v>
                </c:pt>
                <c:pt idx="26">
                  <c:v>1.7439737266775999</c:v>
                </c:pt>
              </c:numCache>
            </c:numRef>
          </c:val>
          <c:smooth val="0"/>
          <c:extLst>
            <c:ext xmlns:c16="http://schemas.microsoft.com/office/drawing/2014/chart" uri="{C3380CC4-5D6E-409C-BE32-E72D297353CC}">
              <c16:uniqueId val="{00000003-3995-4CEE-86AD-66992D5B60F7}"/>
            </c:ext>
          </c:extLst>
        </c:ser>
        <c:ser>
          <c:idx val="11"/>
          <c:order val="11"/>
          <c:tx>
            <c:strRef>
              <c:f>'PBL OLD'!$ML$6</c:f>
              <c:strCache>
                <c:ptCount val="1"/>
                <c:pt idx="0">
                  <c:v>0.8x Yr Avg</c:v>
                </c:pt>
              </c:strCache>
            </c:strRef>
          </c:tx>
          <c:spPr>
            <a:ln w="19050" cap="rnd">
              <a:solidFill>
                <a:schemeClr val="accent5">
                  <a:lumMod val="60000"/>
                  <a:lumOff val="40000"/>
                </a:schemeClr>
              </a:solidFill>
              <a:prstDash val="dash"/>
              <a:round/>
            </a:ln>
            <a:effectLst/>
          </c:spPr>
          <c:marker>
            <c:symbol val="none"/>
          </c:marker>
          <c:cat>
            <c:numRef>
              <c:f>'PBL OLD'!$MA$7:$MA$34</c:f>
              <c:numCache>
                <c:formatCode>General</c:formatCode>
                <c:ptCount val="2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numCache>
            </c:numRef>
          </c:cat>
          <c:val>
            <c:numRef>
              <c:f>'PBL OLD'!$ML$7:$ML$34</c:f>
              <c:numCache>
                <c:formatCode>0.000</c:formatCode>
                <c:ptCount val="28"/>
                <c:pt idx="17" formatCode="0.0000">
                  <c:v>1.1198503163561999</c:v>
                </c:pt>
                <c:pt idx="18" formatCode="0.0000">
                  <c:v>1.1735110464078184</c:v>
                </c:pt>
                <c:pt idx="19" formatCode="0.0000">
                  <c:v>1.227171776459437</c:v>
                </c:pt>
                <c:pt idx="20" formatCode="0.0000">
                  <c:v>1.2808325065110555</c:v>
                </c:pt>
                <c:pt idx="21" formatCode="0.0000">
                  <c:v>1.334493236562674</c:v>
                </c:pt>
                <c:pt idx="22" formatCode="0.0000">
                  <c:v>1.3881539666142926</c:v>
                </c:pt>
                <c:pt idx="23" formatCode="0.0000">
                  <c:v>1.4418146966659111</c:v>
                </c:pt>
                <c:pt idx="24" formatCode="0.0000">
                  <c:v>1.4954754267175296</c:v>
                </c:pt>
                <c:pt idx="25" formatCode="0.0000">
                  <c:v>1.5491361567691482</c:v>
                </c:pt>
                <c:pt idx="26" formatCode="0.0000">
                  <c:v>1.6027968868207667</c:v>
                </c:pt>
              </c:numCache>
            </c:numRef>
          </c:val>
          <c:smooth val="0"/>
          <c:extLst>
            <c:ext xmlns:c16="http://schemas.microsoft.com/office/drawing/2014/chart" uri="{C3380CC4-5D6E-409C-BE32-E72D297353CC}">
              <c16:uniqueId val="{00000004-3995-4CEE-86AD-66992D5B60F7}"/>
            </c:ext>
          </c:extLst>
        </c:ser>
        <c:ser>
          <c:idx val="12"/>
          <c:order val="12"/>
          <c:tx>
            <c:strRef>
              <c:f>'PBL OLD'!$MM$6</c:f>
              <c:strCache>
                <c:ptCount val="1"/>
                <c:pt idx="0">
                  <c:v>1.0x Yr Avg</c:v>
                </c:pt>
              </c:strCache>
            </c:strRef>
          </c:tx>
          <c:spPr>
            <a:ln w="19050" cap="rnd">
              <a:solidFill>
                <a:srgbClr val="0070C0"/>
              </a:solidFill>
              <a:prstDash val="dash"/>
              <a:round/>
            </a:ln>
            <a:effectLst/>
          </c:spPr>
          <c:marker>
            <c:symbol val="none"/>
          </c:marker>
          <c:cat>
            <c:numRef>
              <c:f>'PBL OLD'!$MA$7:$MA$34</c:f>
              <c:numCache>
                <c:formatCode>General</c:formatCode>
                <c:ptCount val="2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numCache>
            </c:numRef>
          </c:cat>
          <c:val>
            <c:numRef>
              <c:f>'PBL OLD'!$MM$7:$MM$34</c:f>
              <c:numCache>
                <c:formatCode>0.000</c:formatCode>
                <c:ptCount val="28"/>
                <c:pt idx="17" formatCode="0.0000">
                  <c:v>1.1198503163561999</c:v>
                </c:pt>
                <c:pt idx="18" formatCode="0.0000">
                  <c:v>1.186926228920723</c:v>
                </c:pt>
                <c:pt idx="19" formatCode="0.0000">
                  <c:v>1.254002141485246</c:v>
                </c:pt>
                <c:pt idx="20" formatCode="0.0000">
                  <c:v>1.3210780540497691</c:v>
                </c:pt>
                <c:pt idx="21" formatCode="0.0000">
                  <c:v>1.3881539666142921</c:v>
                </c:pt>
                <c:pt idx="22" formatCode="0.0000">
                  <c:v>1.4552298791788152</c:v>
                </c:pt>
                <c:pt idx="23" formatCode="0.0000">
                  <c:v>1.5223057917433382</c:v>
                </c:pt>
                <c:pt idx="24" formatCode="0.0000">
                  <c:v>1.5893817043078613</c:v>
                </c:pt>
                <c:pt idx="25" formatCode="0.0000">
                  <c:v>1.6564576168723844</c:v>
                </c:pt>
                <c:pt idx="26" formatCode="0.0000">
                  <c:v>1.7235335294369074</c:v>
                </c:pt>
              </c:numCache>
            </c:numRef>
          </c:val>
          <c:smooth val="0"/>
          <c:extLst>
            <c:ext xmlns:c16="http://schemas.microsoft.com/office/drawing/2014/chart" uri="{C3380CC4-5D6E-409C-BE32-E72D297353CC}">
              <c16:uniqueId val="{00000005-3995-4CEE-86AD-66992D5B60F7}"/>
            </c:ext>
          </c:extLst>
        </c:ser>
        <c:ser>
          <c:idx val="13"/>
          <c:order val="13"/>
          <c:tx>
            <c:strRef>
              <c:f>'PBL OLD'!$MN$6</c:f>
              <c:strCache>
                <c:ptCount val="1"/>
                <c:pt idx="0">
                  <c:v>1.2x Yr Avg</c:v>
                </c:pt>
              </c:strCache>
            </c:strRef>
          </c:tx>
          <c:spPr>
            <a:ln w="19050" cap="rnd">
              <a:solidFill>
                <a:schemeClr val="accent1">
                  <a:lumMod val="75000"/>
                </a:schemeClr>
              </a:solidFill>
              <a:prstDash val="dash"/>
              <a:round/>
            </a:ln>
            <a:effectLst/>
          </c:spPr>
          <c:marker>
            <c:symbol val="none"/>
          </c:marker>
          <c:cat>
            <c:numRef>
              <c:f>'PBL OLD'!$MA$7:$MA$34</c:f>
              <c:numCache>
                <c:formatCode>General</c:formatCode>
                <c:ptCount val="2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numCache>
            </c:numRef>
          </c:cat>
          <c:val>
            <c:numRef>
              <c:f>'PBL OLD'!$MN$7:$MN$34</c:f>
              <c:numCache>
                <c:formatCode>0.000</c:formatCode>
                <c:ptCount val="28"/>
                <c:pt idx="17" formatCode="0.0000">
                  <c:v>1.1198503163561999</c:v>
                </c:pt>
                <c:pt idx="18" formatCode="0.0000">
                  <c:v>1.2003414114336275</c:v>
                </c:pt>
                <c:pt idx="19" formatCode="0.0000">
                  <c:v>1.2808325065110551</c:v>
                </c:pt>
                <c:pt idx="20" formatCode="0.0000">
                  <c:v>1.3613236015884826</c:v>
                </c:pt>
                <c:pt idx="21" formatCode="0.0000">
                  <c:v>1.4418146966659102</c:v>
                </c:pt>
                <c:pt idx="22" formatCode="0.0000">
                  <c:v>1.5223057917433378</c:v>
                </c:pt>
                <c:pt idx="23" formatCode="0.0000">
                  <c:v>1.6027968868207654</c:v>
                </c:pt>
                <c:pt idx="24" formatCode="0.0000">
                  <c:v>1.683287981898193</c:v>
                </c:pt>
                <c:pt idx="25" formatCode="0.0000">
                  <c:v>1.7637790769756205</c:v>
                </c:pt>
                <c:pt idx="26" formatCode="0.0000">
                  <c:v>1.8442701720530481</c:v>
                </c:pt>
              </c:numCache>
            </c:numRef>
          </c:val>
          <c:smooth val="0"/>
          <c:extLst>
            <c:ext xmlns:c16="http://schemas.microsoft.com/office/drawing/2014/chart" uri="{C3380CC4-5D6E-409C-BE32-E72D297353CC}">
              <c16:uniqueId val="{00000006-3995-4CEE-86AD-66992D5B60F7}"/>
            </c:ext>
          </c:extLst>
        </c:ser>
        <c:dLbls>
          <c:showLegendKey val="0"/>
          <c:showVal val="0"/>
          <c:showCatName val="0"/>
          <c:showSerName val="0"/>
          <c:showPercent val="0"/>
          <c:showBubbleSize val="0"/>
        </c:dLbls>
        <c:smooth val="0"/>
        <c:axId val="1388952432"/>
        <c:axId val="1388953088"/>
        <c:extLst>
          <c:ext xmlns:c15="http://schemas.microsoft.com/office/drawing/2012/chart" uri="{02D57815-91ED-43cb-92C2-25804820EDAC}">
            <c15:filteredLineSeries>
              <c15:ser>
                <c:idx val="0"/>
                <c:order val="0"/>
                <c:tx>
                  <c:strRef>
                    <c:extLst>
                      <c:ext uri="{02D57815-91ED-43cb-92C2-25804820EDAC}">
                        <c15:formulaRef>
                          <c15:sqref>'PBL OLD'!$MA$6</c15:sqref>
                        </c15:formulaRef>
                      </c:ext>
                    </c:extLst>
                    <c:strCache>
                      <c:ptCount val="1"/>
                      <c:pt idx="0">
                        <c:v>Week</c:v>
                      </c:pt>
                    </c:strCache>
                  </c:strRef>
                </c:tx>
                <c:spPr>
                  <a:ln w="28575" cap="rnd">
                    <a:solidFill>
                      <a:schemeClr val="accent1"/>
                    </a:solidFill>
                    <a:round/>
                  </a:ln>
                  <a:effectLst/>
                </c:spPr>
                <c:marker>
                  <c:symbol val="none"/>
                </c:marker>
                <c:cat>
                  <c:numRef>
                    <c:extLst>
                      <c:ext uri="{02D57815-91ED-43cb-92C2-25804820EDAC}">
                        <c15:formulaRef>
                          <c15:sqref>'PBL OLD'!$MA$7:$MA$34</c15:sqref>
                        </c15:formulaRef>
                      </c:ext>
                    </c:extLst>
                    <c:numCache>
                      <c:formatCode>General</c:formatCode>
                      <c:ptCount val="2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numCache>
                  </c:numRef>
                </c:cat>
                <c:val>
                  <c:numRef>
                    <c:extLst>
                      <c:ext uri="{02D57815-91ED-43cb-92C2-25804820EDAC}">
                        <c15:formulaRef>
                          <c15:sqref>'PBL OLD'!$MA$7:$MA$34</c15:sqref>
                        </c15:formulaRef>
                      </c:ext>
                    </c:extLst>
                    <c:numCache>
                      <c:formatCode>General</c:formatCode>
                      <c:ptCount val="2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numCache>
                  </c:numRef>
                </c:val>
                <c:smooth val="0"/>
                <c:extLst>
                  <c:ext xmlns:c16="http://schemas.microsoft.com/office/drawing/2014/chart" uri="{C3380CC4-5D6E-409C-BE32-E72D297353CC}">
                    <c16:uniqueId val="{00000007-3995-4CEE-86AD-66992D5B60F7}"/>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'PBL OLD'!$MB$6</c15:sqref>
                        </c15:formulaRef>
                      </c:ext>
                    </c:extLst>
                    <c:strCache>
                      <c:ptCount val="1"/>
                      <c:pt idx="0">
                        <c:v>1H18</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'PBL OLD'!$MA$7:$MA$34</c15:sqref>
                        </c15:formulaRef>
                      </c:ext>
                    </c:extLst>
                    <c:numCache>
                      <c:formatCode>General</c:formatCode>
                      <c:ptCount val="2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numCache>
                  </c:numRef>
                </c:cat>
                <c:val>
                  <c:numRef>
                    <c:extLst xmlns:c15="http://schemas.microsoft.com/office/drawing/2012/chart">
                      <c:ext xmlns:c15="http://schemas.microsoft.com/office/drawing/2012/chart" uri="{02D57815-91ED-43cb-92C2-25804820EDAC}">
                        <c15:formulaRef>
                          <c15:sqref>'PBL OLD'!$MB$7:$MB$34</c15:sqref>
                        </c15:formulaRef>
                      </c:ext>
                    </c:extLst>
                    <c:numCache>
                      <c:formatCode>_-* #,##0.0000_-;\-* #,##0.0000_-;_-* "-"??_-;_-@_-</c:formatCode>
                      <c:ptCount val="28"/>
                      <c:pt idx="0" formatCode="0.000">
                        <c:v>0</c:v>
                      </c:pt>
                      <c:pt idx="1">
                        <c:v>1.3252916830999998E-2</c:v>
                      </c:pt>
                      <c:pt idx="2">
                        <c:v>2.7884757543499998E-2</c:v>
                      </c:pt>
                      <c:pt idx="3">
                        <c:v>4.0568036657500001E-2</c:v>
                      </c:pt>
                      <c:pt idx="4">
                        <c:v>5.1985522308500003E-2</c:v>
                      </c:pt>
                      <c:pt idx="5">
                        <c:v>6.807354670049999E-2</c:v>
                      </c:pt>
                      <c:pt idx="6">
                        <c:v>8.0850641283500002E-2</c:v>
                      </c:pt>
                      <c:pt idx="7">
                        <c:v>9.3063003533499999E-2</c:v>
                      </c:pt>
                      <c:pt idx="8">
                        <c:v>0.1080397540585</c:v>
                      </c:pt>
                      <c:pt idx="9">
                        <c:v>0.1253856006645</c:v>
                      </c:pt>
                      <c:pt idx="10">
                        <c:v>0.14921851102399999</c:v>
                      </c:pt>
                      <c:pt idx="11">
                        <c:v>0.18899821159449998</c:v>
                      </c:pt>
                      <c:pt idx="12">
                        <c:v>0.25368285331949997</c:v>
                      </c:pt>
                      <c:pt idx="13">
                        <c:v>0.26693750747399997</c:v>
                      </c:pt>
                      <c:pt idx="14">
                        <c:v>0.28319241711749993</c:v>
                      </c:pt>
                      <c:pt idx="15">
                        <c:v>0.30665854782749991</c:v>
                      </c:pt>
                      <c:pt idx="16">
                        <c:v>0.33301272336749993</c:v>
                      </c:pt>
                      <c:pt idx="17">
                        <c:v>0.34482243534749996</c:v>
                      </c:pt>
                      <c:pt idx="18">
                        <c:v>0.35979703976699995</c:v>
                      </c:pt>
                      <c:pt idx="19">
                        <c:v>0.37190945481799997</c:v>
                      </c:pt>
                      <c:pt idx="20">
                        <c:v>0.38807044679699992</c:v>
                      </c:pt>
                      <c:pt idx="21">
                        <c:v>0.41142395806599991</c:v>
                      </c:pt>
                      <c:pt idx="22">
                        <c:v>0.42354894316349995</c:v>
                      </c:pt>
                      <c:pt idx="23">
                        <c:v>0.43943952584949997</c:v>
                      </c:pt>
                      <c:pt idx="24">
                        <c:v>0.45751433295699995</c:v>
                      </c:pt>
                      <c:pt idx="25">
                        <c:v>0.47920543002749999</c:v>
                      </c:pt>
                      <c:pt idx="26">
                        <c:v>0.50481337402649995</c:v>
                      </c:pt>
                    </c:numCache>
                  </c:numRef>
                </c:val>
                <c:smooth val="0"/>
                <c:extLst xmlns:c15="http://schemas.microsoft.com/office/drawing/2012/chart">
                  <c:ext xmlns:c16="http://schemas.microsoft.com/office/drawing/2014/chart" uri="{C3380CC4-5D6E-409C-BE32-E72D297353CC}">
                    <c16:uniqueId val="{00000008-3995-4CEE-86AD-66992D5B60F7}"/>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'PBL OLD'!$MC$6</c15:sqref>
                        </c15:formulaRef>
                      </c:ext>
                    </c:extLst>
                    <c:strCache>
                      <c:ptCount val="1"/>
                      <c:pt idx="0">
                        <c:v>2H18</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'PBL OLD'!$MA$7:$MA$34</c15:sqref>
                        </c15:formulaRef>
                      </c:ext>
                    </c:extLst>
                    <c:numCache>
                      <c:formatCode>General</c:formatCode>
                      <c:ptCount val="2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numCache>
                  </c:numRef>
                </c:cat>
                <c:val>
                  <c:numRef>
                    <c:extLst xmlns:c15="http://schemas.microsoft.com/office/drawing/2012/chart">
                      <c:ext xmlns:c15="http://schemas.microsoft.com/office/drawing/2012/chart" uri="{02D57815-91ED-43cb-92C2-25804820EDAC}">
                        <c15:formulaRef>
                          <c15:sqref>'PBL OLD'!$MC$7:$MC$34</c15:sqref>
                        </c15:formulaRef>
                      </c:ext>
                    </c:extLst>
                    <c:numCache>
                      <c:formatCode>_-* #,##0.0000_-;\-* #,##0.0000_-;_-* "-"??_-;_-@_-</c:formatCode>
                      <c:ptCount val="28"/>
                      <c:pt idx="0" formatCode="0.000">
                        <c:v>0</c:v>
                      </c:pt>
                      <c:pt idx="1">
                        <c:v>4.3512391207999997E-2</c:v>
                      </c:pt>
                      <c:pt idx="2">
                        <c:v>0.118080359738</c:v>
                      </c:pt>
                      <c:pt idx="3">
                        <c:v>0.13150905282899999</c:v>
                      </c:pt>
                      <c:pt idx="4">
                        <c:v>0.1463542777455</c:v>
                      </c:pt>
                      <c:pt idx="5">
                        <c:v>0.15825024272749999</c:v>
                      </c:pt>
                      <c:pt idx="6">
                        <c:v>0.17327011975349998</c:v>
                      </c:pt>
                      <c:pt idx="7">
                        <c:v>0.18653877469149999</c:v>
                      </c:pt>
                      <c:pt idx="8">
                        <c:v>0.20245408868849998</c:v>
                      </c:pt>
                      <c:pt idx="9">
                        <c:v>0.22253652639349997</c:v>
                      </c:pt>
                      <c:pt idx="10">
                        <c:v>0.24792199078899999</c:v>
                      </c:pt>
                      <c:pt idx="11">
                        <c:v>0.28685418407799995</c:v>
                      </c:pt>
                      <c:pt idx="12">
                        <c:v>0.33529771255199992</c:v>
                      </c:pt>
                      <c:pt idx="13">
                        <c:v>0.34930800023349995</c:v>
                      </c:pt>
                      <c:pt idx="14">
                        <c:v>0.36632498172049993</c:v>
                      </c:pt>
                      <c:pt idx="15">
                        <c:v>0.37821542814549997</c:v>
                      </c:pt>
                      <c:pt idx="16">
                        <c:v>0.40014937659069999</c:v>
                      </c:pt>
                      <c:pt idx="17">
                        <c:v>0.41431502187129998</c:v>
                      </c:pt>
                      <c:pt idx="18">
                        <c:v>0.43451949783549998</c:v>
                      </c:pt>
                      <c:pt idx="19">
                        <c:v>0.4557016673275</c:v>
                      </c:pt>
                      <c:pt idx="20">
                        <c:v>0.48742207326669995</c:v>
                      </c:pt>
                      <c:pt idx="21">
                        <c:v>0.53099970127269991</c:v>
                      </c:pt>
                      <c:pt idx="22">
                        <c:v>0.58662856649649997</c:v>
                      </c:pt>
                      <c:pt idx="23">
                        <c:v>0.65483937377650003</c:v>
                      </c:pt>
                      <c:pt idx="24">
                        <c:v>0.6690650090179</c:v>
                      </c:pt>
                      <c:pt idx="25">
                        <c:v>0.68230684064290004</c:v>
                      </c:pt>
                      <c:pt idx="26">
                        <c:v>0.7021907353350999</c:v>
                      </c:pt>
                    </c:numCache>
                  </c:numRef>
                </c:val>
                <c:smooth val="0"/>
                <c:extLst xmlns:c15="http://schemas.microsoft.com/office/drawing/2012/chart">
                  <c:ext xmlns:c16="http://schemas.microsoft.com/office/drawing/2014/chart" uri="{C3380CC4-5D6E-409C-BE32-E72D297353CC}">
                    <c16:uniqueId val="{00000009-3995-4CEE-86AD-66992D5B60F7}"/>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'PBL OLD'!$MD$6</c15:sqref>
                        </c15:formulaRef>
                      </c:ext>
                    </c:extLst>
                    <c:strCache>
                      <c:ptCount val="1"/>
                      <c:pt idx="0">
                        <c:v>1H19</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'PBL OLD'!$MA$7:$MA$34</c15:sqref>
                        </c15:formulaRef>
                      </c:ext>
                    </c:extLst>
                    <c:numCache>
                      <c:formatCode>General</c:formatCode>
                      <c:ptCount val="2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numCache>
                  </c:numRef>
                </c:cat>
                <c:val>
                  <c:numRef>
                    <c:extLst xmlns:c15="http://schemas.microsoft.com/office/drawing/2012/chart">
                      <c:ext xmlns:c15="http://schemas.microsoft.com/office/drawing/2012/chart" uri="{02D57815-91ED-43cb-92C2-25804820EDAC}">
                        <c15:formulaRef>
                          <c15:sqref>'PBL OLD'!$MD$7:$MD$34</c15:sqref>
                        </c15:formulaRef>
                      </c:ext>
                    </c:extLst>
                    <c:numCache>
                      <c:formatCode>_-* #,##0.0000_-;\-* #,##0.0000_-;_-* "-"??_-;_-@_-</c:formatCode>
                      <c:ptCount val="28"/>
                      <c:pt idx="0" formatCode="0.000">
                        <c:v>0</c:v>
                      </c:pt>
                      <c:pt idx="1">
                        <c:v>2.4234595182600002E-2</c:v>
                      </c:pt>
                      <c:pt idx="2">
                        <c:v>5.7172416437400009E-2</c:v>
                      </c:pt>
                      <c:pt idx="3">
                        <c:v>9.5831343768600016E-2</c:v>
                      </c:pt>
                      <c:pt idx="4">
                        <c:v>0.14260526227860004</c:v>
                      </c:pt>
                      <c:pt idx="5">
                        <c:v>0.20022704795940005</c:v>
                      </c:pt>
                      <c:pt idx="6">
                        <c:v>0.3090859734930001</c:v>
                      </c:pt>
                      <c:pt idx="7">
                        <c:v>0.51181649139060004</c:v>
                      </c:pt>
                      <c:pt idx="8">
                        <c:v>0.52953844629180014</c:v>
                      </c:pt>
                      <c:pt idx="9">
                        <c:v>0.55037202332640001</c:v>
                      </c:pt>
                      <c:pt idx="10">
                        <c:v>0.57662334450600006</c:v>
                      </c:pt>
                      <c:pt idx="11">
                        <c:v>0.61092950820000003</c:v>
                      </c:pt>
                      <c:pt idx="12">
                        <c:v>0.65609052202320006</c:v>
                      </c:pt>
                      <c:pt idx="13">
                        <c:v>0.67163720603099997</c:v>
                      </c:pt>
                      <c:pt idx="14">
                        <c:v>0.69383158708380011</c:v>
                      </c:pt>
                      <c:pt idx="15">
                        <c:v>0.72326475673980006</c:v>
                      </c:pt>
                      <c:pt idx="16">
                        <c:v>0.75835935991860004</c:v>
                      </c:pt>
                      <c:pt idx="17">
                        <c:v>0.80001611890200008</c:v>
                      </c:pt>
                      <c:pt idx="18">
                        <c:v>0.85065573970080011</c:v>
                      </c:pt>
                      <c:pt idx="19">
                        <c:v>0.93406122640379996</c:v>
                      </c:pt>
                      <c:pt idx="20">
                        <c:v>0.9503713540794001</c:v>
                      </c:pt>
                      <c:pt idx="21">
                        <c:v>0.96620814826800006</c:v>
                      </c:pt>
                      <c:pt idx="22">
                        <c:v>0.98973373511759999</c:v>
                      </c:pt>
                      <c:pt idx="23">
                        <c:v>1.0186353270654001</c:v>
                      </c:pt>
                      <c:pt idx="24">
                        <c:v>1.0569277284323999</c:v>
                      </c:pt>
                      <c:pt idx="25">
                        <c:v>1.0956737840399999</c:v>
                      </c:pt>
                      <c:pt idx="26">
                        <c:v>1.1393866275132001</c:v>
                      </c:pt>
                    </c:numCache>
                  </c:numRef>
                </c:val>
                <c:smooth val="0"/>
                <c:extLst xmlns:c15="http://schemas.microsoft.com/office/drawing/2012/chart">
                  <c:ext xmlns:c16="http://schemas.microsoft.com/office/drawing/2014/chart" uri="{C3380CC4-5D6E-409C-BE32-E72D297353CC}">
                    <c16:uniqueId val="{0000000A-3995-4CEE-86AD-66992D5B60F7}"/>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'PBL OLD'!$ME$6</c15:sqref>
                        </c15:formulaRef>
                      </c:ext>
                    </c:extLst>
                    <c:strCache>
                      <c:ptCount val="1"/>
                      <c:pt idx="0">
                        <c:v>2H19</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'PBL OLD'!$MA$7:$MA$34</c15:sqref>
                        </c15:formulaRef>
                      </c:ext>
                    </c:extLst>
                    <c:numCache>
                      <c:formatCode>General</c:formatCode>
                      <c:ptCount val="2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numCache>
                  </c:numRef>
                </c:cat>
                <c:val>
                  <c:numRef>
                    <c:extLst xmlns:c15="http://schemas.microsoft.com/office/drawing/2012/chart">
                      <c:ext xmlns:c15="http://schemas.microsoft.com/office/drawing/2012/chart" uri="{02D57815-91ED-43cb-92C2-25804820EDAC}">
                        <c15:formulaRef>
                          <c15:sqref>'PBL OLD'!$ME$7:$ME$34</c15:sqref>
                        </c15:formulaRef>
                      </c:ext>
                    </c:extLst>
                    <c:numCache>
                      <c:formatCode>_-* #,##0.0000_-;\-* #,##0.0000_-;_-* "-"??_-;_-@_-</c:formatCode>
                      <c:ptCount val="28"/>
                      <c:pt idx="0" formatCode="0.000">
                        <c:v>0</c:v>
                      </c:pt>
                      <c:pt idx="1">
                        <c:v>7.8951152761800009E-2</c:v>
                      </c:pt>
                      <c:pt idx="2">
                        <c:v>0.21094319114220003</c:v>
                      </c:pt>
                      <c:pt idx="3">
                        <c:v>0.41743228639860003</c:v>
                      </c:pt>
                      <c:pt idx="4">
                        <c:v>0.43435270876800008</c:v>
                      </c:pt>
                      <c:pt idx="5">
                        <c:v>0.4564186192566001</c:v>
                      </c:pt>
                      <c:pt idx="6">
                        <c:v>0.4874173999266001</c:v>
                      </c:pt>
                      <c:pt idx="7">
                        <c:v>0.52617702469200012</c:v>
                      </c:pt>
                      <c:pt idx="8">
                        <c:v>0.57346260360840007</c:v>
                      </c:pt>
                      <c:pt idx="9">
                        <c:v>0.62795705549940017</c:v>
                      </c:pt>
                      <c:pt idx="10">
                        <c:v>0.64339978864920022</c:v>
                      </c:pt>
                      <c:pt idx="11">
                        <c:v>0.66307974921540025</c:v>
                      </c:pt>
                      <c:pt idx="12">
                        <c:v>0.6888428981214002</c:v>
                      </c:pt>
                      <c:pt idx="13">
                        <c:v>0.72047093856540023</c:v>
                      </c:pt>
                      <c:pt idx="14">
                        <c:v>0.73656356295720027</c:v>
                      </c:pt>
                      <c:pt idx="15">
                        <c:v>0.7584014957244003</c:v>
                      </c:pt>
                      <c:pt idx="16">
                        <c:v>0.7842059075664003</c:v>
                      </c:pt>
                      <c:pt idx="17">
                        <c:v>0.81143285912700036</c:v>
                      </c:pt>
                      <c:pt idx="18">
                        <c:v>0.85281434671620038</c:v>
                      </c:pt>
                      <c:pt idx="19">
                        <c:v>0.86671527439200036</c:v>
                      </c:pt>
                      <c:pt idx="20">
                        <c:v>0.88743664798140032</c:v>
                      </c:pt>
                      <c:pt idx="21">
                        <c:v>0.90198826041720037</c:v>
                      </c:pt>
                      <c:pt idx="22">
                        <c:v>0.92130352011060035</c:v>
                      </c:pt>
                      <c:pt idx="23">
                        <c:v>0.94449932087940036</c:v>
                      </c:pt>
                      <c:pt idx="24">
                        <c:v>0.97236426091200046</c:v>
                      </c:pt>
                      <c:pt idx="25">
                        <c:v>1.0074099833820005</c:v>
                      </c:pt>
                      <c:pt idx="26">
                        <c:v>1.0555108226916003</c:v>
                      </c:pt>
                    </c:numCache>
                  </c:numRef>
                </c:val>
                <c:smooth val="0"/>
                <c:extLst xmlns:c15="http://schemas.microsoft.com/office/drawing/2012/chart">
                  <c:ext xmlns:c16="http://schemas.microsoft.com/office/drawing/2014/chart" uri="{C3380CC4-5D6E-409C-BE32-E72D297353CC}">
                    <c16:uniqueId val="{0000000B-3995-4CEE-86AD-66992D5B60F7}"/>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'PBL OLD'!$MF$6</c15:sqref>
                        </c15:formulaRef>
                      </c:ext>
                    </c:extLst>
                    <c:strCache>
                      <c:ptCount val="1"/>
                      <c:pt idx="0">
                        <c:v>1H20</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'PBL OLD'!$MA$7:$MA$34</c15:sqref>
                        </c15:formulaRef>
                      </c:ext>
                    </c:extLst>
                    <c:numCache>
                      <c:formatCode>General</c:formatCode>
                      <c:ptCount val="2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numCache>
                  </c:numRef>
                </c:cat>
                <c:val>
                  <c:numRef>
                    <c:extLst xmlns:c15="http://schemas.microsoft.com/office/drawing/2012/chart">
                      <c:ext xmlns:c15="http://schemas.microsoft.com/office/drawing/2012/chart" uri="{02D57815-91ED-43cb-92C2-25804820EDAC}">
                        <c15:formulaRef>
                          <c15:sqref>'PBL OLD'!$MF$7:$MF$34</c15:sqref>
                        </c15:formulaRef>
                      </c:ext>
                    </c:extLst>
                    <c:numCache>
                      <c:formatCode>_-* #,##0.0000_-;\-* #,##0.0000_-;_-* "-"??_-;_-@_-</c:formatCode>
                      <c:ptCount val="28"/>
                      <c:pt idx="0" formatCode="0.000">
                        <c:v>0</c:v>
                      </c:pt>
                      <c:pt idx="1">
                        <c:v>6.3792737111400002E-2</c:v>
                      </c:pt>
                      <c:pt idx="2">
                        <c:v>0.152397909213</c:v>
                      </c:pt>
                      <c:pt idx="3">
                        <c:v>0.33964704963420006</c:v>
                      </c:pt>
                      <c:pt idx="4">
                        <c:v>0.35693542630020003</c:v>
                      </c:pt>
                      <c:pt idx="5">
                        <c:v>0.37779995053680004</c:v>
                      </c:pt>
                      <c:pt idx="6">
                        <c:v>0.40685429469960005</c:v>
                      </c:pt>
                      <c:pt idx="7">
                        <c:v>0.44477707538220007</c:v>
                      </c:pt>
                      <c:pt idx="8">
                        <c:v>0.49425228786780007</c:v>
                      </c:pt>
                      <c:pt idx="9">
                        <c:v>0.5619957923976</c:v>
                      </c:pt>
                      <c:pt idx="10">
                        <c:v>0.66485691212820008</c:v>
                      </c:pt>
                      <c:pt idx="11">
                        <c:v>0.81297276015780007</c:v>
                      </c:pt>
                      <c:pt idx="12">
                        <c:v>1.0622424739410001</c:v>
                      </c:pt>
                      <c:pt idx="13">
                        <c:v>1.0812228690384003</c:v>
                      </c:pt>
                      <c:pt idx="14">
                        <c:v>1.1036211902430002</c:v>
                      </c:pt>
                      <c:pt idx="15">
                        <c:v>1.1311248715866002</c:v>
                      </c:pt>
                      <c:pt idx="16">
                        <c:v>1.1496884271048002</c:v>
                      </c:pt>
                      <c:pt idx="17">
                        <c:v>1.1761261127748004</c:v>
                      </c:pt>
                      <c:pt idx="18">
                        <c:v>1.2044927124912002</c:v>
                      </c:pt>
                      <c:pt idx="19">
                        <c:v>1.2415876322520003</c:v>
                      </c:pt>
                      <c:pt idx="20">
                        <c:v>1.2905154883632004</c:v>
                      </c:pt>
                      <c:pt idx="21">
                        <c:v>1.3494382550814004</c:v>
                      </c:pt>
                      <c:pt idx="22">
                        <c:v>1.3667452297620004</c:v>
                      </c:pt>
                      <c:pt idx="23">
                        <c:v>1.3911257968278004</c:v>
                      </c:pt>
                      <c:pt idx="24">
                        <c:v>1.4230165404444004</c:v>
                      </c:pt>
                      <c:pt idx="25">
                        <c:v>1.4545245922548002</c:v>
                      </c:pt>
                      <c:pt idx="26">
                        <c:v>1.4846321634210002</c:v>
                      </c:pt>
                    </c:numCache>
                  </c:numRef>
                </c:val>
                <c:smooth val="0"/>
                <c:extLst xmlns:c15="http://schemas.microsoft.com/office/drawing/2012/chart">
                  <c:ext xmlns:c16="http://schemas.microsoft.com/office/drawing/2014/chart" uri="{C3380CC4-5D6E-409C-BE32-E72D297353CC}">
                    <c16:uniqueId val="{0000000C-3995-4CEE-86AD-66992D5B60F7}"/>
                  </c:ext>
                </c:extLst>
              </c15:ser>
            </c15:filteredLineSeries>
            <c15:filteredLineSeries>
              <c15:ser>
                <c:idx val="6"/>
                <c:order val="6"/>
                <c:tx>
                  <c:strRef>
                    <c:extLst xmlns:c15="http://schemas.microsoft.com/office/drawing/2012/chart">
                      <c:ext xmlns:c15="http://schemas.microsoft.com/office/drawing/2012/chart" uri="{02D57815-91ED-43cb-92C2-25804820EDAC}">
                        <c15:formulaRef>
                          <c15:sqref>'PBL OLD'!$MG$6</c15:sqref>
                        </c15:formulaRef>
                      </c:ext>
                    </c:extLst>
                    <c:strCache>
                      <c:ptCount val="1"/>
                      <c:pt idx="0">
                        <c:v>2H20</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'PBL OLD'!$MA$7:$MA$34</c15:sqref>
                        </c15:formulaRef>
                      </c:ext>
                    </c:extLst>
                    <c:numCache>
                      <c:formatCode>General</c:formatCode>
                      <c:ptCount val="2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numCache>
                  </c:numRef>
                </c:cat>
                <c:val>
                  <c:numRef>
                    <c:extLst xmlns:c15="http://schemas.microsoft.com/office/drawing/2012/chart">
                      <c:ext xmlns:c15="http://schemas.microsoft.com/office/drawing/2012/chart" uri="{02D57815-91ED-43cb-92C2-25804820EDAC}">
                        <c15:formulaRef>
                          <c15:sqref>'PBL OLD'!$MG$7:$MG$34</c15:sqref>
                        </c15:formulaRef>
                      </c:ext>
                    </c:extLst>
                    <c:numCache>
                      <c:formatCode>_-* #,##0.0000_-;\-* #,##0.0000_-;_-* "-"??_-;_-@_-</c:formatCode>
                      <c:ptCount val="28"/>
                      <c:pt idx="0" formatCode="0.000">
                        <c:v>0</c:v>
                      </c:pt>
                      <c:pt idx="1">
                        <c:v>1.7322589851600002E-2</c:v>
                      </c:pt>
                      <c:pt idx="2">
                        <c:v>4.1461962583800006E-2</c:v>
                      </c:pt>
                      <c:pt idx="3">
                        <c:v>7.4246294370599999E-2</c:v>
                      </c:pt>
                      <c:pt idx="4">
                        <c:v>0.11660528847</c:v>
                      </c:pt>
                      <c:pt idx="5">
                        <c:v>0.17138482981620001</c:v>
                      </c:pt>
                      <c:pt idx="6">
                        <c:v>0.25261294741320001</c:v>
                      </c:pt>
                      <c:pt idx="7">
                        <c:v>0.2699713320414</c:v>
                      </c:pt>
                      <c:pt idx="8">
                        <c:v>0.29613859498080003</c:v>
                      </c:pt>
                      <c:pt idx="9">
                        <c:v>0.32927198589780005</c:v>
                      </c:pt>
                      <c:pt idx="10">
                        <c:v>0.37411963786560004</c:v>
                      </c:pt>
                      <c:pt idx="11">
                        <c:v>0.43050113560080006</c:v>
                      </c:pt>
                      <c:pt idx="12">
                        <c:v>0.51006163301280005</c:v>
                      </c:pt>
                      <c:pt idx="13">
                        <c:v>0.61427135850960002</c:v>
                      </c:pt>
                      <c:pt idx="14">
                        <c:v>0.63282514453620009</c:v>
                      </c:pt>
                      <c:pt idx="15">
                        <c:v>0.66094590540660003</c:v>
                      </c:pt>
                      <c:pt idx="16">
                        <c:v>0.69554632161960006</c:v>
                      </c:pt>
                      <c:pt idx="17">
                        <c:v>0.74418733905120005</c:v>
                      </c:pt>
                      <c:pt idx="18">
                        <c:v>0.76517364840840008</c:v>
                      </c:pt>
                      <c:pt idx="19">
                        <c:v>0.79310926940519999</c:v>
                      </c:pt>
                      <c:pt idx="20">
                        <c:v>0.8143884232769999</c:v>
                      </c:pt>
                      <c:pt idx="21">
                        <c:v>0.8442880323966</c:v>
                      </c:pt>
                      <c:pt idx="22">
                        <c:v>0.88955288970239998</c:v>
                      </c:pt>
                      <c:pt idx="23">
                        <c:v>0.91328851016699997</c:v>
                      </c:pt>
                      <c:pt idx="24">
                        <c:v>0.94407874457819996</c:v>
                      </c:pt>
                      <c:pt idx="25">
                        <c:v>0.98088802682640008</c:v>
                      </c:pt>
                      <c:pt idx="26">
                        <c:v>1.0392567352463999</c:v>
                      </c:pt>
                    </c:numCache>
                  </c:numRef>
                </c:val>
                <c:smooth val="0"/>
                <c:extLst xmlns:c15="http://schemas.microsoft.com/office/drawing/2012/chart">
                  <c:ext xmlns:c16="http://schemas.microsoft.com/office/drawing/2014/chart" uri="{C3380CC4-5D6E-409C-BE32-E72D297353CC}">
                    <c16:uniqueId val="{0000000D-3995-4CEE-86AD-66992D5B60F7}"/>
                  </c:ext>
                </c:extLst>
              </c15:ser>
            </c15:filteredLineSeries>
          </c:ext>
        </c:extLst>
      </c:lineChart>
      <c:catAx>
        <c:axId val="1388952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3088"/>
        <c:crosses val="autoZero"/>
        <c:auto val="1"/>
        <c:lblAlgn val="ctr"/>
        <c:lblOffset val="100"/>
        <c:tickLblSkip val="10"/>
        <c:noMultiLvlLbl val="0"/>
      </c:catAx>
      <c:valAx>
        <c:axId val="1388953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Ticket Sales ($b)</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'PBL OLD'!$NT$6:$NT$7</c:f>
              <c:strCache>
                <c:ptCount val="2"/>
                <c:pt idx="0">
                  <c:v>Actual</c:v>
                </c:pt>
              </c:strCache>
            </c:strRef>
          </c:tx>
          <c:spPr>
            <a:ln w="28575" cap="rnd">
              <a:solidFill>
                <a:schemeClr val="tx2"/>
              </a:solidFill>
              <a:round/>
            </a:ln>
            <a:effectLst/>
          </c:spPr>
          <c:marker>
            <c:symbol val="none"/>
          </c:marker>
          <c:cat>
            <c:numRef>
              <c:f>'PBL OLD'!$NS$8:$NS$33</c:f>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f>'PBL OLD'!$NT$8:$NT$33</c:f>
              <c:numCache>
                <c:formatCode>0.000</c:formatCode>
                <c:ptCount val="26"/>
                <c:pt idx="0">
                  <c:v>9.3039993486000006E-2</c:v>
                </c:pt>
                <c:pt idx="1">
                  <c:v>0.1167146747448</c:v>
                </c:pt>
                <c:pt idx="2">
                  <c:v>0.1433834649456</c:v>
                </c:pt>
                <c:pt idx="3">
                  <c:v>0.18472835378580002</c:v>
                </c:pt>
                <c:pt idx="4">
                  <c:v>0.25436520983280003</c:v>
                </c:pt>
                <c:pt idx="5">
                  <c:v>0.35031266808119998</c:v>
                </c:pt>
                <c:pt idx="6">
                  <c:v>0.49196709316920001</c:v>
                </c:pt>
                <c:pt idx="7">
                  <c:v>0.7935265548210001</c:v>
                </c:pt>
                <c:pt idx="8">
                  <c:v>0.81782672377560006</c:v>
                </c:pt>
                <c:pt idx="9">
                  <c:v>0.84884902365120007</c:v>
                </c:pt>
                <c:pt idx="10">
                  <c:v>0.90128596903620006</c:v>
                </c:pt>
                <c:pt idx="11">
                  <c:v>0.92519687980500009</c:v>
                </c:pt>
                <c:pt idx="12">
                  <c:v>0.95970440577000005</c:v>
                </c:pt>
                <c:pt idx="13">
                  <c:v>1.0136447317722002</c:v>
                </c:pt>
                <c:pt idx="14">
                  <c:v>1.0389120803952001</c:v>
                </c:pt>
                <c:pt idx="15">
                  <c:v>1.0683752655048</c:v>
                </c:pt>
                <c:pt idx="16">
                  <c:v>1.1198503163561999</c:v>
                </c:pt>
                <c:pt idx="17">
                  <c:v>1.1924405217449998</c:v>
                </c:pt>
                <c:pt idx="18">
                  <c:v>1.2962112607421998</c:v>
                </c:pt>
                <c:pt idx="19">
                  <c:v>1.440848663958</c:v>
                </c:pt>
                <c:pt idx="20">
                  <c:v>1.4658156407532001</c:v>
                </c:pt>
                <c:pt idx="21">
                  <c:v>1.4926428248424002</c:v>
                </c:pt>
                <c:pt idx="22">
                  <c:v>1.525998992199</c:v>
                </c:pt>
                <c:pt idx="23">
                  <c:v>1.5772270831152</c:v>
                </c:pt>
                <c:pt idx="24">
                  <c:v>1.6493560403759999</c:v>
                </c:pt>
                <c:pt idx="25">
                  <c:v>1.7439737266775999</c:v>
                </c:pt>
              </c:numCache>
            </c:numRef>
          </c:val>
          <c:smooth val="0"/>
          <c:extLst>
            <c:ext xmlns:c16="http://schemas.microsoft.com/office/drawing/2014/chart" uri="{C3380CC4-5D6E-409C-BE32-E72D297353CC}">
              <c16:uniqueId val="{00000000-30C6-4CCF-9A75-B539199FEA1A}"/>
            </c:ext>
          </c:extLst>
        </c:ser>
        <c:ser>
          <c:idx val="1"/>
          <c:order val="4"/>
          <c:tx>
            <c:strRef>
              <c:f>'PBL OLD'!$NX$6:$NX$7</c:f>
              <c:strCache>
                <c:ptCount val="2"/>
                <c:pt idx="0">
                  <c:v>10th Percentile</c:v>
                </c:pt>
              </c:strCache>
            </c:strRef>
          </c:tx>
          <c:spPr>
            <a:ln w="28575" cap="rnd">
              <a:solidFill>
                <a:schemeClr val="accent6"/>
              </a:solidFill>
              <a:prstDash val="sysDot"/>
              <a:round/>
            </a:ln>
            <a:effectLst/>
          </c:spPr>
          <c:marker>
            <c:symbol val="none"/>
          </c:marker>
          <c:cat>
            <c:numRef>
              <c:f>'PBL OLD'!$NS$8:$NS$33</c:f>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f>'PBL OLD'!$NX$8:$NX$33</c:f>
              <c:numCache>
                <c:formatCode>0.000</c:formatCode>
                <c:ptCount val="26"/>
                <c:pt idx="0">
                  <c:v>4.4879284238757686E-2</c:v>
                </c:pt>
                <c:pt idx="1">
                  <c:v>8.9758568477515371E-2</c:v>
                </c:pt>
                <c:pt idx="2">
                  <c:v>0.13463785271627304</c:v>
                </c:pt>
                <c:pt idx="3">
                  <c:v>0.17951713695503074</c:v>
                </c:pt>
                <c:pt idx="4">
                  <c:v>0.22439642119378844</c:v>
                </c:pt>
                <c:pt idx="5">
                  <c:v>0.26927570543254614</c:v>
                </c:pt>
                <c:pt idx="6">
                  <c:v>0.31415498967130384</c:v>
                </c:pt>
                <c:pt idx="7">
                  <c:v>0.35903427391006154</c:v>
                </c:pt>
                <c:pt idx="8">
                  <c:v>0.40391355814881924</c:v>
                </c:pt>
                <c:pt idx="9">
                  <c:v>0.44879284238757694</c:v>
                </c:pt>
                <c:pt idx="10">
                  <c:v>0.49367212662633464</c:v>
                </c:pt>
                <c:pt idx="11">
                  <c:v>0.53855141086509228</c:v>
                </c:pt>
                <c:pt idx="12">
                  <c:v>0.58343069510384993</c:v>
                </c:pt>
                <c:pt idx="13">
                  <c:v>0.62830997934260757</c:v>
                </c:pt>
                <c:pt idx="14">
                  <c:v>0.67318926358136522</c:v>
                </c:pt>
                <c:pt idx="15">
                  <c:v>0.71806854782012286</c:v>
                </c:pt>
                <c:pt idx="16">
                  <c:v>0.7629478320588805</c:v>
                </c:pt>
                <c:pt idx="17">
                  <c:v>0.80782711629763815</c:v>
                </c:pt>
                <c:pt idx="18">
                  <c:v>0.85270640053639579</c:v>
                </c:pt>
                <c:pt idx="19">
                  <c:v>0.89758568477515344</c:v>
                </c:pt>
                <c:pt idx="20">
                  <c:v>0.94246496901391108</c:v>
                </c:pt>
                <c:pt idx="21">
                  <c:v>0.98734425325266872</c:v>
                </c:pt>
                <c:pt idx="22">
                  <c:v>1.0322235374914264</c:v>
                </c:pt>
                <c:pt idx="23">
                  <c:v>1.0771028217301841</c:v>
                </c:pt>
                <c:pt idx="24">
                  <c:v>1.1219821059689419</c:v>
                </c:pt>
                <c:pt idx="25">
                  <c:v>1.1668613902076996</c:v>
                </c:pt>
              </c:numCache>
            </c:numRef>
          </c:val>
          <c:smooth val="0"/>
          <c:extLst>
            <c:ext xmlns:c16="http://schemas.microsoft.com/office/drawing/2014/chart" uri="{C3380CC4-5D6E-409C-BE32-E72D297353CC}">
              <c16:uniqueId val="{00000001-30C6-4CCF-9A75-B539199FEA1A}"/>
            </c:ext>
          </c:extLst>
        </c:ser>
        <c:ser>
          <c:idx val="4"/>
          <c:order val="6"/>
          <c:tx>
            <c:strRef>
              <c:f>'PBL OLD'!$NZ$6:$NZ$7</c:f>
              <c:strCache>
                <c:ptCount val="2"/>
                <c:pt idx="0">
                  <c:v>50th Percentile</c:v>
                </c:pt>
              </c:strCache>
            </c:strRef>
          </c:tx>
          <c:spPr>
            <a:ln w="28575">
              <a:solidFill>
                <a:schemeClr val="bg2"/>
              </a:solidFill>
              <a:prstDash val="sysDot"/>
            </a:ln>
          </c:spPr>
          <c:marker>
            <c:symbol val="none"/>
          </c:marker>
          <c:cat>
            <c:numRef>
              <c:f>'PBL OLD'!$NS$8:$NS$33</c:f>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f>'PBL OLD'!$NZ$8:$NZ$33</c:f>
              <c:numCache>
                <c:formatCode>0.000</c:formatCode>
                <c:ptCount val="26"/>
                <c:pt idx="0">
                  <c:v>5.8849514395681729E-2</c:v>
                </c:pt>
                <c:pt idx="1">
                  <c:v>0.11769902879136346</c:v>
                </c:pt>
                <c:pt idx="2">
                  <c:v>0.17654854318704519</c:v>
                </c:pt>
                <c:pt idx="3">
                  <c:v>0.23539805758272692</c:v>
                </c:pt>
                <c:pt idx="4">
                  <c:v>0.29424757197840867</c:v>
                </c:pt>
                <c:pt idx="5">
                  <c:v>0.35309708637409043</c:v>
                </c:pt>
                <c:pt idx="6">
                  <c:v>0.41194660076977219</c:v>
                </c:pt>
                <c:pt idx="7">
                  <c:v>0.47079611516545394</c:v>
                </c:pt>
                <c:pt idx="8">
                  <c:v>0.5296456295611357</c:v>
                </c:pt>
                <c:pt idx="9">
                  <c:v>0.58849514395681746</c:v>
                </c:pt>
                <c:pt idx="10">
                  <c:v>0.64734465835249921</c:v>
                </c:pt>
                <c:pt idx="11">
                  <c:v>0.70619417274818097</c:v>
                </c:pt>
                <c:pt idx="12">
                  <c:v>0.76504368714386273</c:v>
                </c:pt>
                <c:pt idx="13">
                  <c:v>0.82389320153954448</c:v>
                </c:pt>
                <c:pt idx="14">
                  <c:v>0.88274271593522624</c:v>
                </c:pt>
                <c:pt idx="15">
                  <c:v>0.941592230330908</c:v>
                </c:pt>
                <c:pt idx="16">
                  <c:v>1.0004417447265896</c:v>
                </c:pt>
                <c:pt idx="17">
                  <c:v>1.0592912591222714</c:v>
                </c:pt>
                <c:pt idx="18">
                  <c:v>1.1181407735179532</c:v>
                </c:pt>
                <c:pt idx="19">
                  <c:v>1.1769902879136349</c:v>
                </c:pt>
                <c:pt idx="20">
                  <c:v>1.2358398023093167</c:v>
                </c:pt>
                <c:pt idx="21">
                  <c:v>1.2946893167049984</c:v>
                </c:pt>
                <c:pt idx="22">
                  <c:v>1.3535388311006802</c:v>
                </c:pt>
                <c:pt idx="23">
                  <c:v>1.4123883454963619</c:v>
                </c:pt>
                <c:pt idx="24">
                  <c:v>1.4712378598920437</c:v>
                </c:pt>
                <c:pt idx="25">
                  <c:v>1.5300873742877255</c:v>
                </c:pt>
              </c:numCache>
            </c:numRef>
          </c:val>
          <c:smooth val="0"/>
          <c:extLst>
            <c:ext xmlns:c16="http://schemas.microsoft.com/office/drawing/2014/chart" uri="{C3380CC4-5D6E-409C-BE32-E72D297353CC}">
              <c16:uniqueId val="{00000002-30C6-4CCF-9A75-B539199FEA1A}"/>
            </c:ext>
          </c:extLst>
        </c:ser>
        <c:ser>
          <c:idx val="8"/>
          <c:order val="8"/>
          <c:tx>
            <c:strRef>
              <c:f>'PBL OLD'!$OB$6:$OB$7</c:f>
              <c:strCache>
                <c:ptCount val="2"/>
                <c:pt idx="0">
                  <c:v>90th Percentile</c:v>
                </c:pt>
              </c:strCache>
            </c:strRef>
          </c:tx>
          <c:spPr>
            <a:ln w="28575">
              <a:solidFill>
                <a:schemeClr val="accent1"/>
              </a:solidFill>
              <a:prstDash val="sysDot"/>
            </a:ln>
          </c:spPr>
          <c:marker>
            <c:symbol val="none"/>
          </c:marker>
          <c:cat>
            <c:numRef>
              <c:f>'PBL OLD'!$NS$8:$NS$33</c:f>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f>'PBL OLD'!$OB$8:$OB$33</c:f>
              <c:numCache>
                <c:formatCode>0.000</c:formatCode>
                <c:ptCount val="26"/>
                <c:pt idx="0">
                  <c:v>7.8303842656430783E-2</c:v>
                </c:pt>
                <c:pt idx="1">
                  <c:v>0.15660768531286157</c:v>
                </c:pt>
                <c:pt idx="2">
                  <c:v>0.23491152796929235</c:v>
                </c:pt>
                <c:pt idx="3">
                  <c:v>0.31321537062572313</c:v>
                </c:pt>
                <c:pt idx="4">
                  <c:v>0.39151921328215389</c:v>
                </c:pt>
                <c:pt idx="5">
                  <c:v>0.46982305593858464</c:v>
                </c:pt>
                <c:pt idx="6">
                  <c:v>0.5481268985950154</c:v>
                </c:pt>
                <c:pt idx="7">
                  <c:v>0.62643074125144615</c:v>
                </c:pt>
                <c:pt idx="8">
                  <c:v>0.70473458390787691</c:v>
                </c:pt>
                <c:pt idx="9">
                  <c:v>0.78303842656430767</c:v>
                </c:pt>
                <c:pt idx="10">
                  <c:v>0.86134226922073842</c:v>
                </c:pt>
                <c:pt idx="11">
                  <c:v>0.93964611187716918</c:v>
                </c:pt>
                <c:pt idx="12">
                  <c:v>1.0179499545335999</c:v>
                </c:pt>
                <c:pt idx="13">
                  <c:v>1.0962537971900308</c:v>
                </c:pt>
                <c:pt idx="14">
                  <c:v>1.1745576398464617</c:v>
                </c:pt>
                <c:pt idx="15">
                  <c:v>1.2528614825028925</c:v>
                </c:pt>
                <c:pt idx="16">
                  <c:v>1.3311653251593234</c:v>
                </c:pt>
                <c:pt idx="17">
                  <c:v>1.4094691678157543</c:v>
                </c:pt>
                <c:pt idx="18">
                  <c:v>1.4877730104721851</c:v>
                </c:pt>
                <c:pt idx="19">
                  <c:v>1.566076853128616</c:v>
                </c:pt>
                <c:pt idx="20">
                  <c:v>1.6443806957850469</c:v>
                </c:pt>
                <c:pt idx="21">
                  <c:v>1.7226845384414777</c:v>
                </c:pt>
                <c:pt idx="22">
                  <c:v>1.8009883810979086</c:v>
                </c:pt>
                <c:pt idx="23">
                  <c:v>1.8792922237543395</c:v>
                </c:pt>
                <c:pt idx="24">
                  <c:v>1.9575960664107703</c:v>
                </c:pt>
                <c:pt idx="25">
                  <c:v>2.0358999090672012</c:v>
                </c:pt>
              </c:numCache>
            </c:numRef>
          </c:val>
          <c:smooth val="0"/>
          <c:extLst>
            <c:ext xmlns:c16="http://schemas.microsoft.com/office/drawing/2014/chart" uri="{C3380CC4-5D6E-409C-BE32-E72D297353CC}">
              <c16:uniqueId val="{00000003-30C6-4CCF-9A75-B539199FEA1A}"/>
            </c:ext>
          </c:extLst>
        </c:ser>
        <c:dLbls>
          <c:showLegendKey val="0"/>
          <c:showVal val="0"/>
          <c:showCatName val="0"/>
          <c:showSerName val="0"/>
          <c:showPercent val="0"/>
          <c:showBubbleSize val="0"/>
        </c:dLbls>
        <c:smooth val="0"/>
        <c:axId val="1388952432"/>
        <c:axId val="1388953088"/>
        <c:extLst>
          <c:ext xmlns:c15="http://schemas.microsoft.com/office/drawing/2012/chart" uri="{02D57815-91ED-43cb-92C2-25804820EDAC}">
            <c15:filteredLineSeries>
              <c15:ser>
                <c:idx val="7"/>
                <c:order val="1"/>
                <c:tx>
                  <c:strRef>
                    <c:extLst>
                      <c:ext uri="{02D57815-91ED-43cb-92C2-25804820EDAC}">
                        <c15:formulaRef>
                          <c15:sqref>'PBL OLD'!$NU$6:$NU$7</c15:sqref>
                        </c15:formulaRef>
                      </c:ext>
                    </c:extLst>
                    <c:strCache>
                      <c:ptCount val="2"/>
                      <c:pt idx="0">
                        <c:v>Min</c:v>
                      </c:pt>
                    </c:strCache>
                  </c:strRef>
                </c:tx>
                <c:spPr>
                  <a:ln w="28575" cap="rnd" cmpd="sng">
                    <a:solidFill>
                      <a:schemeClr val="accent6"/>
                    </a:solidFill>
                    <a:prstDash val="sysDot"/>
                    <a:round/>
                    <a:headEnd type="none"/>
                  </a:ln>
                  <a:effectLst/>
                </c:spPr>
                <c:marker>
                  <c:symbol val="none"/>
                </c:marker>
                <c:cat>
                  <c:numRef>
                    <c:extLst>
                      <c:ext uri="{02D57815-91ED-43cb-92C2-25804820EDAC}">
                        <c15:formulaRef>
                          <c15:sqref>'PBL OLD'!$NS$8:$NS$33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c:ext uri="{02D57815-91ED-43cb-92C2-25804820EDAC}">
                        <c15:formulaRef>
                          <c15:sqref>'PBL OLD'!$NU$8:$NU$33</c15:sqref>
                        </c15:formulaRef>
                      </c:ext>
                    </c:extLst>
                    <c:numCache>
                      <c:formatCode>0.000</c:formatCode>
                      <c:ptCount val="26"/>
                      <c:pt idx="0">
                        <c:v>3.2883578210174999E-2</c:v>
                      </c:pt>
                      <c:pt idx="1">
                        <c:v>6.5767156420349998E-2</c:v>
                      </c:pt>
                      <c:pt idx="2">
                        <c:v>9.8650734630524997E-2</c:v>
                      </c:pt>
                      <c:pt idx="3">
                        <c:v>0.1315343128407</c:v>
                      </c:pt>
                      <c:pt idx="4">
                        <c:v>0.16441789105087501</c:v>
                      </c:pt>
                      <c:pt idx="5">
                        <c:v>0.19730146926105002</c:v>
                      </c:pt>
                      <c:pt idx="6">
                        <c:v>0.23018504747122503</c:v>
                      </c:pt>
                      <c:pt idx="7">
                        <c:v>0.26306862568140005</c:v>
                      </c:pt>
                      <c:pt idx="8">
                        <c:v>0.29595220389157506</c:v>
                      </c:pt>
                      <c:pt idx="9">
                        <c:v>0.32883578210175007</c:v>
                      </c:pt>
                      <c:pt idx="10">
                        <c:v>0.36171936031192509</c:v>
                      </c:pt>
                      <c:pt idx="11">
                        <c:v>0.3946029385221001</c:v>
                      </c:pt>
                      <c:pt idx="12">
                        <c:v>0.42748651673227511</c:v>
                      </c:pt>
                      <c:pt idx="13">
                        <c:v>0.46037009494245013</c:v>
                      </c:pt>
                      <c:pt idx="14">
                        <c:v>0.49325367315262514</c:v>
                      </c:pt>
                      <c:pt idx="15">
                        <c:v>0.5261372513628001</c:v>
                      </c:pt>
                      <c:pt idx="16">
                        <c:v>0.55902082957297505</c:v>
                      </c:pt>
                      <c:pt idx="17">
                        <c:v>0.59190440778315001</c:v>
                      </c:pt>
                      <c:pt idx="18">
                        <c:v>0.62478798599332497</c:v>
                      </c:pt>
                      <c:pt idx="19">
                        <c:v>0.65767156420349993</c:v>
                      </c:pt>
                      <c:pt idx="20">
                        <c:v>0.69055514241367488</c:v>
                      </c:pt>
                      <c:pt idx="21">
                        <c:v>0.72343872062384984</c:v>
                      </c:pt>
                      <c:pt idx="22">
                        <c:v>0.7563222988340248</c:v>
                      </c:pt>
                      <c:pt idx="23">
                        <c:v>0.78920587704419976</c:v>
                      </c:pt>
                      <c:pt idx="24">
                        <c:v>0.82208945525437471</c:v>
                      </c:pt>
                      <c:pt idx="25">
                        <c:v>0.85497303346454967</c:v>
                      </c:pt>
                    </c:numCache>
                  </c:numRef>
                </c:val>
                <c:smooth val="0"/>
                <c:extLst>
                  <c:ext xmlns:c16="http://schemas.microsoft.com/office/drawing/2014/chart" uri="{C3380CC4-5D6E-409C-BE32-E72D297353CC}">
                    <c16:uniqueId val="{00000004-30C6-4CCF-9A75-B539199FEA1A}"/>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'PBL OLD'!$NV$6:$NV$7</c15:sqref>
                        </c15:formulaRef>
                      </c:ext>
                    </c:extLst>
                    <c:strCache>
                      <c:ptCount val="2"/>
                      <c:pt idx="0">
                        <c:v>1st Percentile</c:v>
                      </c:pt>
                    </c:strCache>
                  </c:strRef>
                </c:tx>
                <c:spPr>
                  <a:ln w="28575">
                    <a:solidFill>
                      <a:schemeClr val="bg2"/>
                    </a:solidFill>
                    <a:prstDash val="sysDot"/>
                  </a:ln>
                </c:spPr>
                <c:marker>
                  <c:symbol val="none"/>
                </c:marker>
                <c:cat>
                  <c:numRef>
                    <c:extLst xmlns:c15="http://schemas.microsoft.com/office/drawing/2012/chart">
                      <c:ext xmlns:c15="http://schemas.microsoft.com/office/drawing/2012/chart" uri="{02D57815-91ED-43cb-92C2-25804820EDAC}">
                        <c15:formulaRef>
                          <c15:sqref>'PBL OLD'!$NS$8:$NS$33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xmlns:c15="http://schemas.microsoft.com/office/drawing/2012/chart">
                      <c:ext xmlns:c15="http://schemas.microsoft.com/office/drawing/2012/chart" uri="{02D57815-91ED-43cb-92C2-25804820EDAC}">
                        <c15:formulaRef>
                          <c15:sqref>'PBL OLD'!$NV$8:$NV$33</c15:sqref>
                        </c15:formulaRef>
                      </c:ext>
                    </c:extLst>
                    <c:numCache>
                      <c:formatCode>0.000</c:formatCode>
                      <c:ptCount val="26"/>
                      <c:pt idx="0">
                        <c:v>3.8899121388359478E-2</c:v>
                      </c:pt>
                      <c:pt idx="1">
                        <c:v>7.7798242776718957E-2</c:v>
                      </c:pt>
                      <c:pt idx="2">
                        <c:v>0.11669736416507843</c:v>
                      </c:pt>
                      <c:pt idx="3">
                        <c:v>0.15559648555343791</c:v>
                      </c:pt>
                      <c:pt idx="4">
                        <c:v>0.19449560694179741</c:v>
                      </c:pt>
                      <c:pt idx="5">
                        <c:v>0.2333947283301569</c:v>
                      </c:pt>
                      <c:pt idx="6">
                        <c:v>0.27229384971851639</c:v>
                      </c:pt>
                      <c:pt idx="7">
                        <c:v>0.31119297110687588</c:v>
                      </c:pt>
                      <c:pt idx="8">
                        <c:v>0.35009209249523537</c:v>
                      </c:pt>
                      <c:pt idx="9">
                        <c:v>0.38899121388359487</c:v>
                      </c:pt>
                      <c:pt idx="10">
                        <c:v>0.42789033527195436</c:v>
                      </c:pt>
                      <c:pt idx="11">
                        <c:v>0.46678945666031385</c:v>
                      </c:pt>
                      <c:pt idx="12">
                        <c:v>0.50568857804867329</c:v>
                      </c:pt>
                      <c:pt idx="13">
                        <c:v>0.54458769943703278</c:v>
                      </c:pt>
                      <c:pt idx="14">
                        <c:v>0.58348682082539227</c:v>
                      </c:pt>
                      <c:pt idx="15">
                        <c:v>0.62238594221375176</c:v>
                      </c:pt>
                      <c:pt idx="16">
                        <c:v>0.66128506360211126</c:v>
                      </c:pt>
                      <c:pt idx="17">
                        <c:v>0.70018418499047075</c:v>
                      </c:pt>
                      <c:pt idx="18">
                        <c:v>0.73908330637883024</c:v>
                      </c:pt>
                      <c:pt idx="19">
                        <c:v>0.77798242776718973</c:v>
                      </c:pt>
                      <c:pt idx="20">
                        <c:v>0.81688154915554922</c:v>
                      </c:pt>
                      <c:pt idx="21">
                        <c:v>0.85578067054390872</c:v>
                      </c:pt>
                      <c:pt idx="22">
                        <c:v>0.89467979193226821</c:v>
                      </c:pt>
                      <c:pt idx="23">
                        <c:v>0.9335789133206277</c:v>
                      </c:pt>
                      <c:pt idx="24">
                        <c:v>0.97247803470898719</c:v>
                      </c:pt>
                      <c:pt idx="25">
                        <c:v>1.0113771560973466</c:v>
                      </c:pt>
                    </c:numCache>
                  </c:numRef>
                </c:val>
                <c:smooth val="0"/>
                <c:extLst xmlns:c15="http://schemas.microsoft.com/office/drawing/2012/chart">
                  <c:ext xmlns:c16="http://schemas.microsoft.com/office/drawing/2014/chart" uri="{C3380CC4-5D6E-409C-BE32-E72D297353CC}">
                    <c16:uniqueId val="{00000005-30C6-4CCF-9A75-B539199FEA1A}"/>
                  </c:ext>
                </c:extLst>
              </c15:ser>
            </c15:filteredLineSeries>
            <c15:filteredLineSeries>
              <c15:ser>
                <c:idx val="6"/>
                <c:order val="3"/>
                <c:tx>
                  <c:strRef>
                    <c:extLst xmlns:c15="http://schemas.microsoft.com/office/drawing/2012/chart">
                      <c:ext xmlns:c15="http://schemas.microsoft.com/office/drawing/2012/chart" uri="{02D57815-91ED-43cb-92C2-25804820EDAC}">
                        <c15:formulaRef>
                          <c15:sqref>'PBL OLD'!$NW$6:$NW$7</c15:sqref>
                        </c15:formulaRef>
                      </c:ext>
                    </c:extLst>
                    <c:strCache>
                      <c:ptCount val="2"/>
                      <c:pt idx="0">
                        <c:v>5th Percentile</c:v>
                      </c:pt>
                    </c:strCache>
                  </c:strRef>
                </c:tx>
                <c:spPr>
                  <a:ln w="28575">
                    <a:solidFill>
                      <a:schemeClr val="accent1"/>
                    </a:solidFill>
                    <a:prstDash val="sysDot"/>
                  </a:ln>
                </c:spPr>
                <c:marker>
                  <c:symbol val="none"/>
                </c:marker>
                <c:cat>
                  <c:numRef>
                    <c:extLst xmlns:c15="http://schemas.microsoft.com/office/drawing/2012/chart">
                      <c:ext xmlns:c15="http://schemas.microsoft.com/office/drawing/2012/chart" uri="{02D57815-91ED-43cb-92C2-25804820EDAC}">
                        <c15:formulaRef>
                          <c15:sqref>'PBL OLD'!$NS$8:$NS$33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xmlns:c15="http://schemas.microsoft.com/office/drawing/2012/chart">
                      <c:ext xmlns:c15="http://schemas.microsoft.com/office/drawing/2012/chart" uri="{02D57815-91ED-43cb-92C2-25804820EDAC}">
                        <c15:formulaRef>
                          <c15:sqref>'PBL OLD'!$NW$8:$NW$33</c15:sqref>
                        </c15:formulaRef>
                      </c:ext>
                    </c:extLst>
                    <c:numCache>
                      <c:formatCode>0.000</c:formatCode>
                      <c:ptCount val="26"/>
                      <c:pt idx="0">
                        <c:v>4.2413763541703647E-2</c:v>
                      </c:pt>
                      <c:pt idx="1">
                        <c:v>8.4827527083407295E-2</c:v>
                      </c:pt>
                      <c:pt idx="2">
                        <c:v>0.12724129062511094</c:v>
                      </c:pt>
                      <c:pt idx="3">
                        <c:v>0.16965505416681459</c:v>
                      </c:pt>
                      <c:pt idx="4">
                        <c:v>0.21206881770851824</c:v>
                      </c:pt>
                      <c:pt idx="5">
                        <c:v>0.25448258125022188</c:v>
                      </c:pt>
                      <c:pt idx="6">
                        <c:v>0.2968963447919255</c:v>
                      </c:pt>
                      <c:pt idx="7">
                        <c:v>0.33931010833362918</c:v>
                      </c:pt>
                      <c:pt idx="8">
                        <c:v>0.38172387187533285</c:v>
                      </c:pt>
                      <c:pt idx="9">
                        <c:v>0.42413763541703653</c:v>
                      </c:pt>
                      <c:pt idx="10">
                        <c:v>0.4665513989587402</c:v>
                      </c:pt>
                      <c:pt idx="11">
                        <c:v>0.50896516250044388</c:v>
                      </c:pt>
                      <c:pt idx="12">
                        <c:v>0.55137892604214755</c:v>
                      </c:pt>
                      <c:pt idx="13">
                        <c:v>0.59379268958385123</c:v>
                      </c:pt>
                      <c:pt idx="14">
                        <c:v>0.6362064531255549</c:v>
                      </c:pt>
                      <c:pt idx="15">
                        <c:v>0.67862021666725858</c:v>
                      </c:pt>
                      <c:pt idx="16">
                        <c:v>0.72103398020896226</c:v>
                      </c:pt>
                      <c:pt idx="17">
                        <c:v>0.76344774375066593</c:v>
                      </c:pt>
                      <c:pt idx="18">
                        <c:v>0.80586150729236961</c:v>
                      </c:pt>
                      <c:pt idx="19">
                        <c:v>0.84827527083407328</c:v>
                      </c:pt>
                      <c:pt idx="20">
                        <c:v>0.89068903437577696</c:v>
                      </c:pt>
                      <c:pt idx="21">
                        <c:v>0.93310279791748063</c:v>
                      </c:pt>
                      <c:pt idx="22">
                        <c:v>0.97551656145918431</c:v>
                      </c:pt>
                      <c:pt idx="23">
                        <c:v>1.017930325000888</c:v>
                      </c:pt>
                      <c:pt idx="24">
                        <c:v>1.0603440885425917</c:v>
                      </c:pt>
                      <c:pt idx="25">
                        <c:v>1.1027578520842953</c:v>
                      </c:pt>
                    </c:numCache>
                  </c:numRef>
                </c:val>
                <c:smooth val="0"/>
                <c:extLst xmlns:c15="http://schemas.microsoft.com/office/drawing/2012/chart">
                  <c:ext xmlns:c16="http://schemas.microsoft.com/office/drawing/2014/chart" uri="{C3380CC4-5D6E-409C-BE32-E72D297353CC}">
                    <c16:uniqueId val="{00000006-30C6-4CCF-9A75-B539199FEA1A}"/>
                  </c:ext>
                </c:extLst>
              </c15:ser>
            </c15:filteredLineSeries>
            <c15:filteredLineSeries>
              <c15:ser>
                <c:idx val="3"/>
                <c:order val="5"/>
                <c:tx>
                  <c:strRef>
                    <c:extLst xmlns:c15="http://schemas.microsoft.com/office/drawing/2012/chart">
                      <c:ext xmlns:c15="http://schemas.microsoft.com/office/drawing/2012/chart" uri="{02D57815-91ED-43cb-92C2-25804820EDAC}">
                        <c15:formulaRef>
                          <c15:sqref>'PBL OLD'!$NY$6:$NY$7</c15:sqref>
                        </c15:formulaRef>
                      </c:ext>
                    </c:extLst>
                    <c:strCache>
                      <c:ptCount val="2"/>
                      <c:pt idx="0">
                        <c:v>25th Percentile</c:v>
                      </c:pt>
                    </c:strCache>
                  </c:strRef>
                </c:tx>
                <c:spPr>
                  <a:ln w="28575" cap="rnd" cmpd="sng">
                    <a:solidFill>
                      <a:schemeClr val="accent6"/>
                    </a:solidFill>
                    <a:prstDash val="sysDot"/>
                    <a:round/>
                    <a:headEnd type="none"/>
                  </a:ln>
                  <a:effectLst/>
                </c:spPr>
                <c:marker>
                  <c:symbol val="none"/>
                </c:marker>
                <c:cat>
                  <c:numRef>
                    <c:extLst xmlns:c15="http://schemas.microsoft.com/office/drawing/2012/chart">
                      <c:ext xmlns:c15="http://schemas.microsoft.com/office/drawing/2012/chart" uri="{02D57815-91ED-43cb-92C2-25804820EDAC}">
                        <c15:formulaRef>
                          <c15:sqref>'PBL OLD'!$NS$8:$NS$33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xmlns:c15="http://schemas.microsoft.com/office/drawing/2012/chart">
                      <c:ext xmlns:c15="http://schemas.microsoft.com/office/drawing/2012/chart" uri="{02D57815-91ED-43cb-92C2-25804820EDAC}">
                        <c15:formulaRef>
                          <c15:sqref>'PBL OLD'!$NY$8:$NY$33</c15:sqref>
                        </c15:formulaRef>
                      </c:ext>
                    </c:extLst>
                    <c:numCache>
                      <c:formatCode>0.000</c:formatCode>
                      <c:ptCount val="26"/>
                      <c:pt idx="0">
                        <c:v>5.0054612355507691E-2</c:v>
                      </c:pt>
                      <c:pt idx="1">
                        <c:v>0.10010922471101538</c:v>
                      </c:pt>
                      <c:pt idx="2">
                        <c:v>0.15016383706652309</c:v>
                      </c:pt>
                      <c:pt idx="3">
                        <c:v>0.20021844942203076</c:v>
                      </c:pt>
                      <c:pt idx="4">
                        <c:v>0.25027306177753844</c:v>
                      </c:pt>
                      <c:pt idx="5">
                        <c:v>0.30032767413304612</c:v>
                      </c:pt>
                      <c:pt idx="6">
                        <c:v>0.3503822864885538</c:v>
                      </c:pt>
                      <c:pt idx="7">
                        <c:v>0.40043689884406147</c:v>
                      </c:pt>
                      <c:pt idx="8">
                        <c:v>0.45049151119956915</c:v>
                      </c:pt>
                      <c:pt idx="9">
                        <c:v>0.50054612355507688</c:v>
                      </c:pt>
                      <c:pt idx="10">
                        <c:v>0.55060073591058456</c:v>
                      </c:pt>
                      <c:pt idx="11">
                        <c:v>0.60065534826609224</c:v>
                      </c:pt>
                      <c:pt idx="12">
                        <c:v>0.65070996062159991</c:v>
                      </c:pt>
                      <c:pt idx="13">
                        <c:v>0.70076457297710759</c:v>
                      </c:pt>
                      <c:pt idx="14">
                        <c:v>0.75081918533261527</c:v>
                      </c:pt>
                      <c:pt idx="15">
                        <c:v>0.80087379768812295</c:v>
                      </c:pt>
                      <c:pt idx="16">
                        <c:v>0.85092841004363062</c:v>
                      </c:pt>
                      <c:pt idx="17">
                        <c:v>0.9009830223991383</c:v>
                      </c:pt>
                      <c:pt idx="18">
                        <c:v>0.95103763475464598</c:v>
                      </c:pt>
                      <c:pt idx="19">
                        <c:v>1.0010922471101538</c:v>
                      </c:pt>
                      <c:pt idx="20">
                        <c:v>1.0511468594656614</c:v>
                      </c:pt>
                      <c:pt idx="21">
                        <c:v>1.1012014718211691</c:v>
                      </c:pt>
                      <c:pt idx="22">
                        <c:v>1.1512560841766768</c:v>
                      </c:pt>
                      <c:pt idx="23">
                        <c:v>1.2013106965321845</c:v>
                      </c:pt>
                      <c:pt idx="24">
                        <c:v>1.2513653088876922</c:v>
                      </c:pt>
                      <c:pt idx="25">
                        <c:v>1.3014199212431998</c:v>
                      </c:pt>
                    </c:numCache>
                  </c:numRef>
                </c:val>
                <c:smooth val="0"/>
                <c:extLst xmlns:c15="http://schemas.microsoft.com/office/drawing/2012/chart">
                  <c:ext xmlns:c16="http://schemas.microsoft.com/office/drawing/2014/chart" uri="{C3380CC4-5D6E-409C-BE32-E72D297353CC}">
                    <c16:uniqueId val="{00000007-30C6-4CCF-9A75-B539199FEA1A}"/>
                  </c:ext>
                </c:extLst>
              </c15:ser>
            </c15:filteredLineSeries>
            <c15:filteredLineSeries>
              <c15:ser>
                <c:idx val="5"/>
                <c:order val="7"/>
                <c:tx>
                  <c:strRef>
                    <c:extLst xmlns:c15="http://schemas.microsoft.com/office/drawing/2012/chart">
                      <c:ext xmlns:c15="http://schemas.microsoft.com/office/drawing/2012/chart" uri="{02D57815-91ED-43cb-92C2-25804820EDAC}">
                        <c15:formulaRef>
                          <c15:sqref>'PBL OLD'!$OA$6:$OA$7</c15:sqref>
                        </c15:formulaRef>
                      </c:ext>
                    </c:extLst>
                    <c:strCache>
                      <c:ptCount val="2"/>
                      <c:pt idx="0">
                        <c:v>75th Percentile</c:v>
                      </c:pt>
                    </c:strCache>
                  </c:strRef>
                </c:tx>
                <c:spPr>
                  <a:ln w="28575">
                    <a:solidFill>
                      <a:schemeClr val="accent1"/>
                    </a:solidFill>
                    <a:prstDash val="sysDot"/>
                  </a:ln>
                </c:spPr>
                <c:marker>
                  <c:symbol val="none"/>
                </c:marker>
                <c:cat>
                  <c:numRef>
                    <c:extLst xmlns:c15="http://schemas.microsoft.com/office/drawing/2012/chart">
                      <c:ext xmlns:c15="http://schemas.microsoft.com/office/drawing/2012/chart" uri="{02D57815-91ED-43cb-92C2-25804820EDAC}">
                        <c15:formulaRef>
                          <c15:sqref>'PBL OLD'!$NS$8:$NS$33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xmlns:c15="http://schemas.microsoft.com/office/drawing/2012/chart">
                      <c:ext xmlns:c15="http://schemas.microsoft.com/office/drawing/2012/chart" uri="{02D57815-91ED-43cb-92C2-25804820EDAC}">
                        <c15:formulaRef>
                          <c15:sqref>'PBL OLD'!$OA$8:$OA$33</c15:sqref>
                        </c15:formulaRef>
                      </c:ext>
                    </c:extLst>
                    <c:numCache>
                      <c:formatCode>0.000</c:formatCode>
                      <c:ptCount val="26"/>
                      <c:pt idx="0">
                        <c:v>6.7779769477263468E-2</c:v>
                      </c:pt>
                      <c:pt idx="1">
                        <c:v>0.13555953895452694</c:v>
                      </c:pt>
                      <c:pt idx="2">
                        <c:v>0.20333930843179041</c:v>
                      </c:pt>
                      <c:pt idx="3">
                        <c:v>0.27111907790905387</c:v>
                      </c:pt>
                      <c:pt idx="4">
                        <c:v>0.33889884738631737</c:v>
                      </c:pt>
                      <c:pt idx="5">
                        <c:v>0.40667861686358087</c:v>
                      </c:pt>
                      <c:pt idx="6">
                        <c:v>0.47445838634084436</c:v>
                      </c:pt>
                      <c:pt idx="7">
                        <c:v>0.54223815581810786</c:v>
                      </c:pt>
                      <c:pt idx="8">
                        <c:v>0.61001792529537135</c:v>
                      </c:pt>
                      <c:pt idx="9">
                        <c:v>0.67779769477263485</c:v>
                      </c:pt>
                      <c:pt idx="10">
                        <c:v>0.74557746424989835</c:v>
                      </c:pt>
                      <c:pt idx="11">
                        <c:v>0.81335723372716184</c:v>
                      </c:pt>
                      <c:pt idx="12">
                        <c:v>0.88113700320442534</c:v>
                      </c:pt>
                      <c:pt idx="13">
                        <c:v>0.94891677268168884</c:v>
                      </c:pt>
                      <c:pt idx="14">
                        <c:v>1.0166965421589522</c:v>
                      </c:pt>
                      <c:pt idx="15">
                        <c:v>1.0844763116362157</c:v>
                      </c:pt>
                      <c:pt idx="16">
                        <c:v>1.1522560811134792</c:v>
                      </c:pt>
                      <c:pt idx="17">
                        <c:v>1.2200358505907427</c:v>
                      </c:pt>
                      <c:pt idx="18">
                        <c:v>1.2878156200680062</c:v>
                      </c:pt>
                      <c:pt idx="19">
                        <c:v>1.3555953895452697</c:v>
                      </c:pt>
                      <c:pt idx="20">
                        <c:v>1.4233751590225332</c:v>
                      </c:pt>
                      <c:pt idx="21">
                        <c:v>1.4911549284997967</c:v>
                      </c:pt>
                      <c:pt idx="22">
                        <c:v>1.5589346979770602</c:v>
                      </c:pt>
                      <c:pt idx="23">
                        <c:v>1.6267144674543237</c:v>
                      </c:pt>
                      <c:pt idx="24">
                        <c:v>1.6944942369315872</c:v>
                      </c:pt>
                      <c:pt idx="25">
                        <c:v>1.7622740064088507</c:v>
                      </c:pt>
                    </c:numCache>
                  </c:numRef>
                </c:val>
                <c:smooth val="0"/>
                <c:extLst xmlns:c15="http://schemas.microsoft.com/office/drawing/2012/chart">
                  <c:ext xmlns:c16="http://schemas.microsoft.com/office/drawing/2014/chart" uri="{C3380CC4-5D6E-409C-BE32-E72D297353CC}">
                    <c16:uniqueId val="{00000008-30C6-4CCF-9A75-B539199FEA1A}"/>
                  </c:ext>
                </c:extLst>
              </c15:ser>
            </c15:filteredLineSeries>
            <c15:filteredLineSeries>
              <c15:ser>
                <c:idx val="9"/>
                <c:order val="9"/>
                <c:tx>
                  <c:strRef>
                    <c:extLst xmlns:c15="http://schemas.microsoft.com/office/drawing/2012/chart">
                      <c:ext xmlns:c15="http://schemas.microsoft.com/office/drawing/2012/chart" uri="{02D57815-91ED-43cb-92C2-25804820EDAC}">
                        <c15:formulaRef>
                          <c15:sqref>'PBL OLD'!$OC$6:$OC$7</c15:sqref>
                        </c15:formulaRef>
                      </c:ext>
                    </c:extLst>
                    <c:strCache>
                      <c:ptCount val="2"/>
                      <c:pt idx="0">
                        <c:v>95th Percentile</c:v>
                      </c:pt>
                    </c:strCache>
                  </c:strRef>
                </c:tx>
                <c:marker>
                  <c:symbol val="none"/>
                </c:marker>
                <c:cat>
                  <c:numRef>
                    <c:extLst xmlns:c15="http://schemas.microsoft.com/office/drawing/2012/chart">
                      <c:ext xmlns:c15="http://schemas.microsoft.com/office/drawing/2012/chart" uri="{02D57815-91ED-43cb-92C2-25804820EDAC}">
                        <c15:formulaRef>
                          <c15:sqref>'PBL OLD'!$NS$8:$NS$33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xmlns:c15="http://schemas.microsoft.com/office/drawing/2012/chart">
                      <c:ext xmlns:c15="http://schemas.microsoft.com/office/drawing/2012/chart" uri="{02D57815-91ED-43cb-92C2-25804820EDAC}">
                        <c15:formulaRef>
                          <c15:sqref>'PBL OLD'!$OC$8:$OC$33</c15:sqref>
                        </c15:formulaRef>
                      </c:ext>
                    </c:extLst>
                    <c:numCache>
                      <c:formatCode>0.000</c:formatCode>
                      <c:ptCount val="26"/>
                      <c:pt idx="0">
                        <c:v>8.5824266202378846E-2</c:v>
                      </c:pt>
                      <c:pt idx="1">
                        <c:v>0.17164853240475769</c:v>
                      </c:pt>
                      <c:pt idx="2">
                        <c:v>0.25747279860713657</c:v>
                      </c:pt>
                      <c:pt idx="3">
                        <c:v>0.34329706480951538</c:v>
                      </c:pt>
                      <c:pt idx="4">
                        <c:v>0.4291213310118942</c:v>
                      </c:pt>
                      <c:pt idx="5">
                        <c:v>0.51494559721427302</c:v>
                      </c:pt>
                      <c:pt idx="6">
                        <c:v>0.60076986341665184</c:v>
                      </c:pt>
                      <c:pt idx="7">
                        <c:v>0.68659412961903066</c:v>
                      </c:pt>
                      <c:pt idx="8">
                        <c:v>0.77241839582140948</c:v>
                      </c:pt>
                      <c:pt idx="9">
                        <c:v>0.85824266202378829</c:v>
                      </c:pt>
                      <c:pt idx="10">
                        <c:v>0.94406692822616711</c:v>
                      </c:pt>
                      <c:pt idx="11">
                        <c:v>1.029891194428546</c:v>
                      </c:pt>
                      <c:pt idx="12">
                        <c:v>1.115715460630925</c:v>
                      </c:pt>
                      <c:pt idx="13">
                        <c:v>1.2015397268333039</c:v>
                      </c:pt>
                      <c:pt idx="14">
                        <c:v>1.2873639930356828</c:v>
                      </c:pt>
                      <c:pt idx="15">
                        <c:v>1.3731882592380618</c:v>
                      </c:pt>
                      <c:pt idx="16">
                        <c:v>1.4590125254404407</c:v>
                      </c:pt>
                      <c:pt idx="17">
                        <c:v>1.5448367916428196</c:v>
                      </c:pt>
                      <c:pt idx="18">
                        <c:v>1.6306610578451985</c:v>
                      </c:pt>
                      <c:pt idx="19">
                        <c:v>1.7164853240475775</c:v>
                      </c:pt>
                      <c:pt idx="20">
                        <c:v>1.8023095902499564</c:v>
                      </c:pt>
                      <c:pt idx="21">
                        <c:v>1.8881338564523353</c:v>
                      </c:pt>
                      <c:pt idx="22">
                        <c:v>1.9739581226547143</c:v>
                      </c:pt>
                      <c:pt idx="23">
                        <c:v>2.059782388857093</c:v>
                      </c:pt>
                      <c:pt idx="24">
                        <c:v>2.1456066550594719</c:v>
                      </c:pt>
                      <c:pt idx="25">
                        <c:v>2.2314309212618508</c:v>
                      </c:pt>
                    </c:numCache>
                  </c:numRef>
                </c:val>
                <c:smooth val="0"/>
                <c:extLst xmlns:c15="http://schemas.microsoft.com/office/drawing/2012/chart">
                  <c:ext xmlns:c16="http://schemas.microsoft.com/office/drawing/2014/chart" uri="{C3380CC4-5D6E-409C-BE32-E72D297353CC}">
                    <c16:uniqueId val="{00000009-30C6-4CCF-9A75-B539199FEA1A}"/>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'PBL OLD'!$OD$6:$OD$7</c15:sqref>
                        </c15:formulaRef>
                      </c:ext>
                    </c:extLst>
                    <c:strCache>
                      <c:ptCount val="2"/>
                      <c:pt idx="0">
                        <c:v>99th Percentile</c:v>
                      </c:pt>
                    </c:strCache>
                  </c:strRef>
                </c:tx>
                <c:marker>
                  <c:symbol val="none"/>
                </c:marker>
                <c:cat>
                  <c:numRef>
                    <c:extLst xmlns:c15="http://schemas.microsoft.com/office/drawing/2012/chart">
                      <c:ext xmlns:c15="http://schemas.microsoft.com/office/drawing/2012/chart" uri="{02D57815-91ED-43cb-92C2-25804820EDAC}">
                        <c15:formulaRef>
                          <c15:sqref>'PBL OLD'!$NS$8:$NS$33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xmlns:c15="http://schemas.microsoft.com/office/drawing/2012/chart">
                      <c:ext xmlns:c15="http://schemas.microsoft.com/office/drawing/2012/chart" uri="{02D57815-91ED-43cb-92C2-25804820EDAC}">
                        <c15:formulaRef>
                          <c15:sqref>'PBL OLD'!$OD$8:$OD$33</c15:sqref>
                        </c15:formulaRef>
                      </c:ext>
                    </c:extLst>
                    <c:numCache>
                      <c:formatCode>0.000</c:formatCode>
                      <c:ptCount val="26"/>
                      <c:pt idx="0">
                        <c:v>0.10064266089910577</c:v>
                      </c:pt>
                      <c:pt idx="1">
                        <c:v>0.20128532179821154</c:v>
                      </c:pt>
                      <c:pt idx="2">
                        <c:v>0.3019279826973173</c:v>
                      </c:pt>
                      <c:pt idx="3">
                        <c:v>0.40257064359642308</c:v>
                      </c:pt>
                      <c:pt idx="4">
                        <c:v>0.50321330449552881</c:v>
                      </c:pt>
                      <c:pt idx="5">
                        <c:v>0.6038559653946346</c:v>
                      </c:pt>
                      <c:pt idx="6">
                        <c:v>0.70449862629374038</c:v>
                      </c:pt>
                      <c:pt idx="7">
                        <c:v>0.80514128719284617</c:v>
                      </c:pt>
                      <c:pt idx="8">
                        <c:v>0.90578394809195195</c:v>
                      </c:pt>
                      <c:pt idx="9">
                        <c:v>1.0064266089910576</c:v>
                      </c:pt>
                      <c:pt idx="10">
                        <c:v>1.1070692698901634</c:v>
                      </c:pt>
                      <c:pt idx="11">
                        <c:v>1.2077119307892692</c:v>
                      </c:pt>
                      <c:pt idx="12">
                        <c:v>1.308354591688375</c:v>
                      </c:pt>
                      <c:pt idx="13">
                        <c:v>1.4089972525874808</c:v>
                      </c:pt>
                      <c:pt idx="14">
                        <c:v>1.5096399134865865</c:v>
                      </c:pt>
                      <c:pt idx="15">
                        <c:v>1.6102825743856923</c:v>
                      </c:pt>
                      <c:pt idx="16">
                        <c:v>1.7109252352847981</c:v>
                      </c:pt>
                      <c:pt idx="17">
                        <c:v>1.8115678961839039</c:v>
                      </c:pt>
                      <c:pt idx="18">
                        <c:v>1.9122105570830097</c:v>
                      </c:pt>
                      <c:pt idx="19">
                        <c:v>2.0128532179821153</c:v>
                      </c:pt>
                      <c:pt idx="20">
                        <c:v>2.113495878881221</c:v>
                      </c:pt>
                      <c:pt idx="21">
                        <c:v>2.2141385397803268</c:v>
                      </c:pt>
                      <c:pt idx="22">
                        <c:v>2.3147812006794326</c:v>
                      </c:pt>
                      <c:pt idx="23">
                        <c:v>2.4154238615785384</c:v>
                      </c:pt>
                      <c:pt idx="24">
                        <c:v>2.5160665224776442</c:v>
                      </c:pt>
                      <c:pt idx="25">
                        <c:v>2.61670918337675</c:v>
                      </c:pt>
                    </c:numCache>
                  </c:numRef>
                </c:val>
                <c:smooth val="0"/>
                <c:extLst xmlns:c15="http://schemas.microsoft.com/office/drawing/2012/chart">
                  <c:ext xmlns:c16="http://schemas.microsoft.com/office/drawing/2014/chart" uri="{C3380CC4-5D6E-409C-BE32-E72D297353CC}">
                    <c16:uniqueId val="{0000000A-30C6-4CCF-9A75-B539199FEA1A}"/>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'PBL OLD'!$OE$6:$OE$7</c15:sqref>
                        </c15:formulaRef>
                      </c:ext>
                    </c:extLst>
                    <c:strCache>
                      <c:ptCount val="2"/>
                      <c:pt idx="0">
                        <c:v>Max</c:v>
                      </c:pt>
                    </c:strCache>
                  </c:strRef>
                </c:tx>
                <c:marker>
                  <c:symbol val="none"/>
                </c:marker>
                <c:cat>
                  <c:numRef>
                    <c:extLst xmlns:c15="http://schemas.microsoft.com/office/drawing/2012/chart">
                      <c:ext xmlns:c15="http://schemas.microsoft.com/office/drawing/2012/chart" uri="{02D57815-91ED-43cb-92C2-25804820EDAC}">
                        <c15:formulaRef>
                          <c15:sqref>'PBL OLD'!$NS$8:$NS$33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xmlns:c15="http://schemas.microsoft.com/office/drawing/2012/chart">
                      <c:ext xmlns:c15="http://schemas.microsoft.com/office/drawing/2012/chart" uri="{02D57815-91ED-43cb-92C2-25804820EDAC}">
                        <c15:formulaRef>
                          <c15:sqref>'PBL OLD'!$OE$8:$OE$33</c15:sqref>
                        </c15:formulaRef>
                      </c:ext>
                    </c:extLst>
                    <c:numCache>
                      <c:formatCode>0.000</c:formatCode>
                      <c:ptCount val="26"/>
                      <c:pt idx="0">
                        <c:v>0.13024968599028269</c:v>
                      </c:pt>
                      <c:pt idx="1">
                        <c:v>0.26049937198056539</c:v>
                      </c:pt>
                      <c:pt idx="2">
                        <c:v>0.39074905797084808</c:v>
                      </c:pt>
                      <c:pt idx="3">
                        <c:v>0.52099874396113077</c:v>
                      </c:pt>
                      <c:pt idx="4">
                        <c:v>0.65124842995141341</c:v>
                      </c:pt>
                      <c:pt idx="5">
                        <c:v>0.78149811594169605</c:v>
                      </c:pt>
                      <c:pt idx="6">
                        <c:v>0.91174780193197869</c:v>
                      </c:pt>
                      <c:pt idx="7">
                        <c:v>1.0419974879222613</c:v>
                      </c:pt>
                      <c:pt idx="8">
                        <c:v>1.172247173912544</c:v>
                      </c:pt>
                      <c:pt idx="9">
                        <c:v>1.3024968599028266</c:v>
                      </c:pt>
                      <c:pt idx="10">
                        <c:v>1.4327465458931092</c:v>
                      </c:pt>
                      <c:pt idx="11">
                        <c:v>1.5629962318833919</c:v>
                      </c:pt>
                      <c:pt idx="12">
                        <c:v>1.6932459178736745</c:v>
                      </c:pt>
                      <c:pt idx="13">
                        <c:v>1.8234956038639571</c:v>
                      </c:pt>
                      <c:pt idx="14">
                        <c:v>1.9537452898542398</c:v>
                      </c:pt>
                      <c:pt idx="15">
                        <c:v>2.0839949758445226</c:v>
                      </c:pt>
                      <c:pt idx="16">
                        <c:v>2.2142446618348055</c:v>
                      </c:pt>
                      <c:pt idx="17">
                        <c:v>2.3444943478250884</c:v>
                      </c:pt>
                      <c:pt idx="18">
                        <c:v>2.4747440338153712</c:v>
                      </c:pt>
                      <c:pt idx="19">
                        <c:v>2.6049937198056541</c:v>
                      </c:pt>
                      <c:pt idx="20">
                        <c:v>2.7352434057959369</c:v>
                      </c:pt>
                      <c:pt idx="21">
                        <c:v>2.8654930917862198</c:v>
                      </c:pt>
                      <c:pt idx="22">
                        <c:v>2.9957427777765027</c:v>
                      </c:pt>
                      <c:pt idx="23">
                        <c:v>3.1259924637667855</c:v>
                      </c:pt>
                      <c:pt idx="24">
                        <c:v>3.2562421497570684</c:v>
                      </c:pt>
                      <c:pt idx="25">
                        <c:v>3.3864918357473512</c:v>
                      </c:pt>
                    </c:numCache>
                  </c:numRef>
                </c:val>
                <c:smooth val="0"/>
                <c:extLst xmlns:c15="http://schemas.microsoft.com/office/drawing/2012/chart">
                  <c:ext xmlns:c16="http://schemas.microsoft.com/office/drawing/2014/chart" uri="{C3380CC4-5D6E-409C-BE32-E72D297353CC}">
                    <c16:uniqueId val="{0000000B-30C6-4CCF-9A75-B539199FEA1A}"/>
                  </c:ext>
                </c:extLst>
              </c15:ser>
            </c15:filteredLineSeries>
          </c:ext>
        </c:extLst>
      </c:lineChart>
      <c:dateAx>
        <c:axId val="1388952432"/>
        <c:scaling>
          <c:orientation val="minMax"/>
        </c:scaling>
        <c:delete val="0"/>
        <c:axPos val="b"/>
        <c:numFmt formatCode="d\-mmm\-yy_);\(###0\);&quot;-  &quot;;&quot; &quot;@&quot; &quot;"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3088"/>
        <c:crosses val="autoZero"/>
        <c:auto val="1"/>
        <c:lblOffset val="100"/>
        <c:baseTimeUnit val="days"/>
        <c:majorUnit val="3"/>
        <c:majorTimeUnit val="months"/>
      </c:dateAx>
      <c:valAx>
        <c:axId val="1388953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Ticket Sales ($b)</a:t>
                </a:r>
              </a:p>
            </c:rich>
          </c:tx>
          <c:overlay val="0"/>
          <c:spPr>
            <a:noFill/>
            <a:ln>
              <a:noFill/>
            </a:ln>
            <a:effectLst/>
          </c:sp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2432"/>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'PBL OLD'!$NT$6:$NT$7</c:f>
              <c:strCache>
                <c:ptCount val="2"/>
                <c:pt idx="0">
                  <c:v>Actual</c:v>
                </c:pt>
              </c:strCache>
            </c:strRef>
          </c:tx>
          <c:spPr>
            <a:ln w="28575" cap="rnd">
              <a:solidFill>
                <a:schemeClr val="tx2"/>
              </a:solidFill>
              <a:round/>
            </a:ln>
            <a:effectLst/>
          </c:spPr>
          <c:marker>
            <c:symbol val="none"/>
          </c:marker>
          <c:cat>
            <c:numRef>
              <c:f>'PBL OLD'!$NS$8:$NS$33</c:f>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f>'PBL OLD'!$NT$8:$NT$33</c:f>
              <c:numCache>
                <c:formatCode>0.000</c:formatCode>
                <c:ptCount val="26"/>
                <c:pt idx="0">
                  <c:v>9.3039993486000006E-2</c:v>
                </c:pt>
                <c:pt idx="1">
                  <c:v>0.1167146747448</c:v>
                </c:pt>
                <c:pt idx="2">
                  <c:v>0.1433834649456</c:v>
                </c:pt>
                <c:pt idx="3">
                  <c:v>0.18472835378580002</c:v>
                </c:pt>
                <c:pt idx="4">
                  <c:v>0.25436520983280003</c:v>
                </c:pt>
                <c:pt idx="5">
                  <c:v>0.35031266808119998</c:v>
                </c:pt>
                <c:pt idx="6">
                  <c:v>0.49196709316920001</c:v>
                </c:pt>
                <c:pt idx="7">
                  <c:v>0.7935265548210001</c:v>
                </c:pt>
                <c:pt idx="8">
                  <c:v>0.81782672377560006</c:v>
                </c:pt>
                <c:pt idx="9">
                  <c:v>0.84884902365120007</c:v>
                </c:pt>
                <c:pt idx="10">
                  <c:v>0.90128596903620006</c:v>
                </c:pt>
                <c:pt idx="11">
                  <c:v>0.92519687980500009</c:v>
                </c:pt>
                <c:pt idx="12">
                  <c:v>0.95970440577000005</c:v>
                </c:pt>
                <c:pt idx="13">
                  <c:v>1.0136447317722002</c:v>
                </c:pt>
                <c:pt idx="14">
                  <c:v>1.0389120803952001</c:v>
                </c:pt>
                <c:pt idx="15">
                  <c:v>1.0683752655048</c:v>
                </c:pt>
                <c:pt idx="16">
                  <c:v>1.1198503163561999</c:v>
                </c:pt>
                <c:pt idx="17">
                  <c:v>1.1924405217449998</c:v>
                </c:pt>
                <c:pt idx="18">
                  <c:v>1.2962112607421998</c:v>
                </c:pt>
                <c:pt idx="19">
                  <c:v>1.440848663958</c:v>
                </c:pt>
                <c:pt idx="20">
                  <c:v>1.4658156407532001</c:v>
                </c:pt>
                <c:pt idx="21">
                  <c:v>1.4926428248424002</c:v>
                </c:pt>
                <c:pt idx="22">
                  <c:v>1.525998992199</c:v>
                </c:pt>
                <c:pt idx="23">
                  <c:v>1.5772270831152</c:v>
                </c:pt>
                <c:pt idx="24">
                  <c:v>1.6493560403759999</c:v>
                </c:pt>
                <c:pt idx="25">
                  <c:v>1.7439737266775999</c:v>
                </c:pt>
              </c:numCache>
            </c:numRef>
          </c:val>
          <c:smooth val="0"/>
          <c:extLst>
            <c:ext xmlns:c16="http://schemas.microsoft.com/office/drawing/2014/chart" uri="{C3380CC4-5D6E-409C-BE32-E72D297353CC}">
              <c16:uniqueId val="{00000000-6193-4D5B-9150-EE5676B78FA5}"/>
            </c:ext>
          </c:extLst>
        </c:ser>
        <c:ser>
          <c:idx val="6"/>
          <c:order val="3"/>
          <c:tx>
            <c:strRef>
              <c:f>'PBL OLD'!$NW$6:$NW$7</c:f>
              <c:strCache>
                <c:ptCount val="2"/>
                <c:pt idx="0">
                  <c:v>5th Percentile</c:v>
                </c:pt>
              </c:strCache>
            </c:strRef>
          </c:tx>
          <c:spPr>
            <a:ln w="28575">
              <a:solidFill>
                <a:schemeClr val="accent6"/>
              </a:solidFill>
              <a:prstDash val="sysDot"/>
            </a:ln>
          </c:spPr>
          <c:marker>
            <c:symbol val="none"/>
          </c:marker>
          <c:cat>
            <c:numRef>
              <c:f>'PBL OLD'!$NS$8:$NS$33</c:f>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f>'PBL OLD'!$NW$8:$NW$33</c:f>
              <c:numCache>
                <c:formatCode>0.000</c:formatCode>
                <c:ptCount val="26"/>
                <c:pt idx="0">
                  <c:v>4.2413763541703647E-2</c:v>
                </c:pt>
                <c:pt idx="1">
                  <c:v>8.4827527083407295E-2</c:v>
                </c:pt>
                <c:pt idx="2">
                  <c:v>0.12724129062511094</c:v>
                </c:pt>
                <c:pt idx="3">
                  <c:v>0.16965505416681459</c:v>
                </c:pt>
                <c:pt idx="4">
                  <c:v>0.21206881770851824</c:v>
                </c:pt>
                <c:pt idx="5">
                  <c:v>0.25448258125022188</c:v>
                </c:pt>
                <c:pt idx="6">
                  <c:v>0.2968963447919255</c:v>
                </c:pt>
                <c:pt idx="7">
                  <c:v>0.33931010833362918</c:v>
                </c:pt>
                <c:pt idx="8">
                  <c:v>0.38172387187533285</c:v>
                </c:pt>
                <c:pt idx="9">
                  <c:v>0.42413763541703653</c:v>
                </c:pt>
                <c:pt idx="10">
                  <c:v>0.4665513989587402</c:v>
                </c:pt>
                <c:pt idx="11">
                  <c:v>0.50896516250044388</c:v>
                </c:pt>
                <c:pt idx="12">
                  <c:v>0.55137892604214755</c:v>
                </c:pt>
                <c:pt idx="13">
                  <c:v>0.59379268958385123</c:v>
                </c:pt>
                <c:pt idx="14">
                  <c:v>0.6362064531255549</c:v>
                </c:pt>
                <c:pt idx="15">
                  <c:v>0.67862021666725858</c:v>
                </c:pt>
                <c:pt idx="16">
                  <c:v>0.72103398020896226</c:v>
                </c:pt>
                <c:pt idx="17">
                  <c:v>0.76344774375066593</c:v>
                </c:pt>
                <c:pt idx="18">
                  <c:v>0.80586150729236961</c:v>
                </c:pt>
                <c:pt idx="19">
                  <c:v>0.84827527083407328</c:v>
                </c:pt>
                <c:pt idx="20">
                  <c:v>0.89068903437577696</c:v>
                </c:pt>
                <c:pt idx="21">
                  <c:v>0.93310279791748063</c:v>
                </c:pt>
                <c:pt idx="22">
                  <c:v>0.97551656145918431</c:v>
                </c:pt>
                <c:pt idx="23">
                  <c:v>1.017930325000888</c:v>
                </c:pt>
                <c:pt idx="24">
                  <c:v>1.0603440885425917</c:v>
                </c:pt>
                <c:pt idx="25">
                  <c:v>1.1027578520842953</c:v>
                </c:pt>
              </c:numCache>
            </c:numRef>
          </c:val>
          <c:smooth val="0"/>
          <c:extLst xmlns:c15="http://schemas.microsoft.com/office/drawing/2012/chart">
            <c:ext xmlns:c16="http://schemas.microsoft.com/office/drawing/2014/chart" uri="{C3380CC4-5D6E-409C-BE32-E72D297353CC}">
              <c16:uniqueId val="{00000001-6193-4D5B-9150-EE5676B78FA5}"/>
            </c:ext>
          </c:extLst>
        </c:ser>
        <c:ser>
          <c:idx val="3"/>
          <c:order val="5"/>
          <c:tx>
            <c:strRef>
              <c:f>'PBL OLD'!$NY$6:$NY$7</c:f>
              <c:strCache>
                <c:ptCount val="2"/>
                <c:pt idx="0">
                  <c:v>25th Percentile</c:v>
                </c:pt>
              </c:strCache>
            </c:strRef>
          </c:tx>
          <c:spPr>
            <a:ln w="28575" cap="rnd" cmpd="sng">
              <a:solidFill>
                <a:schemeClr val="accent5"/>
              </a:solidFill>
              <a:prstDash val="sysDot"/>
              <a:round/>
              <a:headEnd type="none"/>
            </a:ln>
            <a:effectLst/>
          </c:spPr>
          <c:marker>
            <c:symbol val="none"/>
          </c:marker>
          <c:cat>
            <c:numRef>
              <c:f>'PBL OLD'!$NS$8:$NS$33</c:f>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f>'PBL OLD'!$NY$8:$NY$33</c:f>
              <c:numCache>
                <c:formatCode>0.000</c:formatCode>
                <c:ptCount val="26"/>
                <c:pt idx="0">
                  <c:v>5.0054612355507691E-2</c:v>
                </c:pt>
                <c:pt idx="1">
                  <c:v>0.10010922471101538</c:v>
                </c:pt>
                <c:pt idx="2">
                  <c:v>0.15016383706652309</c:v>
                </c:pt>
                <c:pt idx="3">
                  <c:v>0.20021844942203076</c:v>
                </c:pt>
                <c:pt idx="4">
                  <c:v>0.25027306177753844</c:v>
                </c:pt>
                <c:pt idx="5">
                  <c:v>0.30032767413304612</c:v>
                </c:pt>
                <c:pt idx="6">
                  <c:v>0.3503822864885538</c:v>
                </c:pt>
                <c:pt idx="7">
                  <c:v>0.40043689884406147</c:v>
                </c:pt>
                <c:pt idx="8">
                  <c:v>0.45049151119956915</c:v>
                </c:pt>
                <c:pt idx="9">
                  <c:v>0.50054612355507688</c:v>
                </c:pt>
                <c:pt idx="10">
                  <c:v>0.55060073591058456</c:v>
                </c:pt>
                <c:pt idx="11">
                  <c:v>0.60065534826609224</c:v>
                </c:pt>
                <c:pt idx="12">
                  <c:v>0.65070996062159991</c:v>
                </c:pt>
                <c:pt idx="13">
                  <c:v>0.70076457297710759</c:v>
                </c:pt>
                <c:pt idx="14">
                  <c:v>0.75081918533261527</c:v>
                </c:pt>
                <c:pt idx="15">
                  <c:v>0.80087379768812295</c:v>
                </c:pt>
                <c:pt idx="16">
                  <c:v>0.85092841004363062</c:v>
                </c:pt>
                <c:pt idx="17">
                  <c:v>0.9009830223991383</c:v>
                </c:pt>
                <c:pt idx="18">
                  <c:v>0.95103763475464598</c:v>
                </c:pt>
                <c:pt idx="19">
                  <c:v>1.0010922471101538</c:v>
                </c:pt>
                <c:pt idx="20">
                  <c:v>1.0511468594656614</c:v>
                </c:pt>
                <c:pt idx="21">
                  <c:v>1.1012014718211691</c:v>
                </c:pt>
                <c:pt idx="22">
                  <c:v>1.1512560841766768</c:v>
                </c:pt>
                <c:pt idx="23">
                  <c:v>1.2013106965321845</c:v>
                </c:pt>
                <c:pt idx="24">
                  <c:v>1.2513653088876922</c:v>
                </c:pt>
                <c:pt idx="25">
                  <c:v>1.3014199212431998</c:v>
                </c:pt>
              </c:numCache>
            </c:numRef>
          </c:val>
          <c:smooth val="0"/>
          <c:extLst>
            <c:ext xmlns:c16="http://schemas.microsoft.com/office/drawing/2014/chart" uri="{C3380CC4-5D6E-409C-BE32-E72D297353CC}">
              <c16:uniqueId val="{00000002-6193-4D5B-9150-EE5676B78FA5}"/>
            </c:ext>
          </c:extLst>
        </c:ser>
        <c:ser>
          <c:idx val="4"/>
          <c:order val="6"/>
          <c:tx>
            <c:strRef>
              <c:f>'PBL OLD'!$NZ$6:$NZ$7</c:f>
              <c:strCache>
                <c:ptCount val="2"/>
                <c:pt idx="0">
                  <c:v>50th Percentile</c:v>
                </c:pt>
              </c:strCache>
            </c:strRef>
          </c:tx>
          <c:spPr>
            <a:ln w="28575">
              <a:solidFill>
                <a:schemeClr val="accent2"/>
              </a:solidFill>
              <a:prstDash val="sysDot"/>
            </a:ln>
          </c:spPr>
          <c:marker>
            <c:symbol val="none"/>
          </c:marker>
          <c:cat>
            <c:numRef>
              <c:f>'PBL OLD'!$NS$8:$NS$33</c:f>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f>'PBL OLD'!$NZ$8:$NZ$33</c:f>
              <c:numCache>
                <c:formatCode>0.000</c:formatCode>
                <c:ptCount val="26"/>
                <c:pt idx="0">
                  <c:v>5.8849514395681729E-2</c:v>
                </c:pt>
                <c:pt idx="1">
                  <c:v>0.11769902879136346</c:v>
                </c:pt>
                <c:pt idx="2">
                  <c:v>0.17654854318704519</c:v>
                </c:pt>
                <c:pt idx="3">
                  <c:v>0.23539805758272692</c:v>
                </c:pt>
                <c:pt idx="4">
                  <c:v>0.29424757197840867</c:v>
                </c:pt>
                <c:pt idx="5">
                  <c:v>0.35309708637409043</c:v>
                </c:pt>
                <c:pt idx="6">
                  <c:v>0.41194660076977219</c:v>
                </c:pt>
                <c:pt idx="7">
                  <c:v>0.47079611516545394</c:v>
                </c:pt>
                <c:pt idx="8">
                  <c:v>0.5296456295611357</c:v>
                </c:pt>
                <c:pt idx="9">
                  <c:v>0.58849514395681746</c:v>
                </c:pt>
                <c:pt idx="10">
                  <c:v>0.64734465835249921</c:v>
                </c:pt>
                <c:pt idx="11">
                  <c:v>0.70619417274818097</c:v>
                </c:pt>
                <c:pt idx="12">
                  <c:v>0.76504368714386273</c:v>
                </c:pt>
                <c:pt idx="13">
                  <c:v>0.82389320153954448</c:v>
                </c:pt>
                <c:pt idx="14">
                  <c:v>0.88274271593522624</c:v>
                </c:pt>
                <c:pt idx="15">
                  <c:v>0.941592230330908</c:v>
                </c:pt>
                <c:pt idx="16">
                  <c:v>1.0004417447265896</c:v>
                </c:pt>
                <c:pt idx="17">
                  <c:v>1.0592912591222714</c:v>
                </c:pt>
                <c:pt idx="18">
                  <c:v>1.1181407735179532</c:v>
                </c:pt>
                <c:pt idx="19">
                  <c:v>1.1769902879136349</c:v>
                </c:pt>
                <c:pt idx="20">
                  <c:v>1.2358398023093167</c:v>
                </c:pt>
                <c:pt idx="21">
                  <c:v>1.2946893167049984</c:v>
                </c:pt>
                <c:pt idx="22">
                  <c:v>1.3535388311006802</c:v>
                </c:pt>
                <c:pt idx="23">
                  <c:v>1.4123883454963619</c:v>
                </c:pt>
                <c:pt idx="24">
                  <c:v>1.4712378598920437</c:v>
                </c:pt>
                <c:pt idx="25">
                  <c:v>1.5300873742877255</c:v>
                </c:pt>
              </c:numCache>
            </c:numRef>
          </c:val>
          <c:smooth val="0"/>
          <c:extLst>
            <c:ext xmlns:c16="http://schemas.microsoft.com/office/drawing/2014/chart" uri="{C3380CC4-5D6E-409C-BE32-E72D297353CC}">
              <c16:uniqueId val="{00000003-6193-4D5B-9150-EE5676B78FA5}"/>
            </c:ext>
          </c:extLst>
        </c:ser>
        <c:ser>
          <c:idx val="5"/>
          <c:order val="7"/>
          <c:tx>
            <c:strRef>
              <c:f>'PBL OLD'!$OA$6:$OA$7</c:f>
              <c:strCache>
                <c:ptCount val="2"/>
                <c:pt idx="0">
                  <c:v>75th Percentile</c:v>
                </c:pt>
              </c:strCache>
            </c:strRef>
          </c:tx>
          <c:spPr>
            <a:ln w="28575">
              <a:solidFill>
                <a:schemeClr val="bg2"/>
              </a:solidFill>
              <a:prstDash val="sysDot"/>
            </a:ln>
          </c:spPr>
          <c:marker>
            <c:symbol val="none"/>
          </c:marker>
          <c:cat>
            <c:numRef>
              <c:f>'PBL OLD'!$NS$8:$NS$33</c:f>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f>'PBL OLD'!$OA$8:$OA$33</c:f>
              <c:numCache>
                <c:formatCode>0.000</c:formatCode>
                <c:ptCount val="26"/>
                <c:pt idx="0">
                  <c:v>6.7779769477263468E-2</c:v>
                </c:pt>
                <c:pt idx="1">
                  <c:v>0.13555953895452694</c:v>
                </c:pt>
                <c:pt idx="2">
                  <c:v>0.20333930843179041</c:v>
                </c:pt>
                <c:pt idx="3">
                  <c:v>0.27111907790905387</c:v>
                </c:pt>
                <c:pt idx="4">
                  <c:v>0.33889884738631737</c:v>
                </c:pt>
                <c:pt idx="5">
                  <c:v>0.40667861686358087</c:v>
                </c:pt>
                <c:pt idx="6">
                  <c:v>0.47445838634084436</c:v>
                </c:pt>
                <c:pt idx="7">
                  <c:v>0.54223815581810786</c:v>
                </c:pt>
                <c:pt idx="8">
                  <c:v>0.61001792529537135</c:v>
                </c:pt>
                <c:pt idx="9">
                  <c:v>0.67779769477263485</c:v>
                </c:pt>
                <c:pt idx="10">
                  <c:v>0.74557746424989835</c:v>
                </c:pt>
                <c:pt idx="11">
                  <c:v>0.81335723372716184</c:v>
                </c:pt>
                <c:pt idx="12">
                  <c:v>0.88113700320442534</c:v>
                </c:pt>
                <c:pt idx="13">
                  <c:v>0.94891677268168884</c:v>
                </c:pt>
                <c:pt idx="14">
                  <c:v>1.0166965421589522</c:v>
                </c:pt>
                <c:pt idx="15">
                  <c:v>1.0844763116362157</c:v>
                </c:pt>
                <c:pt idx="16">
                  <c:v>1.1522560811134792</c:v>
                </c:pt>
                <c:pt idx="17">
                  <c:v>1.2200358505907427</c:v>
                </c:pt>
                <c:pt idx="18">
                  <c:v>1.2878156200680062</c:v>
                </c:pt>
                <c:pt idx="19">
                  <c:v>1.3555953895452697</c:v>
                </c:pt>
                <c:pt idx="20">
                  <c:v>1.4233751590225332</c:v>
                </c:pt>
                <c:pt idx="21">
                  <c:v>1.4911549284997967</c:v>
                </c:pt>
                <c:pt idx="22">
                  <c:v>1.5589346979770602</c:v>
                </c:pt>
                <c:pt idx="23">
                  <c:v>1.6267144674543237</c:v>
                </c:pt>
                <c:pt idx="24">
                  <c:v>1.6944942369315872</c:v>
                </c:pt>
                <c:pt idx="25">
                  <c:v>1.7622740064088507</c:v>
                </c:pt>
              </c:numCache>
            </c:numRef>
          </c:val>
          <c:smooth val="0"/>
          <c:extLst>
            <c:ext xmlns:c16="http://schemas.microsoft.com/office/drawing/2014/chart" uri="{C3380CC4-5D6E-409C-BE32-E72D297353CC}">
              <c16:uniqueId val="{00000004-6193-4D5B-9150-EE5676B78FA5}"/>
            </c:ext>
          </c:extLst>
        </c:ser>
        <c:ser>
          <c:idx val="9"/>
          <c:order val="9"/>
          <c:tx>
            <c:strRef>
              <c:f>'PBL OLD'!$OC$6:$OC$7</c:f>
              <c:strCache>
                <c:ptCount val="2"/>
                <c:pt idx="0">
                  <c:v>95th Percentile</c:v>
                </c:pt>
              </c:strCache>
            </c:strRef>
          </c:tx>
          <c:spPr>
            <a:ln w="28575">
              <a:solidFill>
                <a:schemeClr val="accent1"/>
              </a:solidFill>
              <a:prstDash val="sysDot"/>
            </a:ln>
          </c:spPr>
          <c:marker>
            <c:symbol val="none"/>
          </c:marker>
          <c:cat>
            <c:numRef>
              <c:f>'PBL OLD'!$NS$8:$NS$33</c:f>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f>'PBL OLD'!$OC$8:$OC$33</c:f>
              <c:numCache>
                <c:formatCode>0.000</c:formatCode>
                <c:ptCount val="26"/>
                <c:pt idx="0">
                  <c:v>8.5824266202378846E-2</c:v>
                </c:pt>
                <c:pt idx="1">
                  <c:v>0.17164853240475769</c:v>
                </c:pt>
                <c:pt idx="2">
                  <c:v>0.25747279860713657</c:v>
                </c:pt>
                <c:pt idx="3">
                  <c:v>0.34329706480951538</c:v>
                </c:pt>
                <c:pt idx="4">
                  <c:v>0.4291213310118942</c:v>
                </c:pt>
                <c:pt idx="5">
                  <c:v>0.51494559721427302</c:v>
                </c:pt>
                <c:pt idx="6">
                  <c:v>0.60076986341665184</c:v>
                </c:pt>
                <c:pt idx="7">
                  <c:v>0.68659412961903066</c:v>
                </c:pt>
                <c:pt idx="8">
                  <c:v>0.77241839582140948</c:v>
                </c:pt>
                <c:pt idx="9">
                  <c:v>0.85824266202378829</c:v>
                </c:pt>
                <c:pt idx="10">
                  <c:v>0.94406692822616711</c:v>
                </c:pt>
                <c:pt idx="11">
                  <c:v>1.029891194428546</c:v>
                </c:pt>
                <c:pt idx="12">
                  <c:v>1.115715460630925</c:v>
                </c:pt>
                <c:pt idx="13">
                  <c:v>1.2015397268333039</c:v>
                </c:pt>
                <c:pt idx="14">
                  <c:v>1.2873639930356828</c:v>
                </c:pt>
                <c:pt idx="15">
                  <c:v>1.3731882592380618</c:v>
                </c:pt>
                <c:pt idx="16">
                  <c:v>1.4590125254404407</c:v>
                </c:pt>
                <c:pt idx="17">
                  <c:v>1.5448367916428196</c:v>
                </c:pt>
                <c:pt idx="18">
                  <c:v>1.6306610578451985</c:v>
                </c:pt>
                <c:pt idx="19">
                  <c:v>1.7164853240475775</c:v>
                </c:pt>
                <c:pt idx="20">
                  <c:v>1.8023095902499564</c:v>
                </c:pt>
                <c:pt idx="21">
                  <c:v>1.8881338564523353</c:v>
                </c:pt>
                <c:pt idx="22">
                  <c:v>1.9739581226547143</c:v>
                </c:pt>
                <c:pt idx="23">
                  <c:v>2.059782388857093</c:v>
                </c:pt>
                <c:pt idx="24">
                  <c:v>2.1456066550594719</c:v>
                </c:pt>
                <c:pt idx="25">
                  <c:v>2.2314309212618508</c:v>
                </c:pt>
              </c:numCache>
            </c:numRef>
          </c:val>
          <c:smooth val="0"/>
          <c:extLst>
            <c:ext xmlns:c16="http://schemas.microsoft.com/office/drawing/2014/chart" uri="{C3380CC4-5D6E-409C-BE32-E72D297353CC}">
              <c16:uniqueId val="{00000005-6193-4D5B-9150-EE5676B78FA5}"/>
            </c:ext>
          </c:extLst>
        </c:ser>
        <c:dLbls>
          <c:showLegendKey val="0"/>
          <c:showVal val="0"/>
          <c:showCatName val="0"/>
          <c:showSerName val="0"/>
          <c:showPercent val="0"/>
          <c:showBubbleSize val="0"/>
        </c:dLbls>
        <c:smooth val="0"/>
        <c:axId val="1388952432"/>
        <c:axId val="1388953088"/>
        <c:extLst>
          <c:ext xmlns:c15="http://schemas.microsoft.com/office/drawing/2012/chart" uri="{02D57815-91ED-43cb-92C2-25804820EDAC}">
            <c15:filteredLineSeries>
              <c15:ser>
                <c:idx val="7"/>
                <c:order val="1"/>
                <c:tx>
                  <c:strRef>
                    <c:extLst>
                      <c:ext uri="{02D57815-91ED-43cb-92C2-25804820EDAC}">
                        <c15:formulaRef>
                          <c15:sqref>'PBL OLD'!$NU$6:$NU$7</c15:sqref>
                        </c15:formulaRef>
                      </c:ext>
                    </c:extLst>
                    <c:strCache>
                      <c:ptCount val="2"/>
                      <c:pt idx="0">
                        <c:v>Min</c:v>
                      </c:pt>
                    </c:strCache>
                  </c:strRef>
                </c:tx>
                <c:spPr>
                  <a:ln w="28575" cap="rnd" cmpd="sng">
                    <a:solidFill>
                      <a:schemeClr val="accent6"/>
                    </a:solidFill>
                    <a:prstDash val="sysDot"/>
                    <a:round/>
                    <a:headEnd type="none"/>
                  </a:ln>
                  <a:effectLst/>
                </c:spPr>
                <c:marker>
                  <c:symbol val="none"/>
                </c:marker>
                <c:cat>
                  <c:numRef>
                    <c:extLst>
                      <c:ext uri="{02D57815-91ED-43cb-92C2-25804820EDAC}">
                        <c15:formulaRef>
                          <c15:sqref>'PBL OLD'!$NS$8:$NS$33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c:ext uri="{02D57815-91ED-43cb-92C2-25804820EDAC}">
                        <c15:formulaRef>
                          <c15:sqref>'PBL OLD'!$NU$8:$NU$33</c15:sqref>
                        </c15:formulaRef>
                      </c:ext>
                    </c:extLst>
                    <c:numCache>
                      <c:formatCode>0.000</c:formatCode>
                      <c:ptCount val="26"/>
                      <c:pt idx="0">
                        <c:v>3.2883578210174999E-2</c:v>
                      </c:pt>
                      <c:pt idx="1">
                        <c:v>6.5767156420349998E-2</c:v>
                      </c:pt>
                      <c:pt idx="2">
                        <c:v>9.8650734630524997E-2</c:v>
                      </c:pt>
                      <c:pt idx="3">
                        <c:v>0.1315343128407</c:v>
                      </c:pt>
                      <c:pt idx="4">
                        <c:v>0.16441789105087501</c:v>
                      </c:pt>
                      <c:pt idx="5">
                        <c:v>0.19730146926105002</c:v>
                      </c:pt>
                      <c:pt idx="6">
                        <c:v>0.23018504747122503</c:v>
                      </c:pt>
                      <c:pt idx="7">
                        <c:v>0.26306862568140005</c:v>
                      </c:pt>
                      <c:pt idx="8">
                        <c:v>0.29595220389157506</c:v>
                      </c:pt>
                      <c:pt idx="9">
                        <c:v>0.32883578210175007</c:v>
                      </c:pt>
                      <c:pt idx="10">
                        <c:v>0.36171936031192509</c:v>
                      </c:pt>
                      <c:pt idx="11">
                        <c:v>0.3946029385221001</c:v>
                      </c:pt>
                      <c:pt idx="12">
                        <c:v>0.42748651673227511</c:v>
                      </c:pt>
                      <c:pt idx="13">
                        <c:v>0.46037009494245013</c:v>
                      </c:pt>
                      <c:pt idx="14">
                        <c:v>0.49325367315262514</c:v>
                      </c:pt>
                      <c:pt idx="15">
                        <c:v>0.5261372513628001</c:v>
                      </c:pt>
                      <c:pt idx="16">
                        <c:v>0.55902082957297505</c:v>
                      </c:pt>
                      <c:pt idx="17">
                        <c:v>0.59190440778315001</c:v>
                      </c:pt>
                      <c:pt idx="18">
                        <c:v>0.62478798599332497</c:v>
                      </c:pt>
                      <c:pt idx="19">
                        <c:v>0.65767156420349993</c:v>
                      </c:pt>
                      <c:pt idx="20">
                        <c:v>0.69055514241367488</c:v>
                      </c:pt>
                      <c:pt idx="21">
                        <c:v>0.72343872062384984</c:v>
                      </c:pt>
                      <c:pt idx="22">
                        <c:v>0.7563222988340248</c:v>
                      </c:pt>
                      <c:pt idx="23">
                        <c:v>0.78920587704419976</c:v>
                      </c:pt>
                      <c:pt idx="24">
                        <c:v>0.82208945525437471</c:v>
                      </c:pt>
                      <c:pt idx="25">
                        <c:v>0.85497303346454967</c:v>
                      </c:pt>
                    </c:numCache>
                  </c:numRef>
                </c:val>
                <c:smooth val="0"/>
                <c:extLst>
                  <c:ext xmlns:c16="http://schemas.microsoft.com/office/drawing/2014/chart" uri="{C3380CC4-5D6E-409C-BE32-E72D297353CC}">
                    <c16:uniqueId val="{00000006-6193-4D5B-9150-EE5676B78FA5}"/>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'PBL OLD'!$NV$6:$NV$7</c15:sqref>
                        </c15:formulaRef>
                      </c:ext>
                    </c:extLst>
                    <c:strCache>
                      <c:ptCount val="2"/>
                      <c:pt idx="0">
                        <c:v>1st Percentile</c:v>
                      </c:pt>
                    </c:strCache>
                  </c:strRef>
                </c:tx>
                <c:spPr>
                  <a:ln w="28575">
                    <a:solidFill>
                      <a:schemeClr val="bg2"/>
                    </a:solidFill>
                    <a:prstDash val="sysDot"/>
                  </a:ln>
                </c:spPr>
                <c:marker>
                  <c:symbol val="none"/>
                </c:marker>
                <c:cat>
                  <c:numRef>
                    <c:extLst xmlns:c15="http://schemas.microsoft.com/office/drawing/2012/chart">
                      <c:ext xmlns:c15="http://schemas.microsoft.com/office/drawing/2012/chart" uri="{02D57815-91ED-43cb-92C2-25804820EDAC}">
                        <c15:formulaRef>
                          <c15:sqref>'PBL OLD'!$NS$8:$NS$33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xmlns:c15="http://schemas.microsoft.com/office/drawing/2012/chart">
                      <c:ext xmlns:c15="http://schemas.microsoft.com/office/drawing/2012/chart" uri="{02D57815-91ED-43cb-92C2-25804820EDAC}">
                        <c15:formulaRef>
                          <c15:sqref>'PBL OLD'!$NV$8:$NV$33</c15:sqref>
                        </c15:formulaRef>
                      </c:ext>
                    </c:extLst>
                    <c:numCache>
                      <c:formatCode>0.000</c:formatCode>
                      <c:ptCount val="26"/>
                      <c:pt idx="0">
                        <c:v>3.8899121388359478E-2</c:v>
                      </c:pt>
                      <c:pt idx="1">
                        <c:v>7.7798242776718957E-2</c:v>
                      </c:pt>
                      <c:pt idx="2">
                        <c:v>0.11669736416507843</c:v>
                      </c:pt>
                      <c:pt idx="3">
                        <c:v>0.15559648555343791</c:v>
                      </c:pt>
                      <c:pt idx="4">
                        <c:v>0.19449560694179741</c:v>
                      </c:pt>
                      <c:pt idx="5">
                        <c:v>0.2333947283301569</c:v>
                      </c:pt>
                      <c:pt idx="6">
                        <c:v>0.27229384971851639</c:v>
                      </c:pt>
                      <c:pt idx="7">
                        <c:v>0.31119297110687588</c:v>
                      </c:pt>
                      <c:pt idx="8">
                        <c:v>0.35009209249523537</c:v>
                      </c:pt>
                      <c:pt idx="9">
                        <c:v>0.38899121388359487</c:v>
                      </c:pt>
                      <c:pt idx="10">
                        <c:v>0.42789033527195436</c:v>
                      </c:pt>
                      <c:pt idx="11">
                        <c:v>0.46678945666031385</c:v>
                      </c:pt>
                      <c:pt idx="12">
                        <c:v>0.50568857804867329</c:v>
                      </c:pt>
                      <c:pt idx="13">
                        <c:v>0.54458769943703278</c:v>
                      </c:pt>
                      <c:pt idx="14">
                        <c:v>0.58348682082539227</c:v>
                      </c:pt>
                      <c:pt idx="15">
                        <c:v>0.62238594221375176</c:v>
                      </c:pt>
                      <c:pt idx="16">
                        <c:v>0.66128506360211126</c:v>
                      </c:pt>
                      <c:pt idx="17">
                        <c:v>0.70018418499047075</c:v>
                      </c:pt>
                      <c:pt idx="18">
                        <c:v>0.73908330637883024</c:v>
                      </c:pt>
                      <c:pt idx="19">
                        <c:v>0.77798242776718973</c:v>
                      </c:pt>
                      <c:pt idx="20">
                        <c:v>0.81688154915554922</c:v>
                      </c:pt>
                      <c:pt idx="21">
                        <c:v>0.85578067054390872</c:v>
                      </c:pt>
                      <c:pt idx="22">
                        <c:v>0.89467979193226821</c:v>
                      </c:pt>
                      <c:pt idx="23">
                        <c:v>0.9335789133206277</c:v>
                      </c:pt>
                      <c:pt idx="24">
                        <c:v>0.97247803470898719</c:v>
                      </c:pt>
                      <c:pt idx="25">
                        <c:v>1.0113771560973466</c:v>
                      </c:pt>
                    </c:numCache>
                  </c:numRef>
                </c:val>
                <c:smooth val="0"/>
                <c:extLst xmlns:c15="http://schemas.microsoft.com/office/drawing/2012/chart">
                  <c:ext xmlns:c16="http://schemas.microsoft.com/office/drawing/2014/chart" uri="{C3380CC4-5D6E-409C-BE32-E72D297353CC}">
                    <c16:uniqueId val="{00000007-6193-4D5B-9150-EE5676B78FA5}"/>
                  </c:ext>
                </c:extLst>
              </c15:ser>
            </c15:filteredLineSeries>
            <c15:filteredLineSeries>
              <c15:ser>
                <c:idx val="1"/>
                <c:order val="4"/>
                <c:tx>
                  <c:strRef>
                    <c:extLst xmlns:c15="http://schemas.microsoft.com/office/drawing/2012/chart">
                      <c:ext xmlns:c15="http://schemas.microsoft.com/office/drawing/2012/chart" uri="{02D57815-91ED-43cb-92C2-25804820EDAC}">
                        <c15:formulaRef>
                          <c15:sqref>'PBL OLD'!$NX$6:$NX$7</c15:sqref>
                        </c15:formulaRef>
                      </c:ext>
                    </c:extLst>
                    <c:strCache>
                      <c:ptCount val="2"/>
                      <c:pt idx="0">
                        <c:v>10th Percentile</c:v>
                      </c:pt>
                    </c:strCache>
                  </c:strRef>
                </c:tx>
                <c:spPr>
                  <a:ln w="28575" cap="rnd">
                    <a:solidFill>
                      <a:schemeClr val="accent6"/>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'PBL OLD'!$NS$8:$NS$33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xmlns:c15="http://schemas.microsoft.com/office/drawing/2012/chart">
                      <c:ext xmlns:c15="http://schemas.microsoft.com/office/drawing/2012/chart" uri="{02D57815-91ED-43cb-92C2-25804820EDAC}">
                        <c15:formulaRef>
                          <c15:sqref>'PBL OLD'!$NX$8:$NX$33</c15:sqref>
                        </c15:formulaRef>
                      </c:ext>
                    </c:extLst>
                    <c:numCache>
                      <c:formatCode>0.000</c:formatCode>
                      <c:ptCount val="26"/>
                      <c:pt idx="0">
                        <c:v>4.4879284238757686E-2</c:v>
                      </c:pt>
                      <c:pt idx="1">
                        <c:v>8.9758568477515371E-2</c:v>
                      </c:pt>
                      <c:pt idx="2">
                        <c:v>0.13463785271627304</c:v>
                      </c:pt>
                      <c:pt idx="3">
                        <c:v>0.17951713695503074</c:v>
                      </c:pt>
                      <c:pt idx="4">
                        <c:v>0.22439642119378844</c:v>
                      </c:pt>
                      <c:pt idx="5">
                        <c:v>0.26927570543254614</c:v>
                      </c:pt>
                      <c:pt idx="6">
                        <c:v>0.31415498967130384</c:v>
                      </c:pt>
                      <c:pt idx="7">
                        <c:v>0.35903427391006154</c:v>
                      </c:pt>
                      <c:pt idx="8">
                        <c:v>0.40391355814881924</c:v>
                      </c:pt>
                      <c:pt idx="9">
                        <c:v>0.44879284238757694</c:v>
                      </c:pt>
                      <c:pt idx="10">
                        <c:v>0.49367212662633464</c:v>
                      </c:pt>
                      <c:pt idx="11">
                        <c:v>0.53855141086509228</c:v>
                      </c:pt>
                      <c:pt idx="12">
                        <c:v>0.58343069510384993</c:v>
                      </c:pt>
                      <c:pt idx="13">
                        <c:v>0.62830997934260757</c:v>
                      </c:pt>
                      <c:pt idx="14">
                        <c:v>0.67318926358136522</c:v>
                      </c:pt>
                      <c:pt idx="15">
                        <c:v>0.71806854782012286</c:v>
                      </c:pt>
                      <c:pt idx="16">
                        <c:v>0.7629478320588805</c:v>
                      </c:pt>
                      <c:pt idx="17">
                        <c:v>0.80782711629763815</c:v>
                      </c:pt>
                      <c:pt idx="18">
                        <c:v>0.85270640053639579</c:v>
                      </c:pt>
                      <c:pt idx="19">
                        <c:v>0.89758568477515344</c:v>
                      </c:pt>
                      <c:pt idx="20">
                        <c:v>0.94246496901391108</c:v>
                      </c:pt>
                      <c:pt idx="21">
                        <c:v>0.98734425325266872</c:v>
                      </c:pt>
                      <c:pt idx="22">
                        <c:v>1.0322235374914264</c:v>
                      </c:pt>
                      <c:pt idx="23">
                        <c:v>1.0771028217301841</c:v>
                      </c:pt>
                      <c:pt idx="24">
                        <c:v>1.1219821059689419</c:v>
                      </c:pt>
                      <c:pt idx="25">
                        <c:v>1.1668613902076996</c:v>
                      </c:pt>
                    </c:numCache>
                  </c:numRef>
                </c:val>
                <c:smooth val="0"/>
                <c:extLst xmlns:c15="http://schemas.microsoft.com/office/drawing/2012/chart">
                  <c:ext xmlns:c16="http://schemas.microsoft.com/office/drawing/2014/chart" uri="{C3380CC4-5D6E-409C-BE32-E72D297353CC}">
                    <c16:uniqueId val="{00000008-6193-4D5B-9150-EE5676B78FA5}"/>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'PBL OLD'!$OB$6:$OB$7</c15:sqref>
                        </c15:formulaRef>
                      </c:ext>
                    </c:extLst>
                    <c:strCache>
                      <c:ptCount val="2"/>
                      <c:pt idx="0">
                        <c:v>90th Percentile</c:v>
                      </c:pt>
                    </c:strCache>
                  </c:strRef>
                </c:tx>
                <c:spPr>
                  <a:ln w="28575">
                    <a:solidFill>
                      <a:schemeClr val="accent1"/>
                    </a:solidFill>
                    <a:prstDash val="sysDot"/>
                  </a:ln>
                </c:spPr>
                <c:marker>
                  <c:symbol val="none"/>
                </c:marker>
                <c:cat>
                  <c:numRef>
                    <c:extLst xmlns:c15="http://schemas.microsoft.com/office/drawing/2012/chart">
                      <c:ext xmlns:c15="http://schemas.microsoft.com/office/drawing/2012/chart" uri="{02D57815-91ED-43cb-92C2-25804820EDAC}">
                        <c15:formulaRef>
                          <c15:sqref>'PBL OLD'!$NS$8:$NS$33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xmlns:c15="http://schemas.microsoft.com/office/drawing/2012/chart">
                      <c:ext xmlns:c15="http://schemas.microsoft.com/office/drawing/2012/chart" uri="{02D57815-91ED-43cb-92C2-25804820EDAC}">
                        <c15:formulaRef>
                          <c15:sqref>'PBL OLD'!$OB$8:$OB$33</c15:sqref>
                        </c15:formulaRef>
                      </c:ext>
                    </c:extLst>
                    <c:numCache>
                      <c:formatCode>0.000</c:formatCode>
                      <c:ptCount val="26"/>
                      <c:pt idx="0">
                        <c:v>7.8303842656430783E-2</c:v>
                      </c:pt>
                      <c:pt idx="1">
                        <c:v>0.15660768531286157</c:v>
                      </c:pt>
                      <c:pt idx="2">
                        <c:v>0.23491152796929235</c:v>
                      </c:pt>
                      <c:pt idx="3">
                        <c:v>0.31321537062572313</c:v>
                      </c:pt>
                      <c:pt idx="4">
                        <c:v>0.39151921328215389</c:v>
                      </c:pt>
                      <c:pt idx="5">
                        <c:v>0.46982305593858464</c:v>
                      </c:pt>
                      <c:pt idx="6">
                        <c:v>0.5481268985950154</c:v>
                      </c:pt>
                      <c:pt idx="7">
                        <c:v>0.62643074125144615</c:v>
                      </c:pt>
                      <c:pt idx="8">
                        <c:v>0.70473458390787691</c:v>
                      </c:pt>
                      <c:pt idx="9">
                        <c:v>0.78303842656430767</c:v>
                      </c:pt>
                      <c:pt idx="10">
                        <c:v>0.86134226922073842</c:v>
                      </c:pt>
                      <c:pt idx="11">
                        <c:v>0.93964611187716918</c:v>
                      </c:pt>
                      <c:pt idx="12">
                        <c:v>1.0179499545335999</c:v>
                      </c:pt>
                      <c:pt idx="13">
                        <c:v>1.0962537971900308</c:v>
                      </c:pt>
                      <c:pt idx="14">
                        <c:v>1.1745576398464617</c:v>
                      </c:pt>
                      <c:pt idx="15">
                        <c:v>1.2528614825028925</c:v>
                      </c:pt>
                      <c:pt idx="16">
                        <c:v>1.3311653251593234</c:v>
                      </c:pt>
                      <c:pt idx="17">
                        <c:v>1.4094691678157543</c:v>
                      </c:pt>
                      <c:pt idx="18">
                        <c:v>1.4877730104721851</c:v>
                      </c:pt>
                      <c:pt idx="19">
                        <c:v>1.566076853128616</c:v>
                      </c:pt>
                      <c:pt idx="20">
                        <c:v>1.6443806957850469</c:v>
                      </c:pt>
                      <c:pt idx="21">
                        <c:v>1.7226845384414777</c:v>
                      </c:pt>
                      <c:pt idx="22">
                        <c:v>1.8009883810979086</c:v>
                      </c:pt>
                      <c:pt idx="23">
                        <c:v>1.8792922237543395</c:v>
                      </c:pt>
                      <c:pt idx="24">
                        <c:v>1.9575960664107703</c:v>
                      </c:pt>
                      <c:pt idx="25">
                        <c:v>2.0358999090672012</c:v>
                      </c:pt>
                    </c:numCache>
                  </c:numRef>
                </c:val>
                <c:smooth val="0"/>
                <c:extLst xmlns:c15="http://schemas.microsoft.com/office/drawing/2012/chart">
                  <c:ext xmlns:c16="http://schemas.microsoft.com/office/drawing/2014/chart" uri="{C3380CC4-5D6E-409C-BE32-E72D297353CC}">
                    <c16:uniqueId val="{00000009-6193-4D5B-9150-EE5676B78FA5}"/>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'PBL OLD'!$OD$6:$OD$7</c15:sqref>
                        </c15:formulaRef>
                      </c:ext>
                    </c:extLst>
                    <c:strCache>
                      <c:ptCount val="2"/>
                      <c:pt idx="0">
                        <c:v>99th Percentile</c:v>
                      </c:pt>
                    </c:strCache>
                  </c:strRef>
                </c:tx>
                <c:marker>
                  <c:symbol val="none"/>
                </c:marker>
                <c:cat>
                  <c:numRef>
                    <c:extLst xmlns:c15="http://schemas.microsoft.com/office/drawing/2012/chart">
                      <c:ext xmlns:c15="http://schemas.microsoft.com/office/drawing/2012/chart" uri="{02D57815-91ED-43cb-92C2-25804820EDAC}">
                        <c15:formulaRef>
                          <c15:sqref>'PBL OLD'!$NS$8:$NS$33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xmlns:c15="http://schemas.microsoft.com/office/drawing/2012/chart">
                      <c:ext xmlns:c15="http://schemas.microsoft.com/office/drawing/2012/chart" uri="{02D57815-91ED-43cb-92C2-25804820EDAC}">
                        <c15:formulaRef>
                          <c15:sqref>'PBL OLD'!$OD$8:$OD$33</c15:sqref>
                        </c15:formulaRef>
                      </c:ext>
                    </c:extLst>
                    <c:numCache>
                      <c:formatCode>0.000</c:formatCode>
                      <c:ptCount val="26"/>
                      <c:pt idx="0">
                        <c:v>0.10064266089910577</c:v>
                      </c:pt>
                      <c:pt idx="1">
                        <c:v>0.20128532179821154</c:v>
                      </c:pt>
                      <c:pt idx="2">
                        <c:v>0.3019279826973173</c:v>
                      </c:pt>
                      <c:pt idx="3">
                        <c:v>0.40257064359642308</c:v>
                      </c:pt>
                      <c:pt idx="4">
                        <c:v>0.50321330449552881</c:v>
                      </c:pt>
                      <c:pt idx="5">
                        <c:v>0.6038559653946346</c:v>
                      </c:pt>
                      <c:pt idx="6">
                        <c:v>0.70449862629374038</c:v>
                      </c:pt>
                      <c:pt idx="7">
                        <c:v>0.80514128719284617</c:v>
                      </c:pt>
                      <c:pt idx="8">
                        <c:v>0.90578394809195195</c:v>
                      </c:pt>
                      <c:pt idx="9">
                        <c:v>1.0064266089910576</c:v>
                      </c:pt>
                      <c:pt idx="10">
                        <c:v>1.1070692698901634</c:v>
                      </c:pt>
                      <c:pt idx="11">
                        <c:v>1.2077119307892692</c:v>
                      </c:pt>
                      <c:pt idx="12">
                        <c:v>1.308354591688375</c:v>
                      </c:pt>
                      <c:pt idx="13">
                        <c:v>1.4089972525874808</c:v>
                      </c:pt>
                      <c:pt idx="14">
                        <c:v>1.5096399134865865</c:v>
                      </c:pt>
                      <c:pt idx="15">
                        <c:v>1.6102825743856923</c:v>
                      </c:pt>
                      <c:pt idx="16">
                        <c:v>1.7109252352847981</c:v>
                      </c:pt>
                      <c:pt idx="17">
                        <c:v>1.8115678961839039</c:v>
                      </c:pt>
                      <c:pt idx="18">
                        <c:v>1.9122105570830097</c:v>
                      </c:pt>
                      <c:pt idx="19">
                        <c:v>2.0128532179821153</c:v>
                      </c:pt>
                      <c:pt idx="20">
                        <c:v>2.113495878881221</c:v>
                      </c:pt>
                      <c:pt idx="21">
                        <c:v>2.2141385397803268</c:v>
                      </c:pt>
                      <c:pt idx="22">
                        <c:v>2.3147812006794326</c:v>
                      </c:pt>
                      <c:pt idx="23">
                        <c:v>2.4154238615785384</c:v>
                      </c:pt>
                      <c:pt idx="24">
                        <c:v>2.5160665224776442</c:v>
                      </c:pt>
                      <c:pt idx="25">
                        <c:v>2.61670918337675</c:v>
                      </c:pt>
                    </c:numCache>
                  </c:numRef>
                </c:val>
                <c:smooth val="0"/>
                <c:extLst xmlns:c15="http://schemas.microsoft.com/office/drawing/2012/chart">
                  <c:ext xmlns:c16="http://schemas.microsoft.com/office/drawing/2014/chart" uri="{C3380CC4-5D6E-409C-BE32-E72D297353CC}">
                    <c16:uniqueId val="{0000000A-6193-4D5B-9150-EE5676B78FA5}"/>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'PBL OLD'!$OE$6:$OE$7</c15:sqref>
                        </c15:formulaRef>
                      </c:ext>
                    </c:extLst>
                    <c:strCache>
                      <c:ptCount val="2"/>
                      <c:pt idx="0">
                        <c:v>Max</c:v>
                      </c:pt>
                    </c:strCache>
                  </c:strRef>
                </c:tx>
                <c:marker>
                  <c:symbol val="none"/>
                </c:marker>
                <c:cat>
                  <c:numRef>
                    <c:extLst xmlns:c15="http://schemas.microsoft.com/office/drawing/2012/chart">
                      <c:ext xmlns:c15="http://schemas.microsoft.com/office/drawing/2012/chart" uri="{02D57815-91ED-43cb-92C2-25804820EDAC}">
                        <c15:formulaRef>
                          <c15:sqref>'PBL OLD'!$NS$8:$NS$33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xmlns:c15="http://schemas.microsoft.com/office/drawing/2012/chart">
                      <c:ext xmlns:c15="http://schemas.microsoft.com/office/drawing/2012/chart" uri="{02D57815-91ED-43cb-92C2-25804820EDAC}">
                        <c15:formulaRef>
                          <c15:sqref>'PBL OLD'!$OE$8:$OE$33</c15:sqref>
                        </c15:formulaRef>
                      </c:ext>
                    </c:extLst>
                    <c:numCache>
                      <c:formatCode>0.000</c:formatCode>
                      <c:ptCount val="26"/>
                      <c:pt idx="0">
                        <c:v>0.13024968599028269</c:v>
                      </c:pt>
                      <c:pt idx="1">
                        <c:v>0.26049937198056539</c:v>
                      </c:pt>
                      <c:pt idx="2">
                        <c:v>0.39074905797084808</c:v>
                      </c:pt>
                      <c:pt idx="3">
                        <c:v>0.52099874396113077</c:v>
                      </c:pt>
                      <c:pt idx="4">
                        <c:v>0.65124842995141341</c:v>
                      </c:pt>
                      <c:pt idx="5">
                        <c:v>0.78149811594169605</c:v>
                      </c:pt>
                      <c:pt idx="6">
                        <c:v>0.91174780193197869</c:v>
                      </c:pt>
                      <c:pt idx="7">
                        <c:v>1.0419974879222613</c:v>
                      </c:pt>
                      <c:pt idx="8">
                        <c:v>1.172247173912544</c:v>
                      </c:pt>
                      <c:pt idx="9">
                        <c:v>1.3024968599028266</c:v>
                      </c:pt>
                      <c:pt idx="10">
                        <c:v>1.4327465458931092</c:v>
                      </c:pt>
                      <c:pt idx="11">
                        <c:v>1.5629962318833919</c:v>
                      </c:pt>
                      <c:pt idx="12">
                        <c:v>1.6932459178736745</c:v>
                      </c:pt>
                      <c:pt idx="13">
                        <c:v>1.8234956038639571</c:v>
                      </c:pt>
                      <c:pt idx="14">
                        <c:v>1.9537452898542398</c:v>
                      </c:pt>
                      <c:pt idx="15">
                        <c:v>2.0839949758445226</c:v>
                      </c:pt>
                      <c:pt idx="16">
                        <c:v>2.2142446618348055</c:v>
                      </c:pt>
                      <c:pt idx="17">
                        <c:v>2.3444943478250884</c:v>
                      </c:pt>
                      <c:pt idx="18">
                        <c:v>2.4747440338153712</c:v>
                      </c:pt>
                      <c:pt idx="19">
                        <c:v>2.6049937198056541</c:v>
                      </c:pt>
                      <c:pt idx="20">
                        <c:v>2.7352434057959369</c:v>
                      </c:pt>
                      <c:pt idx="21">
                        <c:v>2.8654930917862198</c:v>
                      </c:pt>
                      <c:pt idx="22">
                        <c:v>2.9957427777765027</c:v>
                      </c:pt>
                      <c:pt idx="23">
                        <c:v>3.1259924637667855</c:v>
                      </c:pt>
                      <c:pt idx="24">
                        <c:v>3.2562421497570684</c:v>
                      </c:pt>
                      <c:pt idx="25">
                        <c:v>3.3864918357473512</c:v>
                      </c:pt>
                    </c:numCache>
                  </c:numRef>
                </c:val>
                <c:smooth val="0"/>
                <c:extLst xmlns:c15="http://schemas.microsoft.com/office/drawing/2012/chart">
                  <c:ext xmlns:c16="http://schemas.microsoft.com/office/drawing/2014/chart" uri="{C3380CC4-5D6E-409C-BE32-E72D297353CC}">
                    <c16:uniqueId val="{0000000B-6193-4D5B-9150-EE5676B78FA5}"/>
                  </c:ext>
                </c:extLst>
              </c15:ser>
            </c15:filteredLineSeries>
          </c:ext>
        </c:extLst>
      </c:lineChart>
      <c:dateAx>
        <c:axId val="1388952432"/>
        <c:scaling>
          <c:orientation val="minMax"/>
        </c:scaling>
        <c:delete val="0"/>
        <c:axPos val="b"/>
        <c:numFmt formatCode="d\-mmm\-yy_);\(###0\);&quot;-  &quot;;&quot; &quot;@&quot; &quot;"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3088"/>
        <c:crosses val="autoZero"/>
        <c:auto val="1"/>
        <c:lblOffset val="100"/>
        <c:baseTimeUnit val="days"/>
        <c:majorUnit val="3"/>
        <c:majorTimeUnit val="months"/>
      </c:dateAx>
      <c:valAx>
        <c:axId val="1388953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Ticket Sales ($b)</a:t>
                </a:r>
              </a:p>
            </c:rich>
          </c:tx>
          <c:overlay val="0"/>
          <c:spPr>
            <a:noFill/>
            <a:ln>
              <a:noFill/>
            </a:ln>
            <a:effectLst/>
          </c:sp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2432"/>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'PBL OLD'!$OS$6:$OS$7</c:f>
              <c:strCache>
                <c:ptCount val="2"/>
                <c:pt idx="0">
                  <c:v>Actual</c:v>
                </c:pt>
              </c:strCache>
            </c:strRef>
          </c:tx>
          <c:spPr>
            <a:ln w="28575" cap="rnd">
              <a:solidFill>
                <a:schemeClr val="tx2"/>
              </a:solidFill>
              <a:round/>
            </a:ln>
            <a:effectLst/>
          </c:spPr>
          <c:marker>
            <c:symbol val="none"/>
          </c:marker>
          <c:cat>
            <c:numRef>
              <c:f>'PBL OLD'!$OR$8:$OR$33</c:f>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f>'PBL OLD'!$OS$8:$OS$33</c:f>
              <c:numCache>
                <c:formatCode>0.000</c:formatCode>
                <c:ptCount val="26"/>
                <c:pt idx="0">
                  <c:v>9.3039993486000006E-2</c:v>
                </c:pt>
                <c:pt idx="1">
                  <c:v>0.1167146747448</c:v>
                </c:pt>
                <c:pt idx="2">
                  <c:v>0.1433834649456</c:v>
                </c:pt>
                <c:pt idx="3">
                  <c:v>0.18472835378580002</c:v>
                </c:pt>
                <c:pt idx="4">
                  <c:v>0.25436520983280003</c:v>
                </c:pt>
                <c:pt idx="5">
                  <c:v>0.35031266808119998</c:v>
                </c:pt>
                <c:pt idx="6">
                  <c:v>0.49196709316920001</c:v>
                </c:pt>
                <c:pt idx="7">
                  <c:v>0.7935265548210001</c:v>
                </c:pt>
                <c:pt idx="8">
                  <c:v>0.81782672377560006</c:v>
                </c:pt>
                <c:pt idx="9">
                  <c:v>0.84884902365120007</c:v>
                </c:pt>
                <c:pt idx="10">
                  <c:v>0.90128596903620006</c:v>
                </c:pt>
                <c:pt idx="11">
                  <c:v>0.92519687980500009</c:v>
                </c:pt>
                <c:pt idx="12">
                  <c:v>0.95970440577000005</c:v>
                </c:pt>
                <c:pt idx="13">
                  <c:v>1.0136447317722002</c:v>
                </c:pt>
                <c:pt idx="14">
                  <c:v>1.0389120803952001</c:v>
                </c:pt>
                <c:pt idx="15">
                  <c:v>1.0683752655048</c:v>
                </c:pt>
                <c:pt idx="16">
                  <c:v>1.1198503163561999</c:v>
                </c:pt>
              </c:numCache>
            </c:numRef>
          </c:val>
          <c:smooth val="0"/>
          <c:extLst>
            <c:ext xmlns:c16="http://schemas.microsoft.com/office/drawing/2014/chart" uri="{C3380CC4-5D6E-409C-BE32-E72D297353CC}">
              <c16:uniqueId val="{00000000-D76A-4DE5-AE75-3F3F20064E7D}"/>
            </c:ext>
          </c:extLst>
        </c:ser>
        <c:ser>
          <c:idx val="3"/>
          <c:order val="3"/>
          <c:tx>
            <c:strRef>
              <c:f>'PBL OLD'!$OV$6:$OV$7</c:f>
              <c:strCache>
                <c:ptCount val="2"/>
                <c:pt idx="0">
                  <c:v>5th Percentile</c:v>
                </c:pt>
              </c:strCache>
            </c:strRef>
          </c:tx>
          <c:spPr>
            <a:ln w="28575" cap="rnd">
              <a:solidFill>
                <a:schemeClr val="accent6"/>
              </a:solidFill>
              <a:prstDash val="sysDot"/>
              <a:round/>
            </a:ln>
            <a:effectLst/>
          </c:spPr>
          <c:marker>
            <c:symbol val="none"/>
          </c:marker>
          <c:cat>
            <c:numRef>
              <c:f>'PBL OLD'!$OR$8:$OR$33</c:f>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f>'PBL OLD'!$OV$8:$OV$33</c:f>
              <c:numCache>
                <c:formatCode>0.000</c:formatCode>
                <c:ptCount val="26"/>
                <c:pt idx="16">
                  <c:v>1.1198503163561999</c:v>
                </c:pt>
                <c:pt idx="17">
                  <c:v>1.1567800467375167</c:v>
                </c:pt>
                <c:pt idx="18">
                  <c:v>1.1937097771188334</c:v>
                </c:pt>
                <c:pt idx="19">
                  <c:v>1.2306395075001502</c:v>
                </c:pt>
                <c:pt idx="20">
                  <c:v>1.2675692378814669</c:v>
                </c:pt>
                <c:pt idx="21">
                  <c:v>1.3044989682627837</c:v>
                </c:pt>
                <c:pt idx="22">
                  <c:v>1.3414286986441004</c:v>
                </c:pt>
                <c:pt idx="23">
                  <c:v>1.3783584290254172</c:v>
                </c:pt>
                <c:pt idx="24">
                  <c:v>1.4152881594067339</c:v>
                </c:pt>
                <c:pt idx="25">
                  <c:v>1.4522178897880507</c:v>
                </c:pt>
              </c:numCache>
            </c:numRef>
          </c:val>
          <c:smooth val="0"/>
          <c:extLst>
            <c:ext xmlns:c16="http://schemas.microsoft.com/office/drawing/2014/chart" uri="{C3380CC4-5D6E-409C-BE32-E72D297353CC}">
              <c16:uniqueId val="{00000001-D76A-4DE5-AE75-3F3F20064E7D}"/>
            </c:ext>
          </c:extLst>
        </c:ser>
        <c:ser>
          <c:idx val="5"/>
          <c:order val="5"/>
          <c:tx>
            <c:strRef>
              <c:f>'PBL OLD'!$OX$6:$OX$7</c:f>
              <c:strCache>
                <c:ptCount val="2"/>
                <c:pt idx="0">
                  <c:v>25th Percentile</c:v>
                </c:pt>
              </c:strCache>
            </c:strRef>
          </c:tx>
          <c:spPr>
            <a:ln w="28575" cap="rnd">
              <a:solidFill>
                <a:schemeClr val="accent5"/>
              </a:solidFill>
              <a:prstDash val="sysDot"/>
              <a:round/>
            </a:ln>
            <a:effectLst/>
          </c:spPr>
          <c:marker>
            <c:symbol val="none"/>
          </c:marker>
          <c:cat>
            <c:numRef>
              <c:f>'PBL OLD'!$OR$8:$OR$33</c:f>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f>'PBL OLD'!$OX$8:$OX$33</c:f>
              <c:numCache>
                <c:formatCode>0.000</c:formatCode>
                <c:ptCount val="26"/>
                <c:pt idx="16">
                  <c:v>1.1198503163561999</c:v>
                </c:pt>
                <c:pt idx="17">
                  <c:v>1.1661040277215999</c:v>
                </c:pt>
                <c:pt idx="18">
                  <c:v>1.212357739087</c:v>
                </c:pt>
                <c:pt idx="19">
                  <c:v>1.2586114504524</c:v>
                </c:pt>
                <c:pt idx="20">
                  <c:v>1.3048651618178</c:v>
                </c:pt>
                <c:pt idx="21">
                  <c:v>1.3511188731832</c:v>
                </c:pt>
                <c:pt idx="22">
                  <c:v>1.3973725845486</c:v>
                </c:pt>
                <c:pt idx="23">
                  <c:v>1.443626295914</c:v>
                </c:pt>
                <c:pt idx="24">
                  <c:v>1.4898800072794001</c:v>
                </c:pt>
                <c:pt idx="25">
                  <c:v>1.5361337186448001</c:v>
                </c:pt>
              </c:numCache>
            </c:numRef>
          </c:val>
          <c:smooth val="0"/>
          <c:extLst>
            <c:ext xmlns:c16="http://schemas.microsoft.com/office/drawing/2014/chart" uri="{C3380CC4-5D6E-409C-BE32-E72D297353CC}">
              <c16:uniqueId val="{00000002-D76A-4DE5-AE75-3F3F20064E7D}"/>
            </c:ext>
          </c:extLst>
        </c:ser>
        <c:ser>
          <c:idx val="6"/>
          <c:order val="6"/>
          <c:tx>
            <c:strRef>
              <c:f>'PBL OLD'!$OY$6:$OY$7</c:f>
              <c:strCache>
                <c:ptCount val="2"/>
                <c:pt idx="0">
                  <c:v>50th Percentile</c:v>
                </c:pt>
              </c:strCache>
            </c:strRef>
          </c:tx>
          <c:spPr>
            <a:ln w="28575" cap="rnd">
              <a:solidFill>
                <a:schemeClr val="bg2"/>
              </a:solidFill>
              <a:prstDash val="sysDot"/>
              <a:round/>
            </a:ln>
            <a:effectLst/>
          </c:spPr>
          <c:marker>
            <c:symbol val="none"/>
          </c:marker>
          <c:cat>
            <c:numRef>
              <c:f>'PBL OLD'!$OR$8:$OR$33</c:f>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f>'PBL OLD'!$OY$8:$OY$33</c:f>
              <c:numCache>
                <c:formatCode>0.000</c:formatCode>
                <c:ptCount val="26"/>
                <c:pt idx="16">
                  <c:v>1.1198503163561999</c:v>
                </c:pt>
                <c:pt idx="17">
                  <c:v>1.1741059798372666</c:v>
                </c:pt>
                <c:pt idx="18">
                  <c:v>1.2283616433183333</c:v>
                </c:pt>
                <c:pt idx="19">
                  <c:v>1.2826173067994</c:v>
                </c:pt>
                <c:pt idx="20">
                  <c:v>1.3368729702804667</c:v>
                </c:pt>
                <c:pt idx="21">
                  <c:v>1.3911286337615334</c:v>
                </c:pt>
                <c:pt idx="22">
                  <c:v>1.4453842972426001</c:v>
                </c:pt>
                <c:pt idx="23">
                  <c:v>1.4996399607236668</c:v>
                </c:pt>
                <c:pt idx="24">
                  <c:v>1.5538956242047335</c:v>
                </c:pt>
                <c:pt idx="25">
                  <c:v>1.6081512876858002</c:v>
                </c:pt>
              </c:numCache>
            </c:numRef>
          </c:val>
          <c:smooth val="0"/>
          <c:extLst xmlns:c15="http://schemas.microsoft.com/office/drawing/2012/chart">
            <c:ext xmlns:c16="http://schemas.microsoft.com/office/drawing/2014/chart" uri="{C3380CC4-5D6E-409C-BE32-E72D297353CC}">
              <c16:uniqueId val="{00000003-D76A-4DE5-AE75-3F3F20064E7D}"/>
            </c:ext>
          </c:extLst>
        </c:ser>
        <c:ser>
          <c:idx val="7"/>
          <c:order val="7"/>
          <c:tx>
            <c:strRef>
              <c:f>'PBL OLD'!$OZ$6:$OZ$7</c:f>
              <c:strCache>
                <c:ptCount val="2"/>
                <c:pt idx="0">
                  <c:v>75th Percentile</c:v>
                </c:pt>
              </c:strCache>
            </c:strRef>
          </c:tx>
          <c:spPr>
            <a:ln w="28575" cap="rnd">
              <a:solidFill>
                <a:schemeClr val="accent4"/>
              </a:solidFill>
              <a:prstDash val="sysDot"/>
              <a:round/>
            </a:ln>
            <a:effectLst/>
          </c:spPr>
          <c:marker>
            <c:symbol val="none"/>
          </c:marker>
          <c:cat>
            <c:numRef>
              <c:f>'PBL OLD'!$OR$8:$OR$33</c:f>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f>'PBL OLD'!$OZ$8:$OZ$33</c:f>
              <c:numCache>
                <c:formatCode>0.000</c:formatCode>
                <c:ptCount val="26"/>
                <c:pt idx="16">
                  <c:v>1.1198503163561999</c:v>
                </c:pt>
                <c:pt idx="17">
                  <c:v>1.1993777260661167</c:v>
                </c:pt>
                <c:pt idx="18">
                  <c:v>1.2789051357760335</c:v>
                </c:pt>
                <c:pt idx="19">
                  <c:v>1.3584325454859503</c:v>
                </c:pt>
                <c:pt idx="20">
                  <c:v>1.4379599551958671</c:v>
                </c:pt>
                <c:pt idx="21">
                  <c:v>1.5174873649057838</c:v>
                </c:pt>
                <c:pt idx="22">
                  <c:v>1.5970147746157006</c:v>
                </c:pt>
                <c:pt idx="23">
                  <c:v>1.6765421843256174</c:v>
                </c:pt>
                <c:pt idx="24">
                  <c:v>1.7560695940355342</c:v>
                </c:pt>
                <c:pt idx="25">
                  <c:v>1.835597003745451</c:v>
                </c:pt>
              </c:numCache>
            </c:numRef>
          </c:val>
          <c:smooth val="0"/>
          <c:extLst>
            <c:ext xmlns:c16="http://schemas.microsoft.com/office/drawing/2014/chart" uri="{C3380CC4-5D6E-409C-BE32-E72D297353CC}">
              <c16:uniqueId val="{00000004-D76A-4DE5-AE75-3F3F20064E7D}"/>
            </c:ext>
          </c:extLst>
        </c:ser>
        <c:ser>
          <c:idx val="9"/>
          <c:order val="9"/>
          <c:tx>
            <c:strRef>
              <c:f>'PBL OLD'!$PB$6:$PB$7</c:f>
              <c:strCache>
                <c:ptCount val="2"/>
                <c:pt idx="0">
                  <c:v>95th Percentile</c:v>
                </c:pt>
              </c:strCache>
            </c:strRef>
          </c:tx>
          <c:spPr>
            <a:ln w="28575" cap="rnd">
              <a:solidFill>
                <a:schemeClr val="accent1"/>
              </a:solidFill>
              <a:prstDash val="sysDot"/>
              <a:round/>
            </a:ln>
            <a:effectLst/>
          </c:spPr>
          <c:marker>
            <c:symbol val="none"/>
          </c:marker>
          <c:cat>
            <c:numRef>
              <c:f>'PBL OLD'!$OR$8:$OR$33</c:f>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f>'PBL OLD'!$PB$8:$PB$33</c:f>
              <c:numCache>
                <c:formatCode>0.000</c:formatCode>
                <c:ptCount val="26"/>
                <c:pt idx="16">
                  <c:v>1.1198503163561999</c:v>
                </c:pt>
                <c:pt idx="17">
                  <c:v>1.2171449523509832</c:v>
                </c:pt>
                <c:pt idx="18">
                  <c:v>1.3144395883457665</c:v>
                </c:pt>
                <c:pt idx="19">
                  <c:v>1.4117342243405497</c:v>
                </c:pt>
                <c:pt idx="20">
                  <c:v>1.509028860335333</c:v>
                </c:pt>
                <c:pt idx="21">
                  <c:v>1.6063234963301163</c:v>
                </c:pt>
                <c:pt idx="22">
                  <c:v>1.7036181323248996</c:v>
                </c:pt>
                <c:pt idx="23">
                  <c:v>1.8009127683196828</c:v>
                </c:pt>
                <c:pt idx="24">
                  <c:v>1.8982074043144661</c:v>
                </c:pt>
                <c:pt idx="25">
                  <c:v>1.9955020403092494</c:v>
                </c:pt>
              </c:numCache>
            </c:numRef>
          </c:val>
          <c:smooth val="0"/>
          <c:extLst xmlns:c15="http://schemas.microsoft.com/office/drawing/2012/chart">
            <c:ext xmlns:c16="http://schemas.microsoft.com/office/drawing/2014/chart" uri="{C3380CC4-5D6E-409C-BE32-E72D297353CC}">
              <c16:uniqueId val="{00000005-D76A-4DE5-AE75-3F3F20064E7D}"/>
            </c:ext>
          </c:extLst>
        </c:ser>
        <c:ser>
          <c:idx val="12"/>
          <c:order val="12"/>
          <c:tx>
            <c:strRef>
              <c:f>'PBL OLD'!$PE$6:$PE$7</c:f>
              <c:strCache>
                <c:ptCount val="2"/>
                <c:pt idx="0">
                  <c:v>HY Average</c:v>
                </c:pt>
              </c:strCache>
            </c:strRef>
          </c:tx>
          <c:spPr>
            <a:ln w="28575" cap="rnd">
              <a:solidFill>
                <a:schemeClr val="accent2"/>
              </a:solidFill>
              <a:prstDash val="dash"/>
              <a:round/>
            </a:ln>
            <a:effectLst/>
          </c:spPr>
          <c:marker>
            <c:symbol val="none"/>
          </c:marker>
          <c:cat>
            <c:numRef>
              <c:f>'PBL OLD'!$OR$8:$OR$33</c:f>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f>'PBL OLD'!$PE$8:$PE$33</c:f>
              <c:numCache>
                <c:formatCode>0.000</c:formatCode>
                <c:ptCount val="26"/>
                <c:pt idx="16">
                  <c:v>1.1198503163561999</c:v>
                </c:pt>
                <c:pt idx="17">
                  <c:v>1.186926228920723</c:v>
                </c:pt>
                <c:pt idx="18">
                  <c:v>1.254002141485246</c:v>
                </c:pt>
                <c:pt idx="19">
                  <c:v>1.3210780540497691</c:v>
                </c:pt>
                <c:pt idx="20">
                  <c:v>1.3881539666142921</c:v>
                </c:pt>
                <c:pt idx="21">
                  <c:v>1.4552298791788152</c:v>
                </c:pt>
                <c:pt idx="22">
                  <c:v>1.5223057917433382</c:v>
                </c:pt>
                <c:pt idx="23">
                  <c:v>1.5893817043078613</c:v>
                </c:pt>
                <c:pt idx="24">
                  <c:v>1.6564576168723844</c:v>
                </c:pt>
                <c:pt idx="25">
                  <c:v>1.7235335294369074</c:v>
                </c:pt>
              </c:numCache>
            </c:numRef>
          </c:val>
          <c:smooth val="0"/>
          <c:extLst>
            <c:ext xmlns:c16="http://schemas.microsoft.com/office/drawing/2014/chart" uri="{C3380CC4-5D6E-409C-BE32-E72D297353CC}">
              <c16:uniqueId val="{00000006-D76A-4DE5-AE75-3F3F20064E7D}"/>
            </c:ext>
          </c:extLst>
        </c:ser>
        <c:dLbls>
          <c:showLegendKey val="0"/>
          <c:showVal val="0"/>
          <c:showCatName val="0"/>
          <c:showSerName val="0"/>
          <c:showPercent val="0"/>
          <c:showBubbleSize val="0"/>
        </c:dLbls>
        <c:smooth val="0"/>
        <c:axId val="1388952432"/>
        <c:axId val="1388953088"/>
        <c:extLst>
          <c:ext xmlns:c15="http://schemas.microsoft.com/office/drawing/2012/chart" uri="{02D57815-91ED-43cb-92C2-25804820EDAC}">
            <c15:filteredLineSeries>
              <c15:ser>
                <c:idx val="1"/>
                <c:order val="1"/>
                <c:tx>
                  <c:strRef>
                    <c:extLst>
                      <c:ext uri="{02D57815-91ED-43cb-92C2-25804820EDAC}">
                        <c15:formulaRef>
                          <c15:sqref>'PBL OLD'!$OT$6:$OT$7</c15:sqref>
                        </c15:formulaRef>
                      </c:ext>
                    </c:extLst>
                    <c:strCache>
                      <c:ptCount val="2"/>
                      <c:pt idx="0">
                        <c:v>Min</c:v>
                      </c:pt>
                    </c:strCache>
                  </c:strRef>
                </c:tx>
                <c:spPr>
                  <a:ln w="28575" cap="rnd">
                    <a:solidFill>
                      <a:schemeClr val="accent2"/>
                    </a:solidFill>
                    <a:round/>
                  </a:ln>
                  <a:effectLst/>
                </c:spPr>
                <c:marker>
                  <c:symbol val="none"/>
                </c:marker>
                <c:cat>
                  <c:numRef>
                    <c:extLst>
                      <c:ext uri="{02D57815-91ED-43cb-92C2-25804820EDAC}">
                        <c15:formulaRef>
                          <c15:sqref>'PBL OLD'!$OR$8:$OR$33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c:ext uri="{02D57815-91ED-43cb-92C2-25804820EDAC}">
                        <c15:formulaRef>
                          <c15:sqref>'PBL OLD'!$OT$8:$OT$33</c15:sqref>
                        </c15:formulaRef>
                      </c:ext>
                    </c:extLst>
                    <c:numCache>
                      <c:formatCode>0.000</c:formatCode>
                      <c:ptCount val="26"/>
                      <c:pt idx="16">
                        <c:v>1.1198503163561999</c:v>
                      </c:pt>
                      <c:pt idx="17">
                        <c:v>1.1496042884258166</c:v>
                      </c:pt>
                      <c:pt idx="18">
                        <c:v>1.1793582604954334</c:v>
                      </c:pt>
                      <c:pt idx="19">
                        <c:v>1.2091122325650501</c:v>
                      </c:pt>
                      <c:pt idx="20">
                        <c:v>1.2388662046346668</c:v>
                      </c:pt>
                      <c:pt idx="21">
                        <c:v>1.2686201767042835</c:v>
                      </c:pt>
                      <c:pt idx="22">
                        <c:v>1.2983741487739002</c:v>
                      </c:pt>
                      <c:pt idx="23">
                        <c:v>1.3281281208435169</c:v>
                      </c:pt>
                      <c:pt idx="24">
                        <c:v>1.3578820929131337</c:v>
                      </c:pt>
                      <c:pt idx="25">
                        <c:v>1.3876360649827504</c:v>
                      </c:pt>
                    </c:numCache>
                  </c:numRef>
                </c:val>
                <c:smooth val="0"/>
                <c:extLst>
                  <c:ext xmlns:c16="http://schemas.microsoft.com/office/drawing/2014/chart" uri="{C3380CC4-5D6E-409C-BE32-E72D297353CC}">
                    <c16:uniqueId val="{00000007-D76A-4DE5-AE75-3F3F20064E7D}"/>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'PBL OLD'!$OU$6:$OU$7</c15:sqref>
                        </c15:formulaRef>
                      </c:ext>
                    </c:extLst>
                    <c:strCache>
                      <c:ptCount val="2"/>
                      <c:pt idx="0">
                        <c:v>1st Percentile</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'PBL OLD'!$OR$8:$OR$33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xmlns:c15="http://schemas.microsoft.com/office/drawing/2012/chart">
                      <c:ext xmlns:c15="http://schemas.microsoft.com/office/drawing/2012/chart" uri="{02D57815-91ED-43cb-92C2-25804820EDAC}">
                        <c15:formulaRef>
                          <c15:sqref>'PBL OLD'!$OU$8:$OU$33</c15:sqref>
                        </c15:formulaRef>
                      </c:ext>
                    </c:extLst>
                    <c:numCache>
                      <c:formatCode>0.000</c:formatCode>
                      <c:ptCount val="26"/>
                      <c:pt idx="16">
                        <c:v>1.1198503163561999</c:v>
                      </c:pt>
                      <c:pt idx="17">
                        <c:v>1.1539092264661499</c:v>
                      </c:pt>
                      <c:pt idx="18">
                        <c:v>1.1879681365760999</c:v>
                      </c:pt>
                      <c:pt idx="19">
                        <c:v>1.2220270466860499</c:v>
                      </c:pt>
                      <c:pt idx="20">
                        <c:v>1.2560859567959999</c:v>
                      </c:pt>
                      <c:pt idx="21">
                        <c:v>1.2901448669059499</c:v>
                      </c:pt>
                      <c:pt idx="22">
                        <c:v>1.3242037770158999</c:v>
                      </c:pt>
                      <c:pt idx="23">
                        <c:v>1.3582626871258499</c:v>
                      </c:pt>
                      <c:pt idx="24">
                        <c:v>1.3923215972357998</c:v>
                      </c:pt>
                      <c:pt idx="25">
                        <c:v>1.4263805073457498</c:v>
                      </c:pt>
                    </c:numCache>
                  </c:numRef>
                </c:val>
                <c:smooth val="0"/>
                <c:extLst xmlns:c15="http://schemas.microsoft.com/office/drawing/2012/chart">
                  <c:ext xmlns:c16="http://schemas.microsoft.com/office/drawing/2014/chart" uri="{C3380CC4-5D6E-409C-BE32-E72D297353CC}">
                    <c16:uniqueId val="{00000008-D76A-4DE5-AE75-3F3F20064E7D}"/>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'PBL OLD'!$OW$6:$OW$7</c15:sqref>
                        </c15:formulaRef>
                      </c:ext>
                    </c:extLst>
                    <c:strCache>
                      <c:ptCount val="2"/>
                      <c:pt idx="0">
                        <c:v>10th Percentile</c:v>
                      </c:pt>
                    </c:strCache>
                  </c:strRef>
                </c:tx>
                <c:spPr>
                  <a:ln w="28575" cap="rnd">
                    <a:solidFill>
                      <a:schemeClr val="accent6"/>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'PBL OLD'!$OR$8:$OR$33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xmlns:c15="http://schemas.microsoft.com/office/drawing/2012/chart">
                      <c:ext xmlns:c15="http://schemas.microsoft.com/office/drawing/2012/chart" uri="{02D57815-91ED-43cb-92C2-25804820EDAC}">
                        <c15:formulaRef>
                          <c15:sqref>'PBL OLD'!$OW$8:$OW$33</c15:sqref>
                        </c15:formulaRef>
                      </c:ext>
                    </c:extLst>
                    <c:numCache>
                      <c:formatCode>0.000</c:formatCode>
                      <c:ptCount val="26"/>
                      <c:pt idx="16">
                        <c:v>1.1198503163561999</c:v>
                      </c:pt>
                      <c:pt idx="17">
                        <c:v>1.1610290348638665</c:v>
                      </c:pt>
                      <c:pt idx="18">
                        <c:v>1.2022077533715332</c:v>
                      </c:pt>
                      <c:pt idx="19">
                        <c:v>1.2433864718791998</c:v>
                      </c:pt>
                      <c:pt idx="20">
                        <c:v>1.2845651903868665</c:v>
                      </c:pt>
                      <c:pt idx="21">
                        <c:v>1.3257439088945331</c:v>
                      </c:pt>
                      <c:pt idx="22">
                        <c:v>1.3669226274021997</c:v>
                      </c:pt>
                      <c:pt idx="23">
                        <c:v>1.4081013459098664</c:v>
                      </c:pt>
                      <c:pt idx="24">
                        <c:v>1.449280064417533</c:v>
                      </c:pt>
                      <c:pt idx="25">
                        <c:v>1.4904587829251996</c:v>
                      </c:pt>
                    </c:numCache>
                  </c:numRef>
                </c:val>
                <c:smooth val="0"/>
                <c:extLst xmlns:c15="http://schemas.microsoft.com/office/drawing/2012/chart">
                  <c:ext xmlns:c16="http://schemas.microsoft.com/office/drawing/2014/chart" uri="{C3380CC4-5D6E-409C-BE32-E72D297353CC}">
                    <c16:uniqueId val="{00000009-D76A-4DE5-AE75-3F3F20064E7D}"/>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'PBL OLD'!$PA$6:$PA$7</c15:sqref>
                        </c15:formulaRef>
                      </c:ext>
                    </c:extLst>
                    <c:strCache>
                      <c:ptCount val="2"/>
                      <c:pt idx="0">
                        <c:v>90th Percentile</c:v>
                      </c:pt>
                    </c:strCache>
                  </c:strRef>
                </c:tx>
                <c:spPr>
                  <a:ln w="28575" cap="rnd">
                    <a:solidFill>
                      <a:schemeClr val="accent1"/>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'PBL OLD'!$OR$8:$OR$33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xmlns:c15="http://schemas.microsoft.com/office/drawing/2012/chart">
                      <c:ext xmlns:c15="http://schemas.microsoft.com/office/drawing/2012/chart" uri="{02D57815-91ED-43cb-92C2-25804820EDAC}">
                        <c15:formulaRef>
                          <c15:sqref>'PBL OLD'!$PA$8:$PA$33</c15:sqref>
                        </c15:formulaRef>
                      </c:ext>
                    </c:extLst>
                    <c:numCache>
                      <c:formatCode>0.000</c:formatCode>
                      <c:ptCount val="26"/>
                      <c:pt idx="16">
                        <c:v>1.1198503163561999</c:v>
                      </c:pt>
                      <c:pt idx="17">
                        <c:v>1.2093080850687832</c:v>
                      </c:pt>
                      <c:pt idx="18">
                        <c:v>1.2987658537813664</c:v>
                      </c:pt>
                      <c:pt idx="19">
                        <c:v>1.3882236224939497</c:v>
                      </c:pt>
                      <c:pt idx="20">
                        <c:v>1.477681391206533</c:v>
                      </c:pt>
                      <c:pt idx="21">
                        <c:v>1.5671391599191162</c:v>
                      </c:pt>
                      <c:pt idx="22">
                        <c:v>1.6565969286316995</c:v>
                      </c:pt>
                      <c:pt idx="23">
                        <c:v>1.7460546973442828</c:v>
                      </c:pt>
                      <c:pt idx="24">
                        <c:v>1.835512466056866</c:v>
                      </c:pt>
                      <c:pt idx="25">
                        <c:v>1.9249702347694493</c:v>
                      </c:pt>
                    </c:numCache>
                  </c:numRef>
                </c:val>
                <c:smooth val="0"/>
                <c:extLst xmlns:c15="http://schemas.microsoft.com/office/drawing/2012/chart">
                  <c:ext xmlns:c16="http://schemas.microsoft.com/office/drawing/2014/chart" uri="{C3380CC4-5D6E-409C-BE32-E72D297353CC}">
                    <c16:uniqueId val="{0000000A-D76A-4DE5-AE75-3F3F20064E7D}"/>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'PBL OLD'!$PC$6:$PC$7</c15:sqref>
                        </c15:formulaRef>
                      </c:ext>
                    </c:extLst>
                    <c:strCache>
                      <c:ptCount val="2"/>
                      <c:pt idx="0">
                        <c:v>99th Percentile</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'PBL OLD'!$OR$8:$OR$33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xmlns:c15="http://schemas.microsoft.com/office/drawing/2012/chart">
                      <c:ext xmlns:c15="http://schemas.microsoft.com/office/drawing/2012/chart" uri="{02D57815-91ED-43cb-92C2-25804820EDAC}">
                        <c15:formulaRef>
                          <c15:sqref>'PBL OLD'!$PC$8:$PC$33</c15:sqref>
                        </c15:formulaRef>
                      </c:ext>
                    </c:extLst>
                    <c:numCache>
                      <c:formatCode>0.000</c:formatCode>
                      <c:ptCount val="26"/>
                      <c:pt idx="16">
                        <c:v>1.1198503163561999</c:v>
                      </c:pt>
                      <c:pt idx="17">
                        <c:v>1.2492459605879611</c:v>
                      </c:pt>
                      <c:pt idx="18">
                        <c:v>1.3786416048197223</c:v>
                      </c:pt>
                      <c:pt idx="19">
                        <c:v>1.5080372490514835</c:v>
                      </c:pt>
                      <c:pt idx="20">
                        <c:v>1.6374328932832447</c:v>
                      </c:pt>
                      <c:pt idx="21">
                        <c:v>1.7668285375150059</c:v>
                      </c:pt>
                      <c:pt idx="22">
                        <c:v>1.8962241817467671</c:v>
                      </c:pt>
                      <c:pt idx="23">
                        <c:v>2.0256198259785281</c:v>
                      </c:pt>
                      <c:pt idx="24">
                        <c:v>2.1550154702102891</c:v>
                      </c:pt>
                      <c:pt idx="25">
                        <c:v>2.28441111444205</c:v>
                      </c:pt>
                    </c:numCache>
                  </c:numRef>
                </c:val>
                <c:smooth val="0"/>
                <c:extLst xmlns:c15="http://schemas.microsoft.com/office/drawing/2012/chart">
                  <c:ext xmlns:c16="http://schemas.microsoft.com/office/drawing/2014/chart" uri="{C3380CC4-5D6E-409C-BE32-E72D297353CC}">
                    <c16:uniqueId val="{0000000B-D76A-4DE5-AE75-3F3F20064E7D}"/>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'PBL OLD'!$PD$6:$PD$7</c15:sqref>
                        </c15:formulaRef>
                      </c:ext>
                    </c:extLst>
                    <c:strCache>
                      <c:ptCount val="2"/>
                      <c:pt idx="0">
                        <c:v>Max</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'PBL OLD'!$OR$8:$OR$33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xmlns:c15="http://schemas.microsoft.com/office/drawing/2012/chart">
                      <c:ext xmlns:c15="http://schemas.microsoft.com/office/drawing/2012/chart" uri="{02D57815-91ED-43cb-92C2-25804820EDAC}">
                        <c15:formulaRef>
                          <c15:sqref>'PBL OLD'!$PD$8:$PD$33</c15:sqref>
                        </c15:formulaRef>
                      </c:ext>
                    </c:extLst>
                    <c:numCache>
                      <c:formatCode>0.000</c:formatCode>
                      <c:ptCount val="26"/>
                      <c:pt idx="16">
                        <c:v>1.1198503163561999</c:v>
                      </c:pt>
                      <c:pt idx="17">
                        <c:v>1.37132563183055</c:v>
                      </c:pt>
                      <c:pt idx="18">
                        <c:v>1.6228009473049001</c:v>
                      </c:pt>
                      <c:pt idx="19">
                        <c:v>1.8742762627792502</c:v>
                      </c:pt>
                      <c:pt idx="20">
                        <c:v>2.1257515782536003</c:v>
                      </c:pt>
                      <c:pt idx="21">
                        <c:v>2.3772268937279502</c:v>
                      </c:pt>
                      <c:pt idx="22">
                        <c:v>2.6287022092023</c:v>
                      </c:pt>
                      <c:pt idx="23">
                        <c:v>2.8801775246766499</c:v>
                      </c:pt>
                      <c:pt idx="24">
                        <c:v>3.1316528401509998</c:v>
                      </c:pt>
                      <c:pt idx="25">
                        <c:v>3.3831281556253496</c:v>
                      </c:pt>
                    </c:numCache>
                  </c:numRef>
                </c:val>
                <c:smooth val="0"/>
                <c:extLst xmlns:c15="http://schemas.microsoft.com/office/drawing/2012/chart">
                  <c:ext xmlns:c16="http://schemas.microsoft.com/office/drawing/2014/chart" uri="{C3380CC4-5D6E-409C-BE32-E72D297353CC}">
                    <c16:uniqueId val="{0000000C-D76A-4DE5-AE75-3F3F20064E7D}"/>
                  </c:ext>
                </c:extLst>
              </c15:ser>
            </c15:filteredLineSeries>
          </c:ext>
        </c:extLst>
      </c:lineChart>
      <c:dateAx>
        <c:axId val="1388952432"/>
        <c:scaling>
          <c:orientation val="minMax"/>
        </c:scaling>
        <c:delete val="0"/>
        <c:axPos val="b"/>
        <c:numFmt formatCode="d\-mmm\-yy_);\(###0\);&quot;-  &quot;;&quot; &quot;@&quot; &quot;"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3088"/>
        <c:crosses val="autoZero"/>
        <c:auto val="1"/>
        <c:lblOffset val="100"/>
        <c:baseTimeUnit val="days"/>
        <c:majorUnit val="3"/>
        <c:majorTimeUnit val="months"/>
      </c:dateAx>
      <c:valAx>
        <c:axId val="1388953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Ticket Sales ($b)</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'PBL OLD'!$OS$6:$OS$7</c:f>
              <c:strCache>
                <c:ptCount val="2"/>
                <c:pt idx="0">
                  <c:v>Actual</c:v>
                </c:pt>
              </c:strCache>
            </c:strRef>
          </c:tx>
          <c:spPr>
            <a:ln w="28575" cap="rnd">
              <a:solidFill>
                <a:schemeClr val="tx2"/>
              </a:solidFill>
              <a:round/>
            </a:ln>
            <a:effectLst/>
          </c:spPr>
          <c:marker>
            <c:symbol val="none"/>
          </c:marker>
          <c:cat>
            <c:numRef>
              <c:f>'PBL OLD'!$OR$8:$OR$33</c:f>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f>'PBL OLD'!$OS$8:$OS$33</c:f>
              <c:numCache>
                <c:formatCode>0.000</c:formatCode>
                <c:ptCount val="26"/>
                <c:pt idx="0">
                  <c:v>9.3039993486000006E-2</c:v>
                </c:pt>
                <c:pt idx="1">
                  <c:v>0.1167146747448</c:v>
                </c:pt>
                <c:pt idx="2">
                  <c:v>0.1433834649456</c:v>
                </c:pt>
                <c:pt idx="3">
                  <c:v>0.18472835378580002</c:v>
                </c:pt>
                <c:pt idx="4">
                  <c:v>0.25436520983280003</c:v>
                </c:pt>
                <c:pt idx="5">
                  <c:v>0.35031266808119998</c:v>
                </c:pt>
                <c:pt idx="6">
                  <c:v>0.49196709316920001</c:v>
                </c:pt>
                <c:pt idx="7">
                  <c:v>0.7935265548210001</c:v>
                </c:pt>
                <c:pt idx="8">
                  <c:v>0.81782672377560006</c:v>
                </c:pt>
                <c:pt idx="9">
                  <c:v>0.84884902365120007</c:v>
                </c:pt>
                <c:pt idx="10">
                  <c:v>0.90128596903620006</c:v>
                </c:pt>
                <c:pt idx="11">
                  <c:v>0.92519687980500009</c:v>
                </c:pt>
                <c:pt idx="12">
                  <c:v>0.95970440577000005</c:v>
                </c:pt>
                <c:pt idx="13">
                  <c:v>1.0136447317722002</c:v>
                </c:pt>
                <c:pt idx="14">
                  <c:v>1.0389120803952001</c:v>
                </c:pt>
                <c:pt idx="15">
                  <c:v>1.0683752655048</c:v>
                </c:pt>
                <c:pt idx="16">
                  <c:v>1.1198503163561999</c:v>
                </c:pt>
              </c:numCache>
            </c:numRef>
          </c:val>
          <c:smooth val="0"/>
          <c:extLst>
            <c:ext xmlns:c16="http://schemas.microsoft.com/office/drawing/2014/chart" uri="{C3380CC4-5D6E-409C-BE32-E72D297353CC}">
              <c16:uniqueId val="{00000000-686C-417D-A7A4-8EC7CFA02191}"/>
            </c:ext>
          </c:extLst>
        </c:ser>
        <c:ser>
          <c:idx val="4"/>
          <c:order val="4"/>
          <c:tx>
            <c:strRef>
              <c:f>'PBL OLD'!$OW$6:$OW$7</c:f>
              <c:strCache>
                <c:ptCount val="2"/>
                <c:pt idx="0">
                  <c:v>10th Percentile</c:v>
                </c:pt>
              </c:strCache>
            </c:strRef>
          </c:tx>
          <c:spPr>
            <a:ln w="28575" cap="rnd">
              <a:solidFill>
                <a:schemeClr val="accent6"/>
              </a:solidFill>
              <a:prstDash val="sysDot"/>
              <a:round/>
            </a:ln>
            <a:effectLst/>
          </c:spPr>
          <c:marker>
            <c:symbol val="none"/>
          </c:marker>
          <c:cat>
            <c:numRef>
              <c:f>'PBL OLD'!$OR$8:$OR$33</c:f>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f>'PBL OLD'!$OW$8:$OW$33</c:f>
              <c:numCache>
                <c:formatCode>0.000</c:formatCode>
                <c:ptCount val="26"/>
                <c:pt idx="16">
                  <c:v>1.1198503163561999</c:v>
                </c:pt>
                <c:pt idx="17">
                  <c:v>1.1610290348638665</c:v>
                </c:pt>
                <c:pt idx="18">
                  <c:v>1.2022077533715332</c:v>
                </c:pt>
                <c:pt idx="19">
                  <c:v>1.2433864718791998</c:v>
                </c:pt>
                <c:pt idx="20">
                  <c:v>1.2845651903868665</c:v>
                </c:pt>
                <c:pt idx="21">
                  <c:v>1.3257439088945331</c:v>
                </c:pt>
                <c:pt idx="22">
                  <c:v>1.3669226274021997</c:v>
                </c:pt>
                <c:pt idx="23">
                  <c:v>1.4081013459098664</c:v>
                </c:pt>
                <c:pt idx="24">
                  <c:v>1.449280064417533</c:v>
                </c:pt>
                <c:pt idx="25">
                  <c:v>1.4904587829251996</c:v>
                </c:pt>
              </c:numCache>
            </c:numRef>
          </c:val>
          <c:smooth val="0"/>
          <c:extLst xmlns:c15="http://schemas.microsoft.com/office/drawing/2012/chart">
            <c:ext xmlns:c16="http://schemas.microsoft.com/office/drawing/2014/chart" uri="{C3380CC4-5D6E-409C-BE32-E72D297353CC}">
              <c16:uniqueId val="{00000001-686C-417D-A7A4-8EC7CFA02191}"/>
            </c:ext>
          </c:extLst>
        </c:ser>
        <c:ser>
          <c:idx val="6"/>
          <c:order val="6"/>
          <c:tx>
            <c:strRef>
              <c:f>'PBL OLD'!$OY$6:$OY$7</c:f>
              <c:strCache>
                <c:ptCount val="2"/>
                <c:pt idx="0">
                  <c:v>50th Percentile</c:v>
                </c:pt>
              </c:strCache>
            </c:strRef>
          </c:tx>
          <c:spPr>
            <a:ln w="28575" cap="rnd">
              <a:solidFill>
                <a:schemeClr val="bg2"/>
              </a:solidFill>
              <a:prstDash val="sysDot"/>
              <a:round/>
            </a:ln>
            <a:effectLst/>
          </c:spPr>
          <c:marker>
            <c:symbol val="none"/>
          </c:marker>
          <c:cat>
            <c:numRef>
              <c:f>'PBL OLD'!$OR$8:$OR$33</c:f>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f>'PBL OLD'!$OY$8:$OY$33</c:f>
              <c:numCache>
                <c:formatCode>0.000</c:formatCode>
                <c:ptCount val="26"/>
                <c:pt idx="16">
                  <c:v>1.1198503163561999</c:v>
                </c:pt>
                <c:pt idx="17">
                  <c:v>1.1741059798372666</c:v>
                </c:pt>
                <c:pt idx="18">
                  <c:v>1.2283616433183333</c:v>
                </c:pt>
                <c:pt idx="19">
                  <c:v>1.2826173067994</c:v>
                </c:pt>
                <c:pt idx="20">
                  <c:v>1.3368729702804667</c:v>
                </c:pt>
                <c:pt idx="21">
                  <c:v>1.3911286337615334</c:v>
                </c:pt>
                <c:pt idx="22">
                  <c:v>1.4453842972426001</c:v>
                </c:pt>
                <c:pt idx="23">
                  <c:v>1.4996399607236668</c:v>
                </c:pt>
                <c:pt idx="24">
                  <c:v>1.5538956242047335</c:v>
                </c:pt>
                <c:pt idx="25">
                  <c:v>1.6081512876858002</c:v>
                </c:pt>
              </c:numCache>
            </c:numRef>
          </c:val>
          <c:smooth val="0"/>
          <c:extLst xmlns:c15="http://schemas.microsoft.com/office/drawing/2012/chart">
            <c:ext xmlns:c16="http://schemas.microsoft.com/office/drawing/2014/chart" uri="{C3380CC4-5D6E-409C-BE32-E72D297353CC}">
              <c16:uniqueId val="{00000002-686C-417D-A7A4-8EC7CFA02191}"/>
            </c:ext>
          </c:extLst>
        </c:ser>
        <c:ser>
          <c:idx val="8"/>
          <c:order val="8"/>
          <c:tx>
            <c:strRef>
              <c:f>'PBL OLD'!$PA$6:$PA$7</c:f>
              <c:strCache>
                <c:ptCount val="2"/>
                <c:pt idx="0">
                  <c:v>90th Percentile</c:v>
                </c:pt>
              </c:strCache>
            </c:strRef>
          </c:tx>
          <c:spPr>
            <a:ln w="28575" cap="rnd">
              <a:solidFill>
                <a:schemeClr val="accent1"/>
              </a:solidFill>
              <a:prstDash val="sysDot"/>
              <a:round/>
            </a:ln>
            <a:effectLst/>
          </c:spPr>
          <c:marker>
            <c:symbol val="none"/>
          </c:marker>
          <c:cat>
            <c:numRef>
              <c:f>'PBL OLD'!$OR$8:$OR$33</c:f>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f>'PBL OLD'!$PA$8:$PA$33</c:f>
              <c:numCache>
                <c:formatCode>0.000</c:formatCode>
                <c:ptCount val="26"/>
                <c:pt idx="16">
                  <c:v>1.1198503163561999</c:v>
                </c:pt>
                <c:pt idx="17">
                  <c:v>1.2093080850687832</c:v>
                </c:pt>
                <c:pt idx="18">
                  <c:v>1.2987658537813664</c:v>
                </c:pt>
                <c:pt idx="19">
                  <c:v>1.3882236224939497</c:v>
                </c:pt>
                <c:pt idx="20">
                  <c:v>1.477681391206533</c:v>
                </c:pt>
                <c:pt idx="21">
                  <c:v>1.5671391599191162</c:v>
                </c:pt>
                <c:pt idx="22">
                  <c:v>1.6565969286316995</c:v>
                </c:pt>
                <c:pt idx="23">
                  <c:v>1.7460546973442828</c:v>
                </c:pt>
                <c:pt idx="24">
                  <c:v>1.835512466056866</c:v>
                </c:pt>
                <c:pt idx="25">
                  <c:v>1.9249702347694493</c:v>
                </c:pt>
              </c:numCache>
            </c:numRef>
          </c:val>
          <c:smooth val="0"/>
          <c:extLst xmlns:c15="http://schemas.microsoft.com/office/drawing/2012/chart">
            <c:ext xmlns:c16="http://schemas.microsoft.com/office/drawing/2014/chart" uri="{C3380CC4-5D6E-409C-BE32-E72D297353CC}">
              <c16:uniqueId val="{00000003-686C-417D-A7A4-8EC7CFA02191}"/>
            </c:ext>
          </c:extLst>
        </c:ser>
        <c:ser>
          <c:idx val="12"/>
          <c:order val="12"/>
          <c:tx>
            <c:strRef>
              <c:f>'PBL OLD'!$PE$6:$PE$7</c:f>
              <c:strCache>
                <c:ptCount val="2"/>
                <c:pt idx="0">
                  <c:v>HY Average</c:v>
                </c:pt>
              </c:strCache>
            </c:strRef>
          </c:tx>
          <c:spPr>
            <a:ln w="28575" cap="rnd">
              <a:solidFill>
                <a:schemeClr val="accent2"/>
              </a:solidFill>
              <a:prstDash val="dash"/>
              <a:round/>
            </a:ln>
            <a:effectLst/>
          </c:spPr>
          <c:marker>
            <c:symbol val="none"/>
          </c:marker>
          <c:cat>
            <c:numRef>
              <c:f>'PBL OLD'!$OR$8:$OR$33</c:f>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f>'PBL OLD'!$PE$8:$PE$33</c:f>
              <c:numCache>
                <c:formatCode>0.000</c:formatCode>
                <c:ptCount val="26"/>
                <c:pt idx="16">
                  <c:v>1.1198503163561999</c:v>
                </c:pt>
                <c:pt idx="17">
                  <c:v>1.186926228920723</c:v>
                </c:pt>
                <c:pt idx="18">
                  <c:v>1.254002141485246</c:v>
                </c:pt>
                <c:pt idx="19">
                  <c:v>1.3210780540497691</c:v>
                </c:pt>
                <c:pt idx="20">
                  <c:v>1.3881539666142921</c:v>
                </c:pt>
                <c:pt idx="21">
                  <c:v>1.4552298791788152</c:v>
                </c:pt>
                <c:pt idx="22">
                  <c:v>1.5223057917433382</c:v>
                </c:pt>
                <c:pt idx="23">
                  <c:v>1.5893817043078613</c:v>
                </c:pt>
                <c:pt idx="24">
                  <c:v>1.6564576168723844</c:v>
                </c:pt>
                <c:pt idx="25">
                  <c:v>1.7235335294369074</c:v>
                </c:pt>
              </c:numCache>
            </c:numRef>
          </c:val>
          <c:smooth val="0"/>
          <c:extLst>
            <c:ext xmlns:c16="http://schemas.microsoft.com/office/drawing/2014/chart" uri="{C3380CC4-5D6E-409C-BE32-E72D297353CC}">
              <c16:uniqueId val="{00000004-686C-417D-A7A4-8EC7CFA02191}"/>
            </c:ext>
          </c:extLst>
        </c:ser>
        <c:dLbls>
          <c:showLegendKey val="0"/>
          <c:showVal val="0"/>
          <c:showCatName val="0"/>
          <c:showSerName val="0"/>
          <c:showPercent val="0"/>
          <c:showBubbleSize val="0"/>
        </c:dLbls>
        <c:smooth val="0"/>
        <c:axId val="1388952432"/>
        <c:axId val="1388953088"/>
        <c:extLst>
          <c:ext xmlns:c15="http://schemas.microsoft.com/office/drawing/2012/chart" uri="{02D57815-91ED-43cb-92C2-25804820EDAC}">
            <c15:filteredLineSeries>
              <c15:ser>
                <c:idx val="1"/>
                <c:order val="1"/>
                <c:tx>
                  <c:strRef>
                    <c:extLst>
                      <c:ext uri="{02D57815-91ED-43cb-92C2-25804820EDAC}">
                        <c15:formulaRef>
                          <c15:sqref>'PBL OLD'!$OT$6:$OT$7</c15:sqref>
                        </c15:formulaRef>
                      </c:ext>
                    </c:extLst>
                    <c:strCache>
                      <c:ptCount val="2"/>
                      <c:pt idx="0">
                        <c:v>Min</c:v>
                      </c:pt>
                    </c:strCache>
                  </c:strRef>
                </c:tx>
                <c:spPr>
                  <a:ln w="28575" cap="rnd">
                    <a:solidFill>
                      <a:schemeClr val="accent2"/>
                    </a:solidFill>
                    <a:round/>
                  </a:ln>
                  <a:effectLst/>
                </c:spPr>
                <c:marker>
                  <c:symbol val="none"/>
                </c:marker>
                <c:cat>
                  <c:numRef>
                    <c:extLst>
                      <c:ext uri="{02D57815-91ED-43cb-92C2-25804820EDAC}">
                        <c15:formulaRef>
                          <c15:sqref>'PBL OLD'!$OR$8:$OR$33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c:ext uri="{02D57815-91ED-43cb-92C2-25804820EDAC}">
                        <c15:formulaRef>
                          <c15:sqref>'PBL OLD'!$OT$8:$OT$33</c15:sqref>
                        </c15:formulaRef>
                      </c:ext>
                    </c:extLst>
                    <c:numCache>
                      <c:formatCode>0.000</c:formatCode>
                      <c:ptCount val="26"/>
                      <c:pt idx="16">
                        <c:v>1.1198503163561999</c:v>
                      </c:pt>
                      <c:pt idx="17">
                        <c:v>1.1496042884258166</c:v>
                      </c:pt>
                      <c:pt idx="18">
                        <c:v>1.1793582604954334</c:v>
                      </c:pt>
                      <c:pt idx="19">
                        <c:v>1.2091122325650501</c:v>
                      </c:pt>
                      <c:pt idx="20">
                        <c:v>1.2388662046346668</c:v>
                      </c:pt>
                      <c:pt idx="21">
                        <c:v>1.2686201767042835</c:v>
                      </c:pt>
                      <c:pt idx="22">
                        <c:v>1.2983741487739002</c:v>
                      </c:pt>
                      <c:pt idx="23">
                        <c:v>1.3281281208435169</c:v>
                      </c:pt>
                      <c:pt idx="24">
                        <c:v>1.3578820929131337</c:v>
                      </c:pt>
                      <c:pt idx="25">
                        <c:v>1.3876360649827504</c:v>
                      </c:pt>
                    </c:numCache>
                  </c:numRef>
                </c:val>
                <c:smooth val="0"/>
                <c:extLst>
                  <c:ext xmlns:c16="http://schemas.microsoft.com/office/drawing/2014/chart" uri="{C3380CC4-5D6E-409C-BE32-E72D297353CC}">
                    <c16:uniqueId val="{00000005-686C-417D-A7A4-8EC7CFA02191}"/>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'PBL OLD'!$OU$6:$OU$7</c15:sqref>
                        </c15:formulaRef>
                      </c:ext>
                    </c:extLst>
                    <c:strCache>
                      <c:ptCount val="2"/>
                      <c:pt idx="0">
                        <c:v>1st Percentile</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'PBL OLD'!$OR$8:$OR$33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xmlns:c15="http://schemas.microsoft.com/office/drawing/2012/chart">
                      <c:ext xmlns:c15="http://schemas.microsoft.com/office/drawing/2012/chart" uri="{02D57815-91ED-43cb-92C2-25804820EDAC}">
                        <c15:formulaRef>
                          <c15:sqref>'PBL OLD'!$OU$8:$OU$33</c15:sqref>
                        </c15:formulaRef>
                      </c:ext>
                    </c:extLst>
                    <c:numCache>
                      <c:formatCode>0.000</c:formatCode>
                      <c:ptCount val="26"/>
                      <c:pt idx="16">
                        <c:v>1.1198503163561999</c:v>
                      </c:pt>
                      <c:pt idx="17">
                        <c:v>1.1539092264661499</c:v>
                      </c:pt>
                      <c:pt idx="18">
                        <c:v>1.1879681365760999</c:v>
                      </c:pt>
                      <c:pt idx="19">
                        <c:v>1.2220270466860499</c:v>
                      </c:pt>
                      <c:pt idx="20">
                        <c:v>1.2560859567959999</c:v>
                      </c:pt>
                      <c:pt idx="21">
                        <c:v>1.2901448669059499</c:v>
                      </c:pt>
                      <c:pt idx="22">
                        <c:v>1.3242037770158999</c:v>
                      </c:pt>
                      <c:pt idx="23">
                        <c:v>1.3582626871258499</c:v>
                      </c:pt>
                      <c:pt idx="24">
                        <c:v>1.3923215972357998</c:v>
                      </c:pt>
                      <c:pt idx="25">
                        <c:v>1.4263805073457498</c:v>
                      </c:pt>
                    </c:numCache>
                  </c:numRef>
                </c:val>
                <c:smooth val="0"/>
                <c:extLst xmlns:c15="http://schemas.microsoft.com/office/drawing/2012/chart">
                  <c:ext xmlns:c16="http://schemas.microsoft.com/office/drawing/2014/chart" uri="{C3380CC4-5D6E-409C-BE32-E72D297353CC}">
                    <c16:uniqueId val="{00000006-686C-417D-A7A4-8EC7CFA02191}"/>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'PBL OLD'!$OV$6:$OV$7</c15:sqref>
                        </c15:formulaRef>
                      </c:ext>
                    </c:extLst>
                    <c:strCache>
                      <c:ptCount val="2"/>
                      <c:pt idx="0">
                        <c:v>5th Percentile</c:v>
                      </c:pt>
                    </c:strCache>
                  </c:strRef>
                </c:tx>
                <c:spPr>
                  <a:ln w="28575" cap="rnd">
                    <a:solidFill>
                      <a:schemeClr val="accent6"/>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'PBL OLD'!$OR$8:$OR$33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xmlns:c15="http://schemas.microsoft.com/office/drawing/2012/chart">
                      <c:ext xmlns:c15="http://schemas.microsoft.com/office/drawing/2012/chart" uri="{02D57815-91ED-43cb-92C2-25804820EDAC}">
                        <c15:formulaRef>
                          <c15:sqref>'PBL OLD'!$OV$8:$OV$33</c15:sqref>
                        </c15:formulaRef>
                      </c:ext>
                    </c:extLst>
                    <c:numCache>
                      <c:formatCode>0.000</c:formatCode>
                      <c:ptCount val="26"/>
                      <c:pt idx="16">
                        <c:v>1.1198503163561999</c:v>
                      </c:pt>
                      <c:pt idx="17">
                        <c:v>1.1567800467375167</c:v>
                      </c:pt>
                      <c:pt idx="18">
                        <c:v>1.1937097771188334</c:v>
                      </c:pt>
                      <c:pt idx="19">
                        <c:v>1.2306395075001502</c:v>
                      </c:pt>
                      <c:pt idx="20">
                        <c:v>1.2675692378814669</c:v>
                      </c:pt>
                      <c:pt idx="21">
                        <c:v>1.3044989682627837</c:v>
                      </c:pt>
                      <c:pt idx="22">
                        <c:v>1.3414286986441004</c:v>
                      </c:pt>
                      <c:pt idx="23">
                        <c:v>1.3783584290254172</c:v>
                      </c:pt>
                      <c:pt idx="24">
                        <c:v>1.4152881594067339</c:v>
                      </c:pt>
                      <c:pt idx="25">
                        <c:v>1.4522178897880507</c:v>
                      </c:pt>
                    </c:numCache>
                  </c:numRef>
                </c:val>
                <c:smooth val="0"/>
                <c:extLst xmlns:c15="http://schemas.microsoft.com/office/drawing/2012/chart">
                  <c:ext xmlns:c16="http://schemas.microsoft.com/office/drawing/2014/chart" uri="{C3380CC4-5D6E-409C-BE32-E72D297353CC}">
                    <c16:uniqueId val="{00000007-686C-417D-A7A4-8EC7CFA02191}"/>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'PBL OLD'!$OX$6:$OX$7</c15:sqref>
                        </c15:formulaRef>
                      </c:ext>
                    </c:extLst>
                    <c:strCache>
                      <c:ptCount val="2"/>
                      <c:pt idx="0">
                        <c:v>25th Percentile</c:v>
                      </c:pt>
                    </c:strCache>
                  </c:strRef>
                </c:tx>
                <c:spPr>
                  <a:ln w="28575" cap="rnd">
                    <a:solidFill>
                      <a:schemeClr val="accent5"/>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'PBL OLD'!$OR$8:$OR$33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xmlns:c15="http://schemas.microsoft.com/office/drawing/2012/chart">
                      <c:ext xmlns:c15="http://schemas.microsoft.com/office/drawing/2012/chart" uri="{02D57815-91ED-43cb-92C2-25804820EDAC}">
                        <c15:formulaRef>
                          <c15:sqref>'PBL OLD'!$OX$8:$OX$33</c15:sqref>
                        </c15:formulaRef>
                      </c:ext>
                    </c:extLst>
                    <c:numCache>
                      <c:formatCode>0.000</c:formatCode>
                      <c:ptCount val="26"/>
                      <c:pt idx="16">
                        <c:v>1.1198503163561999</c:v>
                      </c:pt>
                      <c:pt idx="17">
                        <c:v>1.1661040277215999</c:v>
                      </c:pt>
                      <c:pt idx="18">
                        <c:v>1.212357739087</c:v>
                      </c:pt>
                      <c:pt idx="19">
                        <c:v>1.2586114504524</c:v>
                      </c:pt>
                      <c:pt idx="20">
                        <c:v>1.3048651618178</c:v>
                      </c:pt>
                      <c:pt idx="21">
                        <c:v>1.3511188731832</c:v>
                      </c:pt>
                      <c:pt idx="22">
                        <c:v>1.3973725845486</c:v>
                      </c:pt>
                      <c:pt idx="23">
                        <c:v>1.443626295914</c:v>
                      </c:pt>
                      <c:pt idx="24">
                        <c:v>1.4898800072794001</c:v>
                      </c:pt>
                      <c:pt idx="25">
                        <c:v>1.5361337186448001</c:v>
                      </c:pt>
                    </c:numCache>
                  </c:numRef>
                </c:val>
                <c:smooth val="0"/>
                <c:extLst xmlns:c15="http://schemas.microsoft.com/office/drawing/2012/chart">
                  <c:ext xmlns:c16="http://schemas.microsoft.com/office/drawing/2014/chart" uri="{C3380CC4-5D6E-409C-BE32-E72D297353CC}">
                    <c16:uniqueId val="{00000008-686C-417D-A7A4-8EC7CFA02191}"/>
                  </c:ext>
                </c:extLst>
              </c15:ser>
            </c15:filteredLineSeries>
            <c15:filteredLineSeries>
              <c15:ser>
                <c:idx val="7"/>
                <c:order val="7"/>
                <c:tx>
                  <c:strRef>
                    <c:extLst xmlns:c15="http://schemas.microsoft.com/office/drawing/2012/chart">
                      <c:ext xmlns:c15="http://schemas.microsoft.com/office/drawing/2012/chart" uri="{02D57815-91ED-43cb-92C2-25804820EDAC}">
                        <c15:formulaRef>
                          <c15:sqref>'PBL OLD'!$OZ$6:$OZ$7</c15:sqref>
                        </c15:formulaRef>
                      </c:ext>
                    </c:extLst>
                    <c:strCache>
                      <c:ptCount val="2"/>
                      <c:pt idx="0">
                        <c:v>75th Percentile</c:v>
                      </c:pt>
                    </c:strCache>
                  </c:strRef>
                </c:tx>
                <c:spPr>
                  <a:ln w="28575" cap="rnd">
                    <a:solidFill>
                      <a:schemeClr val="accent4"/>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'PBL OLD'!$OR$8:$OR$33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xmlns:c15="http://schemas.microsoft.com/office/drawing/2012/chart">
                      <c:ext xmlns:c15="http://schemas.microsoft.com/office/drawing/2012/chart" uri="{02D57815-91ED-43cb-92C2-25804820EDAC}">
                        <c15:formulaRef>
                          <c15:sqref>'PBL OLD'!$OZ$8:$OZ$33</c15:sqref>
                        </c15:formulaRef>
                      </c:ext>
                    </c:extLst>
                    <c:numCache>
                      <c:formatCode>0.000</c:formatCode>
                      <c:ptCount val="26"/>
                      <c:pt idx="16">
                        <c:v>1.1198503163561999</c:v>
                      </c:pt>
                      <c:pt idx="17">
                        <c:v>1.1993777260661167</c:v>
                      </c:pt>
                      <c:pt idx="18">
                        <c:v>1.2789051357760335</c:v>
                      </c:pt>
                      <c:pt idx="19">
                        <c:v>1.3584325454859503</c:v>
                      </c:pt>
                      <c:pt idx="20">
                        <c:v>1.4379599551958671</c:v>
                      </c:pt>
                      <c:pt idx="21">
                        <c:v>1.5174873649057838</c:v>
                      </c:pt>
                      <c:pt idx="22">
                        <c:v>1.5970147746157006</c:v>
                      </c:pt>
                      <c:pt idx="23">
                        <c:v>1.6765421843256174</c:v>
                      </c:pt>
                      <c:pt idx="24">
                        <c:v>1.7560695940355342</c:v>
                      </c:pt>
                      <c:pt idx="25">
                        <c:v>1.835597003745451</c:v>
                      </c:pt>
                    </c:numCache>
                  </c:numRef>
                </c:val>
                <c:smooth val="0"/>
                <c:extLst xmlns:c15="http://schemas.microsoft.com/office/drawing/2012/chart">
                  <c:ext xmlns:c16="http://schemas.microsoft.com/office/drawing/2014/chart" uri="{C3380CC4-5D6E-409C-BE32-E72D297353CC}">
                    <c16:uniqueId val="{00000009-686C-417D-A7A4-8EC7CFA02191}"/>
                  </c:ext>
                </c:extLst>
              </c15:ser>
            </c15:filteredLineSeries>
            <c15:filteredLineSeries>
              <c15:ser>
                <c:idx val="9"/>
                <c:order val="9"/>
                <c:tx>
                  <c:strRef>
                    <c:extLst xmlns:c15="http://schemas.microsoft.com/office/drawing/2012/chart">
                      <c:ext xmlns:c15="http://schemas.microsoft.com/office/drawing/2012/chart" uri="{02D57815-91ED-43cb-92C2-25804820EDAC}">
                        <c15:formulaRef>
                          <c15:sqref>'PBL OLD'!$PB$6:$PB$7</c15:sqref>
                        </c15:formulaRef>
                      </c:ext>
                    </c:extLst>
                    <c:strCache>
                      <c:ptCount val="2"/>
                      <c:pt idx="0">
                        <c:v>95th Percentile</c:v>
                      </c:pt>
                    </c:strCache>
                  </c:strRef>
                </c:tx>
                <c:spPr>
                  <a:ln w="28575" cap="rnd">
                    <a:solidFill>
                      <a:schemeClr val="accent1"/>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'PBL OLD'!$OR$8:$OR$33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xmlns:c15="http://schemas.microsoft.com/office/drawing/2012/chart">
                      <c:ext xmlns:c15="http://schemas.microsoft.com/office/drawing/2012/chart" uri="{02D57815-91ED-43cb-92C2-25804820EDAC}">
                        <c15:formulaRef>
                          <c15:sqref>'PBL OLD'!$PB$8:$PB$33</c15:sqref>
                        </c15:formulaRef>
                      </c:ext>
                    </c:extLst>
                    <c:numCache>
                      <c:formatCode>0.000</c:formatCode>
                      <c:ptCount val="26"/>
                      <c:pt idx="16">
                        <c:v>1.1198503163561999</c:v>
                      </c:pt>
                      <c:pt idx="17">
                        <c:v>1.2171449523509832</c:v>
                      </c:pt>
                      <c:pt idx="18">
                        <c:v>1.3144395883457665</c:v>
                      </c:pt>
                      <c:pt idx="19">
                        <c:v>1.4117342243405497</c:v>
                      </c:pt>
                      <c:pt idx="20">
                        <c:v>1.509028860335333</c:v>
                      </c:pt>
                      <c:pt idx="21">
                        <c:v>1.6063234963301163</c:v>
                      </c:pt>
                      <c:pt idx="22">
                        <c:v>1.7036181323248996</c:v>
                      </c:pt>
                      <c:pt idx="23">
                        <c:v>1.8009127683196828</c:v>
                      </c:pt>
                      <c:pt idx="24">
                        <c:v>1.8982074043144661</c:v>
                      </c:pt>
                      <c:pt idx="25">
                        <c:v>1.9955020403092494</c:v>
                      </c:pt>
                    </c:numCache>
                  </c:numRef>
                </c:val>
                <c:smooth val="0"/>
                <c:extLst xmlns:c15="http://schemas.microsoft.com/office/drawing/2012/chart">
                  <c:ext xmlns:c16="http://schemas.microsoft.com/office/drawing/2014/chart" uri="{C3380CC4-5D6E-409C-BE32-E72D297353CC}">
                    <c16:uniqueId val="{0000000A-686C-417D-A7A4-8EC7CFA02191}"/>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'PBL OLD'!$PC$6:$PC$7</c15:sqref>
                        </c15:formulaRef>
                      </c:ext>
                    </c:extLst>
                    <c:strCache>
                      <c:ptCount val="2"/>
                      <c:pt idx="0">
                        <c:v>99th Percentile</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'PBL OLD'!$OR$8:$OR$33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xmlns:c15="http://schemas.microsoft.com/office/drawing/2012/chart">
                      <c:ext xmlns:c15="http://schemas.microsoft.com/office/drawing/2012/chart" uri="{02D57815-91ED-43cb-92C2-25804820EDAC}">
                        <c15:formulaRef>
                          <c15:sqref>'PBL OLD'!$PC$8:$PC$33</c15:sqref>
                        </c15:formulaRef>
                      </c:ext>
                    </c:extLst>
                    <c:numCache>
                      <c:formatCode>0.000</c:formatCode>
                      <c:ptCount val="26"/>
                      <c:pt idx="16">
                        <c:v>1.1198503163561999</c:v>
                      </c:pt>
                      <c:pt idx="17">
                        <c:v>1.2492459605879611</c:v>
                      </c:pt>
                      <c:pt idx="18">
                        <c:v>1.3786416048197223</c:v>
                      </c:pt>
                      <c:pt idx="19">
                        <c:v>1.5080372490514835</c:v>
                      </c:pt>
                      <c:pt idx="20">
                        <c:v>1.6374328932832447</c:v>
                      </c:pt>
                      <c:pt idx="21">
                        <c:v>1.7668285375150059</c:v>
                      </c:pt>
                      <c:pt idx="22">
                        <c:v>1.8962241817467671</c:v>
                      </c:pt>
                      <c:pt idx="23">
                        <c:v>2.0256198259785281</c:v>
                      </c:pt>
                      <c:pt idx="24">
                        <c:v>2.1550154702102891</c:v>
                      </c:pt>
                      <c:pt idx="25">
                        <c:v>2.28441111444205</c:v>
                      </c:pt>
                    </c:numCache>
                  </c:numRef>
                </c:val>
                <c:smooth val="0"/>
                <c:extLst xmlns:c15="http://schemas.microsoft.com/office/drawing/2012/chart">
                  <c:ext xmlns:c16="http://schemas.microsoft.com/office/drawing/2014/chart" uri="{C3380CC4-5D6E-409C-BE32-E72D297353CC}">
                    <c16:uniqueId val="{0000000B-686C-417D-A7A4-8EC7CFA02191}"/>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'PBL OLD'!$PD$6:$PD$7</c15:sqref>
                        </c15:formulaRef>
                      </c:ext>
                    </c:extLst>
                    <c:strCache>
                      <c:ptCount val="2"/>
                      <c:pt idx="0">
                        <c:v>Max</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'PBL OLD'!$OR$8:$OR$33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xmlns:c15="http://schemas.microsoft.com/office/drawing/2012/chart">
                      <c:ext xmlns:c15="http://schemas.microsoft.com/office/drawing/2012/chart" uri="{02D57815-91ED-43cb-92C2-25804820EDAC}">
                        <c15:formulaRef>
                          <c15:sqref>'PBL OLD'!$PD$8:$PD$33</c15:sqref>
                        </c15:formulaRef>
                      </c:ext>
                    </c:extLst>
                    <c:numCache>
                      <c:formatCode>0.000</c:formatCode>
                      <c:ptCount val="26"/>
                      <c:pt idx="16">
                        <c:v>1.1198503163561999</c:v>
                      </c:pt>
                      <c:pt idx="17">
                        <c:v>1.37132563183055</c:v>
                      </c:pt>
                      <c:pt idx="18">
                        <c:v>1.6228009473049001</c:v>
                      </c:pt>
                      <c:pt idx="19">
                        <c:v>1.8742762627792502</c:v>
                      </c:pt>
                      <c:pt idx="20">
                        <c:v>2.1257515782536003</c:v>
                      </c:pt>
                      <c:pt idx="21">
                        <c:v>2.3772268937279502</c:v>
                      </c:pt>
                      <c:pt idx="22">
                        <c:v>2.6287022092023</c:v>
                      </c:pt>
                      <c:pt idx="23">
                        <c:v>2.8801775246766499</c:v>
                      </c:pt>
                      <c:pt idx="24">
                        <c:v>3.1316528401509998</c:v>
                      </c:pt>
                      <c:pt idx="25">
                        <c:v>3.3831281556253496</c:v>
                      </c:pt>
                    </c:numCache>
                  </c:numRef>
                </c:val>
                <c:smooth val="0"/>
                <c:extLst xmlns:c15="http://schemas.microsoft.com/office/drawing/2012/chart">
                  <c:ext xmlns:c16="http://schemas.microsoft.com/office/drawing/2014/chart" uri="{C3380CC4-5D6E-409C-BE32-E72D297353CC}">
                    <c16:uniqueId val="{0000000C-686C-417D-A7A4-8EC7CFA02191}"/>
                  </c:ext>
                </c:extLst>
              </c15:ser>
            </c15:filteredLineSeries>
          </c:ext>
        </c:extLst>
      </c:lineChart>
      <c:dateAx>
        <c:axId val="1388952432"/>
        <c:scaling>
          <c:orientation val="minMax"/>
        </c:scaling>
        <c:delete val="0"/>
        <c:axPos val="b"/>
        <c:numFmt formatCode="d\-mmm\-yy_);\(###0\);&quot;-  &quot;;&quot; &quot;@&quot; &quot;"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3088"/>
        <c:crosses val="autoZero"/>
        <c:auto val="1"/>
        <c:lblOffset val="100"/>
        <c:baseTimeUnit val="days"/>
        <c:majorUnit val="3"/>
        <c:majorTimeUnit val="months"/>
      </c:dateAx>
      <c:valAx>
        <c:axId val="1388953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Ticket Sales ($b)</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'PBL OLD'!$MW$41</c:f>
              <c:strCache>
                <c:ptCount val="1"/>
                <c:pt idx="0">
                  <c:v>Delete</c:v>
                </c:pt>
              </c:strCache>
            </c:strRef>
          </c:tx>
          <c:spPr>
            <a:solidFill>
              <a:schemeClr val="bg1"/>
            </a:solidFill>
          </c:spPr>
          <c:invertIfNegative val="0"/>
          <c:cat>
            <c:strRef>
              <c:f>'PBL OLD'!$MX$9:$NG$9</c:f>
              <c:strCache>
                <c:ptCount val="10"/>
                <c:pt idx="0">
                  <c:v>1H18</c:v>
                </c:pt>
                <c:pt idx="1">
                  <c:v>2H18</c:v>
                </c:pt>
                <c:pt idx="2">
                  <c:v>1H19</c:v>
                </c:pt>
                <c:pt idx="3">
                  <c:v>2H19</c:v>
                </c:pt>
                <c:pt idx="4">
                  <c:v>1H20</c:v>
                </c:pt>
                <c:pt idx="5">
                  <c:v>2H20</c:v>
                </c:pt>
                <c:pt idx="6">
                  <c:v>1H21</c:v>
                </c:pt>
                <c:pt idx="7">
                  <c:v>2H21</c:v>
                </c:pt>
                <c:pt idx="8">
                  <c:v>1H22</c:v>
                </c:pt>
                <c:pt idx="9">
                  <c:v>2H22*</c:v>
                </c:pt>
              </c:strCache>
            </c:strRef>
          </c:cat>
          <c:val>
            <c:numRef>
              <c:f>'PBL OLD'!$MX$41:$NH$41</c:f>
              <c:numCache>
                <c:formatCode>0.0000</c:formatCode>
                <c:ptCount val="11"/>
                <c:pt idx="0">
                  <c:v>0.37583408158170628</c:v>
                </c:pt>
                <c:pt idx="1">
                  <c:v>0.48334225115126928</c:v>
                </c:pt>
                <c:pt idx="2">
                  <c:v>0.61617600454795007</c:v>
                </c:pt>
                <c:pt idx="3">
                  <c:v>0.5812529123496698</c:v>
                </c:pt>
                <c:pt idx="4">
                  <c:v>0.64077554229480016</c:v>
                </c:pt>
                <c:pt idx="5">
                  <c:v>0.68960513609679974</c:v>
                </c:pt>
                <c:pt idx="6">
                  <c:v>0.89806694538667831</c:v>
                </c:pt>
                <c:pt idx="7">
                  <c:v>0.69842772105810014</c:v>
                </c:pt>
                <c:pt idx="8">
                  <c:v>0.92649137214238053</c:v>
                </c:pt>
                <c:pt idx="9">
                  <c:v>0.85497303346455</c:v>
                </c:pt>
                <c:pt idx="10">
                  <c:v>0.56828039575230005</c:v>
                </c:pt>
              </c:numCache>
            </c:numRef>
          </c:val>
          <c:extLst>
            <c:ext xmlns:c16="http://schemas.microsoft.com/office/drawing/2014/chart" uri="{C3380CC4-5D6E-409C-BE32-E72D297353CC}">
              <c16:uniqueId val="{00000000-C650-4B42-97F4-85432A3568EC}"/>
            </c:ext>
          </c:extLst>
        </c:ser>
        <c:ser>
          <c:idx val="6"/>
          <c:order val="1"/>
          <c:tx>
            <c:strRef>
              <c:f>'PBL OLD'!$MW$42</c:f>
              <c:strCache>
                <c:ptCount val="1"/>
                <c:pt idx="0">
                  <c:v>Min to 25th Percentile</c:v>
                </c:pt>
              </c:strCache>
            </c:strRef>
          </c:tx>
          <c:spPr>
            <a:solidFill>
              <a:srgbClr val="7030A0"/>
            </a:solidFill>
          </c:spPr>
          <c:invertIfNegative val="0"/>
          <c:cat>
            <c:strRef>
              <c:f>'PBL OLD'!$MX$9:$NG$9</c:f>
              <c:strCache>
                <c:ptCount val="10"/>
                <c:pt idx="0">
                  <c:v>1H18</c:v>
                </c:pt>
                <c:pt idx="1">
                  <c:v>2H18</c:v>
                </c:pt>
                <c:pt idx="2">
                  <c:v>1H19</c:v>
                </c:pt>
                <c:pt idx="3">
                  <c:v>2H19</c:v>
                </c:pt>
                <c:pt idx="4">
                  <c:v>1H20</c:v>
                </c:pt>
                <c:pt idx="5">
                  <c:v>2H20</c:v>
                </c:pt>
                <c:pt idx="6">
                  <c:v>1H21</c:v>
                </c:pt>
                <c:pt idx="7">
                  <c:v>2H21</c:v>
                </c:pt>
                <c:pt idx="8">
                  <c:v>1H22</c:v>
                </c:pt>
                <c:pt idx="9">
                  <c:v>2H22*</c:v>
                </c:pt>
              </c:strCache>
            </c:strRef>
          </c:cat>
          <c:val>
            <c:numRef>
              <c:f>'PBL OLD'!$MX$42:$NH$42</c:f>
              <c:numCache>
                <c:formatCode>0.0000</c:formatCode>
                <c:ptCount val="11"/>
                <c:pt idx="0">
                  <c:v>0.14305823279218255</c:v>
                </c:pt>
                <c:pt idx="1">
                  <c:v>0.20366845151573876</c:v>
                </c:pt>
                <c:pt idx="2">
                  <c:v>0.21283499756805013</c:v>
                </c:pt>
                <c:pt idx="3">
                  <c:v>0.32245506556725045</c:v>
                </c:pt>
                <c:pt idx="4">
                  <c:v>0.33077114199359992</c:v>
                </c:pt>
                <c:pt idx="5">
                  <c:v>0.25301222867030027</c:v>
                </c:pt>
                <c:pt idx="6">
                  <c:v>0.46175402903457186</c:v>
                </c:pt>
                <c:pt idx="7">
                  <c:v>0.36580757557190002</c:v>
                </c:pt>
                <c:pt idx="8">
                  <c:v>0.45364704446137949</c:v>
                </c:pt>
                <c:pt idx="9">
                  <c:v>0.44644688777865005</c:v>
                </c:pt>
                <c:pt idx="10">
                  <c:v>0.26666712181890007</c:v>
                </c:pt>
              </c:numCache>
            </c:numRef>
          </c:val>
          <c:extLst>
            <c:ext xmlns:c16="http://schemas.microsoft.com/office/drawing/2014/chart" uri="{C3380CC4-5D6E-409C-BE32-E72D297353CC}">
              <c16:uniqueId val="{00000001-C650-4B42-97F4-85432A3568EC}"/>
            </c:ext>
          </c:extLst>
        </c:ser>
        <c:ser>
          <c:idx val="8"/>
          <c:order val="2"/>
          <c:tx>
            <c:strRef>
              <c:f>'PBL OLD'!$MW$43</c:f>
              <c:strCache>
                <c:ptCount val="1"/>
                <c:pt idx="0">
                  <c:v>25th to 50th Percentile</c:v>
                </c:pt>
              </c:strCache>
            </c:strRef>
          </c:tx>
          <c:spPr>
            <a:solidFill>
              <a:schemeClr val="bg2"/>
            </a:solidFill>
          </c:spPr>
          <c:invertIfNegative val="0"/>
          <c:cat>
            <c:strRef>
              <c:f>'PBL OLD'!$MX$9:$NG$9</c:f>
              <c:strCache>
                <c:ptCount val="10"/>
                <c:pt idx="0">
                  <c:v>1H18</c:v>
                </c:pt>
                <c:pt idx="1">
                  <c:v>2H18</c:v>
                </c:pt>
                <c:pt idx="2">
                  <c:v>1H19</c:v>
                </c:pt>
                <c:pt idx="3">
                  <c:v>2H19</c:v>
                </c:pt>
                <c:pt idx="4">
                  <c:v>1H20</c:v>
                </c:pt>
                <c:pt idx="5">
                  <c:v>2H20</c:v>
                </c:pt>
                <c:pt idx="6">
                  <c:v>1H21</c:v>
                </c:pt>
                <c:pt idx="7">
                  <c:v>2H21</c:v>
                </c:pt>
                <c:pt idx="8">
                  <c:v>1H22</c:v>
                </c:pt>
                <c:pt idx="9">
                  <c:v>2H22*</c:v>
                </c:pt>
              </c:strCache>
            </c:strRef>
          </c:cat>
          <c:val>
            <c:numRef>
              <c:f>'PBL OLD'!$MX$43:$NH$43</c:f>
              <c:numCache>
                <c:formatCode>0.0000</c:formatCode>
                <c:ptCount val="11"/>
                <c:pt idx="0">
                  <c:v>6.8048408377119118E-2</c:v>
                </c:pt>
                <c:pt idx="1">
                  <c:v>8.6096915807099883E-2</c:v>
                </c:pt>
                <c:pt idx="2">
                  <c:v>0.14040066428245057</c:v>
                </c:pt>
                <c:pt idx="3">
                  <c:v>0.16465929115767974</c:v>
                </c:pt>
                <c:pt idx="4">
                  <c:v>0.15084895942709997</c:v>
                </c:pt>
                <c:pt idx="5">
                  <c:v>0.12163945944479992</c:v>
                </c:pt>
                <c:pt idx="6">
                  <c:v>0.1608471037821213</c:v>
                </c:pt>
                <c:pt idx="7">
                  <c:v>0.14568931854290001</c:v>
                </c:pt>
                <c:pt idx="8">
                  <c:v>0.22038149945020025</c:v>
                </c:pt>
                <c:pt idx="9">
                  <c:v>0.22866745304452496</c:v>
                </c:pt>
                <c:pt idx="10">
                  <c:v>0.14352988720289983</c:v>
                </c:pt>
              </c:numCache>
            </c:numRef>
          </c:val>
          <c:extLst>
            <c:ext xmlns:c16="http://schemas.microsoft.com/office/drawing/2014/chart" uri="{C3380CC4-5D6E-409C-BE32-E72D297353CC}">
              <c16:uniqueId val="{00000002-C650-4B42-97F4-85432A3568EC}"/>
            </c:ext>
          </c:extLst>
        </c:ser>
        <c:ser>
          <c:idx val="2"/>
          <c:order val="3"/>
          <c:tx>
            <c:strRef>
              <c:f>'PBL OLD'!$MW$44</c:f>
              <c:strCache>
                <c:ptCount val="1"/>
                <c:pt idx="0">
                  <c:v>50th to 75th Percentile</c:v>
                </c:pt>
              </c:strCache>
            </c:strRef>
          </c:tx>
          <c:spPr>
            <a:solidFill>
              <a:schemeClr val="accent2"/>
            </a:solidFill>
          </c:spPr>
          <c:invertIfNegative val="0"/>
          <c:cat>
            <c:strRef>
              <c:f>'PBL OLD'!$MX$9:$NG$9</c:f>
              <c:strCache>
                <c:ptCount val="10"/>
                <c:pt idx="0">
                  <c:v>1H18</c:v>
                </c:pt>
                <c:pt idx="1">
                  <c:v>2H18</c:v>
                </c:pt>
                <c:pt idx="2">
                  <c:v>1H19</c:v>
                </c:pt>
                <c:pt idx="3">
                  <c:v>2H19</c:v>
                </c:pt>
                <c:pt idx="4">
                  <c:v>1H20</c:v>
                </c:pt>
                <c:pt idx="5">
                  <c:v>2H20</c:v>
                </c:pt>
                <c:pt idx="6">
                  <c:v>1H21</c:v>
                </c:pt>
                <c:pt idx="7">
                  <c:v>2H21</c:v>
                </c:pt>
                <c:pt idx="8">
                  <c:v>1H22</c:v>
                </c:pt>
                <c:pt idx="9">
                  <c:v>2H22*</c:v>
                </c:pt>
              </c:strCache>
            </c:strRef>
          </c:cat>
          <c:val>
            <c:numRef>
              <c:f>'PBL OLD'!$MX$44:$NH$44</c:f>
              <c:numCache>
                <c:formatCode>0.0000</c:formatCode>
                <c:ptCount val="11"/>
                <c:pt idx="0">
                  <c:v>7.9352553467357145E-2</c:v>
                </c:pt>
                <c:pt idx="1">
                  <c:v>0.10758647883246519</c:v>
                </c:pt>
                <c:pt idx="2">
                  <c:v>0.17538740191444979</c:v>
                </c:pt>
                <c:pt idx="3">
                  <c:v>0.1996945497703202</c:v>
                </c:pt>
                <c:pt idx="4">
                  <c:v>0.21228316291710003</c:v>
                </c:pt>
                <c:pt idx="5">
                  <c:v>0.17489210399320032</c:v>
                </c:pt>
                <c:pt idx="6">
                  <c:v>0.20138930090156459</c:v>
                </c:pt>
                <c:pt idx="7">
                  <c:v>0.18060183798140028</c:v>
                </c:pt>
                <c:pt idx="8">
                  <c:v>0.24933411918403992</c:v>
                </c:pt>
                <c:pt idx="9">
                  <c:v>0.232186632121125</c:v>
                </c:pt>
                <c:pt idx="10">
                  <c:v>0.22398331214325007</c:v>
                </c:pt>
              </c:numCache>
            </c:numRef>
          </c:val>
          <c:extLst>
            <c:ext xmlns:c16="http://schemas.microsoft.com/office/drawing/2014/chart" uri="{C3380CC4-5D6E-409C-BE32-E72D297353CC}">
              <c16:uniqueId val="{00000003-C650-4B42-97F4-85432A3568EC}"/>
            </c:ext>
          </c:extLst>
        </c:ser>
        <c:ser>
          <c:idx val="4"/>
          <c:order val="4"/>
          <c:tx>
            <c:strRef>
              <c:f>'PBL OLD'!$MW$45</c:f>
              <c:strCache>
                <c:ptCount val="1"/>
                <c:pt idx="0">
                  <c:v>75th Percentile to Max</c:v>
                </c:pt>
              </c:strCache>
            </c:strRef>
          </c:tx>
          <c:spPr>
            <a:solidFill>
              <a:schemeClr val="accent1"/>
            </a:solidFill>
          </c:spPr>
          <c:invertIfNegative val="0"/>
          <c:val>
            <c:numRef>
              <c:f>'PBL OLD'!$MX$45:$NH$45</c:f>
              <c:numCache>
                <c:formatCode>0.0000</c:formatCode>
                <c:ptCount val="11"/>
                <c:pt idx="0">
                  <c:v>0.63553272373778569</c:v>
                </c:pt>
                <c:pt idx="1">
                  <c:v>0.7729613672759732</c:v>
                </c:pt>
                <c:pt idx="2">
                  <c:v>0.9937494892555998</c:v>
                </c:pt>
                <c:pt idx="3">
                  <c:v>1.6195528765475395</c:v>
                </c:pt>
                <c:pt idx="4">
                  <c:v>1.3531205574810001</c:v>
                </c:pt>
                <c:pt idx="5">
                  <c:v>1.6118069205469008</c:v>
                </c:pt>
                <c:pt idx="6">
                  <c:v>1.2211971990580215</c:v>
                </c:pt>
                <c:pt idx="7">
                  <c:v>1.158568307565899</c:v>
                </c:pt>
                <c:pt idx="8">
                  <c:v>1.7523427536489598</c:v>
                </c:pt>
                <c:pt idx="9">
                  <c:v>1.6242178293384999</c:v>
                </c:pt>
                <c:pt idx="10">
                  <c:v>1.4333010510357</c:v>
                </c:pt>
              </c:numCache>
            </c:numRef>
          </c:val>
          <c:extLst>
            <c:ext xmlns:c16="http://schemas.microsoft.com/office/drawing/2014/chart" uri="{C3380CC4-5D6E-409C-BE32-E72D297353CC}">
              <c16:uniqueId val="{00000004-C650-4B42-97F4-85432A3568EC}"/>
            </c:ext>
          </c:extLst>
        </c:ser>
        <c:dLbls>
          <c:showLegendKey val="0"/>
          <c:showVal val="0"/>
          <c:showCatName val="0"/>
          <c:showSerName val="0"/>
          <c:showPercent val="0"/>
          <c:showBubbleSize val="0"/>
        </c:dLbls>
        <c:gapWidth val="150"/>
        <c:overlap val="100"/>
        <c:axId val="1019316528"/>
        <c:axId val="1019315544"/>
      </c:barChart>
      <c:lineChart>
        <c:grouping val="stacked"/>
        <c:varyColors val="0"/>
        <c:ser>
          <c:idx val="3"/>
          <c:order val="5"/>
          <c:tx>
            <c:strRef>
              <c:f>'PBL OLD'!$MW$12</c:f>
              <c:strCache>
                <c:ptCount val="1"/>
                <c:pt idx="0">
                  <c:v>Actual</c:v>
                </c:pt>
              </c:strCache>
            </c:strRef>
          </c:tx>
          <c:spPr>
            <a:ln w="19050">
              <a:noFill/>
            </a:ln>
          </c:spPr>
          <c:marker>
            <c:symbol val="diamond"/>
            <c:size val="13"/>
            <c:spPr>
              <a:solidFill>
                <a:schemeClr val="tx2"/>
              </a:solidFill>
              <a:ln w="25400">
                <a:solidFill>
                  <a:schemeClr val="tx1"/>
                </a:solidFill>
              </a:ln>
            </c:spPr>
          </c:marker>
          <c:dPt>
            <c:idx val="9"/>
            <c:marker>
              <c:spPr>
                <a:solidFill>
                  <a:schemeClr val="accent6"/>
                </a:solidFill>
                <a:ln w="25400">
                  <a:solidFill>
                    <a:schemeClr val="tx1"/>
                  </a:solidFill>
                </a:ln>
              </c:spPr>
            </c:marker>
            <c:bubble3D val="0"/>
            <c:extLst>
              <c:ext xmlns:c16="http://schemas.microsoft.com/office/drawing/2014/chart" uri="{C3380CC4-5D6E-409C-BE32-E72D297353CC}">
                <c16:uniqueId val="{00000005-C650-4B42-97F4-85432A3568EC}"/>
              </c:ext>
            </c:extLst>
          </c:dPt>
          <c:val>
            <c:numRef>
              <c:f>'PBL OLD'!$MX$12:$NH$12</c:f>
              <c:numCache>
                <c:formatCode>_-* #,##0.0000_-;\-* #,##0.0000_-;_-* "-"??_-;_-@_-</c:formatCode>
                <c:ptCount val="11"/>
                <c:pt idx="0">
                  <c:v>0.50481337402649995</c:v>
                </c:pt>
                <c:pt idx="1">
                  <c:v>0.7021907353350999</c:v>
                </c:pt>
                <c:pt idx="2">
                  <c:v>1.1393866275132001</c:v>
                </c:pt>
                <c:pt idx="3">
                  <c:v>1.0555108226916003</c:v>
                </c:pt>
                <c:pt idx="4">
                  <c:v>1.4846321634210002</c:v>
                </c:pt>
                <c:pt idx="5">
                  <c:v>1.0392567352463999</c:v>
                </c:pt>
                <c:pt idx="6">
                  <c:v>1.2199573358477998</c:v>
                </c:pt>
                <c:pt idx="7">
                  <c:v>1.2338811836339998</c:v>
                </c:pt>
                <c:pt idx="8">
                  <c:v>1.5639026176620001</c:v>
                </c:pt>
                <c:pt idx="9">
                  <c:v>1.7439737266775999</c:v>
                </c:pt>
                <c:pt idx="10">
                  <c:v>1.7439737266775999</c:v>
                </c:pt>
              </c:numCache>
            </c:numRef>
          </c:val>
          <c:smooth val="0"/>
          <c:extLst>
            <c:ext xmlns:c16="http://schemas.microsoft.com/office/drawing/2014/chart" uri="{C3380CC4-5D6E-409C-BE32-E72D297353CC}">
              <c16:uniqueId val="{00000006-C650-4B42-97F4-85432A3568EC}"/>
            </c:ext>
          </c:extLst>
        </c:ser>
        <c:dLbls>
          <c:showLegendKey val="0"/>
          <c:showVal val="0"/>
          <c:showCatName val="0"/>
          <c:showSerName val="0"/>
          <c:showPercent val="0"/>
          <c:showBubbleSize val="0"/>
        </c:dLbls>
        <c:marker val="1"/>
        <c:smooth val="0"/>
        <c:axId val="1019316528"/>
        <c:axId val="1019315544"/>
      </c:lineChart>
      <c:catAx>
        <c:axId val="101931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19315544"/>
        <c:crosses val="autoZero"/>
        <c:auto val="1"/>
        <c:lblAlgn val="ctr"/>
        <c:lblOffset val="100"/>
        <c:noMultiLvlLbl val="0"/>
      </c:catAx>
      <c:valAx>
        <c:axId val="1019315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Ticket Sales ($b)</a:t>
                </a:r>
              </a:p>
            </c:rich>
          </c:tx>
          <c:overlay val="0"/>
          <c:spPr>
            <a:noFill/>
            <a:ln>
              <a:noFill/>
            </a:ln>
            <a:effectLst/>
          </c:sp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19316528"/>
        <c:crosses val="autoZero"/>
        <c:crossBetween val="between"/>
      </c:valAx>
    </c:plotArea>
    <c:legend>
      <c:legendPos val="b"/>
      <c:legendEntry>
        <c:idx val="0"/>
        <c:delete val="1"/>
      </c:legendEntry>
      <c:overlay val="0"/>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595740524807711"/>
          <c:y val="4.5604279555213005E-2"/>
          <c:w val="0.85715770307956141"/>
          <c:h val="0.63918755829072416"/>
        </c:manualLayout>
      </c:layout>
      <c:barChart>
        <c:barDir val="col"/>
        <c:grouping val="stacked"/>
        <c:varyColors val="0"/>
        <c:ser>
          <c:idx val="0"/>
          <c:order val="0"/>
          <c:tx>
            <c:strRef>
              <c:f>'PBL OLD'!$BG$42</c:f>
              <c:strCache>
                <c:ptCount val="1"/>
                <c:pt idx="0">
                  <c:v>Delete</c:v>
                </c:pt>
              </c:strCache>
            </c:strRef>
          </c:tx>
          <c:spPr>
            <a:solidFill>
              <a:schemeClr val="bg1"/>
            </a:solidFill>
          </c:spPr>
          <c:invertIfNegative val="0"/>
          <c:cat>
            <c:strRef>
              <c:f>'PBL OLD'!$BH$9:$BN$9</c:f>
              <c:strCache>
                <c:ptCount val="7"/>
                <c:pt idx="0">
                  <c:v>FY18</c:v>
                </c:pt>
                <c:pt idx="1">
                  <c:v>FY19</c:v>
                </c:pt>
                <c:pt idx="2">
                  <c:v>FY20</c:v>
                </c:pt>
                <c:pt idx="3">
                  <c:v>FY21</c:v>
                </c:pt>
                <c:pt idx="4">
                  <c:v>FY22</c:v>
                </c:pt>
                <c:pt idx="5">
                  <c:v>FY23e</c:v>
                </c:pt>
                <c:pt idx="6">
                  <c:v>FY22 ytd</c:v>
                </c:pt>
              </c:strCache>
            </c:strRef>
          </c:cat>
          <c:val>
            <c:numRef>
              <c:f>'PBL OLD'!$BH$42:$BN$42</c:f>
              <c:numCache>
                <c:formatCode>0.0000</c:formatCode>
                <c:ptCount val="7"/>
                <c:pt idx="0">
                  <c:v>0.88898749196337468</c:v>
                </c:pt>
                <c:pt idx="1">
                  <c:v>1.2628339576374232</c:v>
                </c:pt>
                <c:pt idx="2">
                  <c:v>1.497466908542763</c:v>
                </c:pt>
                <c:pt idx="3">
                  <c:v>1.8014767645404111</c:v>
                </c:pt>
                <c:pt idx="4">
                  <c:v>1.8374304196768296</c:v>
                </c:pt>
                <c:pt idx="5">
                  <c:v>1.6867811392566225</c:v>
                </c:pt>
                <c:pt idx="6">
                  <c:v>1.8374304196768296</c:v>
                </c:pt>
              </c:numCache>
            </c:numRef>
          </c:val>
          <c:extLst>
            <c:ext xmlns:c16="http://schemas.microsoft.com/office/drawing/2014/chart" uri="{C3380CC4-5D6E-409C-BE32-E72D297353CC}">
              <c16:uniqueId val="{00000000-901A-4856-8BB1-8DB036BB0B51}"/>
            </c:ext>
          </c:extLst>
        </c:ser>
        <c:ser>
          <c:idx val="6"/>
          <c:order val="1"/>
          <c:tx>
            <c:strRef>
              <c:f>'PBL OLD'!$BG$43</c:f>
              <c:strCache>
                <c:ptCount val="1"/>
                <c:pt idx="0">
                  <c:v>Min to 25th Percentile</c:v>
                </c:pt>
              </c:strCache>
            </c:strRef>
          </c:tx>
          <c:spPr>
            <a:solidFill>
              <a:srgbClr val="7030A0"/>
            </a:solidFill>
          </c:spPr>
          <c:invertIfNegative val="0"/>
          <c:cat>
            <c:strRef>
              <c:f>'PBL OLD'!$BH$9:$BN$9</c:f>
              <c:strCache>
                <c:ptCount val="7"/>
                <c:pt idx="0">
                  <c:v>FY18</c:v>
                </c:pt>
                <c:pt idx="1">
                  <c:v>FY19</c:v>
                </c:pt>
                <c:pt idx="2">
                  <c:v>FY20</c:v>
                </c:pt>
                <c:pt idx="3">
                  <c:v>FY21</c:v>
                </c:pt>
                <c:pt idx="4">
                  <c:v>FY22</c:v>
                </c:pt>
                <c:pt idx="5">
                  <c:v>FY23e</c:v>
                </c:pt>
                <c:pt idx="6">
                  <c:v>FY22 ytd</c:v>
                </c:pt>
              </c:strCache>
            </c:strRef>
          </c:cat>
          <c:val>
            <c:numRef>
              <c:f>'PBL OLD'!$BH$43:$BN$43</c:f>
              <c:numCache>
                <c:formatCode>0.0000</c:formatCode>
                <c:ptCount val="7"/>
                <c:pt idx="0">
                  <c:v>0.32134520254631416</c:v>
                </c:pt>
                <c:pt idx="1">
                  <c:v>0.50441625257598943</c:v>
                </c:pt>
                <c:pt idx="2">
                  <c:v>0.59044005845325165</c:v>
                </c:pt>
                <c:pt idx="3">
                  <c:v>0.75632563095248084</c:v>
                </c:pt>
                <c:pt idx="4">
                  <c:v>0.93869577539336513</c:v>
                </c:pt>
                <c:pt idx="5">
                  <c:v>0.78335909496250133</c:v>
                </c:pt>
                <c:pt idx="6">
                  <c:v>0.93869577539336513</c:v>
                </c:pt>
              </c:numCache>
            </c:numRef>
          </c:val>
          <c:extLst>
            <c:ext xmlns:c16="http://schemas.microsoft.com/office/drawing/2014/chart" uri="{C3380CC4-5D6E-409C-BE32-E72D297353CC}">
              <c16:uniqueId val="{00000001-901A-4856-8BB1-8DB036BB0B51}"/>
            </c:ext>
          </c:extLst>
        </c:ser>
        <c:ser>
          <c:idx val="8"/>
          <c:order val="2"/>
          <c:tx>
            <c:strRef>
              <c:f>'PBL OLD'!$BG$44</c:f>
              <c:strCache>
                <c:ptCount val="1"/>
                <c:pt idx="0">
                  <c:v>25th to 50th Percentile</c:v>
                </c:pt>
              </c:strCache>
            </c:strRef>
          </c:tx>
          <c:spPr>
            <a:solidFill>
              <a:schemeClr val="tx2">
                <a:lumMod val="40000"/>
                <a:lumOff val="60000"/>
              </a:schemeClr>
            </a:solidFill>
          </c:spPr>
          <c:invertIfNegative val="0"/>
          <c:cat>
            <c:strRef>
              <c:f>'PBL OLD'!$BH$9:$BN$9</c:f>
              <c:strCache>
                <c:ptCount val="7"/>
                <c:pt idx="0">
                  <c:v>FY18</c:v>
                </c:pt>
                <c:pt idx="1">
                  <c:v>FY19</c:v>
                </c:pt>
                <c:pt idx="2">
                  <c:v>FY20</c:v>
                </c:pt>
                <c:pt idx="3">
                  <c:v>FY21</c:v>
                </c:pt>
                <c:pt idx="4">
                  <c:v>FY22</c:v>
                </c:pt>
                <c:pt idx="5">
                  <c:v>FY23e</c:v>
                </c:pt>
                <c:pt idx="6">
                  <c:v>FY22 ytd</c:v>
                </c:pt>
              </c:strCache>
            </c:strRef>
          </c:cat>
          <c:val>
            <c:numRef>
              <c:f>'PBL OLD'!$BH$44:$BN$44</c:f>
              <c:numCache>
                <c:formatCode>0.0000</c:formatCode>
                <c:ptCount val="7"/>
                <c:pt idx="0">
                  <c:v>0.11644516607488664</c:v>
                </c:pt>
                <c:pt idx="1">
                  <c:v>0.21996799463488914</c:v>
                </c:pt>
                <c:pt idx="2">
                  <c:v>0.24063867711061571</c:v>
                </c:pt>
                <c:pt idx="3">
                  <c:v>0.23667367152742802</c:v>
                </c:pt>
                <c:pt idx="4">
                  <c:v>0.28407878954790533</c:v>
                </c:pt>
                <c:pt idx="5">
                  <c:v>0.28266055352741803</c:v>
                </c:pt>
                <c:pt idx="6">
                  <c:v>0.28407878954790489</c:v>
                </c:pt>
              </c:numCache>
            </c:numRef>
          </c:val>
          <c:extLst>
            <c:ext xmlns:c16="http://schemas.microsoft.com/office/drawing/2014/chart" uri="{C3380CC4-5D6E-409C-BE32-E72D297353CC}">
              <c16:uniqueId val="{00000002-901A-4856-8BB1-8DB036BB0B51}"/>
            </c:ext>
          </c:extLst>
        </c:ser>
        <c:ser>
          <c:idx val="1"/>
          <c:order val="3"/>
          <c:tx>
            <c:strRef>
              <c:f>'PBL OLD'!$BG$45</c:f>
              <c:strCache>
                <c:ptCount val="1"/>
                <c:pt idx="0">
                  <c:v>50th to 75th Percentile</c:v>
                </c:pt>
              </c:strCache>
            </c:strRef>
          </c:tx>
          <c:spPr>
            <a:solidFill>
              <a:schemeClr val="bg2"/>
            </a:solidFill>
          </c:spPr>
          <c:invertIfNegative val="0"/>
          <c:cat>
            <c:strRef>
              <c:f>'PBL OLD'!$BH$9:$BN$9</c:f>
              <c:strCache>
                <c:ptCount val="7"/>
                <c:pt idx="0">
                  <c:v>FY18</c:v>
                </c:pt>
                <c:pt idx="1">
                  <c:v>FY19</c:v>
                </c:pt>
                <c:pt idx="2">
                  <c:v>FY20</c:v>
                </c:pt>
                <c:pt idx="3">
                  <c:v>FY21</c:v>
                </c:pt>
                <c:pt idx="4">
                  <c:v>FY22</c:v>
                </c:pt>
                <c:pt idx="5">
                  <c:v>FY23e</c:v>
                </c:pt>
                <c:pt idx="6">
                  <c:v>FY22 ytd</c:v>
                </c:pt>
              </c:strCache>
            </c:strRef>
          </c:cat>
          <c:val>
            <c:numRef>
              <c:f>'PBL OLD'!$BH$45:$BN$45</c:f>
              <c:numCache>
                <c:formatCode>0.0000</c:formatCode>
                <c:ptCount val="7"/>
                <c:pt idx="0">
                  <c:v>0.14042849942172042</c:v>
                </c:pt>
                <c:pt idx="1">
                  <c:v>0.25706803651451926</c:v>
                </c:pt>
                <c:pt idx="2">
                  <c:v>0.27457279175772165</c:v>
                </c:pt>
                <c:pt idx="3">
                  <c:v>0.28142269668315834</c:v>
                </c:pt>
                <c:pt idx="4">
                  <c:v>0.32268679960181501</c:v>
                </c:pt>
                <c:pt idx="5">
                  <c:v>0.31570560089305477</c:v>
                </c:pt>
                <c:pt idx="6">
                  <c:v>0.32268679960181545</c:v>
                </c:pt>
              </c:numCache>
            </c:numRef>
          </c:val>
          <c:extLst>
            <c:ext xmlns:c16="http://schemas.microsoft.com/office/drawing/2014/chart" uri="{C3380CC4-5D6E-409C-BE32-E72D297353CC}">
              <c16:uniqueId val="{00000003-901A-4856-8BB1-8DB036BB0B51}"/>
            </c:ext>
          </c:extLst>
        </c:ser>
        <c:ser>
          <c:idx val="2"/>
          <c:order val="4"/>
          <c:tx>
            <c:strRef>
              <c:f>'PBL OLD'!$BG$46</c:f>
              <c:strCache>
                <c:ptCount val="1"/>
                <c:pt idx="0">
                  <c:v>75th Percentile to Max</c:v>
                </c:pt>
              </c:strCache>
            </c:strRef>
          </c:tx>
          <c:spPr>
            <a:solidFill>
              <a:schemeClr val="accent1"/>
            </a:solidFill>
          </c:spPr>
          <c:invertIfNegative val="0"/>
          <c:cat>
            <c:strRef>
              <c:f>'PBL OLD'!$BH$9:$BN$9</c:f>
              <c:strCache>
                <c:ptCount val="7"/>
                <c:pt idx="0">
                  <c:v>FY18</c:v>
                </c:pt>
                <c:pt idx="1">
                  <c:v>FY19</c:v>
                </c:pt>
                <c:pt idx="2">
                  <c:v>FY20</c:v>
                </c:pt>
                <c:pt idx="3">
                  <c:v>FY21</c:v>
                </c:pt>
                <c:pt idx="4">
                  <c:v>FY22</c:v>
                </c:pt>
                <c:pt idx="5">
                  <c:v>FY23e</c:v>
                </c:pt>
                <c:pt idx="6">
                  <c:v>FY22 ytd</c:v>
                </c:pt>
              </c:strCache>
            </c:strRef>
          </c:cat>
          <c:val>
            <c:numRef>
              <c:f>'PBL OLD'!$BH$46:$BN$46</c:f>
              <c:numCache>
                <c:formatCode>0.0000</c:formatCode>
                <c:ptCount val="7"/>
                <c:pt idx="0">
                  <c:v>1.0732922664142377</c:v>
                </c:pt>
                <c:pt idx="1">
                  <c:v>1.4760833933721509</c:v>
                </c:pt>
                <c:pt idx="2">
                  <c:v>1.7557662735895239</c:v>
                </c:pt>
                <c:pt idx="3">
                  <c:v>1.7916774241154578</c:v>
                </c:pt>
                <c:pt idx="4">
                  <c:v>1.7919071925019652</c:v>
                </c:pt>
                <c:pt idx="5">
                  <c:v>1.6064671050685377</c:v>
                </c:pt>
                <c:pt idx="6">
                  <c:v>1.7919071925019652</c:v>
                </c:pt>
              </c:numCache>
            </c:numRef>
          </c:val>
          <c:extLst>
            <c:ext xmlns:c16="http://schemas.microsoft.com/office/drawing/2014/chart" uri="{C3380CC4-5D6E-409C-BE32-E72D297353CC}">
              <c16:uniqueId val="{00000004-901A-4856-8BB1-8DB036BB0B51}"/>
            </c:ext>
          </c:extLst>
        </c:ser>
        <c:dLbls>
          <c:showLegendKey val="0"/>
          <c:showVal val="0"/>
          <c:showCatName val="0"/>
          <c:showSerName val="0"/>
          <c:showPercent val="0"/>
          <c:showBubbleSize val="0"/>
        </c:dLbls>
        <c:gapWidth val="150"/>
        <c:overlap val="100"/>
        <c:axId val="1019316528"/>
        <c:axId val="1019315544"/>
      </c:barChart>
      <c:lineChart>
        <c:grouping val="standard"/>
        <c:varyColors val="0"/>
        <c:ser>
          <c:idx val="3"/>
          <c:order val="5"/>
          <c:tx>
            <c:strRef>
              <c:f>'PBL OLD'!$BG$12</c:f>
              <c:strCache>
                <c:ptCount val="1"/>
                <c:pt idx="0">
                  <c:v>Actual</c:v>
                </c:pt>
              </c:strCache>
            </c:strRef>
          </c:tx>
          <c:spPr>
            <a:ln>
              <a:noFill/>
            </a:ln>
          </c:spPr>
          <c:marker>
            <c:symbol val="diamond"/>
            <c:size val="12"/>
            <c:spPr>
              <a:solidFill>
                <a:schemeClr val="tx2"/>
              </a:solidFill>
              <a:ln w="19050">
                <a:solidFill>
                  <a:schemeClr val="tx1"/>
                </a:solidFill>
              </a:ln>
            </c:spPr>
          </c:marker>
          <c:dPt>
            <c:idx val="4"/>
            <c:marker>
              <c:spPr>
                <a:solidFill>
                  <a:schemeClr val="accent6"/>
                </a:solidFill>
                <a:ln w="19050">
                  <a:solidFill>
                    <a:schemeClr val="tx1"/>
                  </a:solidFill>
                </a:ln>
              </c:spPr>
            </c:marker>
            <c:bubble3D val="0"/>
            <c:extLst>
              <c:ext xmlns:c16="http://schemas.microsoft.com/office/drawing/2014/chart" uri="{C3380CC4-5D6E-409C-BE32-E72D297353CC}">
                <c16:uniqueId val="{00000005-901A-4856-8BB1-8DB036BB0B51}"/>
              </c:ext>
            </c:extLst>
          </c:dPt>
          <c:cat>
            <c:strRef>
              <c:f>'PBL OLD'!$BH$9:$BN$9</c:f>
              <c:strCache>
                <c:ptCount val="7"/>
                <c:pt idx="0">
                  <c:v>FY18</c:v>
                </c:pt>
                <c:pt idx="1">
                  <c:v>FY19</c:v>
                </c:pt>
                <c:pt idx="2">
                  <c:v>FY20</c:v>
                </c:pt>
                <c:pt idx="3">
                  <c:v>FY21</c:v>
                </c:pt>
                <c:pt idx="4">
                  <c:v>FY22</c:v>
                </c:pt>
                <c:pt idx="5">
                  <c:v>FY23e</c:v>
                </c:pt>
                <c:pt idx="6">
                  <c:v>FY22 ytd</c:v>
                </c:pt>
              </c:strCache>
            </c:strRef>
          </c:cat>
          <c:val>
            <c:numRef>
              <c:f>'PBL OLD'!$BH$12:$BN$12</c:f>
              <c:numCache>
                <c:formatCode>_(* #,##0.00_);_(* \(#,##0.00\);_(* "-"??_);_(@_)</c:formatCode>
                <c:ptCount val="7"/>
                <c:pt idx="0">
                  <c:v>1.2070041093615997</c:v>
                </c:pt>
                <c:pt idx="1">
                  <c:v>2.1948974502048002</c:v>
                </c:pt>
                <c:pt idx="2">
                  <c:v>2.5238888986673995</c:v>
                </c:pt>
                <c:pt idx="3">
                  <c:v>2.4538385194818004</c:v>
                </c:pt>
                <c:pt idx="4">
                  <c:v>3.3078763443396002</c:v>
                </c:pt>
                <c:pt idx="6">
                  <c:v>3.3078763443396002</c:v>
                </c:pt>
              </c:numCache>
            </c:numRef>
          </c:val>
          <c:smooth val="0"/>
          <c:extLst>
            <c:ext xmlns:c16="http://schemas.microsoft.com/office/drawing/2014/chart" uri="{C3380CC4-5D6E-409C-BE32-E72D297353CC}">
              <c16:uniqueId val="{00000006-901A-4856-8BB1-8DB036BB0B51}"/>
            </c:ext>
          </c:extLst>
        </c:ser>
        <c:dLbls>
          <c:showLegendKey val="0"/>
          <c:showVal val="0"/>
          <c:showCatName val="0"/>
          <c:showSerName val="0"/>
          <c:showPercent val="0"/>
          <c:showBubbleSize val="0"/>
        </c:dLbls>
        <c:marker val="1"/>
        <c:smooth val="0"/>
        <c:axId val="1019316528"/>
        <c:axId val="1019315544"/>
        <c:extLst>
          <c:ext xmlns:c15="http://schemas.microsoft.com/office/drawing/2012/chart" uri="{02D57815-91ED-43cb-92C2-25804820EDAC}">
            <c15:filteredLineSeries>
              <c15:ser>
                <c:idx val="5"/>
                <c:order val="6"/>
                <c:tx>
                  <c:strRef>
                    <c:extLst>
                      <c:ext uri="{02D57815-91ED-43cb-92C2-25804820EDAC}">
                        <c15:formulaRef>
                          <c15:sqref>'PBL OLD'!$BG$13</c15:sqref>
                        </c15:formulaRef>
                      </c:ext>
                    </c:extLst>
                    <c:strCache>
                      <c:ptCount val="1"/>
                      <c:pt idx="0">
                        <c:v>Actual ytd Standardised</c:v>
                      </c:pt>
                    </c:strCache>
                  </c:strRef>
                </c:tx>
                <c:spPr>
                  <a:ln w="19050">
                    <a:noFill/>
                  </a:ln>
                </c:spPr>
                <c:marker>
                  <c:symbol val="triangle"/>
                  <c:size val="10"/>
                  <c:spPr>
                    <a:solidFill>
                      <a:schemeClr val="accent6"/>
                    </a:solidFill>
                    <a:ln w="12700">
                      <a:solidFill>
                        <a:schemeClr val="tx1"/>
                      </a:solidFill>
                    </a:ln>
                  </c:spPr>
                </c:marker>
                <c:cat>
                  <c:strRef>
                    <c:extLst>
                      <c:ext uri="{02D57815-91ED-43cb-92C2-25804820EDAC}">
                        <c15:formulaRef>
                          <c15:sqref>'PBL OLD'!$BH$9:$BN$9</c15:sqref>
                        </c15:formulaRef>
                      </c:ext>
                    </c:extLst>
                    <c:strCache>
                      <c:ptCount val="7"/>
                      <c:pt idx="0">
                        <c:v>FY18</c:v>
                      </c:pt>
                      <c:pt idx="1">
                        <c:v>FY19</c:v>
                      </c:pt>
                      <c:pt idx="2">
                        <c:v>FY20</c:v>
                      </c:pt>
                      <c:pt idx="3">
                        <c:v>FY21</c:v>
                      </c:pt>
                      <c:pt idx="4">
                        <c:v>FY22</c:v>
                      </c:pt>
                      <c:pt idx="5">
                        <c:v>FY23e</c:v>
                      </c:pt>
                      <c:pt idx="6">
                        <c:v>FY22 ytd</c:v>
                      </c:pt>
                    </c:strCache>
                  </c:strRef>
                </c:cat>
                <c:val>
                  <c:numRef>
                    <c:extLst>
                      <c:ext uri="{02D57815-91ED-43cb-92C2-25804820EDAC}">
                        <c15:formulaRef>
                          <c15:sqref>'PBL OLD'!$BH$13:$BL$13</c15:sqref>
                        </c15:formulaRef>
                      </c:ext>
                    </c:extLst>
                    <c:numCache>
                      <c:formatCode>_(* #,##0.00_);_(* \(#,##0.00\);_(* "-"??_);_(@_)</c:formatCode>
                      <c:ptCount val="5"/>
                      <c:pt idx="4">
                        <c:v>3.2454635831256451</c:v>
                      </c:pt>
                    </c:numCache>
                  </c:numRef>
                </c:val>
                <c:smooth val="0"/>
                <c:extLst>
                  <c:ext xmlns:c16="http://schemas.microsoft.com/office/drawing/2014/chart" uri="{C3380CC4-5D6E-409C-BE32-E72D297353CC}">
                    <c16:uniqueId val="{00000007-901A-4856-8BB1-8DB036BB0B51}"/>
                  </c:ext>
                </c:extLst>
              </c15:ser>
            </c15:filteredLineSeries>
            <c15:filteredLineSeries>
              <c15:ser>
                <c:idx val="7"/>
                <c:order val="7"/>
                <c:tx>
                  <c:strRef>
                    <c:extLst xmlns:c15="http://schemas.microsoft.com/office/drawing/2012/chart">
                      <c:ext xmlns:c15="http://schemas.microsoft.com/office/drawing/2012/chart" uri="{02D57815-91ED-43cb-92C2-25804820EDAC}">
                        <c15:formulaRef>
                          <c15:sqref>'PBL OLD'!$BG$14</c15:sqref>
                        </c15:formulaRef>
                      </c:ext>
                    </c:extLst>
                    <c:strCache>
                      <c:ptCount val="1"/>
                      <c:pt idx="0">
                        <c:v>Actual ytd + 50th percentile</c:v>
                      </c:pt>
                    </c:strCache>
                  </c:strRef>
                </c:tx>
                <c:spPr>
                  <a:ln w="19050">
                    <a:noFill/>
                  </a:ln>
                </c:spPr>
                <c:marker>
                  <c:symbol val="square"/>
                  <c:size val="9"/>
                  <c:spPr>
                    <a:solidFill>
                      <a:schemeClr val="accent5"/>
                    </a:solidFill>
                    <a:ln w="12700">
                      <a:solidFill>
                        <a:schemeClr val="tx1"/>
                      </a:solidFill>
                    </a:ln>
                  </c:spPr>
                </c:marker>
                <c:cat>
                  <c:strRef>
                    <c:extLst xmlns:c15="http://schemas.microsoft.com/office/drawing/2012/chart">
                      <c:ext xmlns:c15="http://schemas.microsoft.com/office/drawing/2012/chart" uri="{02D57815-91ED-43cb-92C2-25804820EDAC}">
                        <c15:formulaRef>
                          <c15:sqref>'PBL OLD'!$BH$9:$BN$9</c15:sqref>
                        </c15:formulaRef>
                      </c:ext>
                    </c:extLst>
                    <c:strCache>
                      <c:ptCount val="7"/>
                      <c:pt idx="0">
                        <c:v>FY18</c:v>
                      </c:pt>
                      <c:pt idx="1">
                        <c:v>FY19</c:v>
                      </c:pt>
                      <c:pt idx="2">
                        <c:v>FY20</c:v>
                      </c:pt>
                      <c:pt idx="3">
                        <c:v>FY21</c:v>
                      </c:pt>
                      <c:pt idx="4">
                        <c:v>FY22</c:v>
                      </c:pt>
                      <c:pt idx="5">
                        <c:v>FY23e</c:v>
                      </c:pt>
                      <c:pt idx="6">
                        <c:v>FY22 ytd</c:v>
                      </c:pt>
                    </c:strCache>
                  </c:strRef>
                </c:cat>
                <c:val>
                  <c:numRef>
                    <c:extLst xmlns:c15="http://schemas.microsoft.com/office/drawing/2012/chart">
                      <c:ext xmlns:c15="http://schemas.microsoft.com/office/drawing/2012/chart" uri="{02D57815-91ED-43cb-92C2-25804820EDAC}">
                        <c15:formulaRef>
                          <c15:sqref>'PBL OLD'!$BH$14:$BL$14</c15:sqref>
                        </c15:formulaRef>
                      </c:ext>
                    </c:extLst>
                    <c:numCache>
                      <c:formatCode>General</c:formatCode>
                      <c:ptCount val="5"/>
                      <c:pt idx="4" formatCode="_(* #,##0.00_);_(* \(#,##0.00\);_(* &quot;-&quot;??_);_(@_)">
                        <c:v>3.7961773156692002</c:v>
                      </c:pt>
                    </c:numCache>
                  </c:numRef>
                </c:val>
                <c:smooth val="0"/>
                <c:extLst xmlns:c15="http://schemas.microsoft.com/office/drawing/2012/chart">
                  <c:ext xmlns:c16="http://schemas.microsoft.com/office/drawing/2014/chart" uri="{C3380CC4-5D6E-409C-BE32-E72D297353CC}">
                    <c16:uniqueId val="{00000008-901A-4856-8BB1-8DB036BB0B51}"/>
                  </c:ext>
                </c:extLst>
              </c15:ser>
            </c15:filteredLineSeries>
          </c:ext>
        </c:extLst>
      </c:lineChart>
      <c:catAx>
        <c:axId val="101931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19315544"/>
        <c:crosses val="autoZero"/>
        <c:auto val="1"/>
        <c:lblAlgn val="ctr"/>
        <c:lblOffset val="100"/>
        <c:noMultiLvlLbl val="0"/>
      </c:catAx>
      <c:valAx>
        <c:axId val="1019315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Ticket Sales ($b)</a:t>
                </a:r>
              </a:p>
            </c:rich>
          </c:tx>
          <c:overlay val="0"/>
          <c:spPr>
            <a:noFill/>
            <a:ln>
              <a:noFill/>
            </a:ln>
            <a:effectLst/>
          </c:sp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19316528"/>
        <c:crosses val="autoZero"/>
        <c:crossBetween val="between"/>
      </c:valAx>
    </c:plotArea>
    <c:legend>
      <c:legendPos val="b"/>
      <c:legendEntry>
        <c:idx val="0"/>
        <c:delete val="1"/>
      </c:legendEntry>
      <c:layout>
        <c:manualLayout>
          <c:xMode val="edge"/>
          <c:yMode val="edge"/>
          <c:x val="8.129886775224672E-3"/>
          <c:y val="0.73996485499830411"/>
          <c:w val="0.97826490419964396"/>
          <c:h val="0.2335768281946092"/>
        </c:manualLayout>
      </c:layout>
      <c:overlay val="0"/>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3"/>
          <c:order val="0"/>
          <c:tx>
            <c:strRef>
              <c:f>'PBL OLD'!$CA$25</c:f>
              <c:strCache>
                <c:ptCount val="1"/>
                <c:pt idx="0">
                  <c:v>ytd 50th Percentile</c:v>
                </c:pt>
              </c:strCache>
            </c:strRef>
          </c:tx>
          <c:spPr>
            <a:solidFill>
              <a:schemeClr val="accent4"/>
            </a:solidFill>
            <a:ln>
              <a:noFill/>
            </a:ln>
            <a:effectLst/>
          </c:spPr>
          <c:invertIfNegative val="0"/>
          <c:cat>
            <c:strRef>
              <c:f>'PBL OLD'!$CD$9:$CI$9</c:f>
              <c:strCache>
                <c:ptCount val="6"/>
                <c:pt idx="0">
                  <c:v>FY18*</c:v>
                </c:pt>
                <c:pt idx="1">
                  <c:v>FY19</c:v>
                </c:pt>
                <c:pt idx="2">
                  <c:v>FY20</c:v>
                </c:pt>
                <c:pt idx="3">
                  <c:v>FY21</c:v>
                </c:pt>
                <c:pt idx="4">
                  <c:v>FY22*</c:v>
                </c:pt>
                <c:pt idx="5">
                  <c:v>FY22 ytd</c:v>
                </c:pt>
              </c:strCache>
            </c:strRef>
          </c:cat>
          <c:val>
            <c:numRef>
              <c:f>'PBL OLD'!$CD$25:$CI$25</c:f>
              <c:numCache>
                <c:formatCode>General</c:formatCode>
                <c:ptCount val="6"/>
                <c:pt idx="4" formatCode="0.0000">
                  <c:v>20</c:v>
                </c:pt>
              </c:numCache>
            </c:numRef>
          </c:val>
          <c:extLst>
            <c:ext xmlns:c16="http://schemas.microsoft.com/office/drawing/2014/chart" uri="{C3380CC4-5D6E-409C-BE32-E72D297353CC}">
              <c16:uniqueId val="{00000000-468B-4BE5-AD15-FC9AF160521B}"/>
            </c:ext>
          </c:extLst>
        </c:ser>
        <c:ser>
          <c:idx val="0"/>
          <c:order val="1"/>
          <c:tx>
            <c:strRef>
              <c:f>'PBL OLD'!$CA$13</c:f>
              <c:strCache>
                <c:ptCount val="1"/>
                <c:pt idx="0">
                  <c:v>Actual</c:v>
                </c:pt>
              </c:strCache>
            </c:strRef>
          </c:tx>
          <c:spPr>
            <a:solidFill>
              <a:schemeClr val="accent1"/>
            </a:solidFill>
            <a:ln>
              <a:noFill/>
            </a:ln>
            <a:effectLst/>
          </c:spPr>
          <c:invertIfNegative val="0"/>
          <c:cat>
            <c:strRef>
              <c:f>'PBL OLD'!$CD$9:$CI$9</c:f>
              <c:strCache>
                <c:ptCount val="6"/>
                <c:pt idx="0">
                  <c:v>FY18*</c:v>
                </c:pt>
                <c:pt idx="1">
                  <c:v>FY19</c:v>
                </c:pt>
                <c:pt idx="2">
                  <c:v>FY20</c:v>
                </c:pt>
                <c:pt idx="3">
                  <c:v>FY21</c:v>
                </c:pt>
                <c:pt idx="4">
                  <c:v>FY22*</c:v>
                </c:pt>
                <c:pt idx="5">
                  <c:v>FY22 ytd</c:v>
                </c:pt>
              </c:strCache>
            </c:strRef>
          </c:cat>
          <c:val>
            <c:numRef>
              <c:f>'PBL OLD'!$CD$13:$CI$13</c:f>
              <c:numCache>
                <c:formatCode>General</c:formatCode>
                <c:ptCount val="6"/>
                <c:pt idx="0">
                  <c:v>15</c:v>
                </c:pt>
                <c:pt idx="1">
                  <c:v>27</c:v>
                </c:pt>
                <c:pt idx="2">
                  <c:v>25</c:v>
                </c:pt>
                <c:pt idx="3">
                  <c:v>26</c:v>
                </c:pt>
                <c:pt idx="4">
                  <c:v>30</c:v>
                </c:pt>
              </c:numCache>
            </c:numRef>
          </c:val>
          <c:extLst>
            <c:ext xmlns:c16="http://schemas.microsoft.com/office/drawing/2014/chart" uri="{C3380CC4-5D6E-409C-BE32-E72D297353CC}">
              <c16:uniqueId val="{00000001-468B-4BE5-AD15-FC9AF160521B}"/>
            </c:ext>
          </c:extLst>
        </c:ser>
        <c:ser>
          <c:idx val="6"/>
          <c:order val="2"/>
          <c:tx>
            <c:strRef>
              <c:f>'PBL OLD'!$CA$33</c:f>
              <c:strCache>
                <c:ptCount val="1"/>
                <c:pt idx="0">
                  <c:v>50th Percentile</c:v>
                </c:pt>
              </c:strCache>
            </c:strRef>
          </c:tx>
          <c:spPr>
            <a:solidFill>
              <a:schemeClr val="accent1">
                <a:lumMod val="60000"/>
              </a:schemeClr>
            </a:solidFill>
            <a:ln>
              <a:noFill/>
            </a:ln>
            <a:effectLst/>
          </c:spPr>
          <c:invertIfNegative val="0"/>
          <c:cat>
            <c:strRef>
              <c:f>'PBL OLD'!$CD$9:$CI$9</c:f>
              <c:strCache>
                <c:ptCount val="6"/>
                <c:pt idx="0">
                  <c:v>FY18*</c:v>
                </c:pt>
                <c:pt idx="1">
                  <c:v>FY19</c:v>
                </c:pt>
                <c:pt idx="2">
                  <c:v>FY20</c:v>
                </c:pt>
                <c:pt idx="3">
                  <c:v>FY21</c:v>
                </c:pt>
                <c:pt idx="4">
                  <c:v>FY22*</c:v>
                </c:pt>
                <c:pt idx="5">
                  <c:v>FY22 ytd</c:v>
                </c:pt>
              </c:strCache>
            </c:strRef>
          </c:cat>
          <c:val>
            <c:numRef>
              <c:f>'PBL OLD'!$CD$33:$CH$33</c:f>
              <c:numCache>
                <c:formatCode>0.0000</c:formatCode>
                <c:ptCount val="5"/>
                <c:pt idx="0">
                  <c:v>18.269230769230766</c:v>
                </c:pt>
                <c:pt idx="1">
                  <c:v>24</c:v>
                </c:pt>
                <c:pt idx="2">
                  <c:v>22</c:v>
                </c:pt>
                <c:pt idx="3">
                  <c:v>28</c:v>
                </c:pt>
                <c:pt idx="4">
                  <c:v>27</c:v>
                </c:pt>
              </c:numCache>
            </c:numRef>
          </c:val>
          <c:extLst>
            <c:ext xmlns:c16="http://schemas.microsoft.com/office/drawing/2014/chart" uri="{C3380CC4-5D6E-409C-BE32-E72D297353CC}">
              <c16:uniqueId val="{00000002-468B-4BE5-AD15-FC9AF160521B}"/>
            </c:ext>
          </c:extLst>
        </c:ser>
        <c:ser>
          <c:idx val="1"/>
          <c:order val="3"/>
          <c:tx>
            <c:strRef>
              <c:f>'PBL OLD'!$CA$14</c:f>
              <c:strCache>
                <c:ptCount val="1"/>
                <c:pt idx="0">
                  <c:v>Actual ytd Standardised</c:v>
                </c:pt>
              </c:strCache>
            </c:strRef>
          </c:tx>
          <c:spPr>
            <a:solidFill>
              <a:schemeClr val="accent2"/>
            </a:solidFill>
            <a:ln>
              <a:noFill/>
            </a:ln>
            <a:effectLst/>
          </c:spPr>
          <c:invertIfNegative val="0"/>
          <c:cat>
            <c:strRef>
              <c:f>'PBL OLD'!$CD$9:$CI$9</c:f>
              <c:strCache>
                <c:ptCount val="6"/>
                <c:pt idx="0">
                  <c:v>FY18*</c:v>
                </c:pt>
                <c:pt idx="1">
                  <c:v>FY19</c:v>
                </c:pt>
                <c:pt idx="2">
                  <c:v>FY20</c:v>
                </c:pt>
                <c:pt idx="3">
                  <c:v>FY21</c:v>
                </c:pt>
                <c:pt idx="4">
                  <c:v>FY22*</c:v>
                </c:pt>
                <c:pt idx="5">
                  <c:v>FY22 ytd</c:v>
                </c:pt>
              </c:strCache>
            </c:strRef>
          </c:cat>
          <c:val>
            <c:numRef>
              <c:f>'PBL OLD'!$CD$14:$CH$14</c:f>
              <c:numCache>
                <c:formatCode>General</c:formatCode>
                <c:ptCount val="5"/>
                <c:pt idx="4">
                  <c:v>29.433962264150942</c:v>
                </c:pt>
              </c:numCache>
            </c:numRef>
          </c:val>
          <c:extLst>
            <c:ext xmlns:c16="http://schemas.microsoft.com/office/drawing/2014/chart" uri="{C3380CC4-5D6E-409C-BE32-E72D297353CC}">
              <c16:uniqueId val="{00000003-468B-4BE5-AD15-FC9AF160521B}"/>
            </c:ext>
          </c:extLst>
        </c:ser>
        <c:ser>
          <c:idx val="2"/>
          <c:order val="4"/>
          <c:tx>
            <c:strRef>
              <c:f>'PBL OLD'!$CA$15</c:f>
              <c:strCache>
                <c:ptCount val="1"/>
                <c:pt idx="0">
                  <c:v>Actual ytd + 50th percentile</c:v>
                </c:pt>
              </c:strCache>
            </c:strRef>
          </c:tx>
          <c:spPr>
            <a:solidFill>
              <a:schemeClr val="accent3"/>
            </a:solidFill>
            <a:ln>
              <a:noFill/>
            </a:ln>
            <a:effectLst/>
          </c:spPr>
          <c:invertIfNegative val="0"/>
          <c:cat>
            <c:strRef>
              <c:f>'PBL OLD'!$CD$9:$CI$9</c:f>
              <c:strCache>
                <c:ptCount val="6"/>
                <c:pt idx="0">
                  <c:v>FY18*</c:v>
                </c:pt>
                <c:pt idx="1">
                  <c:v>FY19</c:v>
                </c:pt>
                <c:pt idx="2">
                  <c:v>FY20</c:v>
                </c:pt>
                <c:pt idx="3">
                  <c:v>FY21</c:v>
                </c:pt>
                <c:pt idx="4">
                  <c:v>FY22*</c:v>
                </c:pt>
                <c:pt idx="5">
                  <c:v>FY22 ytd</c:v>
                </c:pt>
              </c:strCache>
            </c:strRef>
          </c:cat>
          <c:val>
            <c:numRef>
              <c:f>'PBL OLD'!$CD$15:$CH$15</c:f>
              <c:numCache>
                <c:formatCode>General</c:formatCode>
                <c:ptCount val="5"/>
                <c:pt idx="4">
                  <c:v>37</c:v>
                </c:pt>
              </c:numCache>
            </c:numRef>
          </c:val>
          <c:extLst>
            <c:ext xmlns:c16="http://schemas.microsoft.com/office/drawing/2014/chart" uri="{C3380CC4-5D6E-409C-BE32-E72D297353CC}">
              <c16:uniqueId val="{00000004-468B-4BE5-AD15-FC9AF160521B}"/>
            </c:ext>
          </c:extLst>
        </c:ser>
        <c:dLbls>
          <c:showLegendKey val="0"/>
          <c:showVal val="0"/>
          <c:showCatName val="0"/>
          <c:showSerName val="0"/>
          <c:showPercent val="0"/>
          <c:showBubbleSize val="0"/>
        </c:dLbls>
        <c:gapWidth val="219"/>
        <c:overlap val="-27"/>
        <c:axId val="1019316528"/>
        <c:axId val="1019315544"/>
        <c:extLst/>
      </c:barChart>
      <c:catAx>
        <c:axId val="101931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19315544"/>
        <c:crosses val="autoZero"/>
        <c:auto val="1"/>
        <c:lblAlgn val="ctr"/>
        <c:lblOffset val="100"/>
        <c:noMultiLvlLbl val="0"/>
      </c:catAx>
      <c:valAx>
        <c:axId val="1019315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Ticket Sales ($b)</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193165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595740524807711"/>
          <c:y val="4.5604279555213005E-2"/>
          <c:w val="0.85715770307956141"/>
          <c:h val="0.63918755829072416"/>
        </c:manualLayout>
      </c:layout>
      <c:barChart>
        <c:barDir val="col"/>
        <c:grouping val="stacked"/>
        <c:varyColors val="0"/>
        <c:ser>
          <c:idx val="0"/>
          <c:order val="0"/>
          <c:tx>
            <c:strRef>
              <c:f>'PBL OLD'!$BG$35</c:f>
              <c:strCache>
                <c:ptCount val="1"/>
                <c:pt idx="0">
                  <c:v>Delete</c:v>
                </c:pt>
              </c:strCache>
            </c:strRef>
          </c:tx>
          <c:spPr>
            <a:noFill/>
          </c:spPr>
          <c:invertIfNegative val="0"/>
          <c:cat>
            <c:strRef>
              <c:f>'PBL OLD'!$BH$9:$BN$9</c:f>
              <c:strCache>
                <c:ptCount val="7"/>
                <c:pt idx="0">
                  <c:v>FY18</c:v>
                </c:pt>
                <c:pt idx="1">
                  <c:v>FY19</c:v>
                </c:pt>
                <c:pt idx="2">
                  <c:v>FY20</c:v>
                </c:pt>
                <c:pt idx="3">
                  <c:v>FY21</c:v>
                </c:pt>
                <c:pt idx="4">
                  <c:v>FY22</c:v>
                </c:pt>
                <c:pt idx="5">
                  <c:v>FY23e</c:v>
                </c:pt>
                <c:pt idx="6">
                  <c:v>FY22 ytd</c:v>
                </c:pt>
              </c:strCache>
            </c:strRef>
          </c:cat>
          <c:val>
            <c:numRef>
              <c:f>'PBL OLD'!$BH$35:$BN$35</c:f>
              <c:numCache>
                <c:formatCode>0.0000</c:formatCode>
                <c:ptCount val="7"/>
                <c:pt idx="0">
                  <c:v>0.88898749196337468</c:v>
                </c:pt>
                <c:pt idx="1">
                  <c:v>1.2628339576374232</c:v>
                </c:pt>
                <c:pt idx="2">
                  <c:v>1.497466908542763</c:v>
                </c:pt>
                <c:pt idx="3">
                  <c:v>1.8014767645404111</c:v>
                </c:pt>
                <c:pt idx="4">
                  <c:v>1.8374304196768296</c:v>
                </c:pt>
                <c:pt idx="5">
                  <c:v>1.6867811392566225</c:v>
                </c:pt>
                <c:pt idx="6">
                  <c:v>1.8374304196768296</c:v>
                </c:pt>
              </c:numCache>
            </c:numRef>
          </c:val>
          <c:extLst>
            <c:ext xmlns:c16="http://schemas.microsoft.com/office/drawing/2014/chart" uri="{C3380CC4-5D6E-409C-BE32-E72D297353CC}">
              <c16:uniqueId val="{00000000-3617-487D-9C5E-71E4C81F1754}"/>
            </c:ext>
          </c:extLst>
        </c:ser>
        <c:ser>
          <c:idx val="6"/>
          <c:order val="1"/>
          <c:tx>
            <c:strRef>
              <c:f>'PBL OLD'!$BG$36</c:f>
              <c:strCache>
                <c:ptCount val="1"/>
                <c:pt idx="0">
                  <c:v>Min to 5th Percentile</c:v>
                </c:pt>
              </c:strCache>
            </c:strRef>
          </c:tx>
          <c:spPr>
            <a:solidFill>
              <a:srgbClr val="7030A0"/>
            </a:solidFill>
          </c:spPr>
          <c:invertIfNegative val="0"/>
          <c:cat>
            <c:strRef>
              <c:f>'PBL OLD'!$BH$9:$BN$9</c:f>
              <c:strCache>
                <c:ptCount val="7"/>
                <c:pt idx="0">
                  <c:v>FY18</c:v>
                </c:pt>
                <c:pt idx="1">
                  <c:v>FY19</c:v>
                </c:pt>
                <c:pt idx="2">
                  <c:v>FY20</c:v>
                </c:pt>
                <c:pt idx="3">
                  <c:v>FY21</c:v>
                </c:pt>
                <c:pt idx="4">
                  <c:v>FY22</c:v>
                </c:pt>
                <c:pt idx="5">
                  <c:v>FY23e</c:v>
                </c:pt>
                <c:pt idx="6">
                  <c:v>FY22 ytd</c:v>
                </c:pt>
              </c:strCache>
            </c:strRef>
          </c:cat>
          <c:val>
            <c:numRef>
              <c:f>'PBL OLD'!$BH$36:$BN$36</c:f>
              <c:numCache>
                <c:formatCode>0.0000</c:formatCode>
                <c:ptCount val="7"/>
                <c:pt idx="0">
                  <c:v>0.1887850472067778</c:v>
                </c:pt>
                <c:pt idx="1">
                  <c:v>0.2713339913093713</c:v>
                </c:pt>
                <c:pt idx="2">
                  <c:v>0.33690357289335715</c:v>
                </c:pt>
                <c:pt idx="3">
                  <c:v>0.45935994667453928</c:v>
                </c:pt>
                <c:pt idx="4">
                  <c:v>0.59522218044897857</c:v>
                </c:pt>
                <c:pt idx="5">
                  <c:v>0.47374977495426629</c:v>
                </c:pt>
                <c:pt idx="6">
                  <c:v>0.59522218044897857</c:v>
                </c:pt>
              </c:numCache>
            </c:numRef>
          </c:val>
          <c:extLst>
            <c:ext xmlns:c16="http://schemas.microsoft.com/office/drawing/2014/chart" uri="{C3380CC4-5D6E-409C-BE32-E72D297353CC}">
              <c16:uniqueId val="{00000001-3617-487D-9C5E-71E4C81F1754}"/>
            </c:ext>
          </c:extLst>
        </c:ser>
        <c:ser>
          <c:idx val="8"/>
          <c:order val="2"/>
          <c:tx>
            <c:strRef>
              <c:f>'PBL OLD'!$BG$37</c:f>
              <c:strCache>
                <c:ptCount val="1"/>
                <c:pt idx="0">
                  <c:v>5th to 25th Percentile</c:v>
                </c:pt>
              </c:strCache>
            </c:strRef>
          </c:tx>
          <c:spPr>
            <a:solidFill>
              <a:schemeClr val="tx2">
                <a:lumMod val="60000"/>
                <a:lumOff val="40000"/>
              </a:schemeClr>
            </a:solidFill>
          </c:spPr>
          <c:invertIfNegative val="0"/>
          <c:cat>
            <c:strRef>
              <c:f>'PBL OLD'!$BH$9:$BN$9</c:f>
              <c:strCache>
                <c:ptCount val="7"/>
                <c:pt idx="0">
                  <c:v>FY18</c:v>
                </c:pt>
                <c:pt idx="1">
                  <c:v>FY19</c:v>
                </c:pt>
                <c:pt idx="2">
                  <c:v>FY20</c:v>
                </c:pt>
                <c:pt idx="3">
                  <c:v>FY21</c:v>
                </c:pt>
                <c:pt idx="4">
                  <c:v>FY22</c:v>
                </c:pt>
                <c:pt idx="5">
                  <c:v>FY23e</c:v>
                </c:pt>
                <c:pt idx="6">
                  <c:v>FY22 ytd</c:v>
                </c:pt>
              </c:strCache>
            </c:strRef>
          </c:cat>
          <c:val>
            <c:numRef>
              <c:f>'PBL OLD'!$BH$37:$BN$37</c:f>
              <c:numCache>
                <c:formatCode>0.0000</c:formatCode>
                <c:ptCount val="7"/>
                <c:pt idx="0">
                  <c:v>0.13256015533953636</c:v>
                </c:pt>
                <c:pt idx="1">
                  <c:v>0.23308226126661813</c:v>
                </c:pt>
                <c:pt idx="2">
                  <c:v>0.2535364855598945</c:v>
                </c:pt>
                <c:pt idx="3">
                  <c:v>0.29696568427794157</c:v>
                </c:pt>
                <c:pt idx="4">
                  <c:v>0.34347359494438656</c:v>
                </c:pt>
                <c:pt idx="5">
                  <c:v>0.30960932000823504</c:v>
                </c:pt>
                <c:pt idx="6">
                  <c:v>0.34347359494438656</c:v>
                </c:pt>
              </c:numCache>
            </c:numRef>
          </c:val>
          <c:extLst>
            <c:ext xmlns:c16="http://schemas.microsoft.com/office/drawing/2014/chart" uri="{C3380CC4-5D6E-409C-BE32-E72D297353CC}">
              <c16:uniqueId val="{00000002-3617-487D-9C5E-71E4C81F1754}"/>
            </c:ext>
          </c:extLst>
        </c:ser>
        <c:ser>
          <c:idx val="1"/>
          <c:order val="3"/>
          <c:tx>
            <c:strRef>
              <c:f>'PBL OLD'!$BG$38</c:f>
              <c:strCache>
                <c:ptCount val="1"/>
                <c:pt idx="0">
                  <c:v>25th to 75th Percentile</c:v>
                </c:pt>
              </c:strCache>
            </c:strRef>
          </c:tx>
          <c:spPr>
            <a:solidFill>
              <a:schemeClr val="bg2"/>
            </a:solidFill>
          </c:spPr>
          <c:invertIfNegative val="0"/>
          <c:cat>
            <c:strRef>
              <c:f>'PBL OLD'!$BH$9:$BN$9</c:f>
              <c:strCache>
                <c:ptCount val="7"/>
                <c:pt idx="0">
                  <c:v>FY18</c:v>
                </c:pt>
                <c:pt idx="1">
                  <c:v>FY19</c:v>
                </c:pt>
                <c:pt idx="2">
                  <c:v>FY20</c:v>
                </c:pt>
                <c:pt idx="3">
                  <c:v>FY21</c:v>
                </c:pt>
                <c:pt idx="4">
                  <c:v>FY22</c:v>
                </c:pt>
                <c:pt idx="5">
                  <c:v>FY23e</c:v>
                </c:pt>
                <c:pt idx="6">
                  <c:v>FY22 ytd</c:v>
                </c:pt>
              </c:strCache>
            </c:strRef>
          </c:cat>
          <c:val>
            <c:numRef>
              <c:f>'PBL OLD'!$BH$38:$BL$38</c:f>
              <c:numCache>
                <c:formatCode>0.0000</c:formatCode>
                <c:ptCount val="5"/>
                <c:pt idx="0">
                  <c:v>0.25687366549660706</c:v>
                </c:pt>
                <c:pt idx="1">
                  <c:v>0.4770360311494084</c:v>
                </c:pt>
                <c:pt idx="2">
                  <c:v>0.51521146886833735</c:v>
                </c:pt>
                <c:pt idx="3">
                  <c:v>0.51809636821058636</c:v>
                </c:pt>
                <c:pt idx="4">
                  <c:v>0.60676558914972034</c:v>
                </c:pt>
              </c:numCache>
            </c:numRef>
          </c:val>
          <c:extLst>
            <c:ext xmlns:c16="http://schemas.microsoft.com/office/drawing/2014/chart" uri="{C3380CC4-5D6E-409C-BE32-E72D297353CC}">
              <c16:uniqueId val="{00000003-3617-487D-9C5E-71E4C81F1754}"/>
            </c:ext>
          </c:extLst>
        </c:ser>
        <c:ser>
          <c:idx val="2"/>
          <c:order val="4"/>
          <c:tx>
            <c:strRef>
              <c:f>'PBL OLD'!$BG$39</c:f>
              <c:strCache>
                <c:ptCount val="1"/>
                <c:pt idx="0">
                  <c:v>75th to 95th Percentile</c:v>
                </c:pt>
              </c:strCache>
            </c:strRef>
          </c:tx>
          <c:spPr>
            <a:solidFill>
              <a:schemeClr val="accent2"/>
            </a:solidFill>
            <a:ln w="19050">
              <a:noFill/>
            </a:ln>
          </c:spPr>
          <c:invertIfNegative val="0"/>
          <c:cat>
            <c:strRef>
              <c:f>'PBL OLD'!$BH$9:$BN$9</c:f>
              <c:strCache>
                <c:ptCount val="7"/>
                <c:pt idx="0">
                  <c:v>FY18</c:v>
                </c:pt>
                <c:pt idx="1">
                  <c:v>FY19</c:v>
                </c:pt>
                <c:pt idx="2">
                  <c:v>FY20</c:v>
                </c:pt>
                <c:pt idx="3">
                  <c:v>FY21</c:v>
                </c:pt>
                <c:pt idx="4">
                  <c:v>FY22</c:v>
                </c:pt>
                <c:pt idx="5">
                  <c:v>FY23e</c:v>
                </c:pt>
                <c:pt idx="6">
                  <c:v>FY22 ytd</c:v>
                </c:pt>
              </c:strCache>
            </c:strRef>
          </c:cat>
          <c:val>
            <c:numRef>
              <c:f>'PBL OLD'!$BH$39:$BN$39</c:f>
              <c:numCache>
                <c:formatCode>0.0000</c:formatCode>
                <c:ptCount val="7"/>
                <c:pt idx="0">
                  <c:v>0.2479172920291095</c:v>
                </c:pt>
                <c:pt idx="1">
                  <c:v>0.45457143321454829</c:v>
                </c:pt>
                <c:pt idx="2">
                  <c:v>0.47435899378051793</c:v>
                </c:pt>
                <c:pt idx="3">
                  <c:v>0.48810928627648398</c:v>
                </c:pt>
                <c:pt idx="4">
                  <c:v>0.55646038184767832</c:v>
                </c:pt>
                <c:pt idx="5">
                  <c:v>0.52874832124535098</c:v>
                </c:pt>
                <c:pt idx="6">
                  <c:v>0.55646038184767832</c:v>
                </c:pt>
              </c:numCache>
            </c:numRef>
          </c:val>
          <c:extLst>
            <c:ext xmlns:c16="http://schemas.microsoft.com/office/drawing/2014/chart" uri="{C3380CC4-5D6E-409C-BE32-E72D297353CC}">
              <c16:uniqueId val="{00000004-3617-487D-9C5E-71E4C81F1754}"/>
            </c:ext>
          </c:extLst>
        </c:ser>
        <c:ser>
          <c:idx val="4"/>
          <c:order val="5"/>
          <c:tx>
            <c:strRef>
              <c:f>'PBL OLD'!$BG$40</c:f>
              <c:strCache>
                <c:ptCount val="1"/>
                <c:pt idx="0">
                  <c:v>95th Percentile to Max</c:v>
                </c:pt>
              </c:strCache>
            </c:strRef>
          </c:tx>
          <c:spPr>
            <a:solidFill>
              <a:schemeClr val="accent1"/>
            </a:solidFill>
            <a:ln w="19050">
              <a:noFill/>
            </a:ln>
          </c:spPr>
          <c:invertIfNegative val="0"/>
          <c:cat>
            <c:strRef>
              <c:f>'PBL OLD'!$BH$9:$BN$9</c:f>
              <c:strCache>
                <c:ptCount val="7"/>
                <c:pt idx="0">
                  <c:v>FY18</c:v>
                </c:pt>
                <c:pt idx="1">
                  <c:v>FY19</c:v>
                </c:pt>
                <c:pt idx="2">
                  <c:v>FY20</c:v>
                </c:pt>
                <c:pt idx="3">
                  <c:v>FY21</c:v>
                </c:pt>
                <c:pt idx="4">
                  <c:v>FY22</c:v>
                </c:pt>
                <c:pt idx="5">
                  <c:v>FY23e</c:v>
                </c:pt>
                <c:pt idx="6">
                  <c:v>FY22 ytd</c:v>
                </c:pt>
              </c:strCache>
            </c:strRef>
          </c:cat>
          <c:val>
            <c:numRef>
              <c:f>'PBL OLD'!$BH$40:$BN$40</c:f>
              <c:numCache>
                <c:formatCode>0.0000</c:formatCode>
                <c:ptCount val="7"/>
                <c:pt idx="0">
                  <c:v>0.82537497438512819</c:v>
                </c:pt>
                <c:pt idx="1">
                  <c:v>1.0215119601576026</c:v>
                </c:pt>
                <c:pt idx="2">
                  <c:v>1.2814072798090059</c:v>
                </c:pt>
                <c:pt idx="3">
                  <c:v>1.3035681378389739</c:v>
                </c:pt>
                <c:pt idx="4">
                  <c:v>1.2354468106542869</c:v>
                </c:pt>
                <c:pt idx="5">
                  <c:v>1.0777187838231868</c:v>
                </c:pt>
                <c:pt idx="6">
                  <c:v>1.2354468106542869</c:v>
                </c:pt>
              </c:numCache>
            </c:numRef>
          </c:val>
          <c:extLst>
            <c:ext xmlns:c16="http://schemas.microsoft.com/office/drawing/2014/chart" uri="{C3380CC4-5D6E-409C-BE32-E72D297353CC}">
              <c16:uniqueId val="{00000005-3617-487D-9C5E-71E4C81F1754}"/>
            </c:ext>
          </c:extLst>
        </c:ser>
        <c:dLbls>
          <c:showLegendKey val="0"/>
          <c:showVal val="0"/>
          <c:showCatName val="0"/>
          <c:showSerName val="0"/>
          <c:showPercent val="0"/>
          <c:showBubbleSize val="0"/>
        </c:dLbls>
        <c:gapWidth val="150"/>
        <c:overlap val="100"/>
        <c:axId val="1019316528"/>
        <c:axId val="1019315544"/>
      </c:barChart>
      <c:lineChart>
        <c:grouping val="standard"/>
        <c:varyColors val="0"/>
        <c:ser>
          <c:idx val="3"/>
          <c:order val="6"/>
          <c:tx>
            <c:strRef>
              <c:f>'PBL OLD'!$BG$12</c:f>
              <c:strCache>
                <c:ptCount val="1"/>
                <c:pt idx="0">
                  <c:v>Actual</c:v>
                </c:pt>
              </c:strCache>
            </c:strRef>
          </c:tx>
          <c:spPr>
            <a:ln>
              <a:noFill/>
            </a:ln>
          </c:spPr>
          <c:marker>
            <c:symbol val="diamond"/>
            <c:size val="12"/>
            <c:spPr>
              <a:solidFill>
                <a:schemeClr val="tx2"/>
              </a:solidFill>
              <a:ln w="19050">
                <a:solidFill>
                  <a:schemeClr val="tx1"/>
                </a:solidFill>
              </a:ln>
            </c:spPr>
          </c:marker>
          <c:dPt>
            <c:idx val="4"/>
            <c:marker>
              <c:spPr>
                <a:solidFill>
                  <a:schemeClr val="accent6"/>
                </a:solidFill>
                <a:ln w="19050">
                  <a:solidFill>
                    <a:schemeClr val="tx1"/>
                  </a:solidFill>
                </a:ln>
              </c:spPr>
            </c:marker>
            <c:bubble3D val="0"/>
            <c:extLst>
              <c:ext xmlns:c16="http://schemas.microsoft.com/office/drawing/2014/chart" uri="{C3380CC4-5D6E-409C-BE32-E72D297353CC}">
                <c16:uniqueId val="{00000006-3617-487D-9C5E-71E4C81F1754}"/>
              </c:ext>
            </c:extLst>
          </c:dPt>
          <c:cat>
            <c:strRef>
              <c:f>'PBL OLD'!$BH$9:$BL$9</c:f>
              <c:strCache>
                <c:ptCount val="5"/>
                <c:pt idx="0">
                  <c:v>FY18</c:v>
                </c:pt>
                <c:pt idx="1">
                  <c:v>FY19</c:v>
                </c:pt>
                <c:pt idx="2">
                  <c:v>FY20</c:v>
                </c:pt>
                <c:pt idx="3">
                  <c:v>FY21</c:v>
                </c:pt>
                <c:pt idx="4">
                  <c:v>FY22</c:v>
                </c:pt>
              </c:strCache>
            </c:strRef>
          </c:cat>
          <c:val>
            <c:numRef>
              <c:f>'PBL OLD'!$BH$12:$BN$12</c:f>
              <c:numCache>
                <c:formatCode>_(* #,##0.00_);_(* \(#,##0.00\);_(* "-"??_);_(@_)</c:formatCode>
                <c:ptCount val="7"/>
                <c:pt idx="0">
                  <c:v>1.2070041093615997</c:v>
                </c:pt>
                <c:pt idx="1">
                  <c:v>2.1948974502048002</c:v>
                </c:pt>
                <c:pt idx="2">
                  <c:v>2.5238888986673995</c:v>
                </c:pt>
                <c:pt idx="3">
                  <c:v>2.4538385194818004</c:v>
                </c:pt>
                <c:pt idx="4">
                  <c:v>3.3078763443396002</c:v>
                </c:pt>
                <c:pt idx="6">
                  <c:v>3.3078763443396002</c:v>
                </c:pt>
              </c:numCache>
            </c:numRef>
          </c:val>
          <c:smooth val="0"/>
          <c:extLst>
            <c:ext xmlns:c16="http://schemas.microsoft.com/office/drawing/2014/chart" uri="{C3380CC4-5D6E-409C-BE32-E72D297353CC}">
              <c16:uniqueId val="{00000007-3617-487D-9C5E-71E4C81F1754}"/>
            </c:ext>
          </c:extLst>
        </c:ser>
        <c:dLbls>
          <c:showLegendKey val="0"/>
          <c:showVal val="0"/>
          <c:showCatName val="0"/>
          <c:showSerName val="0"/>
          <c:showPercent val="0"/>
          <c:showBubbleSize val="0"/>
        </c:dLbls>
        <c:marker val="1"/>
        <c:smooth val="0"/>
        <c:axId val="1019316528"/>
        <c:axId val="1019315544"/>
        <c:extLst>
          <c:ext xmlns:c15="http://schemas.microsoft.com/office/drawing/2012/chart" uri="{02D57815-91ED-43cb-92C2-25804820EDAC}">
            <c15:filteredLineSeries>
              <c15:ser>
                <c:idx val="5"/>
                <c:order val="7"/>
                <c:tx>
                  <c:strRef>
                    <c:extLst>
                      <c:ext uri="{02D57815-91ED-43cb-92C2-25804820EDAC}">
                        <c15:formulaRef>
                          <c15:sqref>'PBL OLD'!$BG$13</c15:sqref>
                        </c15:formulaRef>
                      </c:ext>
                    </c:extLst>
                    <c:strCache>
                      <c:ptCount val="1"/>
                      <c:pt idx="0">
                        <c:v>Actual ytd Standardised</c:v>
                      </c:pt>
                    </c:strCache>
                  </c:strRef>
                </c:tx>
                <c:spPr>
                  <a:ln w="19050">
                    <a:noFill/>
                  </a:ln>
                </c:spPr>
                <c:marker>
                  <c:symbol val="triangle"/>
                  <c:size val="10"/>
                  <c:spPr>
                    <a:solidFill>
                      <a:schemeClr val="accent6"/>
                    </a:solidFill>
                    <a:ln w="12700">
                      <a:solidFill>
                        <a:schemeClr val="tx1"/>
                      </a:solidFill>
                    </a:ln>
                  </c:spPr>
                </c:marker>
                <c:val>
                  <c:numRef>
                    <c:extLst>
                      <c:ext uri="{02D57815-91ED-43cb-92C2-25804820EDAC}">
                        <c15:formulaRef>
                          <c15:sqref>'PBL OLD'!$BH$13:$BL$13</c15:sqref>
                        </c15:formulaRef>
                      </c:ext>
                    </c:extLst>
                    <c:numCache>
                      <c:formatCode>_(* #,##0.00_);_(* \(#,##0.00\);_(* "-"??_);_(@_)</c:formatCode>
                      <c:ptCount val="5"/>
                      <c:pt idx="4">
                        <c:v>3.2454635831256451</c:v>
                      </c:pt>
                    </c:numCache>
                  </c:numRef>
                </c:val>
                <c:smooth val="0"/>
                <c:extLst>
                  <c:ext xmlns:c16="http://schemas.microsoft.com/office/drawing/2014/chart" uri="{C3380CC4-5D6E-409C-BE32-E72D297353CC}">
                    <c16:uniqueId val="{00000008-3617-487D-9C5E-71E4C81F1754}"/>
                  </c:ext>
                </c:extLst>
              </c15:ser>
            </c15:filteredLineSeries>
            <c15:filteredLineSeries>
              <c15:ser>
                <c:idx val="7"/>
                <c:order val="8"/>
                <c:tx>
                  <c:strRef>
                    <c:extLst xmlns:c15="http://schemas.microsoft.com/office/drawing/2012/chart">
                      <c:ext xmlns:c15="http://schemas.microsoft.com/office/drawing/2012/chart" uri="{02D57815-91ED-43cb-92C2-25804820EDAC}">
                        <c15:formulaRef>
                          <c15:sqref>'PBL OLD'!$BG$14</c15:sqref>
                        </c15:formulaRef>
                      </c:ext>
                    </c:extLst>
                    <c:strCache>
                      <c:ptCount val="1"/>
                      <c:pt idx="0">
                        <c:v>Actual ytd + 50th percentile</c:v>
                      </c:pt>
                    </c:strCache>
                  </c:strRef>
                </c:tx>
                <c:spPr>
                  <a:ln w="19050">
                    <a:noFill/>
                  </a:ln>
                </c:spPr>
                <c:marker>
                  <c:symbol val="square"/>
                  <c:size val="9"/>
                  <c:spPr>
                    <a:solidFill>
                      <a:schemeClr val="accent5"/>
                    </a:solidFill>
                    <a:ln w="12700">
                      <a:solidFill>
                        <a:schemeClr val="tx1"/>
                      </a:solidFill>
                    </a:ln>
                  </c:spPr>
                </c:marker>
                <c:val>
                  <c:numRef>
                    <c:extLst xmlns:c15="http://schemas.microsoft.com/office/drawing/2012/chart">
                      <c:ext xmlns:c15="http://schemas.microsoft.com/office/drawing/2012/chart" uri="{02D57815-91ED-43cb-92C2-25804820EDAC}">
                        <c15:formulaRef>
                          <c15:sqref>'PBL OLD'!$BH$14:$BL$14</c15:sqref>
                        </c15:formulaRef>
                      </c:ext>
                    </c:extLst>
                    <c:numCache>
                      <c:formatCode>General</c:formatCode>
                      <c:ptCount val="5"/>
                      <c:pt idx="4" formatCode="_(* #,##0.00_);_(* \(#,##0.00\);_(* &quot;-&quot;??_);_(@_)">
                        <c:v>3.7961773156692002</c:v>
                      </c:pt>
                    </c:numCache>
                  </c:numRef>
                </c:val>
                <c:smooth val="0"/>
                <c:extLst xmlns:c15="http://schemas.microsoft.com/office/drawing/2012/chart">
                  <c:ext xmlns:c16="http://schemas.microsoft.com/office/drawing/2014/chart" uri="{C3380CC4-5D6E-409C-BE32-E72D297353CC}">
                    <c16:uniqueId val="{00000009-3617-487D-9C5E-71E4C81F1754}"/>
                  </c:ext>
                </c:extLst>
              </c15:ser>
            </c15:filteredLineSeries>
          </c:ext>
        </c:extLst>
      </c:lineChart>
      <c:catAx>
        <c:axId val="101931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19315544"/>
        <c:crosses val="autoZero"/>
        <c:auto val="1"/>
        <c:lblAlgn val="ctr"/>
        <c:lblOffset val="100"/>
        <c:noMultiLvlLbl val="0"/>
      </c:catAx>
      <c:valAx>
        <c:axId val="1019315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Ticket Sales ($b)</a:t>
                </a:r>
              </a:p>
            </c:rich>
          </c:tx>
          <c:overlay val="0"/>
          <c:spPr>
            <a:noFill/>
            <a:ln>
              <a:noFill/>
            </a:ln>
            <a:effectLst/>
          </c:sp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19316528"/>
        <c:crosses val="autoZero"/>
        <c:crossBetween val="between"/>
      </c:valAx>
    </c:plotArea>
    <c:legend>
      <c:legendPos val="b"/>
      <c:legendEntry>
        <c:idx val="0"/>
        <c:delete val="1"/>
      </c:legendEntry>
      <c:layout>
        <c:manualLayout>
          <c:xMode val="edge"/>
          <c:yMode val="edge"/>
          <c:x val="1.5417605146654138E-4"/>
          <c:y val="0.76483991657387485"/>
          <c:w val="0.97826490419964396"/>
          <c:h val="0.2335768281946092"/>
        </c:manualLayout>
      </c:layout>
      <c:overlay val="0"/>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6"/>
          <c:order val="1"/>
          <c:tx>
            <c:strRef>
              <c:f>'PBL OLD'!$BG$58</c:f>
              <c:strCache>
                <c:ptCount val="1"/>
                <c:pt idx="0">
                  <c:v>-3</c:v>
                </c:pt>
              </c:strCache>
            </c:strRef>
          </c:tx>
          <c:spPr>
            <a:noFill/>
          </c:spPr>
          <c:invertIfNegative val="0"/>
          <c:cat>
            <c:strRef>
              <c:f>'PBL OLD'!$BH$9:$BN$9</c:f>
              <c:strCache>
                <c:ptCount val="7"/>
                <c:pt idx="0">
                  <c:v>FY18</c:v>
                </c:pt>
                <c:pt idx="1">
                  <c:v>FY19</c:v>
                </c:pt>
                <c:pt idx="2">
                  <c:v>FY20</c:v>
                </c:pt>
                <c:pt idx="3">
                  <c:v>FY21</c:v>
                </c:pt>
                <c:pt idx="4">
                  <c:v>FY22</c:v>
                </c:pt>
                <c:pt idx="5">
                  <c:v>FY23e</c:v>
                </c:pt>
                <c:pt idx="6">
                  <c:v>FY22 ytd</c:v>
                </c:pt>
              </c:strCache>
            </c:strRef>
          </c:cat>
          <c:val>
            <c:numRef>
              <c:f>'PBL OLD'!$BH$58:$BN$58</c:f>
              <c:numCache>
                <c:formatCode>0.0000</c:formatCode>
                <c:ptCount val="7"/>
                <c:pt idx="0">
                  <c:v>0.76077140862439452</c:v>
                </c:pt>
                <c:pt idx="1">
                  <c:v>0.96211362050042659</c:v>
                </c:pt>
                <c:pt idx="2">
                  <c:v>1.2154511686147618</c:v>
                </c:pt>
                <c:pt idx="3">
                  <c:v>1.6401934120328179</c:v>
                </c:pt>
                <c:pt idx="4">
                  <c:v>1.7178364500186845</c:v>
                </c:pt>
                <c:pt idx="5">
                  <c:v>0</c:v>
                </c:pt>
                <c:pt idx="6">
                  <c:v>1.1702306615156521</c:v>
                </c:pt>
              </c:numCache>
            </c:numRef>
          </c:val>
          <c:extLst>
            <c:ext xmlns:c16="http://schemas.microsoft.com/office/drawing/2014/chart" uri="{C3380CC4-5D6E-409C-BE32-E72D297353CC}">
              <c16:uniqueId val="{00000000-FC02-4B3E-B311-E8B76F101C74}"/>
            </c:ext>
          </c:extLst>
        </c:ser>
        <c:ser>
          <c:idx val="8"/>
          <c:order val="2"/>
          <c:tx>
            <c:strRef>
              <c:f>'PBL OLD'!$BG$59</c:f>
              <c:strCache>
                <c:ptCount val="1"/>
                <c:pt idx="0">
                  <c:v>-2</c:v>
                </c:pt>
              </c:strCache>
            </c:strRef>
          </c:tx>
          <c:spPr>
            <a:solidFill>
              <a:schemeClr val="bg2">
                <a:lumMod val="40000"/>
                <a:lumOff val="60000"/>
              </a:schemeClr>
            </a:solidFill>
          </c:spPr>
          <c:invertIfNegative val="0"/>
          <c:cat>
            <c:strRef>
              <c:f>'PBL OLD'!$BH$9:$BN$9</c:f>
              <c:strCache>
                <c:ptCount val="7"/>
                <c:pt idx="0">
                  <c:v>FY18</c:v>
                </c:pt>
                <c:pt idx="1">
                  <c:v>FY19</c:v>
                </c:pt>
                <c:pt idx="2">
                  <c:v>FY20</c:v>
                </c:pt>
                <c:pt idx="3">
                  <c:v>FY21</c:v>
                </c:pt>
                <c:pt idx="4">
                  <c:v>FY22</c:v>
                </c:pt>
                <c:pt idx="5">
                  <c:v>FY23e</c:v>
                </c:pt>
                <c:pt idx="6">
                  <c:v>FY22 ytd</c:v>
                </c:pt>
              </c:strCache>
            </c:strRef>
          </c:cat>
          <c:val>
            <c:numRef>
              <c:f>'PBL OLD'!$BH$59:$BN$59</c:f>
              <c:numCache>
                <c:formatCode>0.0000</c:formatCode>
                <c:ptCount val="7"/>
                <c:pt idx="0">
                  <c:v>0.19718453594883756</c:v>
                </c:pt>
                <c:pt idx="1">
                  <c:v>0.35736620415252784</c:v>
                </c:pt>
                <c:pt idx="2">
                  <c:v>0.38568527725185464</c:v>
                </c:pt>
                <c:pt idx="3">
                  <c:v>0.40000489037945752</c:v>
                </c:pt>
                <c:pt idx="4">
                  <c:v>0.46416594128201427</c:v>
                </c:pt>
                <c:pt idx="5">
                  <c:v>0</c:v>
                </c:pt>
                <c:pt idx="6">
                  <c:v>0.42016652921917363</c:v>
                </c:pt>
              </c:numCache>
            </c:numRef>
          </c:val>
          <c:extLst>
            <c:ext xmlns:c16="http://schemas.microsoft.com/office/drawing/2014/chart" uri="{C3380CC4-5D6E-409C-BE32-E72D297353CC}">
              <c16:uniqueId val="{00000001-FC02-4B3E-B311-E8B76F101C74}"/>
            </c:ext>
          </c:extLst>
        </c:ser>
        <c:ser>
          <c:idx val="9"/>
          <c:order val="3"/>
          <c:tx>
            <c:strRef>
              <c:f>'PBL OLD'!$BG$60</c:f>
              <c:strCache>
                <c:ptCount val="1"/>
                <c:pt idx="0">
                  <c:v>-1</c:v>
                </c:pt>
              </c:strCache>
            </c:strRef>
          </c:tx>
          <c:spPr>
            <a:solidFill>
              <a:schemeClr val="accent5">
                <a:lumMod val="40000"/>
                <a:lumOff val="60000"/>
              </a:schemeClr>
            </a:solidFill>
          </c:spPr>
          <c:invertIfNegative val="0"/>
          <c:cat>
            <c:strRef>
              <c:f>'PBL OLD'!$BH$9:$BN$9</c:f>
              <c:strCache>
                <c:ptCount val="7"/>
                <c:pt idx="0">
                  <c:v>FY18</c:v>
                </c:pt>
                <c:pt idx="1">
                  <c:v>FY19</c:v>
                </c:pt>
                <c:pt idx="2">
                  <c:v>FY20</c:v>
                </c:pt>
                <c:pt idx="3">
                  <c:v>FY21</c:v>
                </c:pt>
                <c:pt idx="4">
                  <c:v>FY22</c:v>
                </c:pt>
                <c:pt idx="5">
                  <c:v>FY23e</c:v>
                </c:pt>
                <c:pt idx="6">
                  <c:v>FY22 ytd</c:v>
                </c:pt>
              </c:strCache>
            </c:strRef>
          </c:cat>
          <c:val>
            <c:numRef>
              <c:f>'PBL OLD'!$BH$60:$BN$60</c:f>
              <c:numCache>
                <c:formatCode>0.0000</c:formatCode>
                <c:ptCount val="7"/>
                <c:pt idx="0">
                  <c:v>0.19718453594883767</c:v>
                </c:pt>
                <c:pt idx="1">
                  <c:v>0.35736620415252784</c:v>
                </c:pt>
                <c:pt idx="2">
                  <c:v>0.38568527725185442</c:v>
                </c:pt>
                <c:pt idx="3">
                  <c:v>0.40000489037945774</c:v>
                </c:pt>
                <c:pt idx="4">
                  <c:v>0.46416594128201405</c:v>
                </c:pt>
                <c:pt idx="5">
                  <c:v>0</c:v>
                </c:pt>
                <c:pt idx="6">
                  <c:v>0.42016652921917363</c:v>
                </c:pt>
              </c:numCache>
            </c:numRef>
          </c:val>
          <c:extLst>
            <c:ext xmlns:c16="http://schemas.microsoft.com/office/drawing/2014/chart" uri="{C3380CC4-5D6E-409C-BE32-E72D297353CC}">
              <c16:uniqueId val="{00000002-FC02-4B3E-B311-E8B76F101C74}"/>
            </c:ext>
          </c:extLst>
        </c:ser>
        <c:ser>
          <c:idx val="10"/>
          <c:order val="4"/>
          <c:tx>
            <c:strRef>
              <c:f>'PBL OLD'!$BG$61</c:f>
              <c:strCache>
                <c:ptCount val="1"/>
                <c:pt idx="0">
                  <c:v>0</c:v>
                </c:pt>
              </c:strCache>
            </c:strRef>
          </c:tx>
          <c:spPr>
            <a:solidFill>
              <a:schemeClr val="tx2">
                <a:lumMod val="20000"/>
                <a:lumOff val="80000"/>
              </a:schemeClr>
            </a:solidFill>
          </c:spPr>
          <c:invertIfNegative val="0"/>
          <c:cat>
            <c:strRef>
              <c:f>'PBL OLD'!$BH$9:$BN$9</c:f>
              <c:strCache>
                <c:ptCount val="7"/>
                <c:pt idx="0">
                  <c:v>FY18</c:v>
                </c:pt>
                <c:pt idx="1">
                  <c:v>FY19</c:v>
                </c:pt>
                <c:pt idx="2">
                  <c:v>FY20</c:v>
                </c:pt>
                <c:pt idx="3">
                  <c:v>FY21</c:v>
                </c:pt>
                <c:pt idx="4">
                  <c:v>FY22</c:v>
                </c:pt>
                <c:pt idx="5">
                  <c:v>FY23e</c:v>
                </c:pt>
                <c:pt idx="6">
                  <c:v>FY22 ytd</c:v>
                </c:pt>
              </c:strCache>
            </c:strRef>
          </c:cat>
          <c:val>
            <c:numRef>
              <c:f>'PBL OLD'!$BH$61:$BN$61</c:f>
              <c:numCache>
                <c:formatCode>0.0000</c:formatCode>
                <c:ptCount val="7"/>
                <c:pt idx="0">
                  <c:v>0.19718453594883756</c:v>
                </c:pt>
                <c:pt idx="1">
                  <c:v>0.35736620415252807</c:v>
                </c:pt>
                <c:pt idx="2">
                  <c:v>0.38568527725185442</c:v>
                </c:pt>
                <c:pt idx="3">
                  <c:v>0.4000048903794573</c:v>
                </c:pt>
                <c:pt idx="4">
                  <c:v>0.46416594128201449</c:v>
                </c:pt>
                <c:pt idx="5">
                  <c:v>0</c:v>
                </c:pt>
                <c:pt idx="6">
                  <c:v>0.42016652921917386</c:v>
                </c:pt>
              </c:numCache>
            </c:numRef>
          </c:val>
          <c:extLst>
            <c:ext xmlns:c16="http://schemas.microsoft.com/office/drawing/2014/chart" uri="{C3380CC4-5D6E-409C-BE32-E72D297353CC}">
              <c16:uniqueId val="{00000003-FC02-4B3E-B311-E8B76F101C74}"/>
            </c:ext>
          </c:extLst>
        </c:ser>
        <c:ser>
          <c:idx val="1"/>
          <c:order val="5"/>
          <c:tx>
            <c:strRef>
              <c:f>'PBL OLD'!$BG$62</c:f>
              <c:strCache>
                <c:ptCount val="1"/>
                <c:pt idx="0">
                  <c:v>+1</c:v>
                </c:pt>
              </c:strCache>
            </c:strRef>
          </c:tx>
          <c:spPr>
            <a:solidFill>
              <a:schemeClr val="tx2">
                <a:lumMod val="20000"/>
                <a:lumOff val="80000"/>
              </a:schemeClr>
            </a:solidFill>
          </c:spPr>
          <c:invertIfNegative val="0"/>
          <c:cat>
            <c:strRef>
              <c:f>'PBL OLD'!$BH$9:$BN$9</c:f>
              <c:strCache>
                <c:ptCount val="7"/>
                <c:pt idx="0">
                  <c:v>FY18</c:v>
                </c:pt>
                <c:pt idx="1">
                  <c:v>FY19</c:v>
                </c:pt>
                <c:pt idx="2">
                  <c:v>FY20</c:v>
                </c:pt>
                <c:pt idx="3">
                  <c:v>FY21</c:v>
                </c:pt>
                <c:pt idx="4">
                  <c:v>FY22</c:v>
                </c:pt>
                <c:pt idx="5">
                  <c:v>FY23e</c:v>
                </c:pt>
                <c:pt idx="6">
                  <c:v>FY22 ytd</c:v>
                </c:pt>
              </c:strCache>
            </c:strRef>
          </c:cat>
          <c:val>
            <c:numRef>
              <c:f>'PBL OLD'!$BH$62:$BL$62</c:f>
              <c:numCache>
                <c:formatCode>0.0000</c:formatCode>
                <c:ptCount val="5"/>
                <c:pt idx="0">
                  <c:v>0.19718453594883778</c:v>
                </c:pt>
                <c:pt idx="1">
                  <c:v>0.35736620415252807</c:v>
                </c:pt>
                <c:pt idx="2">
                  <c:v>0.38568527725185442</c:v>
                </c:pt>
                <c:pt idx="3">
                  <c:v>0.4000048903794573</c:v>
                </c:pt>
                <c:pt idx="4">
                  <c:v>0.46416594128201449</c:v>
                </c:pt>
              </c:numCache>
            </c:numRef>
          </c:val>
          <c:extLst>
            <c:ext xmlns:c16="http://schemas.microsoft.com/office/drawing/2014/chart" uri="{C3380CC4-5D6E-409C-BE32-E72D297353CC}">
              <c16:uniqueId val="{00000004-FC02-4B3E-B311-E8B76F101C74}"/>
            </c:ext>
          </c:extLst>
        </c:ser>
        <c:ser>
          <c:idx val="2"/>
          <c:order val="6"/>
          <c:tx>
            <c:strRef>
              <c:f>'PBL OLD'!$BG$63</c:f>
              <c:strCache>
                <c:ptCount val="1"/>
                <c:pt idx="0">
                  <c:v>+2</c:v>
                </c:pt>
              </c:strCache>
            </c:strRef>
          </c:tx>
          <c:spPr>
            <a:solidFill>
              <a:schemeClr val="accent5">
                <a:lumMod val="40000"/>
                <a:lumOff val="60000"/>
              </a:schemeClr>
            </a:solidFill>
          </c:spPr>
          <c:invertIfNegative val="0"/>
          <c:cat>
            <c:strRef>
              <c:f>'PBL OLD'!$BH$9:$BN$9</c:f>
              <c:strCache>
                <c:ptCount val="7"/>
                <c:pt idx="0">
                  <c:v>FY18</c:v>
                </c:pt>
                <c:pt idx="1">
                  <c:v>FY19</c:v>
                </c:pt>
                <c:pt idx="2">
                  <c:v>FY20</c:v>
                </c:pt>
                <c:pt idx="3">
                  <c:v>FY21</c:v>
                </c:pt>
                <c:pt idx="4">
                  <c:v>FY22</c:v>
                </c:pt>
                <c:pt idx="5">
                  <c:v>FY23e</c:v>
                </c:pt>
                <c:pt idx="6">
                  <c:v>FY22 ytd</c:v>
                </c:pt>
              </c:strCache>
            </c:strRef>
          </c:cat>
          <c:val>
            <c:numRef>
              <c:f>'PBL OLD'!$BH$63:$BN$63</c:f>
              <c:numCache>
                <c:formatCode>0.0000</c:formatCode>
                <c:ptCount val="7"/>
                <c:pt idx="0">
                  <c:v>0.19718453594883756</c:v>
                </c:pt>
                <c:pt idx="1">
                  <c:v>0.35736620415252807</c:v>
                </c:pt>
                <c:pt idx="2">
                  <c:v>0.38568527725185442</c:v>
                </c:pt>
                <c:pt idx="3">
                  <c:v>0.40000489037945774</c:v>
                </c:pt>
                <c:pt idx="4">
                  <c:v>0.46416594128201361</c:v>
                </c:pt>
                <c:pt idx="5">
                  <c:v>0</c:v>
                </c:pt>
                <c:pt idx="6">
                  <c:v>0.42016652921917386</c:v>
                </c:pt>
              </c:numCache>
            </c:numRef>
          </c:val>
          <c:extLst>
            <c:ext xmlns:c16="http://schemas.microsoft.com/office/drawing/2014/chart" uri="{C3380CC4-5D6E-409C-BE32-E72D297353CC}">
              <c16:uniqueId val="{00000005-FC02-4B3E-B311-E8B76F101C74}"/>
            </c:ext>
          </c:extLst>
        </c:ser>
        <c:ser>
          <c:idx val="3"/>
          <c:order val="7"/>
          <c:tx>
            <c:strRef>
              <c:f>'PBL OLD'!$BG$64</c:f>
              <c:strCache>
                <c:ptCount val="1"/>
                <c:pt idx="0">
                  <c:v>+3</c:v>
                </c:pt>
              </c:strCache>
            </c:strRef>
          </c:tx>
          <c:spPr>
            <a:solidFill>
              <a:schemeClr val="bg2">
                <a:lumMod val="40000"/>
                <a:lumOff val="60000"/>
              </a:schemeClr>
            </a:solidFill>
            <a:ln w="19050">
              <a:noFill/>
            </a:ln>
          </c:spPr>
          <c:invertIfNegative val="0"/>
          <c:cat>
            <c:strRef>
              <c:f>'PBL OLD'!$BH$9:$BN$9</c:f>
              <c:strCache>
                <c:ptCount val="7"/>
                <c:pt idx="0">
                  <c:v>FY18</c:v>
                </c:pt>
                <c:pt idx="1">
                  <c:v>FY19</c:v>
                </c:pt>
                <c:pt idx="2">
                  <c:v>FY20</c:v>
                </c:pt>
                <c:pt idx="3">
                  <c:v>FY21</c:v>
                </c:pt>
                <c:pt idx="4">
                  <c:v>FY22</c:v>
                </c:pt>
                <c:pt idx="5">
                  <c:v>FY23e</c:v>
                </c:pt>
                <c:pt idx="6">
                  <c:v>FY22 ytd</c:v>
                </c:pt>
              </c:strCache>
            </c:strRef>
          </c:cat>
          <c:val>
            <c:numRef>
              <c:f>'PBL OLD'!$BH$64:$BN$64</c:f>
              <c:numCache>
                <c:formatCode>0.0000</c:formatCode>
                <c:ptCount val="7"/>
                <c:pt idx="0">
                  <c:v>0.19718453594883756</c:v>
                </c:pt>
                <c:pt idx="1">
                  <c:v>0.35736620415252762</c:v>
                </c:pt>
                <c:pt idx="2">
                  <c:v>0.38568527725185442</c:v>
                </c:pt>
                <c:pt idx="3">
                  <c:v>0.40000489037945774</c:v>
                </c:pt>
                <c:pt idx="4">
                  <c:v>0.46416594128201449</c:v>
                </c:pt>
                <c:pt idx="5">
                  <c:v>0</c:v>
                </c:pt>
                <c:pt idx="6">
                  <c:v>0.42016652921917341</c:v>
                </c:pt>
              </c:numCache>
            </c:numRef>
          </c:val>
          <c:extLst>
            <c:ext xmlns:c16="http://schemas.microsoft.com/office/drawing/2014/chart" uri="{C3380CC4-5D6E-409C-BE32-E72D297353CC}">
              <c16:uniqueId val="{00000006-FC02-4B3E-B311-E8B76F101C74}"/>
            </c:ext>
          </c:extLst>
        </c:ser>
        <c:dLbls>
          <c:showLegendKey val="0"/>
          <c:showVal val="0"/>
          <c:showCatName val="0"/>
          <c:showSerName val="0"/>
          <c:showPercent val="0"/>
          <c:showBubbleSize val="0"/>
        </c:dLbls>
        <c:gapWidth val="150"/>
        <c:overlap val="100"/>
        <c:axId val="1019316528"/>
        <c:axId val="1019315544"/>
      </c:barChart>
      <c:lineChart>
        <c:grouping val="stacked"/>
        <c:varyColors val="0"/>
        <c:ser>
          <c:idx val="0"/>
          <c:order val="0"/>
          <c:tx>
            <c:strRef>
              <c:f>'PBL OLD'!$BG$12</c:f>
              <c:strCache>
                <c:ptCount val="1"/>
                <c:pt idx="0">
                  <c:v>Actual</c:v>
                </c:pt>
              </c:strCache>
            </c:strRef>
          </c:tx>
          <c:spPr>
            <a:ln>
              <a:noFill/>
            </a:ln>
          </c:spPr>
          <c:marker>
            <c:symbol val="diamond"/>
            <c:size val="13"/>
            <c:spPr>
              <a:solidFill>
                <a:schemeClr val="tx2"/>
              </a:solidFill>
              <a:ln w="25400">
                <a:solidFill>
                  <a:schemeClr val="tx1"/>
                </a:solidFill>
              </a:ln>
            </c:spPr>
          </c:marker>
          <c:dPt>
            <c:idx val="4"/>
            <c:marker>
              <c:spPr>
                <a:solidFill>
                  <a:schemeClr val="accent6"/>
                </a:solidFill>
                <a:ln w="25400">
                  <a:solidFill>
                    <a:schemeClr val="tx1"/>
                  </a:solidFill>
                </a:ln>
              </c:spPr>
            </c:marker>
            <c:bubble3D val="0"/>
            <c:extLst>
              <c:ext xmlns:c16="http://schemas.microsoft.com/office/drawing/2014/chart" uri="{C3380CC4-5D6E-409C-BE32-E72D297353CC}">
                <c16:uniqueId val="{00000007-FC02-4B3E-B311-E8B76F101C74}"/>
              </c:ext>
            </c:extLst>
          </c:dPt>
          <c:cat>
            <c:strRef>
              <c:f>'PBL OLD'!$BH$9:$BN$9</c:f>
              <c:strCache>
                <c:ptCount val="7"/>
                <c:pt idx="0">
                  <c:v>FY18</c:v>
                </c:pt>
                <c:pt idx="1">
                  <c:v>FY19</c:v>
                </c:pt>
                <c:pt idx="2">
                  <c:v>FY20</c:v>
                </c:pt>
                <c:pt idx="3">
                  <c:v>FY21</c:v>
                </c:pt>
                <c:pt idx="4">
                  <c:v>FY22</c:v>
                </c:pt>
                <c:pt idx="5">
                  <c:v>FY23e</c:v>
                </c:pt>
                <c:pt idx="6">
                  <c:v>FY22 ytd</c:v>
                </c:pt>
              </c:strCache>
            </c:strRef>
          </c:cat>
          <c:val>
            <c:numRef>
              <c:f>'PBL OLD'!$BH$12:$BN$12</c:f>
              <c:numCache>
                <c:formatCode>_(* #,##0.00_);_(* \(#,##0.00\);_(* "-"??_);_(@_)</c:formatCode>
                <c:ptCount val="7"/>
                <c:pt idx="0">
                  <c:v>1.2070041093615997</c:v>
                </c:pt>
                <c:pt idx="1">
                  <c:v>2.1948974502048002</c:v>
                </c:pt>
                <c:pt idx="2">
                  <c:v>2.5238888986673995</c:v>
                </c:pt>
                <c:pt idx="3">
                  <c:v>2.4538385194818004</c:v>
                </c:pt>
                <c:pt idx="4">
                  <c:v>3.3078763443396002</c:v>
                </c:pt>
                <c:pt idx="6">
                  <c:v>3.3078763443396002</c:v>
                </c:pt>
              </c:numCache>
            </c:numRef>
          </c:val>
          <c:smooth val="0"/>
          <c:extLst>
            <c:ext xmlns:c16="http://schemas.microsoft.com/office/drawing/2014/chart" uri="{C3380CC4-5D6E-409C-BE32-E72D297353CC}">
              <c16:uniqueId val="{00000008-FC02-4B3E-B311-E8B76F101C74}"/>
            </c:ext>
          </c:extLst>
        </c:ser>
        <c:dLbls>
          <c:showLegendKey val="0"/>
          <c:showVal val="0"/>
          <c:showCatName val="0"/>
          <c:showSerName val="0"/>
          <c:showPercent val="0"/>
          <c:showBubbleSize val="0"/>
        </c:dLbls>
        <c:marker val="1"/>
        <c:smooth val="0"/>
        <c:axId val="1019316528"/>
        <c:axId val="1019315544"/>
      </c:lineChart>
      <c:catAx>
        <c:axId val="101931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19315544"/>
        <c:crosses val="autoZero"/>
        <c:auto val="1"/>
        <c:lblAlgn val="ctr"/>
        <c:lblOffset val="100"/>
        <c:noMultiLvlLbl val="0"/>
      </c:catAx>
      <c:valAx>
        <c:axId val="1019315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Ticket Sales ($b)</a:t>
                </a:r>
              </a:p>
            </c:rich>
          </c:tx>
          <c:overlay val="0"/>
          <c:spPr>
            <a:noFill/>
            <a:ln>
              <a:noFill/>
            </a:ln>
            <a:effectLst/>
          </c:sp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19316528"/>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595740524807711"/>
          <c:y val="4.5604279555213005E-2"/>
          <c:w val="0.85715770307956141"/>
          <c:h val="0.63918755829072416"/>
        </c:manualLayout>
      </c:layout>
      <c:barChart>
        <c:barDir val="col"/>
        <c:grouping val="stacked"/>
        <c:varyColors val="0"/>
        <c:ser>
          <c:idx val="0"/>
          <c:order val="0"/>
          <c:tx>
            <c:strRef>
              <c:f>'PBL OLD'!$BG$42</c:f>
              <c:strCache>
                <c:ptCount val="1"/>
                <c:pt idx="0">
                  <c:v>Delete</c:v>
                </c:pt>
              </c:strCache>
            </c:strRef>
          </c:tx>
          <c:spPr>
            <a:solidFill>
              <a:schemeClr val="bg1"/>
            </a:solidFill>
          </c:spPr>
          <c:invertIfNegative val="0"/>
          <c:cat>
            <c:strRef>
              <c:f>'PBL OLD'!$BH$9:$BN$9</c:f>
              <c:strCache>
                <c:ptCount val="7"/>
                <c:pt idx="0">
                  <c:v>FY18</c:v>
                </c:pt>
                <c:pt idx="1">
                  <c:v>FY19</c:v>
                </c:pt>
                <c:pt idx="2">
                  <c:v>FY20</c:v>
                </c:pt>
                <c:pt idx="3">
                  <c:v>FY21</c:v>
                </c:pt>
                <c:pt idx="4">
                  <c:v>FY22</c:v>
                </c:pt>
                <c:pt idx="5">
                  <c:v>FY23e</c:v>
                </c:pt>
                <c:pt idx="6">
                  <c:v>FY22 ytd</c:v>
                </c:pt>
              </c:strCache>
            </c:strRef>
          </c:cat>
          <c:val>
            <c:numRef>
              <c:f>'PBL OLD'!$BH$42:$BN$42</c:f>
              <c:numCache>
                <c:formatCode>0.0000</c:formatCode>
                <c:ptCount val="7"/>
                <c:pt idx="0">
                  <c:v>0.88898749196337468</c:v>
                </c:pt>
                <c:pt idx="1">
                  <c:v>1.2628339576374232</c:v>
                </c:pt>
                <c:pt idx="2">
                  <c:v>1.497466908542763</c:v>
                </c:pt>
                <c:pt idx="3">
                  <c:v>1.8014767645404111</c:v>
                </c:pt>
                <c:pt idx="4">
                  <c:v>1.8374304196768296</c:v>
                </c:pt>
                <c:pt idx="5">
                  <c:v>1.6867811392566225</c:v>
                </c:pt>
                <c:pt idx="6">
                  <c:v>1.8374304196768296</c:v>
                </c:pt>
              </c:numCache>
            </c:numRef>
          </c:val>
          <c:extLst>
            <c:ext xmlns:c16="http://schemas.microsoft.com/office/drawing/2014/chart" uri="{C3380CC4-5D6E-409C-BE32-E72D297353CC}">
              <c16:uniqueId val="{00000000-5524-4E8C-B2C6-78CC0C570259}"/>
            </c:ext>
          </c:extLst>
        </c:ser>
        <c:ser>
          <c:idx val="6"/>
          <c:order val="1"/>
          <c:tx>
            <c:strRef>
              <c:f>'PBL OLD'!$BG$43</c:f>
              <c:strCache>
                <c:ptCount val="1"/>
                <c:pt idx="0">
                  <c:v>Min to 25th Percentile</c:v>
                </c:pt>
              </c:strCache>
            </c:strRef>
          </c:tx>
          <c:spPr>
            <a:solidFill>
              <a:srgbClr val="7030A0"/>
            </a:solidFill>
          </c:spPr>
          <c:invertIfNegative val="0"/>
          <c:cat>
            <c:strRef>
              <c:f>'PBL OLD'!$BH$9:$BN$9</c:f>
              <c:strCache>
                <c:ptCount val="7"/>
                <c:pt idx="0">
                  <c:v>FY18</c:v>
                </c:pt>
                <c:pt idx="1">
                  <c:v>FY19</c:v>
                </c:pt>
                <c:pt idx="2">
                  <c:v>FY20</c:v>
                </c:pt>
                <c:pt idx="3">
                  <c:v>FY21</c:v>
                </c:pt>
                <c:pt idx="4">
                  <c:v>FY22</c:v>
                </c:pt>
                <c:pt idx="5">
                  <c:v>FY23e</c:v>
                </c:pt>
                <c:pt idx="6">
                  <c:v>FY22 ytd</c:v>
                </c:pt>
              </c:strCache>
            </c:strRef>
          </c:cat>
          <c:val>
            <c:numRef>
              <c:f>'PBL OLD'!$BH$43:$BN$43</c:f>
              <c:numCache>
                <c:formatCode>0.0000</c:formatCode>
                <c:ptCount val="7"/>
                <c:pt idx="0">
                  <c:v>0.32134520254631416</c:v>
                </c:pt>
                <c:pt idx="1">
                  <c:v>0.50441625257598943</c:v>
                </c:pt>
                <c:pt idx="2">
                  <c:v>0.59044005845325165</c:v>
                </c:pt>
                <c:pt idx="3">
                  <c:v>0.75632563095248084</c:v>
                </c:pt>
                <c:pt idx="4">
                  <c:v>0.93869577539336513</c:v>
                </c:pt>
                <c:pt idx="5">
                  <c:v>0.78335909496250133</c:v>
                </c:pt>
                <c:pt idx="6">
                  <c:v>0.93869577539336513</c:v>
                </c:pt>
              </c:numCache>
            </c:numRef>
          </c:val>
          <c:extLst>
            <c:ext xmlns:c16="http://schemas.microsoft.com/office/drawing/2014/chart" uri="{C3380CC4-5D6E-409C-BE32-E72D297353CC}">
              <c16:uniqueId val="{00000001-5524-4E8C-B2C6-78CC0C570259}"/>
            </c:ext>
          </c:extLst>
        </c:ser>
        <c:ser>
          <c:idx val="8"/>
          <c:order val="2"/>
          <c:tx>
            <c:strRef>
              <c:f>'PBL OLD'!$BG$44</c:f>
              <c:strCache>
                <c:ptCount val="1"/>
                <c:pt idx="0">
                  <c:v>25th to 50th Percentile</c:v>
                </c:pt>
              </c:strCache>
            </c:strRef>
          </c:tx>
          <c:spPr>
            <a:solidFill>
              <a:schemeClr val="tx2">
                <a:lumMod val="40000"/>
                <a:lumOff val="60000"/>
              </a:schemeClr>
            </a:solidFill>
          </c:spPr>
          <c:invertIfNegative val="0"/>
          <c:cat>
            <c:strRef>
              <c:f>'PBL OLD'!$BH$9:$BN$9</c:f>
              <c:strCache>
                <c:ptCount val="7"/>
                <c:pt idx="0">
                  <c:v>FY18</c:v>
                </c:pt>
                <c:pt idx="1">
                  <c:v>FY19</c:v>
                </c:pt>
                <c:pt idx="2">
                  <c:v>FY20</c:v>
                </c:pt>
                <c:pt idx="3">
                  <c:v>FY21</c:v>
                </c:pt>
                <c:pt idx="4">
                  <c:v>FY22</c:v>
                </c:pt>
                <c:pt idx="5">
                  <c:v>FY23e</c:v>
                </c:pt>
                <c:pt idx="6">
                  <c:v>FY22 ytd</c:v>
                </c:pt>
              </c:strCache>
            </c:strRef>
          </c:cat>
          <c:val>
            <c:numRef>
              <c:f>'PBL OLD'!$BH$44:$BN$44</c:f>
              <c:numCache>
                <c:formatCode>0.0000</c:formatCode>
                <c:ptCount val="7"/>
                <c:pt idx="0">
                  <c:v>0.11644516607488664</c:v>
                </c:pt>
                <c:pt idx="1">
                  <c:v>0.21996799463488914</c:v>
                </c:pt>
                <c:pt idx="2">
                  <c:v>0.24063867711061571</c:v>
                </c:pt>
                <c:pt idx="3">
                  <c:v>0.23667367152742802</c:v>
                </c:pt>
                <c:pt idx="4">
                  <c:v>0.28407878954790533</c:v>
                </c:pt>
                <c:pt idx="5">
                  <c:v>0.28266055352741803</c:v>
                </c:pt>
                <c:pt idx="6">
                  <c:v>0.28407878954790489</c:v>
                </c:pt>
              </c:numCache>
            </c:numRef>
          </c:val>
          <c:extLst>
            <c:ext xmlns:c16="http://schemas.microsoft.com/office/drawing/2014/chart" uri="{C3380CC4-5D6E-409C-BE32-E72D297353CC}">
              <c16:uniqueId val="{00000002-5524-4E8C-B2C6-78CC0C570259}"/>
            </c:ext>
          </c:extLst>
        </c:ser>
        <c:ser>
          <c:idx val="1"/>
          <c:order val="3"/>
          <c:tx>
            <c:strRef>
              <c:f>'PBL OLD'!$BG$45</c:f>
              <c:strCache>
                <c:ptCount val="1"/>
                <c:pt idx="0">
                  <c:v>50th to 75th Percentile</c:v>
                </c:pt>
              </c:strCache>
            </c:strRef>
          </c:tx>
          <c:spPr>
            <a:solidFill>
              <a:schemeClr val="bg2"/>
            </a:solidFill>
          </c:spPr>
          <c:invertIfNegative val="0"/>
          <c:cat>
            <c:strRef>
              <c:f>'PBL OLD'!$BH$9:$BN$9</c:f>
              <c:strCache>
                <c:ptCount val="7"/>
                <c:pt idx="0">
                  <c:v>FY18</c:v>
                </c:pt>
                <c:pt idx="1">
                  <c:v>FY19</c:v>
                </c:pt>
                <c:pt idx="2">
                  <c:v>FY20</c:v>
                </c:pt>
                <c:pt idx="3">
                  <c:v>FY21</c:v>
                </c:pt>
                <c:pt idx="4">
                  <c:v>FY22</c:v>
                </c:pt>
                <c:pt idx="5">
                  <c:v>FY23e</c:v>
                </c:pt>
                <c:pt idx="6">
                  <c:v>FY22 ytd</c:v>
                </c:pt>
              </c:strCache>
            </c:strRef>
          </c:cat>
          <c:val>
            <c:numRef>
              <c:f>'PBL OLD'!$BH$45:$BN$45</c:f>
              <c:numCache>
                <c:formatCode>0.0000</c:formatCode>
                <c:ptCount val="7"/>
                <c:pt idx="0">
                  <c:v>0.14042849942172042</c:v>
                </c:pt>
                <c:pt idx="1">
                  <c:v>0.25706803651451926</c:v>
                </c:pt>
                <c:pt idx="2">
                  <c:v>0.27457279175772165</c:v>
                </c:pt>
                <c:pt idx="3">
                  <c:v>0.28142269668315834</c:v>
                </c:pt>
                <c:pt idx="4">
                  <c:v>0.32268679960181501</c:v>
                </c:pt>
                <c:pt idx="5">
                  <c:v>0.31570560089305477</c:v>
                </c:pt>
                <c:pt idx="6">
                  <c:v>0.32268679960181545</c:v>
                </c:pt>
              </c:numCache>
            </c:numRef>
          </c:val>
          <c:extLst>
            <c:ext xmlns:c16="http://schemas.microsoft.com/office/drawing/2014/chart" uri="{C3380CC4-5D6E-409C-BE32-E72D297353CC}">
              <c16:uniqueId val="{00000003-5524-4E8C-B2C6-78CC0C570259}"/>
            </c:ext>
          </c:extLst>
        </c:ser>
        <c:ser>
          <c:idx val="2"/>
          <c:order val="4"/>
          <c:tx>
            <c:strRef>
              <c:f>'PBL OLD'!$BG$46</c:f>
              <c:strCache>
                <c:ptCount val="1"/>
                <c:pt idx="0">
                  <c:v>75th Percentile to Max</c:v>
                </c:pt>
              </c:strCache>
            </c:strRef>
          </c:tx>
          <c:spPr>
            <a:solidFill>
              <a:schemeClr val="accent1"/>
            </a:solidFill>
          </c:spPr>
          <c:invertIfNegative val="0"/>
          <c:cat>
            <c:strRef>
              <c:f>'PBL OLD'!$BH$9:$BN$9</c:f>
              <c:strCache>
                <c:ptCount val="7"/>
                <c:pt idx="0">
                  <c:v>FY18</c:v>
                </c:pt>
                <c:pt idx="1">
                  <c:v>FY19</c:v>
                </c:pt>
                <c:pt idx="2">
                  <c:v>FY20</c:v>
                </c:pt>
                <c:pt idx="3">
                  <c:v>FY21</c:v>
                </c:pt>
                <c:pt idx="4">
                  <c:v>FY22</c:v>
                </c:pt>
                <c:pt idx="5">
                  <c:v>FY23e</c:v>
                </c:pt>
                <c:pt idx="6">
                  <c:v>FY22 ytd</c:v>
                </c:pt>
              </c:strCache>
            </c:strRef>
          </c:cat>
          <c:val>
            <c:numRef>
              <c:f>'PBL OLD'!$BH$46:$BN$46</c:f>
              <c:numCache>
                <c:formatCode>0.0000</c:formatCode>
                <c:ptCount val="7"/>
                <c:pt idx="0">
                  <c:v>1.0732922664142377</c:v>
                </c:pt>
                <c:pt idx="1">
                  <c:v>1.4760833933721509</c:v>
                </c:pt>
                <c:pt idx="2">
                  <c:v>1.7557662735895239</c:v>
                </c:pt>
                <c:pt idx="3">
                  <c:v>1.7916774241154578</c:v>
                </c:pt>
                <c:pt idx="4">
                  <c:v>1.7919071925019652</c:v>
                </c:pt>
                <c:pt idx="5">
                  <c:v>1.6064671050685377</c:v>
                </c:pt>
                <c:pt idx="6">
                  <c:v>1.7919071925019652</c:v>
                </c:pt>
              </c:numCache>
            </c:numRef>
          </c:val>
          <c:extLst>
            <c:ext xmlns:c16="http://schemas.microsoft.com/office/drawing/2014/chart" uri="{C3380CC4-5D6E-409C-BE32-E72D297353CC}">
              <c16:uniqueId val="{00000004-5524-4E8C-B2C6-78CC0C570259}"/>
            </c:ext>
          </c:extLst>
        </c:ser>
        <c:dLbls>
          <c:showLegendKey val="0"/>
          <c:showVal val="0"/>
          <c:showCatName val="0"/>
          <c:showSerName val="0"/>
          <c:showPercent val="0"/>
          <c:showBubbleSize val="0"/>
        </c:dLbls>
        <c:gapWidth val="150"/>
        <c:overlap val="100"/>
        <c:axId val="1019316528"/>
        <c:axId val="1019315544"/>
      </c:barChart>
      <c:lineChart>
        <c:grouping val="standard"/>
        <c:varyColors val="0"/>
        <c:ser>
          <c:idx val="3"/>
          <c:order val="5"/>
          <c:tx>
            <c:strRef>
              <c:f>'PBL OLD'!$BG$12</c:f>
              <c:strCache>
                <c:ptCount val="1"/>
                <c:pt idx="0">
                  <c:v>Actual</c:v>
                </c:pt>
              </c:strCache>
            </c:strRef>
          </c:tx>
          <c:spPr>
            <a:ln>
              <a:noFill/>
            </a:ln>
          </c:spPr>
          <c:marker>
            <c:symbol val="diamond"/>
            <c:size val="12"/>
            <c:spPr>
              <a:solidFill>
                <a:schemeClr val="tx2"/>
              </a:solidFill>
              <a:ln w="19050">
                <a:solidFill>
                  <a:schemeClr val="tx1"/>
                </a:solidFill>
              </a:ln>
            </c:spPr>
          </c:marker>
          <c:dPt>
            <c:idx val="4"/>
            <c:marker>
              <c:spPr>
                <a:solidFill>
                  <a:schemeClr val="accent6"/>
                </a:solidFill>
                <a:ln w="19050">
                  <a:solidFill>
                    <a:schemeClr val="tx1"/>
                  </a:solidFill>
                </a:ln>
              </c:spPr>
            </c:marker>
            <c:bubble3D val="0"/>
            <c:extLst>
              <c:ext xmlns:c16="http://schemas.microsoft.com/office/drawing/2014/chart" uri="{C3380CC4-5D6E-409C-BE32-E72D297353CC}">
                <c16:uniqueId val="{00000005-5524-4E8C-B2C6-78CC0C570259}"/>
              </c:ext>
            </c:extLst>
          </c:dPt>
          <c:cat>
            <c:strRef>
              <c:f>'PBL OLD'!$BH$9:$BN$9</c:f>
              <c:strCache>
                <c:ptCount val="7"/>
                <c:pt idx="0">
                  <c:v>FY18</c:v>
                </c:pt>
                <c:pt idx="1">
                  <c:v>FY19</c:v>
                </c:pt>
                <c:pt idx="2">
                  <c:v>FY20</c:v>
                </c:pt>
                <c:pt idx="3">
                  <c:v>FY21</c:v>
                </c:pt>
                <c:pt idx="4">
                  <c:v>FY22</c:v>
                </c:pt>
                <c:pt idx="5">
                  <c:v>FY23e</c:v>
                </c:pt>
                <c:pt idx="6">
                  <c:v>FY22 ytd</c:v>
                </c:pt>
              </c:strCache>
            </c:strRef>
          </c:cat>
          <c:val>
            <c:numRef>
              <c:f>'PBL OLD'!$BH$12:$BN$12</c:f>
              <c:numCache>
                <c:formatCode>_(* #,##0.00_);_(* \(#,##0.00\);_(* "-"??_);_(@_)</c:formatCode>
                <c:ptCount val="7"/>
                <c:pt idx="0">
                  <c:v>1.2070041093615997</c:v>
                </c:pt>
                <c:pt idx="1">
                  <c:v>2.1948974502048002</c:v>
                </c:pt>
                <c:pt idx="2">
                  <c:v>2.5238888986673995</c:v>
                </c:pt>
                <c:pt idx="3">
                  <c:v>2.4538385194818004</c:v>
                </c:pt>
                <c:pt idx="4">
                  <c:v>3.3078763443396002</c:v>
                </c:pt>
                <c:pt idx="6">
                  <c:v>3.3078763443396002</c:v>
                </c:pt>
              </c:numCache>
            </c:numRef>
          </c:val>
          <c:smooth val="0"/>
          <c:extLst>
            <c:ext xmlns:c16="http://schemas.microsoft.com/office/drawing/2014/chart" uri="{C3380CC4-5D6E-409C-BE32-E72D297353CC}">
              <c16:uniqueId val="{00000006-5524-4E8C-B2C6-78CC0C570259}"/>
            </c:ext>
          </c:extLst>
        </c:ser>
        <c:dLbls>
          <c:showLegendKey val="0"/>
          <c:showVal val="0"/>
          <c:showCatName val="0"/>
          <c:showSerName val="0"/>
          <c:showPercent val="0"/>
          <c:showBubbleSize val="0"/>
        </c:dLbls>
        <c:marker val="1"/>
        <c:smooth val="0"/>
        <c:axId val="1019316528"/>
        <c:axId val="1019315544"/>
        <c:extLst>
          <c:ext xmlns:c15="http://schemas.microsoft.com/office/drawing/2012/chart" uri="{02D57815-91ED-43cb-92C2-25804820EDAC}">
            <c15:filteredLineSeries>
              <c15:ser>
                <c:idx val="5"/>
                <c:order val="6"/>
                <c:tx>
                  <c:strRef>
                    <c:extLst>
                      <c:ext uri="{02D57815-91ED-43cb-92C2-25804820EDAC}">
                        <c15:formulaRef>
                          <c15:sqref>'PBL OLD'!$BG$13</c15:sqref>
                        </c15:formulaRef>
                      </c:ext>
                    </c:extLst>
                    <c:strCache>
                      <c:ptCount val="1"/>
                      <c:pt idx="0">
                        <c:v>Actual ytd Standardised</c:v>
                      </c:pt>
                    </c:strCache>
                  </c:strRef>
                </c:tx>
                <c:spPr>
                  <a:ln w="19050">
                    <a:noFill/>
                  </a:ln>
                </c:spPr>
                <c:marker>
                  <c:symbol val="triangle"/>
                  <c:size val="10"/>
                  <c:spPr>
                    <a:solidFill>
                      <a:schemeClr val="accent6"/>
                    </a:solidFill>
                    <a:ln w="12700">
                      <a:solidFill>
                        <a:schemeClr val="tx1"/>
                      </a:solidFill>
                    </a:ln>
                  </c:spPr>
                </c:marker>
                <c:cat>
                  <c:strRef>
                    <c:extLst>
                      <c:ext uri="{02D57815-91ED-43cb-92C2-25804820EDAC}">
                        <c15:formulaRef>
                          <c15:sqref>'PBL OLD'!$BH$9:$BN$9</c15:sqref>
                        </c15:formulaRef>
                      </c:ext>
                    </c:extLst>
                    <c:strCache>
                      <c:ptCount val="7"/>
                      <c:pt idx="0">
                        <c:v>FY18</c:v>
                      </c:pt>
                      <c:pt idx="1">
                        <c:v>FY19</c:v>
                      </c:pt>
                      <c:pt idx="2">
                        <c:v>FY20</c:v>
                      </c:pt>
                      <c:pt idx="3">
                        <c:v>FY21</c:v>
                      </c:pt>
                      <c:pt idx="4">
                        <c:v>FY22</c:v>
                      </c:pt>
                      <c:pt idx="5">
                        <c:v>FY23e</c:v>
                      </c:pt>
                      <c:pt idx="6">
                        <c:v>FY22 ytd</c:v>
                      </c:pt>
                    </c:strCache>
                  </c:strRef>
                </c:cat>
                <c:val>
                  <c:numRef>
                    <c:extLst>
                      <c:ext uri="{02D57815-91ED-43cb-92C2-25804820EDAC}">
                        <c15:formulaRef>
                          <c15:sqref>'PBL OLD'!$BH$13:$BL$13</c15:sqref>
                        </c15:formulaRef>
                      </c:ext>
                    </c:extLst>
                    <c:numCache>
                      <c:formatCode>_(* #,##0.00_);_(* \(#,##0.00\);_(* "-"??_);_(@_)</c:formatCode>
                      <c:ptCount val="5"/>
                      <c:pt idx="4">
                        <c:v>3.2454635831256451</c:v>
                      </c:pt>
                    </c:numCache>
                  </c:numRef>
                </c:val>
                <c:smooth val="0"/>
                <c:extLst>
                  <c:ext xmlns:c16="http://schemas.microsoft.com/office/drawing/2014/chart" uri="{C3380CC4-5D6E-409C-BE32-E72D297353CC}">
                    <c16:uniqueId val="{00000007-5524-4E8C-B2C6-78CC0C570259}"/>
                  </c:ext>
                </c:extLst>
              </c15:ser>
            </c15:filteredLineSeries>
            <c15:filteredLineSeries>
              <c15:ser>
                <c:idx val="7"/>
                <c:order val="7"/>
                <c:tx>
                  <c:strRef>
                    <c:extLst xmlns:c15="http://schemas.microsoft.com/office/drawing/2012/chart">
                      <c:ext xmlns:c15="http://schemas.microsoft.com/office/drawing/2012/chart" uri="{02D57815-91ED-43cb-92C2-25804820EDAC}">
                        <c15:formulaRef>
                          <c15:sqref>'PBL OLD'!$BG$14</c15:sqref>
                        </c15:formulaRef>
                      </c:ext>
                    </c:extLst>
                    <c:strCache>
                      <c:ptCount val="1"/>
                      <c:pt idx="0">
                        <c:v>Actual ytd + 50th percentile</c:v>
                      </c:pt>
                    </c:strCache>
                  </c:strRef>
                </c:tx>
                <c:spPr>
                  <a:ln w="19050">
                    <a:noFill/>
                  </a:ln>
                </c:spPr>
                <c:marker>
                  <c:symbol val="square"/>
                  <c:size val="9"/>
                  <c:spPr>
                    <a:solidFill>
                      <a:schemeClr val="accent5"/>
                    </a:solidFill>
                    <a:ln w="12700">
                      <a:solidFill>
                        <a:schemeClr val="tx1"/>
                      </a:solidFill>
                    </a:ln>
                  </c:spPr>
                </c:marker>
                <c:cat>
                  <c:strRef>
                    <c:extLst xmlns:c15="http://schemas.microsoft.com/office/drawing/2012/chart">
                      <c:ext xmlns:c15="http://schemas.microsoft.com/office/drawing/2012/chart" uri="{02D57815-91ED-43cb-92C2-25804820EDAC}">
                        <c15:formulaRef>
                          <c15:sqref>'PBL OLD'!$BH$9:$BN$9</c15:sqref>
                        </c15:formulaRef>
                      </c:ext>
                    </c:extLst>
                    <c:strCache>
                      <c:ptCount val="7"/>
                      <c:pt idx="0">
                        <c:v>FY18</c:v>
                      </c:pt>
                      <c:pt idx="1">
                        <c:v>FY19</c:v>
                      </c:pt>
                      <c:pt idx="2">
                        <c:v>FY20</c:v>
                      </c:pt>
                      <c:pt idx="3">
                        <c:v>FY21</c:v>
                      </c:pt>
                      <c:pt idx="4">
                        <c:v>FY22</c:v>
                      </c:pt>
                      <c:pt idx="5">
                        <c:v>FY23e</c:v>
                      </c:pt>
                      <c:pt idx="6">
                        <c:v>FY22 ytd</c:v>
                      </c:pt>
                    </c:strCache>
                  </c:strRef>
                </c:cat>
                <c:val>
                  <c:numRef>
                    <c:extLst xmlns:c15="http://schemas.microsoft.com/office/drawing/2012/chart">
                      <c:ext xmlns:c15="http://schemas.microsoft.com/office/drawing/2012/chart" uri="{02D57815-91ED-43cb-92C2-25804820EDAC}">
                        <c15:formulaRef>
                          <c15:sqref>'PBL OLD'!$BH$14:$BL$14</c15:sqref>
                        </c15:formulaRef>
                      </c:ext>
                    </c:extLst>
                    <c:numCache>
                      <c:formatCode>General</c:formatCode>
                      <c:ptCount val="5"/>
                      <c:pt idx="4" formatCode="_(* #,##0.00_);_(* \(#,##0.00\);_(* &quot;-&quot;??_);_(@_)">
                        <c:v>3.7961773156692002</c:v>
                      </c:pt>
                    </c:numCache>
                  </c:numRef>
                </c:val>
                <c:smooth val="0"/>
                <c:extLst xmlns:c15="http://schemas.microsoft.com/office/drawing/2012/chart">
                  <c:ext xmlns:c16="http://schemas.microsoft.com/office/drawing/2014/chart" uri="{C3380CC4-5D6E-409C-BE32-E72D297353CC}">
                    <c16:uniqueId val="{00000008-5524-4E8C-B2C6-78CC0C570259}"/>
                  </c:ext>
                </c:extLst>
              </c15:ser>
            </c15:filteredLineSeries>
          </c:ext>
        </c:extLst>
      </c:lineChart>
      <c:catAx>
        <c:axId val="101931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19315544"/>
        <c:crosses val="autoZero"/>
        <c:auto val="1"/>
        <c:lblAlgn val="ctr"/>
        <c:lblOffset val="100"/>
        <c:noMultiLvlLbl val="0"/>
      </c:catAx>
      <c:valAx>
        <c:axId val="1019315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Ticket Sales ($b)</a:t>
                </a:r>
              </a:p>
            </c:rich>
          </c:tx>
          <c:overlay val="0"/>
          <c:spPr>
            <a:noFill/>
            <a:ln>
              <a:noFill/>
            </a:ln>
            <a:effectLst/>
          </c:sp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19316528"/>
        <c:crosses val="autoZero"/>
        <c:crossBetween val="between"/>
      </c:valAx>
    </c:plotArea>
    <c:legend>
      <c:legendPos val="b"/>
      <c:legendEntry>
        <c:idx val="0"/>
        <c:delete val="1"/>
      </c:legendEntry>
      <c:layout>
        <c:manualLayout>
          <c:xMode val="edge"/>
          <c:yMode val="edge"/>
          <c:x val="8.129886775224672E-3"/>
          <c:y val="0.73996485499830411"/>
          <c:w val="0.97826490419964396"/>
          <c:h val="0.2335768281946092"/>
        </c:manualLayout>
      </c:layout>
      <c:overlay val="0"/>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2"/>
          <c:order val="0"/>
          <c:tx>
            <c:v>Jackpots &gt;=15m</c:v>
          </c:tx>
          <c:spPr>
            <a:solidFill>
              <a:schemeClr val="tx2"/>
            </a:solidFill>
            <a:ln>
              <a:noFill/>
            </a:ln>
            <a:effectLst/>
          </c:spPr>
          <c:invertIfNegative val="0"/>
          <c:cat>
            <c:strRef>
              <c:extLst>
                <c:ext xmlns:c15="http://schemas.microsoft.com/office/drawing/2012/chart" uri="{02D57815-91ED-43cb-92C2-25804820EDAC}">
                  <c15:fullRef>
                    <c15:sqref>'PBL OLD'!$CB$9:$CH$9</c15:sqref>
                  </c15:fullRef>
                </c:ext>
              </c:extLst>
              <c:f>'PBL OLD'!$CD$9:$CH$9</c:f>
              <c:strCache>
                <c:ptCount val="5"/>
                <c:pt idx="0">
                  <c:v>FY18*</c:v>
                </c:pt>
                <c:pt idx="1">
                  <c:v>FY19</c:v>
                </c:pt>
                <c:pt idx="2">
                  <c:v>FY20</c:v>
                </c:pt>
                <c:pt idx="3">
                  <c:v>FY21</c:v>
                </c:pt>
                <c:pt idx="4">
                  <c:v>FY22*</c:v>
                </c:pt>
              </c:strCache>
            </c:strRef>
          </c:cat>
          <c:val>
            <c:numRef>
              <c:extLst>
                <c:ext xmlns:c15="http://schemas.microsoft.com/office/drawing/2012/chart" uri="{02D57815-91ED-43cb-92C2-25804820EDAC}">
                  <c15:fullRef>
                    <c15:sqref>'PBL OLD'!$CB$13:$CH$13</c15:sqref>
                  </c15:fullRef>
                </c:ext>
              </c:extLst>
              <c:f>'PBL OLD'!$CD$13:$CH$13</c:f>
              <c:numCache>
                <c:formatCode>General</c:formatCode>
                <c:ptCount val="5"/>
                <c:pt idx="0">
                  <c:v>15</c:v>
                </c:pt>
                <c:pt idx="1">
                  <c:v>27</c:v>
                </c:pt>
                <c:pt idx="2">
                  <c:v>25</c:v>
                </c:pt>
                <c:pt idx="3">
                  <c:v>26</c:v>
                </c:pt>
                <c:pt idx="4">
                  <c:v>30</c:v>
                </c:pt>
              </c:numCache>
            </c:numRef>
          </c:val>
          <c:extLst>
            <c:ext xmlns:c16="http://schemas.microsoft.com/office/drawing/2014/chart" uri="{C3380CC4-5D6E-409C-BE32-E72D297353CC}">
              <c16:uniqueId val="{00000000-6AB7-4C37-A6FD-2C90CF5DEE08}"/>
            </c:ext>
          </c:extLst>
        </c:ser>
        <c:ser>
          <c:idx val="3"/>
          <c:order val="1"/>
          <c:tx>
            <c:v>Jackpots &gt;=50m</c:v>
          </c:tx>
          <c:spPr>
            <a:solidFill>
              <a:schemeClr val="accent1"/>
            </a:solidFill>
            <a:ln>
              <a:noFill/>
            </a:ln>
            <a:effectLst/>
          </c:spPr>
          <c:invertIfNegative val="0"/>
          <c:cat>
            <c:strRef>
              <c:extLst>
                <c:ext xmlns:c15="http://schemas.microsoft.com/office/drawing/2012/chart" uri="{02D57815-91ED-43cb-92C2-25804820EDAC}">
                  <c15:fullRef>
                    <c15:sqref>'PBL OLD'!$CB$9:$CH$9</c15:sqref>
                  </c15:fullRef>
                </c:ext>
              </c:extLst>
              <c:f>'PBL OLD'!$CD$9:$CH$9</c:f>
              <c:strCache>
                <c:ptCount val="5"/>
                <c:pt idx="0">
                  <c:v>FY18*</c:v>
                </c:pt>
                <c:pt idx="1">
                  <c:v>FY19</c:v>
                </c:pt>
                <c:pt idx="2">
                  <c:v>FY20</c:v>
                </c:pt>
                <c:pt idx="3">
                  <c:v>FY21</c:v>
                </c:pt>
                <c:pt idx="4">
                  <c:v>FY22*</c:v>
                </c:pt>
              </c:strCache>
            </c:strRef>
          </c:cat>
          <c:val>
            <c:numRef>
              <c:extLst>
                <c:ext xmlns:c15="http://schemas.microsoft.com/office/drawing/2012/chart" uri="{02D57815-91ED-43cb-92C2-25804820EDAC}">
                  <c15:fullRef>
                    <c15:sqref>'PBL OLD'!$CB$17:$CH$17</c15:sqref>
                  </c15:fullRef>
                </c:ext>
              </c:extLst>
              <c:f>'PBL OLD'!$CD$17:$CH$17</c:f>
              <c:numCache>
                <c:formatCode>General</c:formatCode>
                <c:ptCount val="5"/>
                <c:pt idx="0">
                  <c:v>3</c:v>
                </c:pt>
                <c:pt idx="1">
                  <c:v>7</c:v>
                </c:pt>
                <c:pt idx="2">
                  <c:v>10</c:v>
                </c:pt>
                <c:pt idx="3">
                  <c:v>7</c:v>
                </c:pt>
                <c:pt idx="4">
                  <c:v>13</c:v>
                </c:pt>
              </c:numCache>
            </c:numRef>
          </c:val>
          <c:extLst>
            <c:ext xmlns:c16="http://schemas.microsoft.com/office/drawing/2014/chart" uri="{C3380CC4-5D6E-409C-BE32-E72D297353CC}">
              <c16:uniqueId val="{00000001-6AB7-4C37-A6FD-2C90CF5DEE08}"/>
            </c:ext>
          </c:extLst>
        </c:ser>
        <c:dLbls>
          <c:showLegendKey val="0"/>
          <c:showVal val="0"/>
          <c:showCatName val="0"/>
          <c:showSerName val="0"/>
          <c:showPercent val="0"/>
          <c:showBubbleSize val="0"/>
        </c:dLbls>
        <c:gapWidth val="219"/>
        <c:overlap val="-27"/>
        <c:axId val="941001192"/>
        <c:axId val="941000208"/>
      </c:barChart>
      <c:catAx>
        <c:axId val="941001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41000208"/>
        <c:crosses val="autoZero"/>
        <c:auto val="1"/>
        <c:lblAlgn val="ctr"/>
        <c:lblOffset val="100"/>
        <c:noMultiLvlLbl val="0"/>
      </c:catAx>
      <c:valAx>
        <c:axId val="941000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410011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3406647507798637E-2"/>
          <c:y val="4.5604279555213005E-2"/>
          <c:w val="0.88970856948186683"/>
          <c:h val="0.75122131439204987"/>
        </c:manualLayout>
      </c:layout>
      <c:barChart>
        <c:barDir val="col"/>
        <c:grouping val="stacked"/>
        <c:varyColors val="0"/>
        <c:ser>
          <c:idx val="0"/>
          <c:order val="0"/>
          <c:tx>
            <c:strRef>
              <c:f>'PBL OLD'!$BG$42</c:f>
              <c:strCache>
                <c:ptCount val="1"/>
                <c:pt idx="0">
                  <c:v>Delete</c:v>
                </c:pt>
              </c:strCache>
            </c:strRef>
          </c:tx>
          <c:spPr>
            <a:noFill/>
            <a:ln>
              <a:noFill/>
            </a:ln>
          </c:spPr>
          <c:invertIfNegative val="0"/>
          <c:cat>
            <c:strRef>
              <c:extLst>
                <c:ext xmlns:c15="http://schemas.microsoft.com/office/drawing/2012/chart" uri="{02D57815-91ED-43cb-92C2-25804820EDAC}">
                  <c15:fullRef>
                    <c15:sqref>'PBL OLD'!$BH$9:$BN$9</c15:sqref>
                  </c15:fullRef>
                </c:ext>
              </c:extLst>
              <c:f>('PBL OLD'!$BH$9:$BK$9,'PBL OLD'!$BM$9:$BN$9)</c:f>
              <c:strCache>
                <c:ptCount val="6"/>
                <c:pt idx="0">
                  <c:v>FY18</c:v>
                </c:pt>
                <c:pt idx="1">
                  <c:v>FY19</c:v>
                </c:pt>
                <c:pt idx="2">
                  <c:v>FY20</c:v>
                </c:pt>
                <c:pt idx="3">
                  <c:v>FY21</c:v>
                </c:pt>
                <c:pt idx="4">
                  <c:v>FY23e</c:v>
                </c:pt>
                <c:pt idx="5">
                  <c:v>FY22 ytd</c:v>
                </c:pt>
              </c:strCache>
            </c:strRef>
          </c:cat>
          <c:val>
            <c:numRef>
              <c:extLst>
                <c:ext xmlns:c15="http://schemas.microsoft.com/office/drawing/2012/chart" uri="{02D57815-91ED-43cb-92C2-25804820EDAC}">
                  <c15:fullRef>
                    <c15:sqref>'PBL OLD'!$BH$42:$BN$42</c15:sqref>
                  </c15:fullRef>
                </c:ext>
              </c:extLst>
              <c:f>('PBL OLD'!$BH$42:$BK$42,'PBL OLD'!$BM$42:$BN$42)</c:f>
              <c:numCache>
                <c:formatCode>0.0000</c:formatCode>
                <c:ptCount val="6"/>
                <c:pt idx="0">
                  <c:v>0.88898749196337468</c:v>
                </c:pt>
                <c:pt idx="1">
                  <c:v>1.2628339576374232</c:v>
                </c:pt>
                <c:pt idx="2">
                  <c:v>1.497466908542763</c:v>
                </c:pt>
                <c:pt idx="3">
                  <c:v>1.8014767645404111</c:v>
                </c:pt>
                <c:pt idx="4">
                  <c:v>1.6867811392566225</c:v>
                </c:pt>
                <c:pt idx="5">
                  <c:v>1.8374304196768296</c:v>
                </c:pt>
              </c:numCache>
            </c:numRef>
          </c:val>
          <c:extLst>
            <c:ext xmlns:c16="http://schemas.microsoft.com/office/drawing/2014/chart" uri="{C3380CC4-5D6E-409C-BE32-E72D297353CC}">
              <c16:uniqueId val="{00000000-E00E-4534-876C-369DEE7D793D}"/>
            </c:ext>
          </c:extLst>
        </c:ser>
        <c:ser>
          <c:idx val="6"/>
          <c:order val="1"/>
          <c:tx>
            <c:strRef>
              <c:f>'PBL OLD'!$BG$43</c:f>
              <c:strCache>
                <c:ptCount val="1"/>
                <c:pt idx="0">
                  <c:v>Min to 25th Percentile</c:v>
                </c:pt>
              </c:strCache>
            </c:strRef>
          </c:tx>
          <c:spPr>
            <a:noFill/>
            <a:ln>
              <a:noFill/>
            </a:ln>
          </c:spPr>
          <c:invertIfNegative val="0"/>
          <c:cat>
            <c:strRef>
              <c:extLst>
                <c:ext xmlns:c15="http://schemas.microsoft.com/office/drawing/2012/chart" uri="{02D57815-91ED-43cb-92C2-25804820EDAC}">
                  <c15:fullRef>
                    <c15:sqref>'PBL OLD'!$BH$9:$BN$9</c15:sqref>
                  </c15:fullRef>
                </c:ext>
              </c:extLst>
              <c:f>('PBL OLD'!$BH$9:$BK$9,'PBL OLD'!$BM$9:$BN$9)</c:f>
              <c:strCache>
                <c:ptCount val="6"/>
                <c:pt idx="0">
                  <c:v>FY18</c:v>
                </c:pt>
                <c:pt idx="1">
                  <c:v>FY19</c:v>
                </c:pt>
                <c:pt idx="2">
                  <c:v>FY20</c:v>
                </c:pt>
                <c:pt idx="3">
                  <c:v>FY21</c:v>
                </c:pt>
                <c:pt idx="4">
                  <c:v>FY23e</c:v>
                </c:pt>
                <c:pt idx="5">
                  <c:v>FY22 ytd</c:v>
                </c:pt>
              </c:strCache>
            </c:strRef>
          </c:cat>
          <c:val>
            <c:numRef>
              <c:extLst>
                <c:ext xmlns:c15="http://schemas.microsoft.com/office/drawing/2012/chart" uri="{02D57815-91ED-43cb-92C2-25804820EDAC}">
                  <c15:fullRef>
                    <c15:sqref>'PBL OLD'!$BH$43:$BN$43</c15:sqref>
                  </c15:fullRef>
                </c:ext>
              </c:extLst>
              <c:f>('PBL OLD'!$BH$43:$BK$43,'PBL OLD'!$BM$43:$BN$43)</c:f>
              <c:numCache>
                <c:formatCode>0.0000</c:formatCode>
                <c:ptCount val="6"/>
                <c:pt idx="0">
                  <c:v>0.32134520254631416</c:v>
                </c:pt>
                <c:pt idx="1">
                  <c:v>0.50441625257598943</c:v>
                </c:pt>
                <c:pt idx="2">
                  <c:v>0.59044005845325165</c:v>
                </c:pt>
                <c:pt idx="3">
                  <c:v>0.75632563095248084</c:v>
                </c:pt>
                <c:pt idx="4">
                  <c:v>0.78335909496250133</c:v>
                </c:pt>
                <c:pt idx="5">
                  <c:v>0.93869577539336513</c:v>
                </c:pt>
              </c:numCache>
            </c:numRef>
          </c:val>
          <c:extLst>
            <c:ext xmlns:c16="http://schemas.microsoft.com/office/drawing/2014/chart" uri="{C3380CC4-5D6E-409C-BE32-E72D297353CC}">
              <c16:uniqueId val="{00000001-E00E-4534-876C-369DEE7D793D}"/>
            </c:ext>
          </c:extLst>
        </c:ser>
        <c:ser>
          <c:idx val="8"/>
          <c:order val="2"/>
          <c:tx>
            <c:strRef>
              <c:f>'PBL OLD'!$BG$44</c:f>
              <c:strCache>
                <c:ptCount val="1"/>
                <c:pt idx="0">
                  <c:v>25th to 50th Percentile</c:v>
                </c:pt>
              </c:strCache>
            </c:strRef>
          </c:tx>
          <c:spPr>
            <a:solidFill>
              <a:schemeClr val="bg2">
                <a:lumMod val="40000"/>
                <a:lumOff val="60000"/>
              </a:schemeClr>
            </a:solidFill>
          </c:spPr>
          <c:invertIfNegative val="0"/>
          <c:cat>
            <c:strRef>
              <c:extLst>
                <c:ext xmlns:c15="http://schemas.microsoft.com/office/drawing/2012/chart" uri="{02D57815-91ED-43cb-92C2-25804820EDAC}">
                  <c15:fullRef>
                    <c15:sqref>'PBL OLD'!$BH$9:$BN$9</c15:sqref>
                  </c15:fullRef>
                </c:ext>
              </c:extLst>
              <c:f>('PBL OLD'!$BH$9:$BK$9,'PBL OLD'!$BM$9:$BN$9)</c:f>
              <c:strCache>
                <c:ptCount val="6"/>
                <c:pt idx="0">
                  <c:v>FY18</c:v>
                </c:pt>
                <c:pt idx="1">
                  <c:v>FY19</c:v>
                </c:pt>
                <c:pt idx="2">
                  <c:v>FY20</c:v>
                </c:pt>
                <c:pt idx="3">
                  <c:v>FY21</c:v>
                </c:pt>
                <c:pt idx="4">
                  <c:v>FY23e</c:v>
                </c:pt>
                <c:pt idx="5">
                  <c:v>FY22 ytd</c:v>
                </c:pt>
              </c:strCache>
            </c:strRef>
          </c:cat>
          <c:val>
            <c:numRef>
              <c:extLst>
                <c:ext xmlns:c15="http://schemas.microsoft.com/office/drawing/2012/chart" uri="{02D57815-91ED-43cb-92C2-25804820EDAC}">
                  <c15:fullRef>
                    <c15:sqref>'PBL OLD'!$BH$44:$BN$44</c15:sqref>
                  </c15:fullRef>
                </c:ext>
              </c:extLst>
              <c:f>('PBL OLD'!$BH$44:$BK$44,'PBL OLD'!$BM$44:$BN$44)</c:f>
              <c:numCache>
                <c:formatCode>0.0000</c:formatCode>
                <c:ptCount val="6"/>
                <c:pt idx="0">
                  <c:v>0.11644516607488664</c:v>
                </c:pt>
                <c:pt idx="1">
                  <c:v>0.21996799463488914</c:v>
                </c:pt>
                <c:pt idx="2">
                  <c:v>0.24063867711061571</c:v>
                </c:pt>
                <c:pt idx="3">
                  <c:v>0.23667367152742802</c:v>
                </c:pt>
                <c:pt idx="4">
                  <c:v>0.28266055352741803</c:v>
                </c:pt>
                <c:pt idx="5">
                  <c:v>0.28407878954790489</c:v>
                </c:pt>
              </c:numCache>
            </c:numRef>
          </c:val>
          <c:extLst>
            <c:ext xmlns:c16="http://schemas.microsoft.com/office/drawing/2014/chart" uri="{C3380CC4-5D6E-409C-BE32-E72D297353CC}">
              <c16:uniqueId val="{00000002-E00E-4534-876C-369DEE7D793D}"/>
            </c:ext>
          </c:extLst>
        </c:ser>
        <c:ser>
          <c:idx val="1"/>
          <c:order val="3"/>
          <c:tx>
            <c:v>25-75th percentile</c:v>
          </c:tx>
          <c:spPr>
            <a:solidFill>
              <a:schemeClr val="bg2">
                <a:lumMod val="40000"/>
                <a:lumOff val="60000"/>
              </a:schemeClr>
            </a:solidFill>
          </c:spPr>
          <c:invertIfNegative val="0"/>
          <c:cat>
            <c:strRef>
              <c:extLst>
                <c:ext xmlns:c15="http://schemas.microsoft.com/office/drawing/2012/chart" uri="{02D57815-91ED-43cb-92C2-25804820EDAC}">
                  <c15:fullRef>
                    <c15:sqref>'PBL OLD'!$BH$9:$BN$9</c15:sqref>
                  </c15:fullRef>
                </c:ext>
              </c:extLst>
              <c:f>('PBL OLD'!$BH$9:$BK$9,'PBL OLD'!$BM$9:$BN$9)</c:f>
              <c:strCache>
                <c:ptCount val="6"/>
                <c:pt idx="0">
                  <c:v>FY18</c:v>
                </c:pt>
                <c:pt idx="1">
                  <c:v>FY19</c:v>
                </c:pt>
                <c:pt idx="2">
                  <c:v>FY20</c:v>
                </c:pt>
                <c:pt idx="3">
                  <c:v>FY21</c:v>
                </c:pt>
                <c:pt idx="4">
                  <c:v>FY23e</c:v>
                </c:pt>
                <c:pt idx="5">
                  <c:v>FY22 ytd</c:v>
                </c:pt>
              </c:strCache>
            </c:strRef>
          </c:cat>
          <c:val>
            <c:numRef>
              <c:extLst>
                <c:ext xmlns:c15="http://schemas.microsoft.com/office/drawing/2012/chart" uri="{02D57815-91ED-43cb-92C2-25804820EDAC}">
                  <c15:fullRef>
                    <c15:sqref>'PBL OLD'!$BH$45:$BN$45</c15:sqref>
                  </c15:fullRef>
                </c:ext>
              </c:extLst>
              <c:f>('PBL OLD'!$BH$45:$BK$45,'PBL OLD'!$BM$45:$BN$45)</c:f>
              <c:numCache>
                <c:formatCode>0.0000</c:formatCode>
                <c:ptCount val="6"/>
                <c:pt idx="0">
                  <c:v>0.14042849942172042</c:v>
                </c:pt>
                <c:pt idx="1">
                  <c:v>0.25706803651451926</c:v>
                </c:pt>
                <c:pt idx="2">
                  <c:v>0.27457279175772165</c:v>
                </c:pt>
                <c:pt idx="3">
                  <c:v>0.28142269668315834</c:v>
                </c:pt>
                <c:pt idx="4">
                  <c:v>0.31570560089305477</c:v>
                </c:pt>
                <c:pt idx="5">
                  <c:v>0.32268679960181545</c:v>
                </c:pt>
              </c:numCache>
            </c:numRef>
          </c:val>
          <c:extLst>
            <c:ext xmlns:c16="http://schemas.microsoft.com/office/drawing/2014/chart" uri="{C3380CC4-5D6E-409C-BE32-E72D297353CC}">
              <c16:uniqueId val="{00000003-E00E-4534-876C-369DEE7D793D}"/>
            </c:ext>
          </c:extLst>
        </c:ser>
        <c:ser>
          <c:idx val="2"/>
          <c:order val="4"/>
          <c:tx>
            <c:strRef>
              <c:f>'PBL OLD'!$BG$46</c:f>
              <c:strCache>
                <c:ptCount val="1"/>
                <c:pt idx="0">
                  <c:v>75th Percentile to Max</c:v>
                </c:pt>
              </c:strCache>
            </c:strRef>
          </c:tx>
          <c:spPr>
            <a:noFill/>
          </c:spPr>
          <c:invertIfNegative val="0"/>
          <c:cat>
            <c:strRef>
              <c:extLst>
                <c:ext xmlns:c15="http://schemas.microsoft.com/office/drawing/2012/chart" uri="{02D57815-91ED-43cb-92C2-25804820EDAC}">
                  <c15:fullRef>
                    <c15:sqref>'PBL OLD'!$BH$9:$BN$9</c15:sqref>
                  </c15:fullRef>
                </c:ext>
              </c:extLst>
              <c:f>('PBL OLD'!$BH$9:$BK$9,'PBL OLD'!$BM$9:$BN$9)</c:f>
              <c:strCache>
                <c:ptCount val="6"/>
                <c:pt idx="0">
                  <c:v>FY18</c:v>
                </c:pt>
                <c:pt idx="1">
                  <c:v>FY19</c:v>
                </c:pt>
                <c:pt idx="2">
                  <c:v>FY20</c:v>
                </c:pt>
                <c:pt idx="3">
                  <c:v>FY21</c:v>
                </c:pt>
                <c:pt idx="4">
                  <c:v>FY23e</c:v>
                </c:pt>
                <c:pt idx="5">
                  <c:v>FY22 ytd</c:v>
                </c:pt>
              </c:strCache>
            </c:strRef>
          </c:cat>
          <c:val>
            <c:numRef>
              <c:extLst>
                <c:ext xmlns:c15="http://schemas.microsoft.com/office/drawing/2012/chart" uri="{02D57815-91ED-43cb-92C2-25804820EDAC}">
                  <c15:fullRef>
                    <c15:sqref>'PBL OLD'!$BH$46:$BN$46</c15:sqref>
                  </c15:fullRef>
                </c:ext>
              </c:extLst>
              <c:f>('PBL OLD'!$BH$46:$BK$46,'PBL OLD'!$BM$46:$BN$46)</c:f>
              <c:numCache>
                <c:formatCode>0.0000</c:formatCode>
                <c:ptCount val="6"/>
                <c:pt idx="0">
                  <c:v>1.0732922664142377</c:v>
                </c:pt>
                <c:pt idx="1">
                  <c:v>1.4760833933721509</c:v>
                </c:pt>
                <c:pt idx="2">
                  <c:v>1.7557662735895239</c:v>
                </c:pt>
                <c:pt idx="3">
                  <c:v>1.7916774241154578</c:v>
                </c:pt>
                <c:pt idx="4">
                  <c:v>1.6064671050685377</c:v>
                </c:pt>
                <c:pt idx="5">
                  <c:v>1.7919071925019652</c:v>
                </c:pt>
              </c:numCache>
            </c:numRef>
          </c:val>
          <c:extLst>
            <c:ext xmlns:c16="http://schemas.microsoft.com/office/drawing/2014/chart" uri="{C3380CC4-5D6E-409C-BE32-E72D297353CC}">
              <c16:uniqueId val="{00000004-E00E-4534-876C-369DEE7D793D}"/>
            </c:ext>
          </c:extLst>
        </c:ser>
        <c:dLbls>
          <c:showLegendKey val="0"/>
          <c:showVal val="0"/>
          <c:showCatName val="0"/>
          <c:showSerName val="0"/>
          <c:showPercent val="0"/>
          <c:showBubbleSize val="0"/>
        </c:dLbls>
        <c:gapWidth val="150"/>
        <c:overlap val="100"/>
        <c:axId val="1019316528"/>
        <c:axId val="1019315544"/>
      </c:barChart>
      <c:lineChart>
        <c:grouping val="standard"/>
        <c:varyColors val="0"/>
        <c:ser>
          <c:idx val="3"/>
          <c:order val="5"/>
          <c:tx>
            <c:strRef>
              <c:f>'PBL OLD'!$BG$12</c:f>
              <c:strCache>
                <c:ptCount val="1"/>
                <c:pt idx="0">
                  <c:v>Actual</c:v>
                </c:pt>
              </c:strCache>
            </c:strRef>
          </c:tx>
          <c:spPr>
            <a:ln>
              <a:noFill/>
            </a:ln>
          </c:spPr>
          <c:marker>
            <c:symbol val="circle"/>
            <c:size val="12"/>
            <c:spPr>
              <a:solidFill>
                <a:schemeClr val="tx2"/>
              </a:solidFill>
              <a:ln w="19050">
                <a:solidFill>
                  <a:schemeClr val="bg1"/>
                </a:solidFill>
              </a:ln>
            </c:spPr>
          </c:marker>
          <c:cat>
            <c:strRef>
              <c:extLst>
                <c:ext xmlns:c15="http://schemas.microsoft.com/office/drawing/2012/chart" uri="{02D57815-91ED-43cb-92C2-25804820EDAC}">
                  <c15:fullRef>
                    <c15:sqref>'PBL OLD'!$BH$9:$BN$9</c15:sqref>
                  </c15:fullRef>
                </c:ext>
              </c:extLst>
              <c:f>('PBL OLD'!$BH$9:$BK$9,'PBL OLD'!$BM$9:$BN$9)</c:f>
              <c:strCache>
                <c:ptCount val="6"/>
                <c:pt idx="0">
                  <c:v>FY18</c:v>
                </c:pt>
                <c:pt idx="1">
                  <c:v>FY19</c:v>
                </c:pt>
                <c:pt idx="2">
                  <c:v>FY20</c:v>
                </c:pt>
                <c:pt idx="3">
                  <c:v>FY21</c:v>
                </c:pt>
                <c:pt idx="4">
                  <c:v>FY23e</c:v>
                </c:pt>
                <c:pt idx="5">
                  <c:v>FY22 ytd</c:v>
                </c:pt>
              </c:strCache>
            </c:strRef>
          </c:cat>
          <c:val>
            <c:numRef>
              <c:extLst>
                <c:ext xmlns:c15="http://schemas.microsoft.com/office/drawing/2012/chart" uri="{02D57815-91ED-43cb-92C2-25804820EDAC}">
                  <c15:fullRef>
                    <c15:sqref>'PBL OLD'!$BH$12:$BN$12</c15:sqref>
                  </c15:fullRef>
                </c:ext>
              </c:extLst>
              <c:f>('PBL OLD'!$BH$12:$BK$12,'PBL OLD'!$BM$12:$BN$12)</c:f>
              <c:numCache>
                <c:formatCode>_(* #,##0.00_);_(* \(#,##0.00\);_(* "-"??_);_(@_)</c:formatCode>
                <c:ptCount val="6"/>
                <c:pt idx="0">
                  <c:v>1.2070041093615997</c:v>
                </c:pt>
                <c:pt idx="1">
                  <c:v>2.1948974502048002</c:v>
                </c:pt>
                <c:pt idx="2">
                  <c:v>2.5238888986673995</c:v>
                </c:pt>
                <c:pt idx="3">
                  <c:v>2.4538385194818004</c:v>
                </c:pt>
                <c:pt idx="5">
                  <c:v>3.3078763443396002</c:v>
                </c:pt>
              </c:numCache>
            </c:numRef>
          </c:val>
          <c:smooth val="0"/>
          <c:extLst>
            <c:ext xmlns:c15="http://schemas.microsoft.com/office/drawing/2012/chart" uri="{02D57815-91ED-43cb-92C2-25804820EDAC}">
              <c15:categoryFilterExceptions>
                <c15:categoryFilterException>
                  <c15:sqref>'PBL OLD'!$BL$12</c15:sqref>
                  <c15:bubble3D val="0"/>
                  <c15:marker>
                    <c:spPr>
                      <a:solidFill>
                        <a:schemeClr val="accent6"/>
                      </a:solidFill>
                      <a:ln w="19050">
                        <a:solidFill>
                          <a:schemeClr val="bg1"/>
                        </a:solidFill>
                      </a:ln>
                    </c:spPr>
                  </c15:marker>
                </c15:categoryFilterException>
              </c15:categoryFilterExceptions>
            </c:ext>
            <c:ext xmlns:c16="http://schemas.microsoft.com/office/drawing/2014/chart" uri="{C3380CC4-5D6E-409C-BE32-E72D297353CC}">
              <c16:uniqueId val="{00000005-E00E-4534-876C-369DEE7D793D}"/>
            </c:ext>
          </c:extLst>
        </c:ser>
        <c:dLbls>
          <c:showLegendKey val="0"/>
          <c:showVal val="0"/>
          <c:showCatName val="0"/>
          <c:showSerName val="0"/>
          <c:showPercent val="0"/>
          <c:showBubbleSize val="0"/>
        </c:dLbls>
        <c:marker val="1"/>
        <c:smooth val="0"/>
        <c:axId val="1019316528"/>
        <c:axId val="1019315544"/>
        <c:extLst>
          <c:ext xmlns:c15="http://schemas.microsoft.com/office/drawing/2012/chart" uri="{02D57815-91ED-43cb-92C2-25804820EDAC}">
            <c15:filteredLineSeries>
              <c15:ser>
                <c:idx val="5"/>
                <c:order val="6"/>
                <c:tx>
                  <c:strRef>
                    <c:extLst>
                      <c:ext uri="{02D57815-91ED-43cb-92C2-25804820EDAC}">
                        <c15:formulaRef>
                          <c15:sqref>'PBL OLD'!$BG$13</c15:sqref>
                        </c15:formulaRef>
                      </c:ext>
                    </c:extLst>
                    <c:strCache>
                      <c:ptCount val="1"/>
                      <c:pt idx="0">
                        <c:v>Actual ytd Standardised</c:v>
                      </c:pt>
                    </c:strCache>
                  </c:strRef>
                </c:tx>
                <c:spPr>
                  <a:ln w="19050">
                    <a:noFill/>
                  </a:ln>
                </c:spPr>
                <c:marker>
                  <c:symbol val="triangle"/>
                  <c:size val="10"/>
                  <c:spPr>
                    <a:solidFill>
                      <a:schemeClr val="accent6"/>
                    </a:solidFill>
                    <a:ln w="12700">
                      <a:solidFill>
                        <a:schemeClr val="tx1"/>
                      </a:solidFill>
                    </a:ln>
                  </c:spPr>
                </c:marker>
                <c:cat>
                  <c:strRef>
                    <c:extLst>
                      <c:ext uri="{02D57815-91ED-43cb-92C2-25804820EDAC}">
                        <c15:fullRef>
                          <c15:sqref>'PBL OLD'!$BH$9:$BN$9</c15:sqref>
                        </c15:fullRef>
                        <c15:formulaRef>
                          <c15:sqref>('PBL OLD'!$BH$9:$BK$9,'PBL OLD'!$BM$9:$BN$9)</c15:sqref>
                        </c15:formulaRef>
                      </c:ext>
                    </c:extLst>
                    <c:strCache>
                      <c:ptCount val="6"/>
                      <c:pt idx="0">
                        <c:v>FY18</c:v>
                      </c:pt>
                      <c:pt idx="1">
                        <c:v>FY19</c:v>
                      </c:pt>
                      <c:pt idx="2">
                        <c:v>FY20</c:v>
                      </c:pt>
                      <c:pt idx="3">
                        <c:v>FY21</c:v>
                      </c:pt>
                      <c:pt idx="4">
                        <c:v>FY23e</c:v>
                      </c:pt>
                      <c:pt idx="5">
                        <c:v>FY22 ytd</c:v>
                      </c:pt>
                    </c:strCache>
                  </c:strRef>
                </c:cat>
                <c:val>
                  <c:numRef>
                    <c:extLst>
                      <c:ext uri="{02D57815-91ED-43cb-92C2-25804820EDAC}">
                        <c15:fullRef>
                          <c15:sqref>'PBL OLD'!$BH$13:$BL$13</c15:sqref>
                        </c15:fullRef>
                        <c15:formulaRef>
                          <c15:sqref>'PBL OLD'!$BH$13:$BK$13</c15:sqref>
                        </c15:formulaRef>
                      </c:ext>
                    </c:extLst>
                    <c:numCache>
                      <c:formatCode>_(* #,##0.00_);_(* \(#,##0.00\);_(* "-"??_);_(@_)</c:formatCode>
                      <c:ptCount val="4"/>
                    </c:numCache>
                  </c:numRef>
                </c:val>
                <c:smooth val="0"/>
                <c:extLst>
                  <c:ext xmlns:c16="http://schemas.microsoft.com/office/drawing/2014/chart" uri="{C3380CC4-5D6E-409C-BE32-E72D297353CC}">
                    <c16:uniqueId val="{00000006-E00E-4534-876C-369DEE7D793D}"/>
                  </c:ext>
                </c:extLst>
              </c15:ser>
            </c15:filteredLineSeries>
            <c15:filteredLineSeries>
              <c15:ser>
                <c:idx val="7"/>
                <c:order val="7"/>
                <c:tx>
                  <c:strRef>
                    <c:extLst xmlns:c15="http://schemas.microsoft.com/office/drawing/2012/chart">
                      <c:ext xmlns:c15="http://schemas.microsoft.com/office/drawing/2012/chart" uri="{02D57815-91ED-43cb-92C2-25804820EDAC}">
                        <c15:formulaRef>
                          <c15:sqref>'PBL OLD'!$BG$14</c15:sqref>
                        </c15:formulaRef>
                      </c:ext>
                    </c:extLst>
                    <c:strCache>
                      <c:ptCount val="1"/>
                      <c:pt idx="0">
                        <c:v>Actual ytd + 50th percentile</c:v>
                      </c:pt>
                    </c:strCache>
                  </c:strRef>
                </c:tx>
                <c:spPr>
                  <a:ln w="19050">
                    <a:noFill/>
                  </a:ln>
                </c:spPr>
                <c:marker>
                  <c:symbol val="square"/>
                  <c:size val="9"/>
                  <c:spPr>
                    <a:solidFill>
                      <a:schemeClr val="accent5"/>
                    </a:solidFill>
                    <a:ln w="12700">
                      <a:solidFill>
                        <a:schemeClr val="tx1"/>
                      </a:solidFill>
                    </a:ln>
                  </c:spPr>
                </c:marker>
                <c:cat>
                  <c:strRef>
                    <c:extLst>
                      <c:ext xmlns:c15="http://schemas.microsoft.com/office/drawing/2012/chart" uri="{02D57815-91ED-43cb-92C2-25804820EDAC}">
                        <c15:fullRef>
                          <c15:sqref>'PBL OLD'!$BH$9:$BN$9</c15:sqref>
                        </c15:fullRef>
                        <c15:formulaRef>
                          <c15:sqref>('PBL OLD'!$BH$9:$BK$9,'PBL OLD'!$BM$9:$BN$9)</c15:sqref>
                        </c15:formulaRef>
                      </c:ext>
                    </c:extLst>
                    <c:strCache>
                      <c:ptCount val="6"/>
                      <c:pt idx="0">
                        <c:v>FY18</c:v>
                      </c:pt>
                      <c:pt idx="1">
                        <c:v>FY19</c:v>
                      </c:pt>
                      <c:pt idx="2">
                        <c:v>FY20</c:v>
                      </c:pt>
                      <c:pt idx="3">
                        <c:v>FY21</c:v>
                      </c:pt>
                      <c:pt idx="4">
                        <c:v>FY23e</c:v>
                      </c:pt>
                      <c:pt idx="5">
                        <c:v>FY22 ytd</c:v>
                      </c:pt>
                    </c:strCache>
                  </c:strRef>
                </c:cat>
                <c:val>
                  <c:numRef>
                    <c:extLst>
                      <c:ext xmlns:c15="http://schemas.microsoft.com/office/drawing/2012/chart" uri="{02D57815-91ED-43cb-92C2-25804820EDAC}">
                        <c15:fullRef>
                          <c15:sqref>'PBL OLD'!$BH$14:$BL$14</c15:sqref>
                        </c15:fullRef>
                        <c15:formulaRef>
                          <c15:sqref>'PBL OLD'!$BH$14:$BK$14</c15:sqref>
                        </c15:formulaRef>
                      </c:ext>
                    </c:extLst>
                    <c:numCache>
                      <c:formatCode>General</c:formatCode>
                      <c:ptCount val="4"/>
                    </c:numCache>
                  </c:numRef>
                </c:val>
                <c:smooth val="0"/>
                <c:extLst xmlns:c15="http://schemas.microsoft.com/office/drawing/2012/chart">
                  <c:ext xmlns:c16="http://schemas.microsoft.com/office/drawing/2014/chart" uri="{C3380CC4-5D6E-409C-BE32-E72D297353CC}">
                    <c16:uniqueId val="{00000007-E00E-4534-876C-369DEE7D793D}"/>
                  </c:ext>
                </c:extLst>
              </c15:ser>
            </c15:filteredLineSeries>
          </c:ext>
        </c:extLst>
      </c:lineChart>
      <c:catAx>
        <c:axId val="101931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1019315544"/>
        <c:crosses val="autoZero"/>
        <c:auto val="1"/>
        <c:lblAlgn val="ctr"/>
        <c:lblOffset val="100"/>
        <c:noMultiLvlLbl val="0"/>
      </c:catAx>
      <c:valAx>
        <c:axId val="1019315544"/>
        <c:scaling>
          <c:orientation val="minMax"/>
          <c:max val="4"/>
          <c:min val="0.5"/>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vert="horz"/>
          <a:lstStyle/>
          <a:p>
            <a:pPr>
              <a:defRPr/>
            </a:pPr>
            <a:endParaRPr lang="en-US"/>
          </a:p>
        </c:txPr>
        <c:crossAx val="1019316528"/>
        <c:crosses val="autoZero"/>
        <c:crossBetween val="between"/>
      </c:valAx>
    </c:plotArea>
    <c:legend>
      <c:legendPos val="b"/>
      <c:legendEntry>
        <c:idx val="0"/>
        <c:delete val="1"/>
      </c:legendEntry>
      <c:legendEntry>
        <c:idx val="1"/>
        <c:delete val="1"/>
      </c:legendEntry>
      <c:legendEntry>
        <c:idx val="2"/>
        <c:delete val="1"/>
      </c:legendEntry>
      <c:legendEntry>
        <c:idx val="4"/>
        <c:delete val="1"/>
      </c:legendEntry>
      <c:overlay val="0"/>
    </c:legend>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orientation="portrait"/>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'PBL OLD'!$JA$6</c:f>
              <c:strCache>
                <c:ptCount val="1"/>
                <c:pt idx="0">
                  <c:v>Actual</c:v>
                </c:pt>
              </c:strCache>
            </c:strRef>
          </c:tx>
          <c:spPr>
            <a:ln w="28575" cap="rnd">
              <a:solidFill>
                <a:schemeClr val="tx2"/>
              </a:solidFill>
              <a:round/>
            </a:ln>
            <a:effectLst/>
          </c:spPr>
          <c:marker>
            <c:symbol val="none"/>
          </c:marker>
          <c:cat>
            <c:numRef>
              <c:extLst>
                <c:ext xmlns:c15="http://schemas.microsoft.com/office/drawing/2012/chart" uri="{02D57815-91ED-43cb-92C2-25804820EDAC}">
                  <c15:fullRef>
                    <c15:sqref>'PBL OLD'!$IZ$7:$IZ$60</c15:sqref>
                  </c15:fullRef>
                </c:ext>
              </c:extLst>
              <c:f>'PBL OLD'!$IZ$8:$IZ$60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pt idx="52">
                  <c:v>0</c:v>
                </c:pt>
              </c:numCache>
            </c:numRef>
          </c:cat>
          <c:val>
            <c:numRef>
              <c:extLst>
                <c:ext xmlns:c15="http://schemas.microsoft.com/office/drawing/2012/chart" uri="{02D57815-91ED-43cb-92C2-25804820EDAC}">
                  <c15:fullRef>
                    <c15:sqref>'PBL OLD'!$JA$7:$JA$60</c15:sqref>
                  </c15:fullRef>
                </c:ext>
              </c:extLst>
              <c:f>'PBL OLD'!$JA$8:$JA$60</c:f>
              <c:numCache>
                <c:formatCode>0.000</c:formatCode>
                <c:ptCount val="53"/>
                <c:pt idx="0">
                  <c:v>2.4383432684147156E-2</c:v>
                </c:pt>
                <c:pt idx="1">
                  <c:v>5.7456335077458197E-2</c:v>
                </c:pt>
                <c:pt idx="2">
                  <c:v>8.2897301732709039E-2</c:v>
                </c:pt>
                <c:pt idx="3">
                  <c:v>0.10634933406608696</c:v>
                </c:pt>
                <c:pt idx="4">
                  <c:v>0.13586762292789298</c:v>
                </c:pt>
                <c:pt idx="5">
                  <c:v>0.18374004427397994</c:v>
                </c:pt>
                <c:pt idx="6">
                  <c:v>0.20803473319331103</c:v>
                </c:pt>
                <c:pt idx="7">
                  <c:v>0.23891877923157193</c:v>
                </c:pt>
                <c:pt idx="8">
                  <c:v>0.28713984685163879</c:v>
                </c:pt>
                <c:pt idx="9">
                  <c:v>0.3616614278523077</c:v>
                </c:pt>
                <c:pt idx="10">
                  <c:v>0.392004627321204</c:v>
                </c:pt>
                <c:pt idx="11">
                  <c:v>0.41949779873926418</c:v>
                </c:pt>
                <c:pt idx="12">
                  <c:v>0.46306182742073576</c:v>
                </c:pt>
                <c:pt idx="13">
                  <c:v>0.52060037325672237</c:v>
                </c:pt>
                <c:pt idx="14">
                  <c:v>0.6148648724923077</c:v>
                </c:pt>
                <c:pt idx="15">
                  <c:v>0.83700126369498329</c:v>
                </c:pt>
                <c:pt idx="16">
                  <c:v>1.1825944978628762</c:v>
                </c:pt>
                <c:pt idx="17">
                  <c:v>1.2153577144507022</c:v>
                </c:pt>
                <c:pt idx="18">
                  <c:v>1.2691323901694982</c:v>
                </c:pt>
                <c:pt idx="19">
                  <c:v>1.3310424487488961</c:v>
                </c:pt>
                <c:pt idx="20">
                  <c:v>1.4175102073723076</c:v>
                </c:pt>
                <c:pt idx="21">
                  <c:v>1.4481012105839461</c:v>
                </c:pt>
                <c:pt idx="22">
                  <c:v>1.4946211055890297</c:v>
                </c:pt>
                <c:pt idx="23">
                  <c:v>1.5554005903488961</c:v>
                </c:pt>
                <c:pt idx="24">
                  <c:v>1.6472886013460868</c:v>
                </c:pt>
                <c:pt idx="25">
                  <c:v>1.8141838940449495</c:v>
                </c:pt>
                <c:pt idx="26">
                  <c:v>1.8392503831253511</c:v>
                </c:pt>
                <c:pt idx="27">
                  <c:v>1.866157764302341</c:v>
                </c:pt>
                <c:pt idx="28">
                  <c:v>1.9009749529614712</c:v>
                </c:pt>
                <c:pt idx="29">
                  <c:v>1.9519053104066888</c:v>
                </c:pt>
                <c:pt idx="30">
                  <c:v>2.0244714168671569</c:v>
                </c:pt>
                <c:pt idx="31">
                  <c:v>2.0488217174971233</c:v>
                </c:pt>
                <c:pt idx="32">
                  <c:v>2.0819389554734444</c:v>
                </c:pt>
                <c:pt idx="33">
                  <c:v>2.135068076795986</c:v>
                </c:pt>
                <c:pt idx="34">
                  <c:v>2.2086620296321069</c:v>
                </c:pt>
                <c:pt idx="35">
                  <c:v>2.2340468803692306</c:v>
                </c:pt>
                <c:pt idx="36">
                  <c:v>2.2608009917649499</c:v>
                </c:pt>
                <c:pt idx="37">
                  <c:v>2.2922285879399333</c:v>
                </c:pt>
                <c:pt idx="38">
                  <c:v>2.3232771205685618</c:v>
                </c:pt>
                <c:pt idx="39">
                  <c:v>2.3730794774674249</c:v>
                </c:pt>
                <c:pt idx="40">
                  <c:v>2.4331034888271574</c:v>
                </c:pt>
                <c:pt idx="41">
                  <c:v>2.459481893485485</c:v>
                </c:pt>
                <c:pt idx="42">
                  <c:v>2.4922966782375924</c:v>
                </c:pt>
                <c:pt idx="43">
                  <c:v>2.5430290760305017</c:v>
                </c:pt>
              </c:numCache>
            </c:numRef>
          </c:val>
          <c:smooth val="0"/>
          <c:extLst>
            <c:ext xmlns:c16="http://schemas.microsoft.com/office/drawing/2014/chart" uri="{C3380CC4-5D6E-409C-BE32-E72D297353CC}">
              <c16:uniqueId val="{00000000-5006-4942-8B9B-45353A329058}"/>
            </c:ext>
          </c:extLst>
        </c:ser>
        <c:ser>
          <c:idx val="7"/>
          <c:order val="4"/>
          <c:tx>
            <c:strRef>
              <c:f>'PBL OLD'!$JE$6</c:f>
              <c:strCache>
                <c:ptCount val="1"/>
                <c:pt idx="0">
                  <c:v>10th Percentile</c:v>
                </c:pt>
              </c:strCache>
            </c:strRef>
          </c:tx>
          <c:spPr>
            <a:ln w="28575" cap="rnd">
              <a:solidFill>
                <a:schemeClr val="accent6"/>
              </a:solidFill>
              <a:prstDash val="sysDot"/>
              <a:round/>
            </a:ln>
            <a:effectLst/>
          </c:spPr>
          <c:marker>
            <c:symbol val="none"/>
          </c:marker>
          <c:cat>
            <c:numRef>
              <c:extLst>
                <c:ext xmlns:c15="http://schemas.microsoft.com/office/drawing/2012/chart" uri="{02D57815-91ED-43cb-92C2-25804820EDAC}">
                  <c15:fullRef>
                    <c15:sqref>'PBL OLD'!$IZ$7:$IZ$60</c15:sqref>
                  </c15:fullRef>
                </c:ext>
              </c:extLst>
              <c:f>'PBL OLD'!$IZ$8:$IZ$60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pt idx="52">
                  <c:v>0</c:v>
                </c:pt>
              </c:numCache>
            </c:numRef>
          </c:cat>
          <c:val>
            <c:numRef>
              <c:extLst>
                <c:ext xmlns:c15="http://schemas.microsoft.com/office/drawing/2012/chart" uri="{02D57815-91ED-43cb-92C2-25804820EDAC}">
                  <c15:fullRef>
                    <c15:sqref>'PBL OLD'!$JE$7:$JE$60</c15:sqref>
                  </c15:fullRef>
                </c:ext>
              </c:extLst>
              <c:f>'PBL OLD'!$JE$8:$JE$60</c:f>
              <c:numCache>
                <c:formatCode>0.000</c:formatCode>
                <c:ptCount val="53"/>
                <c:pt idx="43">
                  <c:v>2.5430290760305017</c:v>
                </c:pt>
                <c:pt idx="44">
                  <c:v>2.5843167403850682</c:v>
                </c:pt>
                <c:pt idx="45">
                  <c:v>2.6256044047396347</c:v>
                </c:pt>
                <c:pt idx="46">
                  <c:v>2.6668920690942013</c:v>
                </c:pt>
                <c:pt idx="47">
                  <c:v>2.7081797334487678</c:v>
                </c:pt>
                <c:pt idx="48">
                  <c:v>2.7494673978033344</c:v>
                </c:pt>
                <c:pt idx="49">
                  <c:v>2.7907550621579009</c:v>
                </c:pt>
                <c:pt idx="50">
                  <c:v>2.8320427265124675</c:v>
                </c:pt>
                <c:pt idx="51">
                  <c:v>2.873330390867034</c:v>
                </c:pt>
                <c:pt idx="52">
                  <c:v>2.9146180552216006</c:v>
                </c:pt>
              </c:numCache>
            </c:numRef>
          </c:val>
          <c:smooth val="0"/>
          <c:extLst>
            <c:ext xmlns:c16="http://schemas.microsoft.com/office/drawing/2014/chart" uri="{C3380CC4-5D6E-409C-BE32-E72D297353CC}">
              <c16:uniqueId val="{00000001-5006-4942-8B9B-45353A329058}"/>
            </c:ext>
          </c:extLst>
        </c:ser>
        <c:ser>
          <c:idx val="1"/>
          <c:order val="6"/>
          <c:tx>
            <c:strRef>
              <c:f>'PBL OLD'!$JG$6</c:f>
              <c:strCache>
                <c:ptCount val="1"/>
                <c:pt idx="0">
                  <c:v>50th Percentile</c:v>
                </c:pt>
              </c:strCache>
            </c:strRef>
          </c:tx>
          <c:spPr>
            <a:ln w="28575">
              <a:solidFill>
                <a:schemeClr val="bg2"/>
              </a:solidFill>
              <a:prstDash val="sysDot"/>
            </a:ln>
          </c:spPr>
          <c:marker>
            <c:symbol val="none"/>
          </c:marker>
          <c:cat>
            <c:numRef>
              <c:extLst>
                <c:ext xmlns:c15="http://schemas.microsoft.com/office/drawing/2012/chart" uri="{02D57815-91ED-43cb-92C2-25804820EDAC}">
                  <c15:fullRef>
                    <c15:sqref>'PBL OLD'!$IZ$7:$IZ$60</c15:sqref>
                  </c15:fullRef>
                </c:ext>
              </c:extLst>
              <c:f>'PBL OLD'!$IZ$8:$IZ$60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pt idx="52">
                  <c:v>0</c:v>
                </c:pt>
              </c:numCache>
            </c:numRef>
          </c:cat>
          <c:val>
            <c:numRef>
              <c:extLst>
                <c:ext xmlns:c15="http://schemas.microsoft.com/office/drawing/2012/chart" uri="{02D57815-91ED-43cb-92C2-25804820EDAC}">
                  <c15:fullRef>
                    <c15:sqref>'PBL OLD'!$JG$7:$JG$60</c15:sqref>
                  </c15:fullRef>
                </c:ext>
              </c:extLst>
              <c:f>'PBL OLD'!$JG$8:$JG$60</c:f>
              <c:numCache>
                <c:formatCode>0.000</c:formatCode>
                <c:ptCount val="53"/>
                <c:pt idx="43">
                  <c:v>2.5430290760305017</c:v>
                </c:pt>
                <c:pt idx="44">
                  <c:v>2.5972847395115681</c:v>
                </c:pt>
                <c:pt idx="45">
                  <c:v>2.6515404029926346</c:v>
                </c:pt>
                <c:pt idx="46">
                  <c:v>2.7057960664737011</c:v>
                </c:pt>
                <c:pt idx="47">
                  <c:v>2.7600517299547676</c:v>
                </c:pt>
                <c:pt idx="48">
                  <c:v>2.814307393435834</c:v>
                </c:pt>
                <c:pt idx="49">
                  <c:v>2.8685630569169005</c:v>
                </c:pt>
                <c:pt idx="50">
                  <c:v>2.922818720397967</c:v>
                </c:pt>
                <c:pt idx="51">
                  <c:v>2.9770743838790334</c:v>
                </c:pt>
                <c:pt idx="52">
                  <c:v>3.0313300473600999</c:v>
                </c:pt>
              </c:numCache>
            </c:numRef>
          </c:val>
          <c:smooth val="0"/>
          <c:extLst>
            <c:ext xmlns:c16="http://schemas.microsoft.com/office/drawing/2014/chart" uri="{C3380CC4-5D6E-409C-BE32-E72D297353CC}">
              <c16:uniqueId val="{00000002-5006-4942-8B9B-45353A329058}"/>
            </c:ext>
          </c:extLst>
        </c:ser>
        <c:ser>
          <c:idx val="4"/>
          <c:order val="8"/>
          <c:tx>
            <c:strRef>
              <c:f>'PBL OLD'!$JI$6</c:f>
              <c:strCache>
                <c:ptCount val="1"/>
                <c:pt idx="0">
                  <c:v>90th Percentile</c:v>
                </c:pt>
              </c:strCache>
            </c:strRef>
          </c:tx>
          <c:spPr>
            <a:ln w="28575">
              <a:solidFill>
                <a:schemeClr val="accent1"/>
              </a:solidFill>
              <a:prstDash val="sysDot"/>
            </a:ln>
          </c:spPr>
          <c:marker>
            <c:symbol val="none"/>
          </c:marker>
          <c:cat>
            <c:numRef>
              <c:extLst>
                <c:ext xmlns:c15="http://schemas.microsoft.com/office/drawing/2012/chart" uri="{02D57815-91ED-43cb-92C2-25804820EDAC}">
                  <c15:fullRef>
                    <c15:sqref>'PBL OLD'!$IZ$7:$IZ$60</c15:sqref>
                  </c15:fullRef>
                </c:ext>
              </c:extLst>
              <c:f>'PBL OLD'!$IZ$8:$IZ$60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pt idx="52">
                  <c:v>0</c:v>
                </c:pt>
              </c:numCache>
            </c:numRef>
          </c:cat>
          <c:val>
            <c:numRef>
              <c:extLst>
                <c:ext xmlns:c15="http://schemas.microsoft.com/office/drawing/2012/chart" uri="{02D57815-91ED-43cb-92C2-25804820EDAC}">
                  <c15:fullRef>
                    <c15:sqref>'PBL OLD'!$JI$7:$JI$60</c15:sqref>
                  </c15:fullRef>
                </c:ext>
              </c:extLst>
              <c:f>'PBL OLD'!$JI$8:$JI$60</c:f>
              <c:numCache>
                <c:formatCode>0.000</c:formatCode>
                <c:ptCount val="53"/>
                <c:pt idx="43">
                  <c:v>2.5430290760305017</c:v>
                </c:pt>
                <c:pt idx="44">
                  <c:v>2.6324868447430849</c:v>
                </c:pt>
                <c:pt idx="45">
                  <c:v>2.7219446134556682</c:v>
                </c:pt>
                <c:pt idx="46">
                  <c:v>2.8114023821682514</c:v>
                </c:pt>
                <c:pt idx="47">
                  <c:v>2.9008601508808347</c:v>
                </c:pt>
                <c:pt idx="48">
                  <c:v>2.990317919593418</c:v>
                </c:pt>
                <c:pt idx="49">
                  <c:v>3.0797756883060012</c:v>
                </c:pt>
                <c:pt idx="50">
                  <c:v>3.1692334570185845</c:v>
                </c:pt>
                <c:pt idx="51">
                  <c:v>3.2586912257311678</c:v>
                </c:pt>
                <c:pt idx="52">
                  <c:v>3.348148994443751</c:v>
                </c:pt>
              </c:numCache>
            </c:numRef>
          </c:val>
          <c:smooth val="0"/>
          <c:extLst>
            <c:ext xmlns:c16="http://schemas.microsoft.com/office/drawing/2014/chart" uri="{C3380CC4-5D6E-409C-BE32-E72D297353CC}">
              <c16:uniqueId val="{00000003-5006-4942-8B9B-45353A329058}"/>
            </c:ext>
          </c:extLst>
        </c:ser>
        <c:ser>
          <c:idx val="12"/>
          <c:order val="12"/>
          <c:tx>
            <c:strRef>
              <c:f>'PBL OLD'!$JM$6</c:f>
              <c:strCache>
                <c:ptCount val="1"/>
                <c:pt idx="0">
                  <c:v>Yearly Average</c:v>
                </c:pt>
              </c:strCache>
            </c:strRef>
          </c:tx>
          <c:spPr>
            <a:ln>
              <a:solidFill>
                <a:schemeClr val="accent2"/>
              </a:solidFill>
              <a:prstDash val="dash"/>
            </a:ln>
          </c:spPr>
          <c:marker>
            <c:symbol val="none"/>
          </c:marker>
          <c:cat>
            <c:numRef>
              <c:extLst>
                <c:ext xmlns:c15="http://schemas.microsoft.com/office/drawing/2012/chart" uri="{02D57815-91ED-43cb-92C2-25804820EDAC}">
                  <c15:fullRef>
                    <c15:sqref>'PBL OLD'!$IZ$7:$IZ$60</c15:sqref>
                  </c15:fullRef>
                </c:ext>
              </c:extLst>
              <c:f>'PBL OLD'!$IZ$8:$IZ$60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pt idx="52">
                  <c:v>0</c:v>
                </c:pt>
              </c:numCache>
            </c:numRef>
          </c:cat>
          <c:val>
            <c:numRef>
              <c:extLst>
                <c:ext xmlns:c15="http://schemas.microsoft.com/office/drawing/2012/chart" uri="{02D57815-91ED-43cb-92C2-25804820EDAC}">
                  <c15:fullRef>
                    <c15:sqref>'PBL OLD'!$JM$7:$JM$60</c15:sqref>
                  </c15:fullRef>
                </c:ext>
              </c:extLst>
              <c:f>'PBL OLD'!$JM$8:$JM$60</c:f>
              <c:numCache>
                <c:formatCode>0.000</c:formatCode>
                <c:ptCount val="53"/>
                <c:pt idx="43">
                  <c:v>2.5430290760305017</c:v>
                </c:pt>
                <c:pt idx="44">
                  <c:v>2.5430290760305017</c:v>
                </c:pt>
                <c:pt idx="45">
                  <c:v>2.5430290760305017</c:v>
                </c:pt>
                <c:pt idx="46">
                  <c:v>2.5430290760305017</c:v>
                </c:pt>
                <c:pt idx="47">
                  <c:v>2.5430290760305017</c:v>
                </c:pt>
                <c:pt idx="48">
                  <c:v>2.5430290760305017</c:v>
                </c:pt>
                <c:pt idx="49">
                  <c:v>2.5430290760305017</c:v>
                </c:pt>
                <c:pt idx="50">
                  <c:v>2.5430290760305017</c:v>
                </c:pt>
                <c:pt idx="51">
                  <c:v>2.5430290760305017</c:v>
                </c:pt>
                <c:pt idx="52">
                  <c:v>2.5430290760305017</c:v>
                </c:pt>
              </c:numCache>
            </c:numRef>
          </c:val>
          <c:smooth val="0"/>
          <c:extLst>
            <c:ext xmlns:c16="http://schemas.microsoft.com/office/drawing/2014/chart" uri="{C3380CC4-5D6E-409C-BE32-E72D297353CC}">
              <c16:uniqueId val="{00000004-5006-4942-8B9B-45353A329058}"/>
            </c:ext>
          </c:extLst>
        </c:ser>
        <c:dLbls>
          <c:showLegendKey val="0"/>
          <c:showVal val="0"/>
          <c:showCatName val="0"/>
          <c:showSerName val="0"/>
          <c:showPercent val="0"/>
          <c:showBubbleSize val="0"/>
        </c:dLbls>
        <c:smooth val="0"/>
        <c:axId val="1388952432"/>
        <c:axId val="1388953088"/>
        <c:extLst>
          <c:ext xmlns:c15="http://schemas.microsoft.com/office/drawing/2012/chart" uri="{02D57815-91ED-43cb-92C2-25804820EDAC}">
            <c15:filteredLineSeries>
              <c15:ser>
                <c:idx val="3"/>
                <c:order val="1"/>
                <c:tx>
                  <c:strRef>
                    <c:extLst>
                      <c:ext uri="{02D57815-91ED-43cb-92C2-25804820EDAC}">
                        <c15:formulaRef>
                          <c15:sqref>'PBL OLD'!$JB$6</c15:sqref>
                        </c15:formulaRef>
                      </c:ext>
                    </c:extLst>
                    <c:strCache>
                      <c:ptCount val="1"/>
                      <c:pt idx="0">
                        <c:v>Min</c:v>
                      </c:pt>
                    </c:strCache>
                  </c:strRef>
                </c:tx>
                <c:spPr>
                  <a:ln w="28575" cap="rnd">
                    <a:solidFill>
                      <a:schemeClr val="accent6"/>
                    </a:solidFill>
                    <a:prstDash val="sysDot"/>
                    <a:round/>
                  </a:ln>
                  <a:effectLst/>
                </c:spPr>
                <c:marker>
                  <c:symbol val="none"/>
                </c:marker>
                <c:cat>
                  <c:numRef>
                    <c:extLst>
                      <c:ext uri="{02D57815-91ED-43cb-92C2-25804820EDAC}">
                        <c15:fullRef>
                          <c15:sqref>'PBL OLD'!$IZ$7:$IZ$60</c15:sqref>
                        </c15:fullRef>
                        <c15:formulaRef>
                          <c15:sqref>'PBL OLD'!$IZ$8:$IZ$60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pt idx="52">
                        <c:v>0</c:v>
                      </c:pt>
                    </c:numCache>
                  </c:numRef>
                </c:cat>
                <c:val>
                  <c:numRef>
                    <c:extLst>
                      <c:ext uri="{02D57815-91ED-43cb-92C2-25804820EDAC}">
                        <c15:fullRef>
                          <c15:sqref>'PBL OLD'!$JB$7:$JB$60</c15:sqref>
                        </c15:fullRef>
                        <c15:formulaRef>
                          <c15:sqref>'PBL OLD'!$JB$8:$JB$60</c15:sqref>
                        </c15:formulaRef>
                      </c:ext>
                    </c:extLst>
                    <c:numCache>
                      <c:formatCode>0.000</c:formatCode>
                      <c:ptCount val="53"/>
                      <c:pt idx="43">
                        <c:v>2.5430290760305017</c:v>
                      </c:pt>
                      <c:pt idx="44">
                        <c:v>2.5735001069846017</c:v>
                      </c:pt>
                      <c:pt idx="45">
                        <c:v>2.6039711379387018</c:v>
                      </c:pt>
                      <c:pt idx="46">
                        <c:v>2.6344421688928019</c:v>
                      </c:pt>
                      <c:pt idx="47">
                        <c:v>2.664913199846902</c:v>
                      </c:pt>
                      <c:pt idx="48">
                        <c:v>2.6953842308010021</c:v>
                      </c:pt>
                      <c:pt idx="49">
                        <c:v>2.7258552617551022</c:v>
                      </c:pt>
                      <c:pt idx="50">
                        <c:v>2.7563262927092023</c:v>
                      </c:pt>
                      <c:pt idx="51">
                        <c:v>2.7867973236633024</c:v>
                      </c:pt>
                      <c:pt idx="52">
                        <c:v>2.8172683546174024</c:v>
                      </c:pt>
                    </c:numCache>
                  </c:numRef>
                </c:val>
                <c:smooth val="0"/>
                <c:extLst>
                  <c:ext xmlns:c16="http://schemas.microsoft.com/office/drawing/2014/chart" uri="{C3380CC4-5D6E-409C-BE32-E72D297353CC}">
                    <c16:uniqueId val="{00000005-5006-4942-8B9B-45353A329058}"/>
                  </c:ext>
                </c:extLst>
              </c15:ser>
            </c15:filteredLineSeries>
            <c15:filteredLineSeries>
              <c15:ser>
                <c:idx val="5"/>
                <c:order val="2"/>
                <c:tx>
                  <c:strRef>
                    <c:extLst xmlns:c15="http://schemas.microsoft.com/office/drawing/2012/chart">
                      <c:ext xmlns:c15="http://schemas.microsoft.com/office/drawing/2012/chart" uri="{02D57815-91ED-43cb-92C2-25804820EDAC}">
                        <c15:formulaRef>
                          <c15:sqref>'PBL OLD'!$JC$6</c15:sqref>
                        </c15:formulaRef>
                      </c:ext>
                    </c:extLst>
                    <c:strCache>
                      <c:ptCount val="1"/>
                      <c:pt idx="0">
                        <c:v>1st Percentile</c:v>
                      </c:pt>
                    </c:strCache>
                  </c:strRef>
                </c:tx>
                <c:spPr>
                  <a:ln w="28575" cap="rnd">
                    <a:solidFill>
                      <a:schemeClr val="accent5"/>
                    </a:solidFill>
                    <a:prstDash val="sysDot"/>
                    <a:round/>
                  </a:ln>
                  <a:effectLst/>
                </c:spPr>
                <c:marker>
                  <c:symbol val="none"/>
                </c:marker>
                <c:cat>
                  <c:numRef>
                    <c:extLst>
                      <c:ext xmlns:c15="http://schemas.microsoft.com/office/drawing/2012/chart" uri="{02D57815-91ED-43cb-92C2-25804820EDAC}">
                        <c15:fullRef>
                          <c15:sqref>'PBL OLD'!$IZ$7:$IZ$60</c15:sqref>
                        </c15:fullRef>
                        <c15:formulaRef>
                          <c15:sqref>'PBL OLD'!$IZ$8:$IZ$60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pt idx="52">
                        <c:v>0</c:v>
                      </c:pt>
                    </c:numCache>
                  </c:numRef>
                </c:cat>
                <c:val>
                  <c:numRef>
                    <c:extLst>
                      <c:ext xmlns:c15="http://schemas.microsoft.com/office/drawing/2012/chart" uri="{02D57815-91ED-43cb-92C2-25804820EDAC}">
                        <c15:fullRef>
                          <c15:sqref>'PBL OLD'!$JC$7:$JC$60</c15:sqref>
                        </c15:fullRef>
                        <c15:formulaRef>
                          <c15:sqref>'PBL OLD'!$JC$8:$JC$60</c15:sqref>
                        </c15:formulaRef>
                      </c:ext>
                    </c:extLst>
                    <c:numCache>
                      <c:formatCode>0.000</c:formatCode>
                      <c:ptCount val="53"/>
                      <c:pt idx="43">
                        <c:v>2.5430290760305017</c:v>
                      </c:pt>
                      <c:pt idx="44">
                        <c:v>2.5770879861404516</c:v>
                      </c:pt>
                      <c:pt idx="45">
                        <c:v>2.6111468962504016</c:v>
                      </c:pt>
                      <c:pt idx="46">
                        <c:v>2.6452058063603516</c:v>
                      </c:pt>
                      <c:pt idx="47">
                        <c:v>2.6792647164703016</c:v>
                      </c:pt>
                      <c:pt idx="48">
                        <c:v>2.7133236265802516</c:v>
                      </c:pt>
                      <c:pt idx="49">
                        <c:v>2.7473825366902016</c:v>
                      </c:pt>
                      <c:pt idx="50">
                        <c:v>2.7814414468001516</c:v>
                      </c:pt>
                      <c:pt idx="51">
                        <c:v>2.8155003569101016</c:v>
                      </c:pt>
                      <c:pt idx="52">
                        <c:v>2.8495592670200516</c:v>
                      </c:pt>
                    </c:numCache>
                  </c:numRef>
                </c:val>
                <c:smooth val="0"/>
                <c:extLst xmlns:c15="http://schemas.microsoft.com/office/drawing/2012/chart">
                  <c:ext xmlns:c16="http://schemas.microsoft.com/office/drawing/2014/chart" uri="{C3380CC4-5D6E-409C-BE32-E72D297353CC}">
                    <c16:uniqueId val="{00000006-5006-4942-8B9B-45353A329058}"/>
                  </c:ext>
                </c:extLst>
              </c15:ser>
            </c15:filteredLineSeries>
            <c15:filteredLineSeries>
              <c15:ser>
                <c:idx val="6"/>
                <c:order val="3"/>
                <c:tx>
                  <c:strRef>
                    <c:extLst xmlns:c15="http://schemas.microsoft.com/office/drawing/2012/chart">
                      <c:ext xmlns:c15="http://schemas.microsoft.com/office/drawing/2012/chart" uri="{02D57815-91ED-43cb-92C2-25804820EDAC}">
                        <c15:formulaRef>
                          <c15:sqref>'PBL OLD'!$JD$6</c15:sqref>
                        </c15:formulaRef>
                      </c:ext>
                    </c:extLst>
                    <c:strCache>
                      <c:ptCount val="1"/>
                      <c:pt idx="0">
                        <c:v>5th Percentile</c:v>
                      </c:pt>
                    </c:strCache>
                  </c:strRef>
                </c:tx>
                <c:spPr>
                  <a:ln w="28575" cap="rnd">
                    <a:solidFill>
                      <a:schemeClr val="bg2"/>
                    </a:solidFill>
                    <a:prstDash val="sysDot"/>
                    <a:round/>
                  </a:ln>
                  <a:effectLst/>
                </c:spPr>
                <c:marker>
                  <c:symbol val="none"/>
                </c:marker>
                <c:cat>
                  <c:numRef>
                    <c:extLst>
                      <c:ext xmlns:c15="http://schemas.microsoft.com/office/drawing/2012/chart" uri="{02D57815-91ED-43cb-92C2-25804820EDAC}">
                        <c15:fullRef>
                          <c15:sqref>'PBL OLD'!$IZ$7:$IZ$60</c15:sqref>
                        </c15:fullRef>
                        <c15:formulaRef>
                          <c15:sqref>'PBL OLD'!$IZ$8:$IZ$60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pt idx="52">
                        <c:v>0</c:v>
                      </c:pt>
                    </c:numCache>
                  </c:numRef>
                </c:cat>
                <c:val>
                  <c:numRef>
                    <c:extLst>
                      <c:ext xmlns:c15="http://schemas.microsoft.com/office/drawing/2012/chart" uri="{02D57815-91ED-43cb-92C2-25804820EDAC}">
                        <c15:fullRef>
                          <c15:sqref>'PBL OLD'!$JD$7:$JD$60</c15:sqref>
                        </c15:fullRef>
                        <c15:formulaRef>
                          <c15:sqref>'PBL OLD'!$JD$8:$JD$60</c15:sqref>
                        </c15:formulaRef>
                      </c:ext>
                    </c:extLst>
                    <c:numCache>
                      <c:formatCode>0.000</c:formatCode>
                      <c:ptCount val="53"/>
                      <c:pt idx="43">
                        <c:v>2.5430290760305017</c:v>
                      </c:pt>
                      <c:pt idx="44">
                        <c:v>2.5813369742668018</c:v>
                      </c:pt>
                      <c:pt idx="45">
                        <c:v>2.6196448725031019</c:v>
                      </c:pt>
                      <c:pt idx="46">
                        <c:v>2.6579527707394019</c:v>
                      </c:pt>
                      <c:pt idx="47">
                        <c:v>2.696260668975702</c:v>
                      </c:pt>
                      <c:pt idx="48">
                        <c:v>2.7345685672120021</c:v>
                      </c:pt>
                      <c:pt idx="49">
                        <c:v>2.7728764654483022</c:v>
                      </c:pt>
                      <c:pt idx="50">
                        <c:v>2.8111843636846023</c:v>
                      </c:pt>
                      <c:pt idx="51">
                        <c:v>2.8494922619209024</c:v>
                      </c:pt>
                      <c:pt idx="52">
                        <c:v>2.8878001601572025</c:v>
                      </c:pt>
                    </c:numCache>
                  </c:numRef>
                </c:val>
                <c:smooth val="0"/>
                <c:extLst xmlns:c15="http://schemas.microsoft.com/office/drawing/2012/chart">
                  <c:ext xmlns:c16="http://schemas.microsoft.com/office/drawing/2014/chart" uri="{C3380CC4-5D6E-409C-BE32-E72D297353CC}">
                    <c16:uniqueId val="{00000007-5006-4942-8B9B-45353A329058}"/>
                  </c:ext>
                </c:extLst>
              </c15:ser>
            </c15:filteredLineSeries>
            <c15:filteredLineSeries>
              <c15:ser>
                <c:idx val="9"/>
                <c:order val="5"/>
                <c:tx>
                  <c:strRef>
                    <c:extLst xmlns:c15="http://schemas.microsoft.com/office/drawing/2012/chart">
                      <c:ext xmlns:c15="http://schemas.microsoft.com/office/drawing/2012/chart" uri="{02D57815-91ED-43cb-92C2-25804820EDAC}">
                        <c15:formulaRef>
                          <c15:sqref>'PBL OLD'!$JF$6</c15:sqref>
                        </c15:formulaRef>
                      </c:ext>
                    </c:extLst>
                    <c:strCache>
                      <c:ptCount val="1"/>
                      <c:pt idx="0">
                        <c:v>25th Percentile</c:v>
                      </c:pt>
                    </c:strCache>
                  </c:strRef>
                </c:tx>
                <c:spPr>
                  <a:ln w="28575" cap="rnd">
                    <a:solidFill>
                      <a:schemeClr val="accent1"/>
                    </a:solidFill>
                    <a:prstDash val="sysDot"/>
                    <a:round/>
                  </a:ln>
                  <a:effectLst/>
                </c:spPr>
                <c:marker>
                  <c:symbol val="none"/>
                </c:marker>
                <c:cat>
                  <c:numRef>
                    <c:extLst>
                      <c:ext xmlns:c15="http://schemas.microsoft.com/office/drawing/2012/chart" uri="{02D57815-91ED-43cb-92C2-25804820EDAC}">
                        <c15:fullRef>
                          <c15:sqref>'PBL OLD'!$IZ$7:$IZ$60</c15:sqref>
                        </c15:fullRef>
                        <c15:formulaRef>
                          <c15:sqref>'PBL OLD'!$IZ$8:$IZ$60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pt idx="52">
                        <c:v>0</c:v>
                      </c:pt>
                    </c:numCache>
                  </c:numRef>
                </c:cat>
                <c:val>
                  <c:numRef>
                    <c:extLst>
                      <c:ext xmlns:c15="http://schemas.microsoft.com/office/drawing/2012/chart" uri="{02D57815-91ED-43cb-92C2-25804820EDAC}">
                        <c15:fullRef>
                          <c15:sqref>'PBL OLD'!$JF$7:$JF$60</c15:sqref>
                        </c15:fullRef>
                        <c15:formulaRef>
                          <c15:sqref>'PBL OLD'!$JF$8:$JF$60</c15:sqref>
                        </c15:formulaRef>
                      </c:ext>
                    </c:extLst>
                    <c:numCache>
                      <c:formatCode>0.000</c:formatCode>
                      <c:ptCount val="53"/>
                      <c:pt idx="43">
                        <c:v>2.5430290760305017</c:v>
                      </c:pt>
                      <c:pt idx="44">
                        <c:v>2.5892827873959017</c:v>
                      </c:pt>
                      <c:pt idx="45">
                        <c:v>2.6355364987613017</c:v>
                      </c:pt>
                      <c:pt idx="46">
                        <c:v>2.6817902101267017</c:v>
                      </c:pt>
                      <c:pt idx="47">
                        <c:v>2.7280439214921017</c:v>
                      </c:pt>
                      <c:pt idx="48">
                        <c:v>2.7742976328575017</c:v>
                      </c:pt>
                      <c:pt idx="49">
                        <c:v>2.8205513442229018</c:v>
                      </c:pt>
                      <c:pt idx="50">
                        <c:v>2.8668050555883018</c:v>
                      </c:pt>
                      <c:pt idx="51">
                        <c:v>2.9130587669537018</c:v>
                      </c:pt>
                      <c:pt idx="52">
                        <c:v>2.9593124783191018</c:v>
                      </c:pt>
                    </c:numCache>
                  </c:numRef>
                </c:val>
                <c:smooth val="0"/>
                <c:extLst xmlns:c15="http://schemas.microsoft.com/office/drawing/2012/chart">
                  <c:ext xmlns:c16="http://schemas.microsoft.com/office/drawing/2014/chart" uri="{C3380CC4-5D6E-409C-BE32-E72D297353CC}">
                    <c16:uniqueId val="{00000008-5006-4942-8B9B-45353A329058}"/>
                  </c:ext>
                </c:extLst>
              </c15:ser>
            </c15:filteredLineSeries>
            <c15:filteredLineSeries>
              <c15:ser>
                <c:idx val="2"/>
                <c:order val="7"/>
                <c:tx>
                  <c:strRef>
                    <c:extLst xmlns:c15="http://schemas.microsoft.com/office/drawing/2012/chart">
                      <c:ext xmlns:c15="http://schemas.microsoft.com/office/drawing/2012/chart" uri="{02D57815-91ED-43cb-92C2-25804820EDAC}">
                        <c15:formulaRef>
                          <c15:sqref>'PBL OLD'!$JH$6</c15:sqref>
                        </c15:formulaRef>
                      </c:ext>
                    </c:extLst>
                    <c:strCache>
                      <c:ptCount val="1"/>
                      <c:pt idx="0">
                        <c:v>75th Percentile</c:v>
                      </c:pt>
                    </c:strCache>
                  </c:strRef>
                </c:tx>
                <c:marker>
                  <c:symbol val="none"/>
                </c:marker>
                <c:cat>
                  <c:numRef>
                    <c:extLst>
                      <c:ext xmlns:c15="http://schemas.microsoft.com/office/drawing/2012/chart" uri="{02D57815-91ED-43cb-92C2-25804820EDAC}">
                        <c15:fullRef>
                          <c15:sqref>'PBL OLD'!$IZ$7:$IZ$60</c15:sqref>
                        </c15:fullRef>
                        <c15:formulaRef>
                          <c15:sqref>'PBL OLD'!$IZ$8:$IZ$60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pt idx="52">
                        <c:v>0</c:v>
                      </c:pt>
                    </c:numCache>
                  </c:numRef>
                </c:cat>
                <c:val>
                  <c:numRef>
                    <c:extLst>
                      <c:ext xmlns:c15="http://schemas.microsoft.com/office/drawing/2012/chart" uri="{02D57815-91ED-43cb-92C2-25804820EDAC}">
                        <c15:fullRef>
                          <c15:sqref>'PBL OLD'!$JH$7:$JH$60</c15:sqref>
                        </c15:fullRef>
                        <c15:formulaRef>
                          <c15:sqref>'PBL OLD'!$JH$8:$JH$60</c15:sqref>
                        </c15:formulaRef>
                      </c:ext>
                    </c:extLst>
                    <c:numCache>
                      <c:formatCode>0.000</c:formatCode>
                      <c:ptCount val="53"/>
                      <c:pt idx="43">
                        <c:v>2.5430290760305017</c:v>
                      </c:pt>
                      <c:pt idx="44">
                        <c:v>2.6094795407670182</c:v>
                      </c:pt>
                      <c:pt idx="45">
                        <c:v>2.6759300055035347</c:v>
                      </c:pt>
                      <c:pt idx="46">
                        <c:v>2.7423804702400512</c:v>
                      </c:pt>
                      <c:pt idx="47">
                        <c:v>2.8088309349765677</c:v>
                      </c:pt>
                      <c:pt idx="48">
                        <c:v>2.8752813997130842</c:v>
                      </c:pt>
                      <c:pt idx="49">
                        <c:v>2.9417318644496007</c:v>
                      </c:pt>
                      <c:pt idx="50">
                        <c:v>3.0081823291861172</c:v>
                      </c:pt>
                      <c:pt idx="51">
                        <c:v>3.0746327939226337</c:v>
                      </c:pt>
                      <c:pt idx="52">
                        <c:v>3.1410832586591502</c:v>
                      </c:pt>
                    </c:numCache>
                  </c:numRef>
                </c:val>
                <c:smooth val="0"/>
                <c:extLst xmlns:c15="http://schemas.microsoft.com/office/drawing/2012/chart">
                  <c:ext xmlns:c16="http://schemas.microsoft.com/office/drawing/2014/chart" uri="{C3380CC4-5D6E-409C-BE32-E72D297353CC}">
                    <c16:uniqueId val="{00000009-5006-4942-8B9B-45353A329058}"/>
                  </c:ext>
                </c:extLst>
              </c15:ser>
            </c15:filteredLineSeries>
            <c15:filteredLineSeries>
              <c15:ser>
                <c:idx val="8"/>
                <c:order val="9"/>
                <c:tx>
                  <c:strRef>
                    <c:extLst xmlns:c15="http://schemas.microsoft.com/office/drawing/2012/chart">
                      <c:ext xmlns:c15="http://schemas.microsoft.com/office/drawing/2012/chart" uri="{02D57815-91ED-43cb-92C2-25804820EDAC}">
                        <c15:formulaRef>
                          <c15:sqref>'PBL OLD'!$JJ$6</c15:sqref>
                        </c15:formulaRef>
                      </c:ext>
                    </c:extLst>
                    <c:strCache>
                      <c:ptCount val="1"/>
                      <c:pt idx="0">
                        <c:v>95th Percentile</c:v>
                      </c:pt>
                    </c:strCache>
                  </c:strRef>
                </c:tx>
                <c:marker>
                  <c:symbol val="none"/>
                </c:marker>
                <c:cat>
                  <c:numRef>
                    <c:extLst>
                      <c:ext xmlns:c15="http://schemas.microsoft.com/office/drawing/2012/chart" uri="{02D57815-91ED-43cb-92C2-25804820EDAC}">
                        <c15:fullRef>
                          <c15:sqref>'PBL OLD'!$IZ$7:$IZ$60</c15:sqref>
                        </c15:fullRef>
                        <c15:formulaRef>
                          <c15:sqref>'PBL OLD'!$IZ$8:$IZ$60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pt idx="52">
                        <c:v>0</c:v>
                      </c:pt>
                    </c:numCache>
                  </c:numRef>
                </c:cat>
                <c:val>
                  <c:numRef>
                    <c:extLst>
                      <c:ext xmlns:c15="http://schemas.microsoft.com/office/drawing/2012/chart" uri="{02D57815-91ED-43cb-92C2-25804820EDAC}">
                        <c15:fullRef>
                          <c15:sqref>'PBL OLD'!$JJ$7:$JJ$60</c15:sqref>
                        </c15:fullRef>
                        <c15:formulaRef>
                          <c15:sqref>'PBL OLD'!$JJ$8:$JJ$60</c15:sqref>
                        </c15:formulaRef>
                      </c:ext>
                    </c:extLst>
                    <c:numCache>
                      <c:formatCode>0.000</c:formatCode>
                      <c:ptCount val="53"/>
                      <c:pt idx="43">
                        <c:v>2.5430290760305017</c:v>
                      </c:pt>
                      <c:pt idx="44">
                        <c:v>2.6403237120252849</c:v>
                      </c:pt>
                      <c:pt idx="45">
                        <c:v>2.7376183480200682</c:v>
                      </c:pt>
                      <c:pt idx="46">
                        <c:v>2.8349129840148515</c:v>
                      </c:pt>
                      <c:pt idx="47">
                        <c:v>2.9322076200096348</c:v>
                      </c:pt>
                      <c:pt idx="48">
                        <c:v>3.029502256004418</c:v>
                      </c:pt>
                      <c:pt idx="49">
                        <c:v>3.1267968919992013</c:v>
                      </c:pt>
                      <c:pt idx="50">
                        <c:v>3.2240915279939846</c:v>
                      </c:pt>
                      <c:pt idx="51">
                        <c:v>3.3213861639887678</c:v>
                      </c:pt>
                      <c:pt idx="52">
                        <c:v>3.4186807999835511</c:v>
                      </c:pt>
                    </c:numCache>
                  </c:numRef>
                </c:val>
                <c:smooth val="0"/>
                <c:extLst xmlns:c15="http://schemas.microsoft.com/office/drawing/2012/chart">
                  <c:ext xmlns:c16="http://schemas.microsoft.com/office/drawing/2014/chart" uri="{C3380CC4-5D6E-409C-BE32-E72D297353CC}">
                    <c16:uniqueId val="{0000000A-5006-4942-8B9B-45353A329058}"/>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'PBL OLD'!$JK$6</c15:sqref>
                        </c15:formulaRef>
                      </c:ext>
                    </c:extLst>
                    <c:strCache>
                      <c:ptCount val="1"/>
                      <c:pt idx="0">
                        <c:v>99th Percentile</c:v>
                      </c:pt>
                    </c:strCache>
                  </c:strRef>
                </c:tx>
                <c:spPr>
                  <a:ln>
                    <a:solidFill>
                      <a:schemeClr val="accent6"/>
                    </a:solidFill>
                    <a:prstDash val="sysDot"/>
                  </a:ln>
                </c:spPr>
                <c:marker>
                  <c:symbol val="none"/>
                </c:marker>
                <c:cat>
                  <c:numRef>
                    <c:extLst>
                      <c:ext xmlns:c15="http://schemas.microsoft.com/office/drawing/2012/chart" uri="{02D57815-91ED-43cb-92C2-25804820EDAC}">
                        <c15:fullRef>
                          <c15:sqref>'PBL OLD'!$IZ$7:$IZ$60</c15:sqref>
                        </c15:fullRef>
                        <c15:formulaRef>
                          <c15:sqref>'PBL OLD'!$IZ$8:$IZ$60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pt idx="52">
                        <c:v>0</c:v>
                      </c:pt>
                    </c:numCache>
                  </c:numRef>
                </c:cat>
                <c:val>
                  <c:numRef>
                    <c:extLst>
                      <c:ext xmlns:c15="http://schemas.microsoft.com/office/drawing/2012/chart" uri="{02D57815-91ED-43cb-92C2-25804820EDAC}">
                        <c15:fullRef>
                          <c15:sqref>'PBL OLD'!$JK$7:$JK$60</c15:sqref>
                        </c15:fullRef>
                        <c15:formulaRef>
                          <c15:sqref>'PBL OLD'!$JK$8:$JK$60</c15:sqref>
                        </c15:formulaRef>
                      </c:ext>
                    </c:extLst>
                    <c:numCache>
                      <c:formatCode>0.000</c:formatCode>
                      <c:ptCount val="53"/>
                      <c:pt idx="43">
                        <c:v>2.5430290760305017</c:v>
                      </c:pt>
                      <c:pt idx="44">
                        <c:v>2.6724247202622626</c:v>
                      </c:pt>
                      <c:pt idx="45">
                        <c:v>2.8018203644940236</c:v>
                      </c:pt>
                      <c:pt idx="46">
                        <c:v>2.9312160087257846</c:v>
                      </c:pt>
                      <c:pt idx="47">
                        <c:v>3.0606116529575456</c:v>
                      </c:pt>
                      <c:pt idx="48">
                        <c:v>3.1900072971893065</c:v>
                      </c:pt>
                      <c:pt idx="49">
                        <c:v>3.3194029414210675</c:v>
                      </c:pt>
                      <c:pt idx="50">
                        <c:v>3.4487985856528285</c:v>
                      </c:pt>
                      <c:pt idx="51">
                        <c:v>3.5781942298845895</c:v>
                      </c:pt>
                      <c:pt idx="52">
                        <c:v>3.7075898741163504</c:v>
                      </c:pt>
                    </c:numCache>
                  </c:numRef>
                </c:val>
                <c:smooth val="0"/>
                <c:extLst xmlns:c15="http://schemas.microsoft.com/office/drawing/2012/chart">
                  <c:ext xmlns:c16="http://schemas.microsoft.com/office/drawing/2014/chart" uri="{C3380CC4-5D6E-409C-BE32-E72D297353CC}">
                    <c16:uniqueId val="{0000000B-5006-4942-8B9B-45353A329058}"/>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'PBL OLD'!$JL$6</c15:sqref>
                        </c15:formulaRef>
                      </c:ext>
                    </c:extLst>
                    <c:strCache>
                      <c:ptCount val="1"/>
                      <c:pt idx="0">
                        <c:v>Max</c:v>
                      </c:pt>
                    </c:strCache>
                  </c:strRef>
                </c:tx>
                <c:marker>
                  <c:symbol val="none"/>
                </c:marker>
                <c:cat>
                  <c:numRef>
                    <c:extLst>
                      <c:ext xmlns:c15="http://schemas.microsoft.com/office/drawing/2012/chart" uri="{02D57815-91ED-43cb-92C2-25804820EDAC}">
                        <c15:fullRef>
                          <c15:sqref>'PBL OLD'!$IZ$7:$IZ$60</c15:sqref>
                        </c15:fullRef>
                        <c15:formulaRef>
                          <c15:sqref>'PBL OLD'!$IZ$8:$IZ$60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pt idx="52">
                        <c:v>0</c:v>
                      </c:pt>
                    </c:numCache>
                  </c:numRef>
                </c:cat>
                <c:val>
                  <c:numRef>
                    <c:extLst>
                      <c:ext xmlns:c15="http://schemas.microsoft.com/office/drawing/2012/chart" uri="{02D57815-91ED-43cb-92C2-25804820EDAC}">
                        <c15:fullRef>
                          <c15:sqref>'PBL OLD'!$JL$7:$JL$60</c15:sqref>
                        </c15:fullRef>
                        <c15:formulaRef>
                          <c15:sqref>'PBL OLD'!$JL$8:$JL$60</c15:sqref>
                        </c15:formulaRef>
                      </c:ext>
                    </c:extLst>
                    <c:numCache>
                      <c:formatCode>0.000</c:formatCode>
                      <c:ptCount val="53"/>
                      <c:pt idx="43">
                        <c:v>2.5430290760305017</c:v>
                      </c:pt>
                      <c:pt idx="44">
                        <c:v>2.7945043915048515</c:v>
                      </c:pt>
                      <c:pt idx="45">
                        <c:v>3.0459797069792014</c:v>
                      </c:pt>
                      <c:pt idx="46">
                        <c:v>3.2974550224535513</c:v>
                      </c:pt>
                      <c:pt idx="47">
                        <c:v>3.5489303379279011</c:v>
                      </c:pt>
                      <c:pt idx="48">
                        <c:v>3.800405653402251</c:v>
                      </c:pt>
                      <c:pt idx="49">
                        <c:v>4.0518809688766009</c:v>
                      </c:pt>
                      <c:pt idx="50">
                        <c:v>4.3033562843509507</c:v>
                      </c:pt>
                      <c:pt idx="51">
                        <c:v>4.5548315998253006</c:v>
                      </c:pt>
                      <c:pt idx="52">
                        <c:v>4.8063069152996505</c:v>
                      </c:pt>
                    </c:numCache>
                  </c:numRef>
                </c:val>
                <c:smooth val="0"/>
                <c:extLst xmlns:c15="http://schemas.microsoft.com/office/drawing/2012/chart">
                  <c:ext xmlns:c16="http://schemas.microsoft.com/office/drawing/2014/chart" uri="{C3380CC4-5D6E-409C-BE32-E72D297353CC}">
                    <c16:uniqueId val="{0000000C-5006-4942-8B9B-45353A329058}"/>
                  </c:ext>
                </c:extLst>
              </c15:ser>
            </c15:filteredLineSeries>
          </c:ext>
        </c:extLst>
      </c:lineChart>
      <c:dateAx>
        <c:axId val="1388952432"/>
        <c:scaling>
          <c:orientation val="minMax"/>
        </c:scaling>
        <c:delete val="0"/>
        <c:axPos val="b"/>
        <c:numFmt formatCode="d\-mmm\-yy_);\(###0\);&quot;-  &quot;;&quot; &quot;@&quot; &quot;"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3088"/>
        <c:crosses val="autoZero"/>
        <c:auto val="1"/>
        <c:lblOffset val="100"/>
        <c:baseTimeUnit val="days"/>
        <c:majorUnit val="3"/>
        <c:majorTimeUnit val="months"/>
      </c:dateAx>
      <c:valAx>
        <c:axId val="1388953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Ticket Sales ($b)</a:t>
                </a:r>
              </a:p>
            </c:rich>
          </c:tx>
          <c:overlay val="0"/>
          <c:spPr>
            <a:noFill/>
            <a:ln>
              <a:noFill/>
            </a:ln>
            <a:effectLst/>
          </c:sp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2432"/>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'PBL OLD'!$NT$6:$NT$7</c:f>
              <c:strCache>
                <c:ptCount val="2"/>
                <c:pt idx="0">
                  <c:v>Actual</c:v>
                </c:pt>
              </c:strCache>
            </c:strRef>
          </c:tx>
          <c:spPr>
            <a:ln w="28575" cap="rnd">
              <a:solidFill>
                <a:schemeClr val="tx2"/>
              </a:solidFill>
              <a:round/>
            </a:ln>
            <a:effectLst/>
          </c:spPr>
          <c:marker>
            <c:symbol val="none"/>
          </c:marker>
          <c:cat>
            <c:numRef>
              <c:f>'PBL OLD'!$NS$8:$NS$33</c:f>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f>'PBL OLD'!$NT$8:$NT$33</c:f>
              <c:numCache>
                <c:formatCode>0.000</c:formatCode>
                <c:ptCount val="26"/>
                <c:pt idx="0">
                  <c:v>9.3039993486000006E-2</c:v>
                </c:pt>
                <c:pt idx="1">
                  <c:v>0.1167146747448</c:v>
                </c:pt>
                <c:pt idx="2">
                  <c:v>0.1433834649456</c:v>
                </c:pt>
                <c:pt idx="3">
                  <c:v>0.18472835378580002</c:v>
                </c:pt>
                <c:pt idx="4">
                  <c:v>0.25436520983280003</c:v>
                </c:pt>
                <c:pt idx="5">
                  <c:v>0.35031266808119998</c:v>
                </c:pt>
                <c:pt idx="6">
                  <c:v>0.49196709316920001</c:v>
                </c:pt>
                <c:pt idx="7">
                  <c:v>0.7935265548210001</c:v>
                </c:pt>
                <c:pt idx="8">
                  <c:v>0.81782672377560006</c:v>
                </c:pt>
                <c:pt idx="9">
                  <c:v>0.84884902365120007</c:v>
                </c:pt>
                <c:pt idx="10">
                  <c:v>0.90128596903620006</c:v>
                </c:pt>
                <c:pt idx="11">
                  <c:v>0.92519687980500009</c:v>
                </c:pt>
                <c:pt idx="12">
                  <c:v>0.95970440577000005</c:v>
                </c:pt>
                <c:pt idx="13">
                  <c:v>1.0136447317722002</c:v>
                </c:pt>
                <c:pt idx="14">
                  <c:v>1.0389120803952001</c:v>
                </c:pt>
                <c:pt idx="15">
                  <c:v>1.0683752655048</c:v>
                </c:pt>
                <c:pt idx="16">
                  <c:v>1.1198503163561999</c:v>
                </c:pt>
                <c:pt idx="17">
                  <c:v>1.1924405217449998</c:v>
                </c:pt>
                <c:pt idx="18">
                  <c:v>1.2962112607421998</c:v>
                </c:pt>
                <c:pt idx="19">
                  <c:v>1.440848663958</c:v>
                </c:pt>
                <c:pt idx="20">
                  <c:v>1.4658156407532001</c:v>
                </c:pt>
                <c:pt idx="21">
                  <c:v>1.4926428248424002</c:v>
                </c:pt>
                <c:pt idx="22">
                  <c:v>1.525998992199</c:v>
                </c:pt>
                <c:pt idx="23">
                  <c:v>1.5772270831152</c:v>
                </c:pt>
                <c:pt idx="24">
                  <c:v>1.6493560403759999</c:v>
                </c:pt>
                <c:pt idx="25">
                  <c:v>1.7439737266775999</c:v>
                </c:pt>
              </c:numCache>
            </c:numRef>
          </c:val>
          <c:smooth val="0"/>
          <c:extLst>
            <c:ext xmlns:c16="http://schemas.microsoft.com/office/drawing/2014/chart" uri="{C3380CC4-5D6E-409C-BE32-E72D297353CC}">
              <c16:uniqueId val="{00000000-6F3D-4B08-AC6B-4FD4C661A0BC}"/>
            </c:ext>
          </c:extLst>
        </c:ser>
        <c:ser>
          <c:idx val="6"/>
          <c:order val="3"/>
          <c:tx>
            <c:v>5/25/50/75/95th percentile</c:v>
          </c:tx>
          <c:spPr>
            <a:ln w="28575">
              <a:solidFill>
                <a:schemeClr val="bg2">
                  <a:lumMod val="40000"/>
                  <a:lumOff val="60000"/>
                </a:schemeClr>
              </a:solidFill>
              <a:prstDash val="sysDot"/>
            </a:ln>
          </c:spPr>
          <c:marker>
            <c:symbol val="none"/>
          </c:marker>
          <c:cat>
            <c:numRef>
              <c:f>'PBL OLD'!$NS$8:$NS$33</c:f>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f>'PBL OLD'!$NW$8:$NW$33</c:f>
              <c:numCache>
                <c:formatCode>0.000</c:formatCode>
                <c:ptCount val="26"/>
                <c:pt idx="0">
                  <c:v>4.2413763541703647E-2</c:v>
                </c:pt>
                <c:pt idx="1">
                  <c:v>8.4827527083407295E-2</c:v>
                </c:pt>
                <c:pt idx="2">
                  <c:v>0.12724129062511094</c:v>
                </c:pt>
                <c:pt idx="3">
                  <c:v>0.16965505416681459</c:v>
                </c:pt>
                <c:pt idx="4">
                  <c:v>0.21206881770851824</c:v>
                </c:pt>
                <c:pt idx="5">
                  <c:v>0.25448258125022188</c:v>
                </c:pt>
                <c:pt idx="6">
                  <c:v>0.2968963447919255</c:v>
                </c:pt>
                <c:pt idx="7">
                  <c:v>0.33931010833362918</c:v>
                </c:pt>
                <c:pt idx="8">
                  <c:v>0.38172387187533285</c:v>
                </c:pt>
                <c:pt idx="9">
                  <c:v>0.42413763541703653</c:v>
                </c:pt>
                <c:pt idx="10">
                  <c:v>0.4665513989587402</c:v>
                </c:pt>
                <c:pt idx="11">
                  <c:v>0.50896516250044388</c:v>
                </c:pt>
                <c:pt idx="12">
                  <c:v>0.55137892604214755</c:v>
                </c:pt>
                <c:pt idx="13">
                  <c:v>0.59379268958385123</c:v>
                </c:pt>
                <c:pt idx="14">
                  <c:v>0.6362064531255549</c:v>
                </c:pt>
                <c:pt idx="15">
                  <c:v>0.67862021666725858</c:v>
                </c:pt>
                <c:pt idx="16">
                  <c:v>0.72103398020896226</c:v>
                </c:pt>
                <c:pt idx="17">
                  <c:v>0.76344774375066593</c:v>
                </c:pt>
                <c:pt idx="18">
                  <c:v>0.80586150729236961</c:v>
                </c:pt>
                <c:pt idx="19">
                  <c:v>0.84827527083407328</c:v>
                </c:pt>
                <c:pt idx="20">
                  <c:v>0.89068903437577696</c:v>
                </c:pt>
                <c:pt idx="21">
                  <c:v>0.93310279791748063</c:v>
                </c:pt>
                <c:pt idx="22">
                  <c:v>0.97551656145918431</c:v>
                </c:pt>
                <c:pt idx="23">
                  <c:v>1.017930325000888</c:v>
                </c:pt>
                <c:pt idx="24">
                  <c:v>1.0603440885425917</c:v>
                </c:pt>
                <c:pt idx="25">
                  <c:v>1.1027578520842953</c:v>
                </c:pt>
              </c:numCache>
            </c:numRef>
          </c:val>
          <c:smooth val="0"/>
          <c:extLst xmlns:c15="http://schemas.microsoft.com/office/drawing/2012/chart">
            <c:ext xmlns:c16="http://schemas.microsoft.com/office/drawing/2014/chart" uri="{C3380CC4-5D6E-409C-BE32-E72D297353CC}">
              <c16:uniqueId val="{00000001-6F3D-4B08-AC6B-4FD4C661A0BC}"/>
            </c:ext>
          </c:extLst>
        </c:ser>
        <c:ser>
          <c:idx val="3"/>
          <c:order val="5"/>
          <c:tx>
            <c:strRef>
              <c:f>'PBL OLD'!$NY$6:$NY$7</c:f>
              <c:strCache>
                <c:ptCount val="2"/>
                <c:pt idx="0">
                  <c:v>25th Percentile</c:v>
                </c:pt>
              </c:strCache>
            </c:strRef>
          </c:tx>
          <c:spPr>
            <a:ln w="28575" cap="rnd" cmpd="sng">
              <a:solidFill>
                <a:schemeClr val="bg2">
                  <a:lumMod val="40000"/>
                  <a:lumOff val="60000"/>
                </a:schemeClr>
              </a:solidFill>
              <a:prstDash val="sysDot"/>
              <a:round/>
              <a:headEnd type="none"/>
            </a:ln>
            <a:effectLst/>
          </c:spPr>
          <c:marker>
            <c:symbol val="none"/>
          </c:marker>
          <c:cat>
            <c:numRef>
              <c:f>'PBL OLD'!$NS$8:$NS$33</c:f>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f>'PBL OLD'!$NY$8:$NY$33</c:f>
              <c:numCache>
                <c:formatCode>0.000</c:formatCode>
                <c:ptCount val="26"/>
                <c:pt idx="0">
                  <c:v>5.0054612355507691E-2</c:v>
                </c:pt>
                <c:pt idx="1">
                  <c:v>0.10010922471101538</c:v>
                </c:pt>
                <c:pt idx="2">
                  <c:v>0.15016383706652309</c:v>
                </c:pt>
                <c:pt idx="3">
                  <c:v>0.20021844942203076</c:v>
                </c:pt>
                <c:pt idx="4">
                  <c:v>0.25027306177753844</c:v>
                </c:pt>
                <c:pt idx="5">
                  <c:v>0.30032767413304612</c:v>
                </c:pt>
                <c:pt idx="6">
                  <c:v>0.3503822864885538</c:v>
                </c:pt>
                <c:pt idx="7">
                  <c:v>0.40043689884406147</c:v>
                </c:pt>
                <c:pt idx="8">
                  <c:v>0.45049151119956915</c:v>
                </c:pt>
                <c:pt idx="9">
                  <c:v>0.50054612355507688</c:v>
                </c:pt>
                <c:pt idx="10">
                  <c:v>0.55060073591058456</c:v>
                </c:pt>
                <c:pt idx="11">
                  <c:v>0.60065534826609224</c:v>
                </c:pt>
                <c:pt idx="12">
                  <c:v>0.65070996062159991</c:v>
                </c:pt>
                <c:pt idx="13">
                  <c:v>0.70076457297710759</c:v>
                </c:pt>
                <c:pt idx="14">
                  <c:v>0.75081918533261527</c:v>
                </c:pt>
                <c:pt idx="15">
                  <c:v>0.80087379768812295</c:v>
                </c:pt>
                <c:pt idx="16">
                  <c:v>0.85092841004363062</c:v>
                </c:pt>
                <c:pt idx="17">
                  <c:v>0.9009830223991383</c:v>
                </c:pt>
                <c:pt idx="18">
                  <c:v>0.95103763475464598</c:v>
                </c:pt>
                <c:pt idx="19">
                  <c:v>1.0010922471101538</c:v>
                </c:pt>
                <c:pt idx="20">
                  <c:v>1.0511468594656614</c:v>
                </c:pt>
                <c:pt idx="21">
                  <c:v>1.1012014718211691</c:v>
                </c:pt>
                <c:pt idx="22">
                  <c:v>1.1512560841766768</c:v>
                </c:pt>
                <c:pt idx="23">
                  <c:v>1.2013106965321845</c:v>
                </c:pt>
                <c:pt idx="24">
                  <c:v>1.2513653088876922</c:v>
                </c:pt>
                <c:pt idx="25">
                  <c:v>1.3014199212431998</c:v>
                </c:pt>
              </c:numCache>
            </c:numRef>
          </c:val>
          <c:smooth val="0"/>
          <c:extLst>
            <c:ext xmlns:c16="http://schemas.microsoft.com/office/drawing/2014/chart" uri="{C3380CC4-5D6E-409C-BE32-E72D297353CC}">
              <c16:uniqueId val="{00000002-6F3D-4B08-AC6B-4FD4C661A0BC}"/>
            </c:ext>
          </c:extLst>
        </c:ser>
        <c:ser>
          <c:idx val="4"/>
          <c:order val="6"/>
          <c:tx>
            <c:strRef>
              <c:f>'PBL OLD'!$NZ$6:$NZ$7</c:f>
              <c:strCache>
                <c:ptCount val="2"/>
                <c:pt idx="0">
                  <c:v>50th Percentile</c:v>
                </c:pt>
              </c:strCache>
            </c:strRef>
          </c:tx>
          <c:spPr>
            <a:ln w="28575">
              <a:solidFill>
                <a:schemeClr val="bg2">
                  <a:lumMod val="40000"/>
                  <a:lumOff val="60000"/>
                </a:schemeClr>
              </a:solidFill>
              <a:prstDash val="sysDot"/>
            </a:ln>
          </c:spPr>
          <c:marker>
            <c:symbol val="none"/>
          </c:marker>
          <c:cat>
            <c:numRef>
              <c:f>'PBL OLD'!$NS$8:$NS$33</c:f>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f>'PBL OLD'!$NZ$8:$NZ$33</c:f>
              <c:numCache>
                <c:formatCode>0.000</c:formatCode>
                <c:ptCount val="26"/>
                <c:pt idx="0">
                  <c:v>5.8849514395681729E-2</c:v>
                </c:pt>
                <c:pt idx="1">
                  <c:v>0.11769902879136346</c:v>
                </c:pt>
                <c:pt idx="2">
                  <c:v>0.17654854318704519</c:v>
                </c:pt>
                <c:pt idx="3">
                  <c:v>0.23539805758272692</c:v>
                </c:pt>
                <c:pt idx="4">
                  <c:v>0.29424757197840867</c:v>
                </c:pt>
                <c:pt idx="5">
                  <c:v>0.35309708637409043</c:v>
                </c:pt>
                <c:pt idx="6">
                  <c:v>0.41194660076977219</c:v>
                </c:pt>
                <c:pt idx="7">
                  <c:v>0.47079611516545394</c:v>
                </c:pt>
                <c:pt idx="8">
                  <c:v>0.5296456295611357</c:v>
                </c:pt>
                <c:pt idx="9">
                  <c:v>0.58849514395681746</c:v>
                </c:pt>
                <c:pt idx="10">
                  <c:v>0.64734465835249921</c:v>
                </c:pt>
                <c:pt idx="11">
                  <c:v>0.70619417274818097</c:v>
                </c:pt>
                <c:pt idx="12">
                  <c:v>0.76504368714386273</c:v>
                </c:pt>
                <c:pt idx="13">
                  <c:v>0.82389320153954448</c:v>
                </c:pt>
                <c:pt idx="14">
                  <c:v>0.88274271593522624</c:v>
                </c:pt>
                <c:pt idx="15">
                  <c:v>0.941592230330908</c:v>
                </c:pt>
                <c:pt idx="16">
                  <c:v>1.0004417447265896</c:v>
                </c:pt>
                <c:pt idx="17">
                  <c:v>1.0592912591222714</c:v>
                </c:pt>
                <c:pt idx="18">
                  <c:v>1.1181407735179532</c:v>
                </c:pt>
                <c:pt idx="19">
                  <c:v>1.1769902879136349</c:v>
                </c:pt>
                <c:pt idx="20">
                  <c:v>1.2358398023093167</c:v>
                </c:pt>
                <c:pt idx="21">
                  <c:v>1.2946893167049984</c:v>
                </c:pt>
                <c:pt idx="22">
                  <c:v>1.3535388311006802</c:v>
                </c:pt>
                <c:pt idx="23">
                  <c:v>1.4123883454963619</c:v>
                </c:pt>
                <c:pt idx="24">
                  <c:v>1.4712378598920437</c:v>
                </c:pt>
                <c:pt idx="25">
                  <c:v>1.5300873742877255</c:v>
                </c:pt>
              </c:numCache>
            </c:numRef>
          </c:val>
          <c:smooth val="0"/>
          <c:extLst>
            <c:ext xmlns:c16="http://schemas.microsoft.com/office/drawing/2014/chart" uri="{C3380CC4-5D6E-409C-BE32-E72D297353CC}">
              <c16:uniqueId val="{00000003-6F3D-4B08-AC6B-4FD4C661A0BC}"/>
            </c:ext>
          </c:extLst>
        </c:ser>
        <c:ser>
          <c:idx val="5"/>
          <c:order val="7"/>
          <c:tx>
            <c:strRef>
              <c:f>'PBL OLD'!$OA$6:$OA$7</c:f>
              <c:strCache>
                <c:ptCount val="2"/>
                <c:pt idx="0">
                  <c:v>75th Percentile</c:v>
                </c:pt>
              </c:strCache>
            </c:strRef>
          </c:tx>
          <c:spPr>
            <a:ln w="28575">
              <a:solidFill>
                <a:schemeClr val="bg2">
                  <a:lumMod val="40000"/>
                  <a:lumOff val="60000"/>
                </a:schemeClr>
              </a:solidFill>
              <a:prstDash val="sysDot"/>
            </a:ln>
          </c:spPr>
          <c:marker>
            <c:symbol val="none"/>
          </c:marker>
          <c:cat>
            <c:numRef>
              <c:f>'PBL OLD'!$NS$8:$NS$33</c:f>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f>'PBL OLD'!$OA$8:$OA$33</c:f>
              <c:numCache>
                <c:formatCode>0.000</c:formatCode>
                <c:ptCount val="26"/>
                <c:pt idx="0">
                  <c:v>6.7779769477263468E-2</c:v>
                </c:pt>
                <c:pt idx="1">
                  <c:v>0.13555953895452694</c:v>
                </c:pt>
                <c:pt idx="2">
                  <c:v>0.20333930843179041</c:v>
                </c:pt>
                <c:pt idx="3">
                  <c:v>0.27111907790905387</c:v>
                </c:pt>
                <c:pt idx="4">
                  <c:v>0.33889884738631737</c:v>
                </c:pt>
                <c:pt idx="5">
                  <c:v>0.40667861686358087</c:v>
                </c:pt>
                <c:pt idx="6">
                  <c:v>0.47445838634084436</c:v>
                </c:pt>
                <c:pt idx="7">
                  <c:v>0.54223815581810786</c:v>
                </c:pt>
                <c:pt idx="8">
                  <c:v>0.61001792529537135</c:v>
                </c:pt>
                <c:pt idx="9">
                  <c:v>0.67779769477263485</c:v>
                </c:pt>
                <c:pt idx="10">
                  <c:v>0.74557746424989835</c:v>
                </c:pt>
                <c:pt idx="11">
                  <c:v>0.81335723372716184</c:v>
                </c:pt>
                <c:pt idx="12">
                  <c:v>0.88113700320442534</c:v>
                </c:pt>
                <c:pt idx="13">
                  <c:v>0.94891677268168884</c:v>
                </c:pt>
                <c:pt idx="14">
                  <c:v>1.0166965421589522</c:v>
                </c:pt>
                <c:pt idx="15">
                  <c:v>1.0844763116362157</c:v>
                </c:pt>
                <c:pt idx="16">
                  <c:v>1.1522560811134792</c:v>
                </c:pt>
                <c:pt idx="17">
                  <c:v>1.2200358505907427</c:v>
                </c:pt>
                <c:pt idx="18">
                  <c:v>1.2878156200680062</c:v>
                </c:pt>
                <c:pt idx="19">
                  <c:v>1.3555953895452697</c:v>
                </c:pt>
                <c:pt idx="20">
                  <c:v>1.4233751590225332</c:v>
                </c:pt>
                <c:pt idx="21">
                  <c:v>1.4911549284997967</c:v>
                </c:pt>
                <c:pt idx="22">
                  <c:v>1.5589346979770602</c:v>
                </c:pt>
                <c:pt idx="23">
                  <c:v>1.6267144674543237</c:v>
                </c:pt>
                <c:pt idx="24">
                  <c:v>1.6944942369315872</c:v>
                </c:pt>
                <c:pt idx="25">
                  <c:v>1.7622740064088507</c:v>
                </c:pt>
              </c:numCache>
            </c:numRef>
          </c:val>
          <c:smooth val="0"/>
          <c:extLst>
            <c:ext xmlns:c16="http://schemas.microsoft.com/office/drawing/2014/chart" uri="{C3380CC4-5D6E-409C-BE32-E72D297353CC}">
              <c16:uniqueId val="{00000004-6F3D-4B08-AC6B-4FD4C661A0BC}"/>
            </c:ext>
          </c:extLst>
        </c:ser>
        <c:ser>
          <c:idx val="9"/>
          <c:order val="9"/>
          <c:tx>
            <c:strRef>
              <c:f>'PBL OLD'!$OC$6:$OC$7</c:f>
              <c:strCache>
                <c:ptCount val="2"/>
                <c:pt idx="0">
                  <c:v>95th Percentile</c:v>
                </c:pt>
              </c:strCache>
            </c:strRef>
          </c:tx>
          <c:spPr>
            <a:ln w="28575">
              <a:solidFill>
                <a:schemeClr val="bg2">
                  <a:lumMod val="40000"/>
                  <a:lumOff val="60000"/>
                </a:schemeClr>
              </a:solidFill>
              <a:prstDash val="sysDot"/>
            </a:ln>
          </c:spPr>
          <c:marker>
            <c:symbol val="none"/>
          </c:marker>
          <c:cat>
            <c:numRef>
              <c:f>'PBL OLD'!$NS$8:$NS$33</c:f>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f>'PBL OLD'!$OC$8:$OC$33</c:f>
              <c:numCache>
                <c:formatCode>0.000</c:formatCode>
                <c:ptCount val="26"/>
                <c:pt idx="0">
                  <c:v>8.5824266202378846E-2</c:v>
                </c:pt>
                <c:pt idx="1">
                  <c:v>0.17164853240475769</c:v>
                </c:pt>
                <c:pt idx="2">
                  <c:v>0.25747279860713657</c:v>
                </c:pt>
                <c:pt idx="3">
                  <c:v>0.34329706480951538</c:v>
                </c:pt>
                <c:pt idx="4">
                  <c:v>0.4291213310118942</c:v>
                </c:pt>
                <c:pt idx="5">
                  <c:v>0.51494559721427302</c:v>
                </c:pt>
                <c:pt idx="6">
                  <c:v>0.60076986341665184</c:v>
                </c:pt>
                <c:pt idx="7">
                  <c:v>0.68659412961903066</c:v>
                </c:pt>
                <c:pt idx="8">
                  <c:v>0.77241839582140948</c:v>
                </c:pt>
                <c:pt idx="9">
                  <c:v>0.85824266202378829</c:v>
                </c:pt>
                <c:pt idx="10">
                  <c:v>0.94406692822616711</c:v>
                </c:pt>
                <c:pt idx="11">
                  <c:v>1.029891194428546</c:v>
                </c:pt>
                <c:pt idx="12">
                  <c:v>1.115715460630925</c:v>
                </c:pt>
                <c:pt idx="13">
                  <c:v>1.2015397268333039</c:v>
                </c:pt>
                <c:pt idx="14">
                  <c:v>1.2873639930356828</c:v>
                </c:pt>
                <c:pt idx="15">
                  <c:v>1.3731882592380618</c:v>
                </c:pt>
                <c:pt idx="16">
                  <c:v>1.4590125254404407</c:v>
                </c:pt>
                <c:pt idx="17">
                  <c:v>1.5448367916428196</c:v>
                </c:pt>
                <c:pt idx="18">
                  <c:v>1.6306610578451985</c:v>
                </c:pt>
                <c:pt idx="19">
                  <c:v>1.7164853240475775</c:v>
                </c:pt>
                <c:pt idx="20">
                  <c:v>1.8023095902499564</c:v>
                </c:pt>
                <c:pt idx="21">
                  <c:v>1.8881338564523353</c:v>
                </c:pt>
                <c:pt idx="22">
                  <c:v>1.9739581226547143</c:v>
                </c:pt>
                <c:pt idx="23">
                  <c:v>2.059782388857093</c:v>
                </c:pt>
                <c:pt idx="24">
                  <c:v>2.1456066550594719</c:v>
                </c:pt>
                <c:pt idx="25">
                  <c:v>2.2314309212618508</c:v>
                </c:pt>
              </c:numCache>
            </c:numRef>
          </c:val>
          <c:smooth val="0"/>
          <c:extLst>
            <c:ext xmlns:c16="http://schemas.microsoft.com/office/drawing/2014/chart" uri="{C3380CC4-5D6E-409C-BE32-E72D297353CC}">
              <c16:uniqueId val="{00000005-6F3D-4B08-AC6B-4FD4C661A0BC}"/>
            </c:ext>
          </c:extLst>
        </c:ser>
        <c:dLbls>
          <c:showLegendKey val="0"/>
          <c:showVal val="0"/>
          <c:showCatName val="0"/>
          <c:showSerName val="0"/>
          <c:showPercent val="0"/>
          <c:showBubbleSize val="0"/>
        </c:dLbls>
        <c:smooth val="0"/>
        <c:axId val="1388952432"/>
        <c:axId val="1388953088"/>
        <c:extLst>
          <c:ext xmlns:c15="http://schemas.microsoft.com/office/drawing/2012/chart" uri="{02D57815-91ED-43cb-92C2-25804820EDAC}">
            <c15:filteredLineSeries>
              <c15:ser>
                <c:idx val="7"/>
                <c:order val="1"/>
                <c:tx>
                  <c:strRef>
                    <c:extLst>
                      <c:ext uri="{02D57815-91ED-43cb-92C2-25804820EDAC}">
                        <c15:formulaRef>
                          <c15:sqref>'PBL OLD'!$NU$6:$NU$7</c15:sqref>
                        </c15:formulaRef>
                      </c:ext>
                    </c:extLst>
                    <c:strCache>
                      <c:ptCount val="2"/>
                      <c:pt idx="0">
                        <c:v>Min</c:v>
                      </c:pt>
                    </c:strCache>
                  </c:strRef>
                </c:tx>
                <c:spPr>
                  <a:ln w="28575" cap="rnd" cmpd="sng">
                    <a:solidFill>
                      <a:schemeClr val="accent6"/>
                    </a:solidFill>
                    <a:prstDash val="sysDot"/>
                    <a:round/>
                    <a:headEnd type="none"/>
                  </a:ln>
                  <a:effectLst/>
                </c:spPr>
                <c:marker>
                  <c:symbol val="none"/>
                </c:marker>
                <c:cat>
                  <c:numRef>
                    <c:extLst>
                      <c:ext uri="{02D57815-91ED-43cb-92C2-25804820EDAC}">
                        <c15:formulaRef>
                          <c15:sqref>'PBL OLD'!$NS$8:$NS$33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c:ext uri="{02D57815-91ED-43cb-92C2-25804820EDAC}">
                        <c15:formulaRef>
                          <c15:sqref>'PBL OLD'!$NU$8:$NU$33</c15:sqref>
                        </c15:formulaRef>
                      </c:ext>
                    </c:extLst>
                    <c:numCache>
                      <c:formatCode>0.000</c:formatCode>
                      <c:ptCount val="26"/>
                      <c:pt idx="0">
                        <c:v>3.2883578210174999E-2</c:v>
                      </c:pt>
                      <c:pt idx="1">
                        <c:v>6.5767156420349998E-2</c:v>
                      </c:pt>
                      <c:pt idx="2">
                        <c:v>9.8650734630524997E-2</c:v>
                      </c:pt>
                      <c:pt idx="3">
                        <c:v>0.1315343128407</c:v>
                      </c:pt>
                      <c:pt idx="4">
                        <c:v>0.16441789105087501</c:v>
                      </c:pt>
                      <c:pt idx="5">
                        <c:v>0.19730146926105002</c:v>
                      </c:pt>
                      <c:pt idx="6">
                        <c:v>0.23018504747122503</c:v>
                      </c:pt>
                      <c:pt idx="7">
                        <c:v>0.26306862568140005</c:v>
                      </c:pt>
                      <c:pt idx="8">
                        <c:v>0.29595220389157506</c:v>
                      </c:pt>
                      <c:pt idx="9">
                        <c:v>0.32883578210175007</c:v>
                      </c:pt>
                      <c:pt idx="10">
                        <c:v>0.36171936031192509</c:v>
                      </c:pt>
                      <c:pt idx="11">
                        <c:v>0.3946029385221001</c:v>
                      </c:pt>
                      <c:pt idx="12">
                        <c:v>0.42748651673227511</c:v>
                      </c:pt>
                      <c:pt idx="13">
                        <c:v>0.46037009494245013</c:v>
                      </c:pt>
                      <c:pt idx="14">
                        <c:v>0.49325367315262514</c:v>
                      </c:pt>
                      <c:pt idx="15">
                        <c:v>0.5261372513628001</c:v>
                      </c:pt>
                      <c:pt idx="16">
                        <c:v>0.55902082957297505</c:v>
                      </c:pt>
                      <c:pt idx="17">
                        <c:v>0.59190440778315001</c:v>
                      </c:pt>
                      <c:pt idx="18">
                        <c:v>0.62478798599332497</c:v>
                      </c:pt>
                      <c:pt idx="19">
                        <c:v>0.65767156420349993</c:v>
                      </c:pt>
                      <c:pt idx="20">
                        <c:v>0.69055514241367488</c:v>
                      </c:pt>
                      <c:pt idx="21">
                        <c:v>0.72343872062384984</c:v>
                      </c:pt>
                      <c:pt idx="22">
                        <c:v>0.7563222988340248</c:v>
                      </c:pt>
                      <c:pt idx="23">
                        <c:v>0.78920587704419976</c:v>
                      </c:pt>
                      <c:pt idx="24">
                        <c:v>0.82208945525437471</c:v>
                      </c:pt>
                      <c:pt idx="25">
                        <c:v>0.85497303346454967</c:v>
                      </c:pt>
                    </c:numCache>
                  </c:numRef>
                </c:val>
                <c:smooth val="0"/>
                <c:extLst>
                  <c:ext xmlns:c16="http://schemas.microsoft.com/office/drawing/2014/chart" uri="{C3380CC4-5D6E-409C-BE32-E72D297353CC}">
                    <c16:uniqueId val="{00000006-6F3D-4B08-AC6B-4FD4C661A0BC}"/>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'PBL OLD'!$NV$6:$NV$7</c15:sqref>
                        </c15:formulaRef>
                      </c:ext>
                    </c:extLst>
                    <c:strCache>
                      <c:ptCount val="2"/>
                      <c:pt idx="0">
                        <c:v>1st Percentile</c:v>
                      </c:pt>
                    </c:strCache>
                  </c:strRef>
                </c:tx>
                <c:spPr>
                  <a:ln w="28575">
                    <a:solidFill>
                      <a:schemeClr val="bg2"/>
                    </a:solidFill>
                    <a:prstDash val="sysDot"/>
                  </a:ln>
                </c:spPr>
                <c:marker>
                  <c:symbol val="none"/>
                </c:marker>
                <c:cat>
                  <c:numRef>
                    <c:extLst xmlns:c15="http://schemas.microsoft.com/office/drawing/2012/chart">
                      <c:ext xmlns:c15="http://schemas.microsoft.com/office/drawing/2012/chart" uri="{02D57815-91ED-43cb-92C2-25804820EDAC}">
                        <c15:formulaRef>
                          <c15:sqref>'PBL OLD'!$NS$8:$NS$33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xmlns:c15="http://schemas.microsoft.com/office/drawing/2012/chart">
                      <c:ext xmlns:c15="http://schemas.microsoft.com/office/drawing/2012/chart" uri="{02D57815-91ED-43cb-92C2-25804820EDAC}">
                        <c15:formulaRef>
                          <c15:sqref>'PBL OLD'!$NV$8:$NV$33</c15:sqref>
                        </c15:formulaRef>
                      </c:ext>
                    </c:extLst>
                    <c:numCache>
                      <c:formatCode>0.000</c:formatCode>
                      <c:ptCount val="26"/>
                      <c:pt idx="0">
                        <c:v>3.8899121388359478E-2</c:v>
                      </c:pt>
                      <c:pt idx="1">
                        <c:v>7.7798242776718957E-2</c:v>
                      </c:pt>
                      <c:pt idx="2">
                        <c:v>0.11669736416507843</c:v>
                      </c:pt>
                      <c:pt idx="3">
                        <c:v>0.15559648555343791</c:v>
                      </c:pt>
                      <c:pt idx="4">
                        <c:v>0.19449560694179741</c:v>
                      </c:pt>
                      <c:pt idx="5">
                        <c:v>0.2333947283301569</c:v>
                      </c:pt>
                      <c:pt idx="6">
                        <c:v>0.27229384971851639</c:v>
                      </c:pt>
                      <c:pt idx="7">
                        <c:v>0.31119297110687588</c:v>
                      </c:pt>
                      <c:pt idx="8">
                        <c:v>0.35009209249523537</c:v>
                      </c:pt>
                      <c:pt idx="9">
                        <c:v>0.38899121388359487</c:v>
                      </c:pt>
                      <c:pt idx="10">
                        <c:v>0.42789033527195436</c:v>
                      </c:pt>
                      <c:pt idx="11">
                        <c:v>0.46678945666031385</c:v>
                      </c:pt>
                      <c:pt idx="12">
                        <c:v>0.50568857804867329</c:v>
                      </c:pt>
                      <c:pt idx="13">
                        <c:v>0.54458769943703278</c:v>
                      </c:pt>
                      <c:pt idx="14">
                        <c:v>0.58348682082539227</c:v>
                      </c:pt>
                      <c:pt idx="15">
                        <c:v>0.62238594221375176</c:v>
                      </c:pt>
                      <c:pt idx="16">
                        <c:v>0.66128506360211126</c:v>
                      </c:pt>
                      <c:pt idx="17">
                        <c:v>0.70018418499047075</c:v>
                      </c:pt>
                      <c:pt idx="18">
                        <c:v>0.73908330637883024</c:v>
                      </c:pt>
                      <c:pt idx="19">
                        <c:v>0.77798242776718973</c:v>
                      </c:pt>
                      <c:pt idx="20">
                        <c:v>0.81688154915554922</c:v>
                      </c:pt>
                      <c:pt idx="21">
                        <c:v>0.85578067054390872</c:v>
                      </c:pt>
                      <c:pt idx="22">
                        <c:v>0.89467979193226821</c:v>
                      </c:pt>
                      <c:pt idx="23">
                        <c:v>0.9335789133206277</c:v>
                      </c:pt>
                      <c:pt idx="24">
                        <c:v>0.97247803470898719</c:v>
                      </c:pt>
                      <c:pt idx="25">
                        <c:v>1.0113771560973466</c:v>
                      </c:pt>
                    </c:numCache>
                  </c:numRef>
                </c:val>
                <c:smooth val="0"/>
                <c:extLst xmlns:c15="http://schemas.microsoft.com/office/drawing/2012/chart">
                  <c:ext xmlns:c16="http://schemas.microsoft.com/office/drawing/2014/chart" uri="{C3380CC4-5D6E-409C-BE32-E72D297353CC}">
                    <c16:uniqueId val="{00000007-6F3D-4B08-AC6B-4FD4C661A0BC}"/>
                  </c:ext>
                </c:extLst>
              </c15:ser>
            </c15:filteredLineSeries>
            <c15:filteredLineSeries>
              <c15:ser>
                <c:idx val="1"/>
                <c:order val="4"/>
                <c:tx>
                  <c:strRef>
                    <c:extLst xmlns:c15="http://schemas.microsoft.com/office/drawing/2012/chart">
                      <c:ext xmlns:c15="http://schemas.microsoft.com/office/drawing/2012/chart" uri="{02D57815-91ED-43cb-92C2-25804820EDAC}">
                        <c15:formulaRef>
                          <c15:sqref>'PBL OLD'!$NX$6:$NX$7</c15:sqref>
                        </c15:formulaRef>
                      </c:ext>
                    </c:extLst>
                    <c:strCache>
                      <c:ptCount val="2"/>
                      <c:pt idx="0">
                        <c:v>10th Percentile</c:v>
                      </c:pt>
                    </c:strCache>
                  </c:strRef>
                </c:tx>
                <c:spPr>
                  <a:ln w="28575" cap="rnd">
                    <a:solidFill>
                      <a:schemeClr val="accent6"/>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'PBL OLD'!$NS$8:$NS$33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xmlns:c15="http://schemas.microsoft.com/office/drawing/2012/chart">
                      <c:ext xmlns:c15="http://schemas.microsoft.com/office/drawing/2012/chart" uri="{02D57815-91ED-43cb-92C2-25804820EDAC}">
                        <c15:formulaRef>
                          <c15:sqref>'PBL OLD'!$NX$8:$NX$33</c15:sqref>
                        </c15:formulaRef>
                      </c:ext>
                    </c:extLst>
                    <c:numCache>
                      <c:formatCode>0.000</c:formatCode>
                      <c:ptCount val="26"/>
                      <c:pt idx="0">
                        <c:v>4.4879284238757686E-2</c:v>
                      </c:pt>
                      <c:pt idx="1">
                        <c:v>8.9758568477515371E-2</c:v>
                      </c:pt>
                      <c:pt idx="2">
                        <c:v>0.13463785271627304</c:v>
                      </c:pt>
                      <c:pt idx="3">
                        <c:v>0.17951713695503074</c:v>
                      </c:pt>
                      <c:pt idx="4">
                        <c:v>0.22439642119378844</c:v>
                      </c:pt>
                      <c:pt idx="5">
                        <c:v>0.26927570543254614</c:v>
                      </c:pt>
                      <c:pt idx="6">
                        <c:v>0.31415498967130384</c:v>
                      </c:pt>
                      <c:pt idx="7">
                        <c:v>0.35903427391006154</c:v>
                      </c:pt>
                      <c:pt idx="8">
                        <c:v>0.40391355814881924</c:v>
                      </c:pt>
                      <c:pt idx="9">
                        <c:v>0.44879284238757694</c:v>
                      </c:pt>
                      <c:pt idx="10">
                        <c:v>0.49367212662633464</c:v>
                      </c:pt>
                      <c:pt idx="11">
                        <c:v>0.53855141086509228</c:v>
                      </c:pt>
                      <c:pt idx="12">
                        <c:v>0.58343069510384993</c:v>
                      </c:pt>
                      <c:pt idx="13">
                        <c:v>0.62830997934260757</c:v>
                      </c:pt>
                      <c:pt idx="14">
                        <c:v>0.67318926358136522</c:v>
                      </c:pt>
                      <c:pt idx="15">
                        <c:v>0.71806854782012286</c:v>
                      </c:pt>
                      <c:pt idx="16">
                        <c:v>0.7629478320588805</c:v>
                      </c:pt>
                      <c:pt idx="17">
                        <c:v>0.80782711629763815</c:v>
                      </c:pt>
                      <c:pt idx="18">
                        <c:v>0.85270640053639579</c:v>
                      </c:pt>
                      <c:pt idx="19">
                        <c:v>0.89758568477515344</c:v>
                      </c:pt>
                      <c:pt idx="20">
                        <c:v>0.94246496901391108</c:v>
                      </c:pt>
                      <c:pt idx="21">
                        <c:v>0.98734425325266872</c:v>
                      </c:pt>
                      <c:pt idx="22">
                        <c:v>1.0322235374914264</c:v>
                      </c:pt>
                      <c:pt idx="23">
                        <c:v>1.0771028217301841</c:v>
                      </c:pt>
                      <c:pt idx="24">
                        <c:v>1.1219821059689419</c:v>
                      </c:pt>
                      <c:pt idx="25">
                        <c:v>1.1668613902076996</c:v>
                      </c:pt>
                    </c:numCache>
                  </c:numRef>
                </c:val>
                <c:smooth val="0"/>
                <c:extLst xmlns:c15="http://schemas.microsoft.com/office/drawing/2012/chart">
                  <c:ext xmlns:c16="http://schemas.microsoft.com/office/drawing/2014/chart" uri="{C3380CC4-5D6E-409C-BE32-E72D297353CC}">
                    <c16:uniqueId val="{00000008-6F3D-4B08-AC6B-4FD4C661A0BC}"/>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'PBL OLD'!$OB$6:$OB$7</c15:sqref>
                        </c15:formulaRef>
                      </c:ext>
                    </c:extLst>
                    <c:strCache>
                      <c:ptCount val="2"/>
                      <c:pt idx="0">
                        <c:v>90th Percentile</c:v>
                      </c:pt>
                    </c:strCache>
                  </c:strRef>
                </c:tx>
                <c:spPr>
                  <a:ln w="28575">
                    <a:solidFill>
                      <a:schemeClr val="accent1"/>
                    </a:solidFill>
                    <a:prstDash val="sysDot"/>
                  </a:ln>
                </c:spPr>
                <c:marker>
                  <c:symbol val="none"/>
                </c:marker>
                <c:cat>
                  <c:numRef>
                    <c:extLst xmlns:c15="http://schemas.microsoft.com/office/drawing/2012/chart">
                      <c:ext xmlns:c15="http://schemas.microsoft.com/office/drawing/2012/chart" uri="{02D57815-91ED-43cb-92C2-25804820EDAC}">
                        <c15:formulaRef>
                          <c15:sqref>'PBL OLD'!$NS$8:$NS$33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xmlns:c15="http://schemas.microsoft.com/office/drawing/2012/chart">
                      <c:ext xmlns:c15="http://schemas.microsoft.com/office/drawing/2012/chart" uri="{02D57815-91ED-43cb-92C2-25804820EDAC}">
                        <c15:formulaRef>
                          <c15:sqref>'PBL OLD'!$OB$8:$OB$33</c15:sqref>
                        </c15:formulaRef>
                      </c:ext>
                    </c:extLst>
                    <c:numCache>
                      <c:formatCode>0.000</c:formatCode>
                      <c:ptCount val="26"/>
                      <c:pt idx="0">
                        <c:v>7.8303842656430783E-2</c:v>
                      </c:pt>
                      <c:pt idx="1">
                        <c:v>0.15660768531286157</c:v>
                      </c:pt>
                      <c:pt idx="2">
                        <c:v>0.23491152796929235</c:v>
                      </c:pt>
                      <c:pt idx="3">
                        <c:v>0.31321537062572313</c:v>
                      </c:pt>
                      <c:pt idx="4">
                        <c:v>0.39151921328215389</c:v>
                      </c:pt>
                      <c:pt idx="5">
                        <c:v>0.46982305593858464</c:v>
                      </c:pt>
                      <c:pt idx="6">
                        <c:v>0.5481268985950154</c:v>
                      </c:pt>
                      <c:pt idx="7">
                        <c:v>0.62643074125144615</c:v>
                      </c:pt>
                      <c:pt idx="8">
                        <c:v>0.70473458390787691</c:v>
                      </c:pt>
                      <c:pt idx="9">
                        <c:v>0.78303842656430767</c:v>
                      </c:pt>
                      <c:pt idx="10">
                        <c:v>0.86134226922073842</c:v>
                      </c:pt>
                      <c:pt idx="11">
                        <c:v>0.93964611187716918</c:v>
                      </c:pt>
                      <c:pt idx="12">
                        <c:v>1.0179499545335999</c:v>
                      </c:pt>
                      <c:pt idx="13">
                        <c:v>1.0962537971900308</c:v>
                      </c:pt>
                      <c:pt idx="14">
                        <c:v>1.1745576398464617</c:v>
                      </c:pt>
                      <c:pt idx="15">
                        <c:v>1.2528614825028925</c:v>
                      </c:pt>
                      <c:pt idx="16">
                        <c:v>1.3311653251593234</c:v>
                      </c:pt>
                      <c:pt idx="17">
                        <c:v>1.4094691678157543</c:v>
                      </c:pt>
                      <c:pt idx="18">
                        <c:v>1.4877730104721851</c:v>
                      </c:pt>
                      <c:pt idx="19">
                        <c:v>1.566076853128616</c:v>
                      </c:pt>
                      <c:pt idx="20">
                        <c:v>1.6443806957850469</c:v>
                      </c:pt>
                      <c:pt idx="21">
                        <c:v>1.7226845384414777</c:v>
                      </c:pt>
                      <c:pt idx="22">
                        <c:v>1.8009883810979086</c:v>
                      </c:pt>
                      <c:pt idx="23">
                        <c:v>1.8792922237543395</c:v>
                      </c:pt>
                      <c:pt idx="24">
                        <c:v>1.9575960664107703</c:v>
                      </c:pt>
                      <c:pt idx="25">
                        <c:v>2.0358999090672012</c:v>
                      </c:pt>
                    </c:numCache>
                  </c:numRef>
                </c:val>
                <c:smooth val="0"/>
                <c:extLst xmlns:c15="http://schemas.microsoft.com/office/drawing/2012/chart">
                  <c:ext xmlns:c16="http://schemas.microsoft.com/office/drawing/2014/chart" uri="{C3380CC4-5D6E-409C-BE32-E72D297353CC}">
                    <c16:uniqueId val="{00000009-6F3D-4B08-AC6B-4FD4C661A0BC}"/>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'PBL OLD'!$OD$6:$OD$7</c15:sqref>
                        </c15:formulaRef>
                      </c:ext>
                    </c:extLst>
                    <c:strCache>
                      <c:ptCount val="2"/>
                      <c:pt idx="0">
                        <c:v>99th Percentile</c:v>
                      </c:pt>
                    </c:strCache>
                  </c:strRef>
                </c:tx>
                <c:marker>
                  <c:symbol val="none"/>
                </c:marker>
                <c:cat>
                  <c:numRef>
                    <c:extLst xmlns:c15="http://schemas.microsoft.com/office/drawing/2012/chart">
                      <c:ext xmlns:c15="http://schemas.microsoft.com/office/drawing/2012/chart" uri="{02D57815-91ED-43cb-92C2-25804820EDAC}">
                        <c15:formulaRef>
                          <c15:sqref>'PBL OLD'!$NS$8:$NS$33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xmlns:c15="http://schemas.microsoft.com/office/drawing/2012/chart">
                      <c:ext xmlns:c15="http://schemas.microsoft.com/office/drawing/2012/chart" uri="{02D57815-91ED-43cb-92C2-25804820EDAC}">
                        <c15:formulaRef>
                          <c15:sqref>'PBL OLD'!$OD$8:$OD$33</c15:sqref>
                        </c15:formulaRef>
                      </c:ext>
                    </c:extLst>
                    <c:numCache>
                      <c:formatCode>0.000</c:formatCode>
                      <c:ptCount val="26"/>
                      <c:pt idx="0">
                        <c:v>0.10064266089910577</c:v>
                      </c:pt>
                      <c:pt idx="1">
                        <c:v>0.20128532179821154</c:v>
                      </c:pt>
                      <c:pt idx="2">
                        <c:v>0.3019279826973173</c:v>
                      </c:pt>
                      <c:pt idx="3">
                        <c:v>0.40257064359642308</c:v>
                      </c:pt>
                      <c:pt idx="4">
                        <c:v>0.50321330449552881</c:v>
                      </c:pt>
                      <c:pt idx="5">
                        <c:v>0.6038559653946346</c:v>
                      </c:pt>
                      <c:pt idx="6">
                        <c:v>0.70449862629374038</c:v>
                      </c:pt>
                      <c:pt idx="7">
                        <c:v>0.80514128719284617</c:v>
                      </c:pt>
                      <c:pt idx="8">
                        <c:v>0.90578394809195195</c:v>
                      </c:pt>
                      <c:pt idx="9">
                        <c:v>1.0064266089910576</c:v>
                      </c:pt>
                      <c:pt idx="10">
                        <c:v>1.1070692698901634</c:v>
                      </c:pt>
                      <c:pt idx="11">
                        <c:v>1.2077119307892692</c:v>
                      </c:pt>
                      <c:pt idx="12">
                        <c:v>1.308354591688375</c:v>
                      </c:pt>
                      <c:pt idx="13">
                        <c:v>1.4089972525874808</c:v>
                      </c:pt>
                      <c:pt idx="14">
                        <c:v>1.5096399134865865</c:v>
                      </c:pt>
                      <c:pt idx="15">
                        <c:v>1.6102825743856923</c:v>
                      </c:pt>
                      <c:pt idx="16">
                        <c:v>1.7109252352847981</c:v>
                      </c:pt>
                      <c:pt idx="17">
                        <c:v>1.8115678961839039</c:v>
                      </c:pt>
                      <c:pt idx="18">
                        <c:v>1.9122105570830097</c:v>
                      </c:pt>
                      <c:pt idx="19">
                        <c:v>2.0128532179821153</c:v>
                      </c:pt>
                      <c:pt idx="20">
                        <c:v>2.113495878881221</c:v>
                      </c:pt>
                      <c:pt idx="21">
                        <c:v>2.2141385397803268</c:v>
                      </c:pt>
                      <c:pt idx="22">
                        <c:v>2.3147812006794326</c:v>
                      </c:pt>
                      <c:pt idx="23">
                        <c:v>2.4154238615785384</c:v>
                      </c:pt>
                      <c:pt idx="24">
                        <c:v>2.5160665224776442</c:v>
                      </c:pt>
                      <c:pt idx="25">
                        <c:v>2.61670918337675</c:v>
                      </c:pt>
                    </c:numCache>
                  </c:numRef>
                </c:val>
                <c:smooth val="0"/>
                <c:extLst xmlns:c15="http://schemas.microsoft.com/office/drawing/2012/chart">
                  <c:ext xmlns:c16="http://schemas.microsoft.com/office/drawing/2014/chart" uri="{C3380CC4-5D6E-409C-BE32-E72D297353CC}">
                    <c16:uniqueId val="{0000000A-6F3D-4B08-AC6B-4FD4C661A0BC}"/>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'PBL OLD'!$OE$6:$OE$7</c15:sqref>
                        </c15:formulaRef>
                      </c:ext>
                    </c:extLst>
                    <c:strCache>
                      <c:ptCount val="2"/>
                      <c:pt idx="0">
                        <c:v>Max</c:v>
                      </c:pt>
                    </c:strCache>
                  </c:strRef>
                </c:tx>
                <c:marker>
                  <c:symbol val="none"/>
                </c:marker>
                <c:cat>
                  <c:numRef>
                    <c:extLst xmlns:c15="http://schemas.microsoft.com/office/drawing/2012/chart">
                      <c:ext xmlns:c15="http://schemas.microsoft.com/office/drawing/2012/chart" uri="{02D57815-91ED-43cb-92C2-25804820EDAC}">
                        <c15:formulaRef>
                          <c15:sqref>'PBL OLD'!$NS$8:$NS$33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xmlns:c15="http://schemas.microsoft.com/office/drawing/2012/chart">
                      <c:ext xmlns:c15="http://schemas.microsoft.com/office/drawing/2012/chart" uri="{02D57815-91ED-43cb-92C2-25804820EDAC}">
                        <c15:formulaRef>
                          <c15:sqref>'PBL OLD'!$OE$8:$OE$33</c15:sqref>
                        </c15:formulaRef>
                      </c:ext>
                    </c:extLst>
                    <c:numCache>
                      <c:formatCode>0.000</c:formatCode>
                      <c:ptCount val="26"/>
                      <c:pt idx="0">
                        <c:v>0.13024968599028269</c:v>
                      </c:pt>
                      <c:pt idx="1">
                        <c:v>0.26049937198056539</c:v>
                      </c:pt>
                      <c:pt idx="2">
                        <c:v>0.39074905797084808</c:v>
                      </c:pt>
                      <c:pt idx="3">
                        <c:v>0.52099874396113077</c:v>
                      </c:pt>
                      <c:pt idx="4">
                        <c:v>0.65124842995141341</c:v>
                      </c:pt>
                      <c:pt idx="5">
                        <c:v>0.78149811594169605</c:v>
                      </c:pt>
                      <c:pt idx="6">
                        <c:v>0.91174780193197869</c:v>
                      </c:pt>
                      <c:pt idx="7">
                        <c:v>1.0419974879222613</c:v>
                      </c:pt>
                      <c:pt idx="8">
                        <c:v>1.172247173912544</c:v>
                      </c:pt>
                      <c:pt idx="9">
                        <c:v>1.3024968599028266</c:v>
                      </c:pt>
                      <c:pt idx="10">
                        <c:v>1.4327465458931092</c:v>
                      </c:pt>
                      <c:pt idx="11">
                        <c:v>1.5629962318833919</c:v>
                      </c:pt>
                      <c:pt idx="12">
                        <c:v>1.6932459178736745</c:v>
                      </c:pt>
                      <c:pt idx="13">
                        <c:v>1.8234956038639571</c:v>
                      </c:pt>
                      <c:pt idx="14">
                        <c:v>1.9537452898542398</c:v>
                      </c:pt>
                      <c:pt idx="15">
                        <c:v>2.0839949758445226</c:v>
                      </c:pt>
                      <c:pt idx="16">
                        <c:v>2.2142446618348055</c:v>
                      </c:pt>
                      <c:pt idx="17">
                        <c:v>2.3444943478250884</c:v>
                      </c:pt>
                      <c:pt idx="18">
                        <c:v>2.4747440338153712</c:v>
                      </c:pt>
                      <c:pt idx="19">
                        <c:v>2.6049937198056541</c:v>
                      </c:pt>
                      <c:pt idx="20">
                        <c:v>2.7352434057959369</c:v>
                      </c:pt>
                      <c:pt idx="21">
                        <c:v>2.8654930917862198</c:v>
                      </c:pt>
                      <c:pt idx="22">
                        <c:v>2.9957427777765027</c:v>
                      </c:pt>
                      <c:pt idx="23">
                        <c:v>3.1259924637667855</c:v>
                      </c:pt>
                      <c:pt idx="24">
                        <c:v>3.2562421497570684</c:v>
                      </c:pt>
                      <c:pt idx="25">
                        <c:v>3.3864918357473512</c:v>
                      </c:pt>
                    </c:numCache>
                  </c:numRef>
                </c:val>
                <c:smooth val="0"/>
                <c:extLst xmlns:c15="http://schemas.microsoft.com/office/drawing/2012/chart">
                  <c:ext xmlns:c16="http://schemas.microsoft.com/office/drawing/2014/chart" uri="{C3380CC4-5D6E-409C-BE32-E72D297353CC}">
                    <c16:uniqueId val="{0000000B-6F3D-4B08-AC6B-4FD4C661A0BC}"/>
                  </c:ext>
                </c:extLst>
              </c15:ser>
            </c15:filteredLineSeries>
          </c:ext>
        </c:extLst>
      </c:lineChart>
      <c:dateAx>
        <c:axId val="1388952432"/>
        <c:scaling>
          <c:orientation val="minMax"/>
        </c:scaling>
        <c:delete val="0"/>
        <c:axPos val="b"/>
        <c:numFmt formatCode="mmm\-yy" sourceLinked="0"/>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3088"/>
        <c:crosses val="autoZero"/>
        <c:auto val="1"/>
        <c:lblOffset val="100"/>
        <c:baseTimeUnit val="days"/>
        <c:majorUnit val="1"/>
        <c:majorTimeUnit val="months"/>
      </c:dateAx>
      <c:valAx>
        <c:axId val="13889530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2432"/>
        <c:crosses val="autoZero"/>
        <c:crossBetween val="between"/>
      </c:valAx>
    </c:plotArea>
    <c:legend>
      <c:legendPos val="b"/>
      <c:legendEntry>
        <c:idx val="2"/>
        <c:delete val="1"/>
      </c:legendEntry>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orientation="portrait"/>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'PBL OLD'!$JY$6</c:f>
              <c:strCache>
                <c:ptCount val="1"/>
                <c:pt idx="0">
                  <c:v>Actual</c:v>
                </c:pt>
              </c:strCache>
            </c:strRef>
          </c:tx>
          <c:spPr>
            <a:ln w="28575" cap="rnd">
              <a:solidFill>
                <a:schemeClr val="tx2"/>
              </a:solidFill>
              <a:round/>
            </a:ln>
            <a:effectLst/>
          </c:spPr>
          <c:marker>
            <c:symbol val="none"/>
          </c:marker>
          <c:cat>
            <c:numRef>
              <c:f>'PBL OLD'!$JX$8:$JX$60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OLD'!$JY$8:$JY$60</c:f>
              <c:numCache>
                <c:formatCode>0.000</c:formatCode>
                <c:ptCount val="53"/>
                <c:pt idx="0">
                  <c:v>2.56006324266E-2</c:v>
                </c:pt>
                <c:pt idx="1">
                  <c:v>5.8794482082599998E-2</c:v>
                </c:pt>
                <c:pt idx="2">
                  <c:v>8.5896012714599998E-2</c:v>
                </c:pt>
                <c:pt idx="3">
                  <c:v>0.11100833071680001</c:v>
                </c:pt>
                <c:pt idx="4">
                  <c:v>0.14031392271600002</c:v>
                </c:pt>
                <c:pt idx="5">
                  <c:v>0.18964136704920004</c:v>
                </c:pt>
                <c:pt idx="6">
                  <c:v>0.21481934884740003</c:v>
                </c:pt>
                <c:pt idx="7">
                  <c:v>0.24540474424620001</c:v>
                </c:pt>
                <c:pt idx="8">
                  <c:v>0.29374114572660004</c:v>
                </c:pt>
                <c:pt idx="9">
                  <c:v>0.36871903087800001</c:v>
                </c:pt>
                <c:pt idx="10">
                  <c:v>0.39902271257640004</c:v>
                </c:pt>
                <c:pt idx="11">
                  <c:v>0.42749853841200008</c:v>
                </c:pt>
                <c:pt idx="12">
                  <c:v>0.47136307522920007</c:v>
                </c:pt>
                <c:pt idx="13">
                  <c:v>0.52978191235200001</c:v>
                </c:pt>
                <c:pt idx="14">
                  <c:v>0.62180275567740007</c:v>
                </c:pt>
                <c:pt idx="15">
                  <c:v>0.84522318094500015</c:v>
                </c:pt>
                <c:pt idx="16">
                  <c:v>1.2046122672672002</c:v>
                </c:pt>
              </c:numCache>
            </c:numRef>
          </c:val>
          <c:smooth val="0"/>
          <c:extLst>
            <c:ext xmlns:c16="http://schemas.microsoft.com/office/drawing/2014/chart" uri="{C3380CC4-5D6E-409C-BE32-E72D297353CC}">
              <c16:uniqueId val="{00000000-60CA-40AC-8487-C377405DD9F7}"/>
            </c:ext>
          </c:extLst>
        </c:ser>
        <c:ser>
          <c:idx val="7"/>
          <c:order val="1"/>
          <c:tx>
            <c:strRef>
              <c:f>'PBL OLD'!$JZ$6</c:f>
              <c:strCache>
                <c:ptCount val="1"/>
                <c:pt idx="0">
                  <c:v>50th %ile. using accelerated seq.</c:v>
                </c:pt>
              </c:strCache>
            </c:strRef>
          </c:tx>
          <c:spPr>
            <a:ln w="28575" cap="rnd">
              <a:solidFill>
                <a:schemeClr val="accent6"/>
              </a:solidFill>
              <a:prstDash val="sysDot"/>
              <a:round/>
            </a:ln>
            <a:effectLst/>
          </c:spPr>
          <c:marker>
            <c:symbol val="none"/>
          </c:marker>
          <c:dLbls>
            <c:dLbl>
              <c:idx val="5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0CA-40AC-8487-C377405DD9F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'PBL OLD'!$JX$8:$JX$60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OLD'!$JZ$8:$JZ$60</c:f>
              <c:numCache>
                <c:formatCode>0.000</c:formatCode>
                <c:ptCount val="53"/>
                <c:pt idx="16">
                  <c:v>1.2046122672672002</c:v>
                </c:pt>
                <c:pt idx="17">
                  <c:v>1.2721816996776847</c:v>
                </c:pt>
                <c:pt idx="18">
                  <c:v>1.3397511320881692</c:v>
                </c:pt>
                <c:pt idx="19">
                  <c:v>1.4073205644986537</c:v>
                </c:pt>
                <c:pt idx="20">
                  <c:v>1.4748899969091382</c:v>
                </c:pt>
                <c:pt idx="21">
                  <c:v>1.5424594293196228</c:v>
                </c:pt>
                <c:pt idx="22">
                  <c:v>1.6100288617301073</c:v>
                </c:pt>
                <c:pt idx="23">
                  <c:v>1.6775982941405918</c:v>
                </c:pt>
                <c:pt idx="24">
                  <c:v>1.7451677265510763</c:v>
                </c:pt>
                <c:pt idx="25">
                  <c:v>1.8127371589615608</c:v>
                </c:pt>
                <c:pt idx="26">
                  <c:v>1.8803065913720454</c:v>
                </c:pt>
                <c:pt idx="27">
                  <c:v>1.9478760237825299</c:v>
                </c:pt>
                <c:pt idx="28">
                  <c:v>2.0154454561930142</c:v>
                </c:pt>
                <c:pt idx="29">
                  <c:v>2.0830148886034987</c:v>
                </c:pt>
                <c:pt idx="30">
                  <c:v>2.1505843210139832</c:v>
                </c:pt>
                <c:pt idx="31">
                  <c:v>2.2181537534244677</c:v>
                </c:pt>
                <c:pt idx="32">
                  <c:v>2.2857231858349523</c:v>
                </c:pt>
                <c:pt idx="33">
                  <c:v>2.3532926182454368</c:v>
                </c:pt>
                <c:pt idx="34">
                  <c:v>2.4208620506559213</c:v>
                </c:pt>
                <c:pt idx="35">
                  <c:v>2.4884314830664058</c:v>
                </c:pt>
                <c:pt idx="36">
                  <c:v>2.5560009154768903</c:v>
                </c:pt>
                <c:pt idx="37">
                  <c:v>2.6235703478873749</c:v>
                </c:pt>
                <c:pt idx="38">
                  <c:v>2.6911397802978594</c:v>
                </c:pt>
                <c:pt idx="39">
                  <c:v>2.7587092127083439</c:v>
                </c:pt>
                <c:pt idx="40">
                  <c:v>2.8262786451188284</c:v>
                </c:pt>
                <c:pt idx="41">
                  <c:v>2.8938480775293129</c:v>
                </c:pt>
                <c:pt idx="42">
                  <c:v>2.9614175099397975</c:v>
                </c:pt>
                <c:pt idx="43">
                  <c:v>3.028986942350282</c:v>
                </c:pt>
                <c:pt idx="44">
                  <c:v>3.0965563747607665</c:v>
                </c:pt>
                <c:pt idx="45">
                  <c:v>3.164125807171251</c:v>
                </c:pt>
                <c:pt idx="46">
                  <c:v>3.2316952395817355</c:v>
                </c:pt>
                <c:pt idx="47">
                  <c:v>3.2992646719922201</c:v>
                </c:pt>
                <c:pt idx="48">
                  <c:v>3.3668341044027046</c:v>
                </c:pt>
                <c:pt idx="49">
                  <c:v>3.4344035368131891</c:v>
                </c:pt>
                <c:pt idx="50">
                  <c:v>3.5019729692236736</c:v>
                </c:pt>
                <c:pt idx="51">
                  <c:v>3.5695424016341581</c:v>
                </c:pt>
                <c:pt idx="52" formatCode="0.0%">
                  <c:v>7.9103941639873554E-2</c:v>
                </c:pt>
              </c:numCache>
            </c:numRef>
          </c:val>
          <c:smooth val="0"/>
          <c:extLst xmlns:c15="http://schemas.microsoft.com/office/drawing/2012/chart">
            <c:ext xmlns:c16="http://schemas.microsoft.com/office/drawing/2014/chart" uri="{C3380CC4-5D6E-409C-BE32-E72D297353CC}">
              <c16:uniqueId val="{00000002-60CA-40AC-8487-C377405DD9F7}"/>
            </c:ext>
          </c:extLst>
        </c:ser>
        <c:ser>
          <c:idx val="9"/>
          <c:order val="2"/>
          <c:tx>
            <c:strRef>
              <c:f>'PBL OLD'!$KA$6</c:f>
              <c:strCache>
                <c:ptCount val="1"/>
                <c:pt idx="0">
                  <c:v>50th %ile. using standard seq.</c:v>
                </c:pt>
              </c:strCache>
            </c:strRef>
          </c:tx>
          <c:spPr>
            <a:ln w="28575" cap="rnd">
              <a:solidFill>
                <a:schemeClr val="accent1"/>
              </a:solidFill>
              <a:prstDash val="sysDot"/>
              <a:round/>
            </a:ln>
            <a:effectLst/>
          </c:spPr>
          <c:marker>
            <c:symbol val="none"/>
          </c:marker>
          <c:dLbls>
            <c:dLbl>
              <c:idx val="51"/>
              <c:layout>
                <c:manualLayout>
                  <c:x val="-8.819444444444444E-3"/>
                  <c:y val="7.315729166666666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0CA-40AC-8487-C377405DD9F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'PBL OLD'!$JX$8:$JX$60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OLD'!$KA$8:$KA$60</c:f>
              <c:numCache>
                <c:formatCode>0.000</c:formatCode>
                <c:ptCount val="53"/>
                <c:pt idx="16">
                  <c:v>1.2046122672672002</c:v>
                </c:pt>
                <c:pt idx="17">
                  <c:v>1.2584243930504539</c:v>
                </c:pt>
                <c:pt idx="18">
                  <c:v>1.3122365188337077</c:v>
                </c:pt>
                <c:pt idx="19">
                  <c:v>1.3660486446169615</c:v>
                </c:pt>
                <c:pt idx="20">
                  <c:v>1.4198607704002153</c:v>
                </c:pt>
                <c:pt idx="21">
                  <c:v>1.4736728961834691</c:v>
                </c:pt>
                <c:pt idx="22">
                  <c:v>1.5274850219667229</c:v>
                </c:pt>
                <c:pt idx="23">
                  <c:v>1.5812971477499767</c:v>
                </c:pt>
                <c:pt idx="24">
                  <c:v>1.6351092735332304</c:v>
                </c:pt>
                <c:pt idx="25">
                  <c:v>1.6889213993164842</c:v>
                </c:pt>
                <c:pt idx="26">
                  <c:v>1.742733525099738</c:v>
                </c:pt>
                <c:pt idx="27">
                  <c:v>1.7965456508829918</c:v>
                </c:pt>
                <c:pt idx="28">
                  <c:v>1.8503577766662456</c:v>
                </c:pt>
                <c:pt idx="29">
                  <c:v>1.9041699024494994</c:v>
                </c:pt>
                <c:pt idx="30">
                  <c:v>1.9579820282327531</c:v>
                </c:pt>
                <c:pt idx="31">
                  <c:v>2.0117941540160071</c:v>
                </c:pt>
                <c:pt idx="32">
                  <c:v>2.0656062797992609</c:v>
                </c:pt>
                <c:pt idx="33">
                  <c:v>2.1194184055825147</c:v>
                </c:pt>
                <c:pt idx="34">
                  <c:v>2.1732305313657685</c:v>
                </c:pt>
                <c:pt idx="35">
                  <c:v>2.2270426571490223</c:v>
                </c:pt>
                <c:pt idx="36">
                  <c:v>2.2808547829322761</c:v>
                </c:pt>
                <c:pt idx="37">
                  <c:v>2.3346669087155298</c:v>
                </c:pt>
                <c:pt idx="38">
                  <c:v>2.3884790344987836</c:v>
                </c:pt>
                <c:pt idx="39">
                  <c:v>2.4422911602820374</c:v>
                </c:pt>
                <c:pt idx="40">
                  <c:v>2.4961032860652912</c:v>
                </c:pt>
                <c:pt idx="41">
                  <c:v>2.549915411848545</c:v>
                </c:pt>
                <c:pt idx="42">
                  <c:v>2.6037275376317988</c:v>
                </c:pt>
                <c:pt idx="43">
                  <c:v>2.6575396634150525</c:v>
                </c:pt>
                <c:pt idx="44">
                  <c:v>2.7113517891983063</c:v>
                </c:pt>
                <c:pt idx="45">
                  <c:v>2.7651639149815601</c:v>
                </c:pt>
                <c:pt idx="46">
                  <c:v>2.8189760407648139</c:v>
                </c:pt>
                <c:pt idx="47">
                  <c:v>2.8727881665480677</c:v>
                </c:pt>
                <c:pt idx="48">
                  <c:v>2.9266002923313215</c:v>
                </c:pt>
                <c:pt idx="49">
                  <c:v>2.9804124181145752</c:v>
                </c:pt>
                <c:pt idx="50">
                  <c:v>3.034224543897829</c:v>
                </c:pt>
                <c:pt idx="51">
                  <c:v>3.0880366696810828</c:v>
                </c:pt>
                <c:pt idx="52" formatCode="0.0%">
                  <c:v>-6.6459459717925773E-2</c:v>
                </c:pt>
              </c:numCache>
            </c:numRef>
          </c:val>
          <c:smooth val="0"/>
          <c:extLst xmlns:c15="http://schemas.microsoft.com/office/drawing/2012/chart">
            <c:ext xmlns:c16="http://schemas.microsoft.com/office/drawing/2014/chart" uri="{C3380CC4-5D6E-409C-BE32-E72D297353CC}">
              <c16:uniqueId val="{00000004-60CA-40AC-8487-C377405DD9F7}"/>
            </c:ext>
          </c:extLst>
        </c:ser>
        <c:dLbls>
          <c:showLegendKey val="0"/>
          <c:showVal val="0"/>
          <c:showCatName val="0"/>
          <c:showSerName val="0"/>
          <c:showPercent val="0"/>
          <c:showBubbleSize val="0"/>
        </c:dLbls>
        <c:smooth val="0"/>
        <c:axId val="1388952432"/>
        <c:axId val="1388953088"/>
        <c:extLst>
          <c:ext xmlns:c15="http://schemas.microsoft.com/office/drawing/2012/chart" uri="{02D57815-91ED-43cb-92C2-25804820EDAC}">
            <c15:filteredLineSeries>
              <c15:ser>
                <c:idx val="1"/>
                <c:order val="3"/>
                <c:tx>
                  <c:strRef>
                    <c:extLst>
                      <c:ext uri="{02D57815-91ED-43cb-92C2-25804820EDAC}">
                        <c15:formulaRef>
                          <c15:sqref>'PBL OLD'!$KB$6</c15:sqref>
                        </c15:formulaRef>
                      </c:ext>
                    </c:extLst>
                    <c:strCache>
                      <c:ptCount val="1"/>
                      <c:pt idx="0">
                        <c:v>50th Percentile roy</c:v>
                      </c:pt>
                    </c:strCache>
                  </c:strRef>
                </c:tx>
                <c:spPr>
                  <a:ln w="28575">
                    <a:solidFill>
                      <a:schemeClr val="tx2">
                        <a:lumMod val="40000"/>
                        <a:lumOff val="60000"/>
                      </a:schemeClr>
                    </a:solidFill>
                    <a:prstDash val="sysDash"/>
                  </a:ln>
                </c:spPr>
                <c:marker>
                  <c:symbol val="none"/>
                </c:marker>
                <c:cat>
                  <c:numRef>
                    <c:extLst>
                      <c:ext uri="{02D57815-91ED-43cb-92C2-25804820EDAC}">
                        <c15:formulaRef>
                          <c15:sqref>'PBL OLD'!$JX$8:$JX$60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c:ext uri="{02D57815-91ED-43cb-92C2-25804820EDAC}">
                        <c15:formulaRef>
                          <c15:sqref>'PBL OLD'!$KB$8:$KB$60</c15:sqref>
                        </c15:formulaRef>
                      </c:ext>
                    </c:extLst>
                    <c:numCache>
                      <c:formatCode>0.000</c:formatCode>
                      <c:ptCount val="53"/>
                    </c:numCache>
                  </c:numRef>
                </c:val>
                <c:smooth val="0"/>
                <c:extLst>
                  <c:ext xmlns:c16="http://schemas.microsoft.com/office/drawing/2014/chart" uri="{C3380CC4-5D6E-409C-BE32-E72D297353CC}">
                    <c16:uniqueId val="{00000005-60CA-40AC-8487-C377405DD9F7}"/>
                  </c:ext>
                </c:extLst>
              </c15:ser>
            </c15:filteredLineSeries>
          </c:ext>
        </c:extLst>
      </c:lineChart>
      <c:dateAx>
        <c:axId val="1388952432"/>
        <c:scaling>
          <c:orientation val="minMax"/>
          <c:min val="44743"/>
        </c:scaling>
        <c:delete val="0"/>
        <c:axPos val="b"/>
        <c:numFmt formatCode="mmm\-yy" sourceLinked="0"/>
        <c:majorTickMark val="none"/>
        <c:minorTickMark val="none"/>
        <c:tickLblPos val="nextTo"/>
        <c:spPr>
          <a:noFill/>
          <a:ln w="9525" cap="flat" cmpd="sng" algn="ctr">
            <a:noFill/>
            <a:round/>
          </a:ln>
          <a:effectLst/>
        </c:spPr>
        <c:txPr>
          <a:bodyPr rot="-60000000" vert="horz"/>
          <a:lstStyle/>
          <a:p>
            <a:pPr>
              <a:defRPr/>
            </a:pPr>
            <a:endParaRPr lang="en-US"/>
          </a:p>
        </c:txPr>
        <c:crossAx val="1388953088"/>
        <c:crosses val="autoZero"/>
        <c:auto val="1"/>
        <c:lblOffset val="100"/>
        <c:baseTimeUnit val="days"/>
        <c:majorUnit val="1"/>
        <c:majorTimeUnit val="months"/>
      </c:dateAx>
      <c:valAx>
        <c:axId val="13889530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vert="horz"/>
          <a:lstStyle/>
          <a:p>
            <a:pPr>
              <a:defRPr/>
            </a:pPr>
            <a:endParaRPr lang="en-US"/>
          </a:p>
        </c:txPr>
        <c:crossAx val="1388952432"/>
        <c:crosses val="autoZero"/>
        <c:crossBetween val="between"/>
      </c:valAx>
    </c:plotArea>
    <c:legend>
      <c:legendPos val="b"/>
      <c:overlay val="0"/>
      <c:spPr>
        <a:noFill/>
        <a:ln>
          <a:noFill/>
        </a:ln>
        <a:effectLst/>
      </c:spPr>
      <c:txPr>
        <a:bodyPr rot="0" vert="horz"/>
        <a:lstStyle/>
        <a:p>
          <a:pPr>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sz="1050">
          <a:solidFill>
            <a:sysClr val="windowText" lastClr="000000"/>
          </a:solidFill>
        </a:defRPr>
      </a:pPr>
      <a:endParaRPr lang="en-US"/>
    </a:p>
  </c:txPr>
  <c:printSettings>
    <c:headerFooter/>
    <c:pageMargins b="0.75" l="0.7" r="0.7" t="0.75" header="0.3" footer="0.3"/>
    <c:pageSetup orientation="portrait"/>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'PBL OLD'!$CU$6:$CU$7</c:f>
              <c:strCache>
                <c:ptCount val="2"/>
                <c:pt idx="0">
                  <c:v>Actual</c:v>
                </c:pt>
              </c:strCache>
            </c:strRef>
          </c:tx>
          <c:spPr>
            <a:ln w="28575" cap="rnd">
              <a:solidFill>
                <a:schemeClr val="tx2"/>
              </a:solidFill>
              <a:round/>
            </a:ln>
            <a:effectLst/>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OLD'!$CU$8:$CU$60</c:f>
              <c:numCache>
                <c:formatCode>0.000</c:formatCode>
                <c:ptCount val="53"/>
                <c:pt idx="0">
                  <c:v>2.4383432684147156E-2</c:v>
                </c:pt>
                <c:pt idx="1">
                  <c:v>5.7456335077458197E-2</c:v>
                </c:pt>
                <c:pt idx="2">
                  <c:v>8.2897301732709039E-2</c:v>
                </c:pt>
                <c:pt idx="3">
                  <c:v>0.10634933406608696</c:v>
                </c:pt>
                <c:pt idx="4">
                  <c:v>0.13586762292789298</c:v>
                </c:pt>
                <c:pt idx="5">
                  <c:v>0.18374004427397994</c:v>
                </c:pt>
                <c:pt idx="6">
                  <c:v>0.20803473319331103</c:v>
                </c:pt>
                <c:pt idx="7">
                  <c:v>0.23891877923157193</c:v>
                </c:pt>
                <c:pt idx="8">
                  <c:v>0.28713984685163879</c:v>
                </c:pt>
                <c:pt idx="9">
                  <c:v>0.3616614278523077</c:v>
                </c:pt>
                <c:pt idx="10">
                  <c:v>0.392004627321204</c:v>
                </c:pt>
                <c:pt idx="11">
                  <c:v>0.41949779873926418</c:v>
                </c:pt>
                <c:pt idx="12">
                  <c:v>0.46306182742073576</c:v>
                </c:pt>
                <c:pt idx="13">
                  <c:v>0.52060037325672237</c:v>
                </c:pt>
                <c:pt idx="14">
                  <c:v>0.6148648724923077</c:v>
                </c:pt>
                <c:pt idx="15">
                  <c:v>0.83700126369498329</c:v>
                </c:pt>
                <c:pt idx="16">
                  <c:v>1.1825944978628762</c:v>
                </c:pt>
                <c:pt idx="17">
                  <c:v>1.2153577144507022</c:v>
                </c:pt>
                <c:pt idx="18">
                  <c:v>1.2691323901694982</c:v>
                </c:pt>
                <c:pt idx="19">
                  <c:v>1.3310424487488961</c:v>
                </c:pt>
                <c:pt idx="20">
                  <c:v>1.4175102073723076</c:v>
                </c:pt>
                <c:pt idx="21">
                  <c:v>1.4481012105839461</c:v>
                </c:pt>
                <c:pt idx="22">
                  <c:v>1.4946211055890297</c:v>
                </c:pt>
                <c:pt idx="23">
                  <c:v>1.5554005903488961</c:v>
                </c:pt>
                <c:pt idx="24">
                  <c:v>1.6472886013460868</c:v>
                </c:pt>
                <c:pt idx="25">
                  <c:v>1.8141838940449495</c:v>
                </c:pt>
                <c:pt idx="26">
                  <c:v>1.8392503831253511</c:v>
                </c:pt>
                <c:pt idx="27">
                  <c:v>1.866157764302341</c:v>
                </c:pt>
                <c:pt idx="28">
                  <c:v>1.9009749529614712</c:v>
                </c:pt>
                <c:pt idx="29">
                  <c:v>1.9519053104066888</c:v>
                </c:pt>
                <c:pt idx="30">
                  <c:v>2.0244714168671569</c:v>
                </c:pt>
                <c:pt idx="31">
                  <c:v>2.0488217174971233</c:v>
                </c:pt>
                <c:pt idx="32">
                  <c:v>2.0819389554734444</c:v>
                </c:pt>
                <c:pt idx="33">
                  <c:v>2.135068076795986</c:v>
                </c:pt>
                <c:pt idx="34">
                  <c:v>2.2086620296321069</c:v>
                </c:pt>
                <c:pt idx="35">
                  <c:v>2.2340468803692306</c:v>
                </c:pt>
                <c:pt idx="36">
                  <c:v>2.2608009917649499</c:v>
                </c:pt>
                <c:pt idx="37">
                  <c:v>2.2922285879399333</c:v>
                </c:pt>
                <c:pt idx="38">
                  <c:v>2.3232771205685618</c:v>
                </c:pt>
                <c:pt idx="39">
                  <c:v>2.3730794774674249</c:v>
                </c:pt>
                <c:pt idx="40">
                  <c:v>2.4331034888271574</c:v>
                </c:pt>
                <c:pt idx="41">
                  <c:v>2.459481893485485</c:v>
                </c:pt>
                <c:pt idx="42">
                  <c:v>2.4922966782375924</c:v>
                </c:pt>
                <c:pt idx="43">
                  <c:v>2.5430290760305017</c:v>
                </c:pt>
                <c:pt idx="44">
                  <c:v>2.5665048546627425</c:v>
                </c:pt>
                <c:pt idx="45">
                  <c:v>2.5900549864143145</c:v>
                </c:pt>
                <c:pt idx="46">
                  <c:v>2.6316794518334712</c:v>
                </c:pt>
                <c:pt idx="47">
                  <c:v>2.6865530592113069</c:v>
                </c:pt>
                <c:pt idx="48">
                  <c:v>2.7625586865996037</c:v>
                </c:pt>
                <c:pt idx="49">
                  <c:v>2.8807855607703785</c:v>
                </c:pt>
                <c:pt idx="50">
                  <c:v>3.1087288440336671</c:v>
                </c:pt>
                <c:pt idx="51">
                  <c:v>3.1350399566342553</c:v>
                </c:pt>
              </c:numCache>
            </c:numRef>
          </c:val>
          <c:smooth val="0"/>
          <c:extLst>
            <c:ext xmlns:c16="http://schemas.microsoft.com/office/drawing/2014/chart" uri="{C3380CC4-5D6E-409C-BE32-E72D297353CC}">
              <c16:uniqueId val="{00000000-14F9-4E50-B989-F1D70F1E4894}"/>
            </c:ext>
          </c:extLst>
        </c:ser>
        <c:ser>
          <c:idx val="2"/>
          <c:order val="5"/>
          <c:tx>
            <c:v>25/50/75th percentile</c:v>
          </c:tx>
          <c:spPr>
            <a:ln w="28575">
              <a:solidFill>
                <a:schemeClr val="bg2">
                  <a:lumMod val="60000"/>
                  <a:lumOff val="40000"/>
                </a:schemeClr>
              </a:solidFill>
              <a:prstDash val="sysDot"/>
            </a:ln>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OLD'!$CZ$8:$CZ$60</c:f>
              <c:numCache>
                <c:formatCode>0.000</c:formatCode>
                <c:ptCount val="53"/>
                <c:pt idx="0">
                  <c:v>5.470863400459542E-2</c:v>
                </c:pt>
                <c:pt idx="1">
                  <c:v>0.10941726800919084</c:v>
                </c:pt>
                <c:pt idx="2">
                  <c:v>0.16412590201378627</c:v>
                </c:pt>
                <c:pt idx="3">
                  <c:v>0.21883453601838168</c:v>
                </c:pt>
                <c:pt idx="4">
                  <c:v>0.27354317002297712</c:v>
                </c:pt>
                <c:pt idx="5">
                  <c:v>0.32825180402757254</c:v>
                </c:pt>
                <c:pt idx="6">
                  <c:v>0.38296043803216795</c:v>
                </c:pt>
                <c:pt idx="7">
                  <c:v>0.43766907203676336</c:v>
                </c:pt>
                <c:pt idx="8">
                  <c:v>0.49237770604135878</c:v>
                </c:pt>
                <c:pt idx="9">
                  <c:v>0.54708634004595424</c:v>
                </c:pt>
                <c:pt idx="10">
                  <c:v>0.60179497405054971</c:v>
                </c:pt>
                <c:pt idx="11">
                  <c:v>0.65650360805514518</c:v>
                </c:pt>
                <c:pt idx="12">
                  <c:v>0.71121224205974065</c:v>
                </c:pt>
                <c:pt idx="13">
                  <c:v>0.76592087606433612</c:v>
                </c:pt>
                <c:pt idx="14">
                  <c:v>0.82062951006893159</c:v>
                </c:pt>
                <c:pt idx="15">
                  <c:v>0.87533814407352706</c:v>
                </c:pt>
                <c:pt idx="16">
                  <c:v>0.93004677807812253</c:v>
                </c:pt>
                <c:pt idx="17">
                  <c:v>0.984755412082718</c:v>
                </c:pt>
                <c:pt idx="18">
                  <c:v>1.0394640460873135</c:v>
                </c:pt>
                <c:pt idx="19">
                  <c:v>1.0941726800919089</c:v>
                </c:pt>
                <c:pt idx="20">
                  <c:v>1.1488813140965044</c:v>
                </c:pt>
                <c:pt idx="21">
                  <c:v>1.2035899481010999</c:v>
                </c:pt>
                <c:pt idx="22">
                  <c:v>1.2582985821056953</c:v>
                </c:pt>
                <c:pt idx="23">
                  <c:v>1.3130072161102908</c:v>
                </c:pt>
                <c:pt idx="24">
                  <c:v>1.3677158501148863</c:v>
                </c:pt>
                <c:pt idx="25">
                  <c:v>1.4224244841194817</c:v>
                </c:pt>
                <c:pt idx="26">
                  <c:v>1.4771331181240772</c:v>
                </c:pt>
                <c:pt idx="27">
                  <c:v>1.5318417521286727</c:v>
                </c:pt>
                <c:pt idx="28">
                  <c:v>1.5865503861332682</c:v>
                </c:pt>
                <c:pt idx="29">
                  <c:v>1.6412590201378636</c:v>
                </c:pt>
                <c:pt idx="30">
                  <c:v>1.6959676541424591</c:v>
                </c:pt>
                <c:pt idx="31">
                  <c:v>1.7506762881470546</c:v>
                </c:pt>
                <c:pt idx="32">
                  <c:v>1.80538492215165</c:v>
                </c:pt>
                <c:pt idx="33">
                  <c:v>1.8600935561562455</c:v>
                </c:pt>
                <c:pt idx="34">
                  <c:v>1.914802190160841</c:v>
                </c:pt>
                <c:pt idx="35">
                  <c:v>1.9695108241654364</c:v>
                </c:pt>
                <c:pt idx="36">
                  <c:v>2.0242194581700317</c:v>
                </c:pt>
                <c:pt idx="37">
                  <c:v>2.0789280921746269</c:v>
                </c:pt>
                <c:pt idx="38">
                  <c:v>2.1336367261792222</c:v>
                </c:pt>
                <c:pt idx="39">
                  <c:v>2.1883453601838174</c:v>
                </c:pt>
                <c:pt idx="40">
                  <c:v>2.2430539941884127</c:v>
                </c:pt>
                <c:pt idx="41">
                  <c:v>2.2977626281930079</c:v>
                </c:pt>
                <c:pt idx="42">
                  <c:v>2.3524712621976032</c:v>
                </c:pt>
                <c:pt idx="43">
                  <c:v>2.4071798962021984</c:v>
                </c:pt>
                <c:pt idx="44">
                  <c:v>2.4618885302067937</c:v>
                </c:pt>
                <c:pt idx="45">
                  <c:v>2.5165971642113889</c:v>
                </c:pt>
                <c:pt idx="46">
                  <c:v>2.5713057982159842</c:v>
                </c:pt>
                <c:pt idx="47">
                  <c:v>2.6260144322205794</c:v>
                </c:pt>
                <c:pt idx="48">
                  <c:v>2.6807230662251746</c:v>
                </c:pt>
                <c:pt idx="49">
                  <c:v>2.7354317002297699</c:v>
                </c:pt>
                <c:pt idx="50">
                  <c:v>2.7901403342343651</c:v>
                </c:pt>
                <c:pt idx="51">
                  <c:v>2.8448489682389604</c:v>
                </c:pt>
              </c:numCache>
            </c:numRef>
          </c:val>
          <c:smooth val="0"/>
          <c:extLst>
            <c:ext xmlns:c16="http://schemas.microsoft.com/office/drawing/2014/chart" uri="{C3380CC4-5D6E-409C-BE32-E72D297353CC}">
              <c16:uniqueId val="{00000001-14F9-4E50-B989-F1D70F1E4894}"/>
            </c:ext>
          </c:extLst>
        </c:ser>
        <c:ser>
          <c:idx val="4"/>
          <c:order val="6"/>
          <c:tx>
            <c:strRef>
              <c:f>'PBL OLD'!$DA$6:$DA$7</c:f>
              <c:strCache>
                <c:ptCount val="2"/>
                <c:pt idx="0">
                  <c:v>50th Percentile</c:v>
                </c:pt>
              </c:strCache>
            </c:strRef>
          </c:tx>
          <c:spPr>
            <a:ln w="28575">
              <a:solidFill>
                <a:schemeClr val="bg2">
                  <a:lumMod val="60000"/>
                  <a:lumOff val="40000"/>
                </a:schemeClr>
              </a:solidFill>
              <a:prstDash val="sysDot"/>
            </a:ln>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OLD'!$DA$8:$DA$60</c:f>
              <c:numCache>
                <c:formatCode>0.000</c:formatCode>
                <c:ptCount val="53"/>
                <c:pt idx="0">
                  <c:v>6.0209708872007502E-2</c:v>
                </c:pt>
                <c:pt idx="1">
                  <c:v>0.120419417744015</c:v>
                </c:pt>
                <c:pt idx="2">
                  <c:v>0.18062912661602251</c:v>
                </c:pt>
                <c:pt idx="3">
                  <c:v>0.24083883548803001</c:v>
                </c:pt>
                <c:pt idx="4">
                  <c:v>0.30104854436003753</c:v>
                </c:pt>
                <c:pt idx="5">
                  <c:v>0.36125825323204502</c:v>
                </c:pt>
                <c:pt idx="6">
                  <c:v>0.42146796210405252</c:v>
                </c:pt>
                <c:pt idx="7">
                  <c:v>0.48167767097606001</c:v>
                </c:pt>
                <c:pt idx="8">
                  <c:v>0.54188737984806756</c:v>
                </c:pt>
                <c:pt idx="9">
                  <c:v>0.60209708872007506</c:v>
                </c:pt>
                <c:pt idx="10">
                  <c:v>0.66230679759208255</c:v>
                </c:pt>
                <c:pt idx="11">
                  <c:v>0.72251650646409005</c:v>
                </c:pt>
                <c:pt idx="12">
                  <c:v>0.78272621533609754</c:v>
                </c:pt>
                <c:pt idx="13">
                  <c:v>0.84293592420810504</c:v>
                </c:pt>
                <c:pt idx="14">
                  <c:v>0.90314563308011253</c:v>
                </c:pt>
                <c:pt idx="15">
                  <c:v>0.96335534195212003</c:v>
                </c:pt>
                <c:pt idx="16">
                  <c:v>1.0235650508241276</c:v>
                </c:pt>
                <c:pt idx="17">
                  <c:v>1.0837747596961351</c:v>
                </c:pt>
                <c:pt idx="18">
                  <c:v>1.1439844685681426</c:v>
                </c:pt>
                <c:pt idx="19">
                  <c:v>1.2041941774401501</c:v>
                </c:pt>
                <c:pt idx="20">
                  <c:v>1.2644038863121576</c:v>
                </c:pt>
                <c:pt idx="21">
                  <c:v>1.3246135951841651</c:v>
                </c:pt>
                <c:pt idx="22">
                  <c:v>1.3848233040561726</c:v>
                </c:pt>
                <c:pt idx="23">
                  <c:v>1.4450330129281801</c:v>
                </c:pt>
                <c:pt idx="24">
                  <c:v>1.5052427218001876</c:v>
                </c:pt>
                <c:pt idx="25">
                  <c:v>1.5654524306721951</c:v>
                </c:pt>
                <c:pt idx="26">
                  <c:v>1.6256621395442026</c:v>
                </c:pt>
                <c:pt idx="27">
                  <c:v>1.6858718484162101</c:v>
                </c:pt>
                <c:pt idx="28">
                  <c:v>1.7460815572882176</c:v>
                </c:pt>
                <c:pt idx="29">
                  <c:v>1.8062912661602251</c:v>
                </c:pt>
                <c:pt idx="30">
                  <c:v>1.8665009750322326</c:v>
                </c:pt>
                <c:pt idx="31">
                  <c:v>1.9267106839042401</c:v>
                </c:pt>
                <c:pt idx="32">
                  <c:v>1.9869203927762475</c:v>
                </c:pt>
                <c:pt idx="33">
                  <c:v>2.0471301016482553</c:v>
                </c:pt>
                <c:pt idx="34">
                  <c:v>2.107339810520263</c:v>
                </c:pt>
                <c:pt idx="35">
                  <c:v>2.1675495193922707</c:v>
                </c:pt>
                <c:pt idx="36">
                  <c:v>2.2277592282642784</c:v>
                </c:pt>
                <c:pt idx="37">
                  <c:v>2.2879689371362861</c:v>
                </c:pt>
                <c:pt idx="38">
                  <c:v>2.3481786460082938</c:v>
                </c:pt>
                <c:pt idx="39">
                  <c:v>2.4083883548803016</c:v>
                </c:pt>
                <c:pt idx="40">
                  <c:v>2.4685980637523093</c:v>
                </c:pt>
                <c:pt idx="41">
                  <c:v>2.528807772624317</c:v>
                </c:pt>
                <c:pt idx="42">
                  <c:v>2.5890174814963247</c:v>
                </c:pt>
                <c:pt idx="43">
                  <c:v>2.6492271903683324</c:v>
                </c:pt>
                <c:pt idx="44">
                  <c:v>2.7094368992403401</c:v>
                </c:pt>
                <c:pt idx="45">
                  <c:v>2.7696466081123479</c:v>
                </c:pt>
                <c:pt idx="46">
                  <c:v>2.8298563169843556</c:v>
                </c:pt>
                <c:pt idx="47">
                  <c:v>2.8900660258563633</c:v>
                </c:pt>
                <c:pt idx="48">
                  <c:v>2.950275734728371</c:v>
                </c:pt>
                <c:pt idx="49">
                  <c:v>3.0104854436003787</c:v>
                </c:pt>
                <c:pt idx="50">
                  <c:v>3.0706951524723864</c:v>
                </c:pt>
                <c:pt idx="51">
                  <c:v>3.1309048613443942</c:v>
                </c:pt>
              </c:numCache>
            </c:numRef>
          </c:val>
          <c:smooth val="0"/>
          <c:extLst>
            <c:ext xmlns:c16="http://schemas.microsoft.com/office/drawing/2014/chart" uri="{C3380CC4-5D6E-409C-BE32-E72D297353CC}">
              <c16:uniqueId val="{00000002-14F9-4E50-B989-F1D70F1E4894}"/>
            </c:ext>
          </c:extLst>
        </c:ser>
        <c:ser>
          <c:idx val="6"/>
          <c:order val="7"/>
          <c:tx>
            <c:strRef>
              <c:f>'PBL OLD'!$DB$6:$DB$7</c:f>
              <c:strCache>
                <c:ptCount val="2"/>
                <c:pt idx="0">
                  <c:v>75th Percentile</c:v>
                </c:pt>
              </c:strCache>
            </c:strRef>
          </c:tx>
          <c:spPr>
            <a:ln w="28575">
              <a:solidFill>
                <a:schemeClr val="bg2">
                  <a:lumMod val="60000"/>
                  <a:lumOff val="40000"/>
                </a:schemeClr>
              </a:solidFill>
              <a:prstDash val="sysDot"/>
            </a:ln>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OLD'!$DB$8:$DB$60</c:f>
              <c:numCache>
                <c:formatCode>0.000</c:formatCode>
                <c:ptCount val="53"/>
                <c:pt idx="0">
                  <c:v>6.6232533541717833E-2</c:v>
                </c:pt>
                <c:pt idx="1">
                  <c:v>0.13246506708343567</c:v>
                </c:pt>
                <c:pt idx="2">
                  <c:v>0.19869760062515351</c:v>
                </c:pt>
                <c:pt idx="3">
                  <c:v>0.26493013416687133</c:v>
                </c:pt>
                <c:pt idx="4">
                  <c:v>0.33116266770858915</c:v>
                </c:pt>
                <c:pt idx="5">
                  <c:v>0.39739520125030697</c:v>
                </c:pt>
                <c:pt idx="6">
                  <c:v>0.46362773479202479</c:v>
                </c:pt>
                <c:pt idx="7">
                  <c:v>0.52986026833374267</c:v>
                </c:pt>
                <c:pt idx="8">
                  <c:v>0.59609280187546054</c:v>
                </c:pt>
                <c:pt idx="9">
                  <c:v>0.66232533541717842</c:v>
                </c:pt>
                <c:pt idx="10">
                  <c:v>0.72855786895889629</c:v>
                </c:pt>
                <c:pt idx="11">
                  <c:v>0.79479040250061417</c:v>
                </c:pt>
                <c:pt idx="12">
                  <c:v>0.86102293604233204</c:v>
                </c:pt>
                <c:pt idx="13">
                  <c:v>0.92725546958404992</c:v>
                </c:pt>
                <c:pt idx="14">
                  <c:v>0.99348800312576779</c:v>
                </c:pt>
                <c:pt idx="15">
                  <c:v>1.0597205366674856</c:v>
                </c:pt>
                <c:pt idx="16">
                  <c:v>1.1259530702092033</c:v>
                </c:pt>
                <c:pt idx="17">
                  <c:v>1.1921856037509211</c:v>
                </c:pt>
                <c:pt idx="18">
                  <c:v>1.2584181372926388</c:v>
                </c:pt>
                <c:pt idx="19">
                  <c:v>1.3246506708343566</c:v>
                </c:pt>
                <c:pt idx="20">
                  <c:v>1.3908832043760744</c:v>
                </c:pt>
                <c:pt idx="21">
                  <c:v>1.4571157379177921</c:v>
                </c:pt>
                <c:pt idx="22">
                  <c:v>1.5233482714595099</c:v>
                </c:pt>
                <c:pt idx="23">
                  <c:v>1.5895808050012277</c:v>
                </c:pt>
                <c:pt idx="24">
                  <c:v>1.6558133385429454</c:v>
                </c:pt>
                <c:pt idx="25">
                  <c:v>1.7220458720846632</c:v>
                </c:pt>
                <c:pt idx="26">
                  <c:v>1.788278405626381</c:v>
                </c:pt>
                <c:pt idx="27">
                  <c:v>1.8545109391680987</c:v>
                </c:pt>
                <c:pt idx="28">
                  <c:v>1.9207434727098165</c:v>
                </c:pt>
                <c:pt idx="29">
                  <c:v>1.9869760062515343</c:v>
                </c:pt>
                <c:pt idx="30">
                  <c:v>2.053208539793252</c:v>
                </c:pt>
                <c:pt idx="31">
                  <c:v>2.1194410733349698</c:v>
                </c:pt>
                <c:pt idx="32">
                  <c:v>2.1856736068766875</c:v>
                </c:pt>
                <c:pt idx="33">
                  <c:v>2.2519061404184053</c:v>
                </c:pt>
                <c:pt idx="34">
                  <c:v>2.3181386739601231</c:v>
                </c:pt>
                <c:pt idx="35">
                  <c:v>2.3843712075018408</c:v>
                </c:pt>
                <c:pt idx="36">
                  <c:v>2.4506037410435586</c:v>
                </c:pt>
                <c:pt idx="37">
                  <c:v>2.5168362745852764</c:v>
                </c:pt>
                <c:pt idx="38">
                  <c:v>2.5830688081269941</c:v>
                </c:pt>
                <c:pt idx="39">
                  <c:v>2.6493013416687119</c:v>
                </c:pt>
                <c:pt idx="40">
                  <c:v>2.7155338752104297</c:v>
                </c:pt>
                <c:pt idx="41">
                  <c:v>2.7817664087521474</c:v>
                </c:pt>
                <c:pt idx="42">
                  <c:v>2.8479989422938652</c:v>
                </c:pt>
                <c:pt idx="43">
                  <c:v>2.914231475835583</c:v>
                </c:pt>
                <c:pt idx="44">
                  <c:v>2.9804640093773007</c:v>
                </c:pt>
                <c:pt idx="45">
                  <c:v>3.0466965429190185</c:v>
                </c:pt>
                <c:pt idx="46">
                  <c:v>3.1129290764607362</c:v>
                </c:pt>
                <c:pt idx="47">
                  <c:v>3.179161610002454</c:v>
                </c:pt>
                <c:pt idx="48">
                  <c:v>3.2453941435441718</c:v>
                </c:pt>
                <c:pt idx="49">
                  <c:v>3.3116266770858895</c:v>
                </c:pt>
                <c:pt idx="50">
                  <c:v>3.3778592106276073</c:v>
                </c:pt>
                <c:pt idx="51">
                  <c:v>3.4440917441693251</c:v>
                </c:pt>
              </c:numCache>
            </c:numRef>
          </c:val>
          <c:smooth val="0"/>
          <c:extLst xmlns:c15="http://schemas.microsoft.com/office/drawing/2012/chart">
            <c:ext xmlns:c16="http://schemas.microsoft.com/office/drawing/2014/chart" uri="{C3380CC4-5D6E-409C-BE32-E72D297353CC}">
              <c16:uniqueId val="{00000003-14F9-4E50-B989-F1D70F1E4894}"/>
            </c:ext>
          </c:extLst>
        </c:ser>
        <c:dLbls>
          <c:showLegendKey val="0"/>
          <c:showVal val="0"/>
          <c:showCatName val="0"/>
          <c:showSerName val="0"/>
          <c:showPercent val="0"/>
          <c:showBubbleSize val="0"/>
        </c:dLbls>
        <c:smooth val="0"/>
        <c:axId val="1388952432"/>
        <c:axId val="1388953088"/>
        <c:extLst>
          <c:ext xmlns:c15="http://schemas.microsoft.com/office/drawing/2012/chart" uri="{02D57815-91ED-43cb-92C2-25804820EDAC}">
            <c15:filteredLineSeries>
              <c15:ser>
                <c:idx val="3"/>
                <c:order val="1"/>
                <c:tx>
                  <c:strRef>
                    <c:extLst>
                      <c:ext uri="{02D57815-91ED-43cb-92C2-25804820EDAC}">
                        <c15:formulaRef>
                          <c15:sqref>'PBL OLD'!$CV$6:$CV$7</c15:sqref>
                        </c15:formulaRef>
                      </c:ext>
                    </c:extLst>
                    <c:strCache>
                      <c:ptCount val="2"/>
                      <c:pt idx="0">
                        <c:v>Min</c:v>
                      </c:pt>
                    </c:strCache>
                  </c:strRef>
                </c:tx>
                <c:marker>
                  <c:symbol val="none"/>
                </c:marker>
                <c:cat>
                  <c:numRef>
                    <c:extLst>
                      <c:ex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c:ext uri="{02D57815-91ED-43cb-92C2-25804820EDAC}">
                        <c15:formulaRef>
                          <c15:sqref>'PBL OLD'!$CV$8:$CV$60</c15:sqref>
                        </c15:formulaRef>
                      </c:ext>
                    </c:extLst>
                    <c:numCache>
                      <c:formatCode>0.000</c:formatCode>
                      <c:ptCount val="53"/>
                      <c:pt idx="0">
                        <c:v>3.7943638869952147E-2</c:v>
                      </c:pt>
                      <c:pt idx="1">
                        <c:v>7.5887277739904294E-2</c:v>
                      </c:pt>
                      <c:pt idx="2">
                        <c:v>0.11383091660985645</c:v>
                      </c:pt>
                      <c:pt idx="3">
                        <c:v>0.15177455547980859</c:v>
                      </c:pt>
                      <c:pt idx="4">
                        <c:v>0.18971819434976073</c:v>
                      </c:pt>
                      <c:pt idx="5">
                        <c:v>0.22766183321971287</c:v>
                      </c:pt>
                      <c:pt idx="6">
                        <c:v>0.26560547208966501</c:v>
                      </c:pt>
                      <c:pt idx="7">
                        <c:v>0.30354911095961717</c:v>
                      </c:pt>
                      <c:pt idx="8">
                        <c:v>0.34149274982956934</c:v>
                      </c:pt>
                      <c:pt idx="9">
                        <c:v>0.37943638869952151</c:v>
                      </c:pt>
                      <c:pt idx="10">
                        <c:v>0.41738002756947368</c:v>
                      </c:pt>
                      <c:pt idx="11">
                        <c:v>0.45532366643942584</c:v>
                      </c:pt>
                      <c:pt idx="12">
                        <c:v>0.49326730530937801</c:v>
                      </c:pt>
                      <c:pt idx="13">
                        <c:v>0.53121094417933012</c:v>
                      </c:pt>
                      <c:pt idx="14">
                        <c:v>0.56915458304928224</c:v>
                      </c:pt>
                      <c:pt idx="15">
                        <c:v>0.60709822191923435</c:v>
                      </c:pt>
                      <c:pt idx="16">
                        <c:v>0.64504186078918646</c:v>
                      </c:pt>
                      <c:pt idx="17">
                        <c:v>0.68298549965913857</c:v>
                      </c:pt>
                      <c:pt idx="18">
                        <c:v>0.72092913852909069</c:v>
                      </c:pt>
                      <c:pt idx="19">
                        <c:v>0.7588727773990428</c:v>
                      </c:pt>
                      <c:pt idx="20">
                        <c:v>0.79681641626899491</c:v>
                      </c:pt>
                      <c:pt idx="21">
                        <c:v>0.83476005513894702</c:v>
                      </c:pt>
                      <c:pt idx="22">
                        <c:v>0.87270369400889913</c:v>
                      </c:pt>
                      <c:pt idx="23">
                        <c:v>0.91064733287885125</c:v>
                      </c:pt>
                      <c:pt idx="24">
                        <c:v>0.94859097174880336</c:v>
                      </c:pt>
                      <c:pt idx="25">
                        <c:v>0.98653461061875547</c:v>
                      </c:pt>
                      <c:pt idx="26">
                        <c:v>1.0244782494887077</c:v>
                      </c:pt>
                      <c:pt idx="27">
                        <c:v>1.0624218883586598</c:v>
                      </c:pt>
                      <c:pt idx="28">
                        <c:v>1.1003655272286119</c:v>
                      </c:pt>
                      <c:pt idx="29">
                        <c:v>1.138309166098564</c:v>
                      </c:pt>
                      <c:pt idx="30">
                        <c:v>1.1762528049685161</c:v>
                      </c:pt>
                      <c:pt idx="31">
                        <c:v>1.2141964438384683</c:v>
                      </c:pt>
                      <c:pt idx="32">
                        <c:v>1.2521400827084204</c:v>
                      </c:pt>
                      <c:pt idx="33">
                        <c:v>1.2900837215783725</c:v>
                      </c:pt>
                      <c:pt idx="34">
                        <c:v>1.3280273604483246</c:v>
                      </c:pt>
                      <c:pt idx="35">
                        <c:v>1.3659709993182767</c:v>
                      </c:pt>
                      <c:pt idx="36">
                        <c:v>1.4039146381882288</c:v>
                      </c:pt>
                      <c:pt idx="37">
                        <c:v>1.4418582770581809</c:v>
                      </c:pt>
                      <c:pt idx="38">
                        <c:v>1.479801915928133</c:v>
                      </c:pt>
                      <c:pt idx="39">
                        <c:v>1.5177455547980852</c:v>
                      </c:pt>
                      <c:pt idx="40">
                        <c:v>1.5556891936680373</c:v>
                      </c:pt>
                      <c:pt idx="41">
                        <c:v>1.5936328325379894</c:v>
                      </c:pt>
                      <c:pt idx="42">
                        <c:v>1.6315764714079415</c:v>
                      </c:pt>
                      <c:pt idx="43">
                        <c:v>1.6695201102778936</c:v>
                      </c:pt>
                      <c:pt idx="44">
                        <c:v>1.7074637491478457</c:v>
                      </c:pt>
                      <c:pt idx="45">
                        <c:v>1.7454073880177978</c:v>
                      </c:pt>
                      <c:pt idx="46">
                        <c:v>1.7833510268877499</c:v>
                      </c:pt>
                      <c:pt idx="47">
                        <c:v>1.821294665757702</c:v>
                      </c:pt>
                      <c:pt idx="48">
                        <c:v>1.8592383046276542</c:v>
                      </c:pt>
                      <c:pt idx="49">
                        <c:v>1.8971819434976063</c:v>
                      </c:pt>
                      <c:pt idx="50">
                        <c:v>1.9351255823675584</c:v>
                      </c:pt>
                      <c:pt idx="51">
                        <c:v>1.9730692212375105</c:v>
                      </c:pt>
                    </c:numCache>
                  </c:numRef>
                </c:val>
                <c:smooth val="0"/>
                <c:extLst>
                  <c:ext xmlns:c16="http://schemas.microsoft.com/office/drawing/2014/chart" uri="{C3380CC4-5D6E-409C-BE32-E72D297353CC}">
                    <c16:uniqueId val="{00000004-14F9-4E50-B989-F1D70F1E4894}"/>
                  </c:ext>
                </c:extLst>
              </c15:ser>
            </c15:filteredLineSeries>
            <c15:filteredLineSeries>
              <c15:ser>
                <c:idx val="5"/>
                <c:order val="2"/>
                <c:tx>
                  <c:strRef>
                    <c:extLst xmlns:c15="http://schemas.microsoft.com/office/drawing/2012/chart">
                      <c:ext xmlns:c15="http://schemas.microsoft.com/office/drawing/2012/chart" uri="{02D57815-91ED-43cb-92C2-25804820EDAC}">
                        <c15:formulaRef>
                          <c15:sqref>'PBL OLD'!$CW$6:$CW$7</c15:sqref>
                        </c15:formulaRef>
                      </c:ext>
                    </c:extLst>
                    <c:strCache>
                      <c:ptCount val="2"/>
                      <c:pt idx="0">
                        <c:v>1st Percentile</c:v>
                      </c:pt>
                    </c:strCache>
                  </c:strRef>
                </c:tx>
                <c:spPr>
                  <a:ln w="28575" cap="rnd">
                    <a:solidFill>
                      <a:schemeClr val="accent6"/>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OLD'!$CW$8:$CW$60</c15:sqref>
                        </c15:formulaRef>
                      </c:ext>
                    </c:extLst>
                    <c:numCache>
                      <c:formatCode>0.000</c:formatCode>
                      <c:ptCount val="53"/>
                      <c:pt idx="0">
                        <c:v>4.5436313528305135E-2</c:v>
                      </c:pt>
                      <c:pt idx="1">
                        <c:v>9.087262705661027E-2</c:v>
                      </c:pt>
                      <c:pt idx="2">
                        <c:v>0.13630894058491541</c:v>
                      </c:pt>
                      <c:pt idx="3">
                        <c:v>0.18174525411322054</c:v>
                      </c:pt>
                      <c:pt idx="4">
                        <c:v>0.22718156764152567</c:v>
                      </c:pt>
                      <c:pt idx="5">
                        <c:v>0.27261788116983082</c:v>
                      </c:pt>
                      <c:pt idx="6">
                        <c:v>0.31805419469813595</c:v>
                      </c:pt>
                      <c:pt idx="7">
                        <c:v>0.36349050822644108</c:v>
                      </c:pt>
                      <c:pt idx="8">
                        <c:v>0.40892682175474621</c:v>
                      </c:pt>
                      <c:pt idx="9">
                        <c:v>0.45436313528305133</c:v>
                      </c:pt>
                      <c:pt idx="10">
                        <c:v>0.49979944881135646</c:v>
                      </c:pt>
                      <c:pt idx="11">
                        <c:v>0.54523576233966164</c:v>
                      </c:pt>
                      <c:pt idx="12">
                        <c:v>0.59067207586796677</c:v>
                      </c:pt>
                      <c:pt idx="13">
                        <c:v>0.6361083893962719</c:v>
                      </c:pt>
                      <c:pt idx="14">
                        <c:v>0.68154470292457703</c:v>
                      </c:pt>
                      <c:pt idx="15">
                        <c:v>0.72698101645288216</c:v>
                      </c:pt>
                      <c:pt idx="16">
                        <c:v>0.77241732998118728</c:v>
                      </c:pt>
                      <c:pt idx="17">
                        <c:v>0.81785364350949241</c:v>
                      </c:pt>
                      <c:pt idx="18">
                        <c:v>0.86328995703779754</c:v>
                      </c:pt>
                      <c:pt idx="19">
                        <c:v>0.90872627056610267</c:v>
                      </c:pt>
                      <c:pt idx="20">
                        <c:v>0.9541625840944078</c:v>
                      </c:pt>
                      <c:pt idx="21">
                        <c:v>0.99959889762271292</c:v>
                      </c:pt>
                      <c:pt idx="22">
                        <c:v>1.0450352111510182</c:v>
                      </c:pt>
                      <c:pt idx="23">
                        <c:v>1.0904715246793233</c:v>
                      </c:pt>
                      <c:pt idx="24">
                        <c:v>1.1359078382076284</c:v>
                      </c:pt>
                      <c:pt idx="25">
                        <c:v>1.1813441517359335</c:v>
                      </c:pt>
                      <c:pt idx="26">
                        <c:v>1.2267804652642387</c:v>
                      </c:pt>
                      <c:pt idx="27">
                        <c:v>1.2722167787925438</c:v>
                      </c:pt>
                      <c:pt idx="28">
                        <c:v>1.3176530923208489</c:v>
                      </c:pt>
                      <c:pt idx="29">
                        <c:v>1.3630894058491541</c:v>
                      </c:pt>
                      <c:pt idx="30">
                        <c:v>1.4085257193774592</c:v>
                      </c:pt>
                      <c:pt idx="31">
                        <c:v>1.4539620329057643</c:v>
                      </c:pt>
                      <c:pt idx="32">
                        <c:v>1.4993983464340694</c:v>
                      </c:pt>
                      <c:pt idx="33">
                        <c:v>1.5448346599623746</c:v>
                      </c:pt>
                      <c:pt idx="34">
                        <c:v>1.5902709734906797</c:v>
                      </c:pt>
                      <c:pt idx="35">
                        <c:v>1.6357072870189848</c:v>
                      </c:pt>
                      <c:pt idx="36">
                        <c:v>1.68114360054729</c:v>
                      </c:pt>
                      <c:pt idx="37">
                        <c:v>1.7265799140755951</c:v>
                      </c:pt>
                      <c:pt idx="38">
                        <c:v>1.7720162276039002</c:v>
                      </c:pt>
                      <c:pt idx="39">
                        <c:v>1.8174525411322053</c:v>
                      </c:pt>
                      <c:pt idx="40">
                        <c:v>1.8628888546605105</c:v>
                      </c:pt>
                      <c:pt idx="41">
                        <c:v>1.9083251681888156</c:v>
                      </c:pt>
                      <c:pt idx="42">
                        <c:v>1.9537614817171207</c:v>
                      </c:pt>
                      <c:pt idx="43">
                        <c:v>1.9991977952454258</c:v>
                      </c:pt>
                      <c:pt idx="44">
                        <c:v>2.0446341087737312</c:v>
                      </c:pt>
                      <c:pt idx="45">
                        <c:v>2.0900704223020363</c:v>
                      </c:pt>
                      <c:pt idx="46">
                        <c:v>2.1355067358303415</c:v>
                      </c:pt>
                      <c:pt idx="47">
                        <c:v>2.1809430493586466</c:v>
                      </c:pt>
                      <c:pt idx="48">
                        <c:v>2.2263793628869517</c:v>
                      </c:pt>
                      <c:pt idx="49">
                        <c:v>2.2718156764152568</c:v>
                      </c:pt>
                      <c:pt idx="50">
                        <c:v>2.317251989943562</c:v>
                      </c:pt>
                      <c:pt idx="51">
                        <c:v>2.3626883034718671</c:v>
                      </c:pt>
                    </c:numCache>
                  </c:numRef>
                </c:val>
                <c:smooth val="0"/>
                <c:extLst xmlns:c15="http://schemas.microsoft.com/office/drawing/2012/chart">
                  <c:ext xmlns:c16="http://schemas.microsoft.com/office/drawing/2014/chart" uri="{C3380CC4-5D6E-409C-BE32-E72D297353CC}">
                    <c16:uniqueId val="{00000005-14F9-4E50-B989-F1D70F1E4894}"/>
                  </c:ext>
                </c:extLst>
              </c15:ser>
            </c15:filteredLineSeries>
            <c15:filteredLineSeries>
              <c15:ser>
                <c:idx val="7"/>
                <c:order val="3"/>
                <c:tx>
                  <c:strRef>
                    <c:extLst xmlns:c15="http://schemas.microsoft.com/office/drawing/2012/chart">
                      <c:ext xmlns:c15="http://schemas.microsoft.com/office/drawing/2012/chart" uri="{02D57815-91ED-43cb-92C2-25804820EDAC}">
                        <c15:formulaRef>
                          <c15:sqref>'PBL OLD'!$CX$6:$CX$7</c15:sqref>
                        </c15:formulaRef>
                      </c:ext>
                    </c:extLst>
                    <c:strCache>
                      <c:ptCount val="2"/>
                      <c:pt idx="0">
                        <c:v>5th Percentile</c:v>
                      </c:pt>
                    </c:strCache>
                  </c:strRef>
                </c:tx>
                <c:spPr>
                  <a:ln w="28575" cap="rnd">
                    <a:solidFill>
                      <a:schemeClr val="accent6"/>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OLD'!$CX$8:$CX$60</c15:sqref>
                        </c15:formulaRef>
                      </c:ext>
                    </c:extLst>
                    <c:numCache>
                      <c:formatCode>0.000</c:formatCode>
                      <c:ptCount val="53"/>
                      <c:pt idx="0">
                        <c:v>4.8416818848466985E-2</c:v>
                      </c:pt>
                      <c:pt idx="1">
                        <c:v>9.6833637696933969E-2</c:v>
                      </c:pt>
                      <c:pt idx="2">
                        <c:v>0.14525045654540095</c:v>
                      </c:pt>
                      <c:pt idx="3">
                        <c:v>0.19366727539386794</c:v>
                      </c:pt>
                      <c:pt idx="4">
                        <c:v>0.24208409424233493</c:v>
                      </c:pt>
                      <c:pt idx="5">
                        <c:v>0.29050091309080189</c:v>
                      </c:pt>
                      <c:pt idx="6">
                        <c:v>0.33891773193926888</c:v>
                      </c:pt>
                      <c:pt idx="7">
                        <c:v>0.38733455078773588</c:v>
                      </c:pt>
                      <c:pt idx="8">
                        <c:v>0.43575136963620287</c:v>
                      </c:pt>
                      <c:pt idx="9">
                        <c:v>0.48416818848466986</c:v>
                      </c:pt>
                      <c:pt idx="10">
                        <c:v>0.53258500733313685</c:v>
                      </c:pt>
                      <c:pt idx="11">
                        <c:v>0.58100182618160379</c:v>
                      </c:pt>
                      <c:pt idx="12">
                        <c:v>0.62941864503007072</c:v>
                      </c:pt>
                      <c:pt idx="13">
                        <c:v>0.67783546387853766</c:v>
                      </c:pt>
                      <c:pt idx="14">
                        <c:v>0.72625228272700459</c:v>
                      </c:pt>
                      <c:pt idx="15">
                        <c:v>0.77466910157547153</c:v>
                      </c:pt>
                      <c:pt idx="16">
                        <c:v>0.82308592042393847</c:v>
                      </c:pt>
                      <c:pt idx="17">
                        <c:v>0.8715027392724054</c:v>
                      </c:pt>
                      <c:pt idx="18">
                        <c:v>0.91991955812087234</c:v>
                      </c:pt>
                      <c:pt idx="19">
                        <c:v>0.96833637696933927</c:v>
                      </c:pt>
                      <c:pt idx="20">
                        <c:v>1.0167531958178062</c:v>
                      </c:pt>
                      <c:pt idx="21">
                        <c:v>1.0651700146662733</c:v>
                      </c:pt>
                      <c:pt idx="22">
                        <c:v>1.1135868335147403</c:v>
                      </c:pt>
                      <c:pt idx="23">
                        <c:v>1.1620036523632074</c:v>
                      </c:pt>
                      <c:pt idx="24">
                        <c:v>1.2104204712116744</c:v>
                      </c:pt>
                      <c:pt idx="25">
                        <c:v>1.2588372900601414</c:v>
                      </c:pt>
                      <c:pt idx="26">
                        <c:v>1.3072541089086085</c:v>
                      </c:pt>
                      <c:pt idx="27">
                        <c:v>1.3556709277570755</c:v>
                      </c:pt>
                      <c:pt idx="28">
                        <c:v>1.4040877466055426</c:v>
                      </c:pt>
                      <c:pt idx="29">
                        <c:v>1.4525045654540096</c:v>
                      </c:pt>
                      <c:pt idx="30">
                        <c:v>1.5009213843024767</c:v>
                      </c:pt>
                      <c:pt idx="31">
                        <c:v>1.5493382031509437</c:v>
                      </c:pt>
                      <c:pt idx="32">
                        <c:v>1.5977550219994108</c:v>
                      </c:pt>
                      <c:pt idx="33">
                        <c:v>1.6461718408478778</c:v>
                      </c:pt>
                      <c:pt idx="34">
                        <c:v>1.6945886596963449</c:v>
                      </c:pt>
                      <c:pt idx="35">
                        <c:v>1.7430054785448119</c:v>
                      </c:pt>
                      <c:pt idx="36">
                        <c:v>1.791422297393279</c:v>
                      </c:pt>
                      <c:pt idx="37">
                        <c:v>1.839839116241746</c:v>
                      </c:pt>
                      <c:pt idx="38">
                        <c:v>1.8882559350902131</c:v>
                      </c:pt>
                      <c:pt idx="39">
                        <c:v>1.9366727539386801</c:v>
                      </c:pt>
                      <c:pt idx="40">
                        <c:v>1.9850895727871471</c:v>
                      </c:pt>
                      <c:pt idx="41">
                        <c:v>2.0335063916356142</c:v>
                      </c:pt>
                      <c:pt idx="42">
                        <c:v>2.081923210484081</c:v>
                      </c:pt>
                      <c:pt idx="43">
                        <c:v>2.1303400293325478</c:v>
                      </c:pt>
                      <c:pt idx="44">
                        <c:v>2.1787568481810147</c:v>
                      </c:pt>
                      <c:pt idx="45">
                        <c:v>2.2271736670294815</c:v>
                      </c:pt>
                      <c:pt idx="46">
                        <c:v>2.2755904858779483</c:v>
                      </c:pt>
                      <c:pt idx="47">
                        <c:v>2.3240073047264151</c:v>
                      </c:pt>
                      <c:pt idx="48">
                        <c:v>2.372424123574882</c:v>
                      </c:pt>
                      <c:pt idx="49">
                        <c:v>2.4208409424233488</c:v>
                      </c:pt>
                      <c:pt idx="50">
                        <c:v>2.4692577612718156</c:v>
                      </c:pt>
                      <c:pt idx="51">
                        <c:v>2.5176745801202824</c:v>
                      </c:pt>
                    </c:numCache>
                  </c:numRef>
                </c:val>
                <c:smooth val="0"/>
                <c:extLst xmlns:c15="http://schemas.microsoft.com/office/drawing/2012/chart">
                  <c:ext xmlns:c16="http://schemas.microsoft.com/office/drawing/2014/chart" uri="{C3380CC4-5D6E-409C-BE32-E72D297353CC}">
                    <c16:uniqueId val="{00000006-14F9-4E50-B989-F1D70F1E4894}"/>
                  </c:ext>
                </c:extLst>
              </c15:ser>
            </c15:filteredLineSeries>
            <c15:filteredLineSeries>
              <c15:ser>
                <c:idx val="1"/>
                <c:order val="4"/>
                <c:tx>
                  <c:strRef>
                    <c:extLst xmlns:c15="http://schemas.microsoft.com/office/drawing/2012/chart">
                      <c:ext xmlns:c15="http://schemas.microsoft.com/office/drawing/2012/chart" uri="{02D57815-91ED-43cb-92C2-25804820EDAC}">
                        <c15:formulaRef>
                          <c15:sqref>'PBL OLD'!$CY$6:$CY$7</c15:sqref>
                        </c15:formulaRef>
                      </c:ext>
                    </c:extLst>
                    <c:strCache>
                      <c:ptCount val="2"/>
                      <c:pt idx="0">
                        <c:v>10th Percentile</c:v>
                      </c:pt>
                    </c:strCache>
                  </c:strRef>
                </c:tx>
                <c:spPr>
                  <a:ln w="28575" cap="rnd" cmpd="sng">
                    <a:solidFill>
                      <a:schemeClr val="accent2"/>
                    </a:solidFill>
                    <a:prstDash val="sysDot"/>
                    <a:round/>
                    <a:headEnd type="none"/>
                  </a:ln>
                  <a:effectLst/>
                </c:spPr>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OLD'!$CY$8:$CY$60</c15:sqref>
                        </c15:formulaRef>
                      </c:ext>
                    </c:extLst>
                    <c:numCache>
                      <c:formatCode>0.000</c:formatCode>
                      <c:ptCount val="53"/>
                      <c:pt idx="0">
                        <c:v>5.0502007292025322E-2</c:v>
                      </c:pt>
                      <c:pt idx="1">
                        <c:v>0.10100401458405064</c:v>
                      </c:pt>
                      <c:pt idx="2">
                        <c:v>0.15150602187607598</c:v>
                      </c:pt>
                      <c:pt idx="3">
                        <c:v>0.20200802916810129</c:v>
                      </c:pt>
                      <c:pt idx="4">
                        <c:v>0.2525100364601266</c:v>
                      </c:pt>
                      <c:pt idx="5">
                        <c:v>0.30301204375215191</c:v>
                      </c:pt>
                      <c:pt idx="6">
                        <c:v>0.35351405104417721</c:v>
                      </c:pt>
                      <c:pt idx="7">
                        <c:v>0.40401605833620252</c:v>
                      </c:pt>
                      <c:pt idx="8">
                        <c:v>0.45451806562822783</c:v>
                      </c:pt>
                      <c:pt idx="9">
                        <c:v>0.50502007292025319</c:v>
                      </c:pt>
                      <c:pt idx="10">
                        <c:v>0.55552208021227856</c:v>
                      </c:pt>
                      <c:pt idx="11">
                        <c:v>0.60602408750430392</c:v>
                      </c:pt>
                      <c:pt idx="12">
                        <c:v>0.65652609479632928</c:v>
                      </c:pt>
                      <c:pt idx="13">
                        <c:v>0.70702810208835465</c:v>
                      </c:pt>
                      <c:pt idx="14">
                        <c:v>0.75753010938038001</c:v>
                      </c:pt>
                      <c:pt idx="15">
                        <c:v>0.80803211667240538</c:v>
                      </c:pt>
                      <c:pt idx="16">
                        <c:v>0.85853412396443074</c:v>
                      </c:pt>
                      <c:pt idx="17">
                        <c:v>0.9090361312564561</c:v>
                      </c:pt>
                      <c:pt idx="18">
                        <c:v>0.95953813854848147</c:v>
                      </c:pt>
                      <c:pt idx="19">
                        <c:v>1.0100401458405068</c:v>
                      </c:pt>
                      <c:pt idx="20">
                        <c:v>1.0605421531325321</c:v>
                      </c:pt>
                      <c:pt idx="21">
                        <c:v>1.1110441604245573</c:v>
                      </c:pt>
                      <c:pt idx="22">
                        <c:v>1.1615461677165826</c:v>
                      </c:pt>
                      <c:pt idx="23">
                        <c:v>1.2120481750086078</c:v>
                      </c:pt>
                      <c:pt idx="24">
                        <c:v>1.2625501823006331</c:v>
                      </c:pt>
                      <c:pt idx="25">
                        <c:v>1.3130521895926583</c:v>
                      </c:pt>
                      <c:pt idx="26">
                        <c:v>1.3635541968846836</c:v>
                      </c:pt>
                      <c:pt idx="27">
                        <c:v>1.4140562041767089</c:v>
                      </c:pt>
                      <c:pt idx="28">
                        <c:v>1.4645582114687341</c:v>
                      </c:pt>
                      <c:pt idx="29">
                        <c:v>1.5150602187607594</c:v>
                      </c:pt>
                      <c:pt idx="30">
                        <c:v>1.5655622260527846</c:v>
                      </c:pt>
                      <c:pt idx="31">
                        <c:v>1.6160642333448099</c:v>
                      </c:pt>
                      <c:pt idx="32">
                        <c:v>1.6665662406368351</c:v>
                      </c:pt>
                      <c:pt idx="33">
                        <c:v>1.7170682479288604</c:v>
                      </c:pt>
                      <c:pt idx="34">
                        <c:v>1.7675702552208856</c:v>
                      </c:pt>
                      <c:pt idx="35">
                        <c:v>1.8180722625129109</c:v>
                      </c:pt>
                      <c:pt idx="36">
                        <c:v>1.8685742698049361</c:v>
                      </c:pt>
                      <c:pt idx="37">
                        <c:v>1.9190762770969614</c:v>
                      </c:pt>
                      <c:pt idx="38">
                        <c:v>1.9695782843889866</c:v>
                      </c:pt>
                      <c:pt idx="39">
                        <c:v>2.0200802916810119</c:v>
                      </c:pt>
                      <c:pt idx="40">
                        <c:v>2.0705822989730374</c:v>
                      </c:pt>
                      <c:pt idx="41">
                        <c:v>2.1210843062650628</c:v>
                      </c:pt>
                      <c:pt idx="42">
                        <c:v>2.1715863135570883</c:v>
                      </c:pt>
                      <c:pt idx="43">
                        <c:v>2.2220883208491138</c:v>
                      </c:pt>
                      <c:pt idx="44">
                        <c:v>2.2725903281411393</c:v>
                      </c:pt>
                      <c:pt idx="45">
                        <c:v>2.3230923354331647</c:v>
                      </c:pt>
                      <c:pt idx="46">
                        <c:v>2.3735943427251902</c:v>
                      </c:pt>
                      <c:pt idx="47">
                        <c:v>2.4240963500172157</c:v>
                      </c:pt>
                      <c:pt idx="48">
                        <c:v>2.4745983573092412</c:v>
                      </c:pt>
                      <c:pt idx="49">
                        <c:v>2.5251003646012666</c:v>
                      </c:pt>
                      <c:pt idx="50">
                        <c:v>2.5756023718932921</c:v>
                      </c:pt>
                      <c:pt idx="51">
                        <c:v>2.6261043791853176</c:v>
                      </c:pt>
                    </c:numCache>
                  </c:numRef>
                </c:val>
                <c:smooth val="0"/>
                <c:extLst xmlns:c15="http://schemas.microsoft.com/office/drawing/2012/chart">
                  <c:ext xmlns:c16="http://schemas.microsoft.com/office/drawing/2014/chart" uri="{C3380CC4-5D6E-409C-BE32-E72D297353CC}">
                    <c16:uniqueId val="{00000007-14F9-4E50-B989-F1D70F1E4894}"/>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'PBL OLD'!$DC$6:$DC$7</c15:sqref>
                        </c15:formulaRef>
                      </c:ext>
                    </c:extLst>
                    <c:strCache>
                      <c:ptCount val="2"/>
                      <c:pt idx="0">
                        <c:v>90th Percentile</c:v>
                      </c:pt>
                    </c:strCache>
                  </c:strRef>
                </c:tx>
                <c:spPr>
                  <a:ln w="28575">
                    <a:solidFill>
                      <a:schemeClr val="accent1"/>
                    </a:solidFill>
                    <a:prstDash val="sysDot"/>
                  </a:ln>
                </c:spPr>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OLD'!$DC$8:$DC$60</c15:sqref>
                        </c15:formulaRef>
                      </c:ext>
                    </c:extLst>
                    <c:numCache>
                      <c:formatCode>0.000</c:formatCode>
                      <c:ptCount val="53"/>
                      <c:pt idx="0">
                        <c:v>7.261484324723147E-2</c:v>
                      </c:pt>
                      <c:pt idx="1">
                        <c:v>0.14522968649446294</c:v>
                      </c:pt>
                      <c:pt idx="2">
                        <c:v>0.21784452974169441</c:v>
                      </c:pt>
                      <c:pt idx="3">
                        <c:v>0.29045937298892588</c:v>
                      </c:pt>
                      <c:pt idx="4">
                        <c:v>0.36307421623615732</c:v>
                      </c:pt>
                      <c:pt idx="5">
                        <c:v>0.43568905948338876</c:v>
                      </c:pt>
                      <c:pt idx="6">
                        <c:v>0.50830390273062021</c:v>
                      </c:pt>
                      <c:pt idx="7">
                        <c:v>0.58091874597785165</c:v>
                      </c:pt>
                      <c:pt idx="8">
                        <c:v>0.65353358922508309</c:v>
                      </c:pt>
                      <c:pt idx="9">
                        <c:v>0.72614843247231453</c:v>
                      </c:pt>
                      <c:pt idx="10">
                        <c:v>0.79876327571954597</c:v>
                      </c:pt>
                      <c:pt idx="11">
                        <c:v>0.87137811896677742</c:v>
                      </c:pt>
                      <c:pt idx="12">
                        <c:v>0.94399296221400886</c:v>
                      </c:pt>
                      <c:pt idx="13">
                        <c:v>1.0166078054612404</c:v>
                      </c:pt>
                      <c:pt idx="14">
                        <c:v>1.089222648708472</c:v>
                      </c:pt>
                      <c:pt idx="15">
                        <c:v>1.1618374919557035</c:v>
                      </c:pt>
                      <c:pt idx="16">
                        <c:v>1.2344523352029351</c:v>
                      </c:pt>
                      <c:pt idx="17">
                        <c:v>1.3070671784501666</c:v>
                      </c:pt>
                      <c:pt idx="18">
                        <c:v>1.3796820216973982</c:v>
                      </c:pt>
                      <c:pt idx="19">
                        <c:v>1.4522968649446297</c:v>
                      </c:pt>
                      <c:pt idx="20">
                        <c:v>1.5249117081918613</c:v>
                      </c:pt>
                      <c:pt idx="21">
                        <c:v>1.5975265514390928</c:v>
                      </c:pt>
                      <c:pt idx="22">
                        <c:v>1.6701413946863244</c:v>
                      </c:pt>
                      <c:pt idx="23">
                        <c:v>1.7427562379335559</c:v>
                      </c:pt>
                      <c:pt idx="24">
                        <c:v>1.8153710811807875</c:v>
                      </c:pt>
                      <c:pt idx="25">
                        <c:v>1.887985924428019</c:v>
                      </c:pt>
                      <c:pt idx="26">
                        <c:v>1.9606007676752506</c:v>
                      </c:pt>
                      <c:pt idx="27">
                        <c:v>2.0332156109224822</c:v>
                      </c:pt>
                      <c:pt idx="28">
                        <c:v>2.1058304541697135</c:v>
                      </c:pt>
                      <c:pt idx="29">
                        <c:v>2.1784452974169448</c:v>
                      </c:pt>
                      <c:pt idx="30">
                        <c:v>2.2510601406641761</c:v>
                      </c:pt>
                      <c:pt idx="31">
                        <c:v>2.3236749839114075</c:v>
                      </c:pt>
                      <c:pt idx="32">
                        <c:v>2.3962898271586388</c:v>
                      </c:pt>
                      <c:pt idx="33">
                        <c:v>2.4689046704058701</c:v>
                      </c:pt>
                      <c:pt idx="34">
                        <c:v>2.5415195136531015</c:v>
                      </c:pt>
                      <c:pt idx="35">
                        <c:v>2.6141343569003328</c:v>
                      </c:pt>
                      <c:pt idx="36">
                        <c:v>2.6867492001475641</c:v>
                      </c:pt>
                      <c:pt idx="37">
                        <c:v>2.7593640433947955</c:v>
                      </c:pt>
                      <c:pt idx="38">
                        <c:v>2.8319788866420268</c:v>
                      </c:pt>
                      <c:pt idx="39">
                        <c:v>2.9045937298892581</c:v>
                      </c:pt>
                      <c:pt idx="40">
                        <c:v>2.9772085731364895</c:v>
                      </c:pt>
                      <c:pt idx="41">
                        <c:v>3.0498234163837208</c:v>
                      </c:pt>
                      <c:pt idx="42">
                        <c:v>3.1224382596309521</c:v>
                      </c:pt>
                      <c:pt idx="43">
                        <c:v>3.1950531028781834</c:v>
                      </c:pt>
                      <c:pt idx="44">
                        <c:v>3.2676679461254148</c:v>
                      </c:pt>
                      <c:pt idx="45">
                        <c:v>3.3402827893726461</c:v>
                      </c:pt>
                      <c:pt idx="46">
                        <c:v>3.4128976326198774</c:v>
                      </c:pt>
                      <c:pt idx="47">
                        <c:v>3.4855124758671088</c:v>
                      </c:pt>
                      <c:pt idx="48">
                        <c:v>3.5581273191143401</c:v>
                      </c:pt>
                      <c:pt idx="49">
                        <c:v>3.6307421623615714</c:v>
                      </c:pt>
                      <c:pt idx="50">
                        <c:v>3.7033570056088028</c:v>
                      </c:pt>
                      <c:pt idx="51">
                        <c:v>3.7759718488560341</c:v>
                      </c:pt>
                    </c:numCache>
                  </c:numRef>
                </c:val>
                <c:smooth val="0"/>
                <c:extLst xmlns:c15="http://schemas.microsoft.com/office/drawing/2012/chart">
                  <c:ext xmlns:c16="http://schemas.microsoft.com/office/drawing/2014/chart" uri="{C3380CC4-5D6E-409C-BE32-E72D297353CC}">
                    <c16:uniqueId val="{00000008-14F9-4E50-B989-F1D70F1E4894}"/>
                  </c:ext>
                </c:extLst>
              </c15:ser>
            </c15:filteredLineSeries>
            <c15:filteredLineSeries>
              <c15:ser>
                <c:idx val="9"/>
                <c:order val="9"/>
                <c:tx>
                  <c:strRef>
                    <c:extLst xmlns:c15="http://schemas.microsoft.com/office/drawing/2012/chart">
                      <c:ext xmlns:c15="http://schemas.microsoft.com/office/drawing/2012/chart" uri="{02D57815-91ED-43cb-92C2-25804820EDAC}">
                        <c15:formulaRef>
                          <c15:sqref>'PBL OLD'!$DD$6:$DD$7</c15:sqref>
                        </c15:formulaRef>
                      </c:ext>
                    </c:extLst>
                    <c:strCache>
                      <c:ptCount val="2"/>
                      <c:pt idx="0">
                        <c:v>95th Percentile</c:v>
                      </c:pt>
                    </c:strCache>
                  </c:strRef>
                </c:tx>
                <c:spPr>
                  <a:ln w="28575">
                    <a:solidFill>
                      <a:schemeClr val="accent1"/>
                    </a:solidFill>
                    <a:prstDash val="sysDot"/>
                  </a:ln>
                </c:spPr>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OLD'!$DD$8:$DD$60</c15:sqref>
                        </c15:formulaRef>
                      </c:ext>
                    </c:extLst>
                    <c:numCache>
                      <c:formatCode>0.000</c:formatCode>
                      <c:ptCount val="53"/>
                      <c:pt idx="0">
                        <c:v>7.643445292523153E-2</c:v>
                      </c:pt>
                      <c:pt idx="1">
                        <c:v>0.15286890585046306</c:v>
                      </c:pt>
                      <c:pt idx="2">
                        <c:v>0.22930335877569458</c:v>
                      </c:pt>
                      <c:pt idx="3">
                        <c:v>0.30573781170092612</c:v>
                      </c:pt>
                      <c:pt idx="4">
                        <c:v>0.38217226462615767</c:v>
                      </c:pt>
                      <c:pt idx="5">
                        <c:v>0.45860671755138921</c:v>
                      </c:pt>
                      <c:pt idx="6">
                        <c:v>0.5350411704766207</c:v>
                      </c:pt>
                      <c:pt idx="7">
                        <c:v>0.61147562340185224</c:v>
                      </c:pt>
                      <c:pt idx="8">
                        <c:v>0.68791007632708379</c:v>
                      </c:pt>
                      <c:pt idx="9">
                        <c:v>0.76434452925231533</c:v>
                      </c:pt>
                      <c:pt idx="10">
                        <c:v>0.84077898217754687</c:v>
                      </c:pt>
                      <c:pt idx="11">
                        <c:v>0.91721343510277842</c:v>
                      </c:pt>
                      <c:pt idx="12">
                        <c:v>0.99364788802800996</c:v>
                      </c:pt>
                      <c:pt idx="13">
                        <c:v>1.0700823409532414</c:v>
                      </c:pt>
                      <c:pt idx="14">
                        <c:v>1.1465167938784728</c:v>
                      </c:pt>
                      <c:pt idx="15">
                        <c:v>1.2229512468037043</c:v>
                      </c:pt>
                      <c:pt idx="16">
                        <c:v>1.2993856997289357</c:v>
                      </c:pt>
                      <c:pt idx="17">
                        <c:v>1.3758201526541671</c:v>
                      </c:pt>
                      <c:pt idx="18">
                        <c:v>1.4522546055793986</c:v>
                      </c:pt>
                      <c:pt idx="19">
                        <c:v>1.52868905850463</c:v>
                      </c:pt>
                      <c:pt idx="20">
                        <c:v>1.6051235114298614</c:v>
                      </c:pt>
                      <c:pt idx="21">
                        <c:v>1.6815579643550929</c:v>
                      </c:pt>
                      <c:pt idx="22">
                        <c:v>1.7579924172803243</c:v>
                      </c:pt>
                      <c:pt idx="23">
                        <c:v>1.8344268702055557</c:v>
                      </c:pt>
                      <c:pt idx="24">
                        <c:v>1.9108613231307872</c:v>
                      </c:pt>
                      <c:pt idx="25">
                        <c:v>1.9872957760560186</c:v>
                      </c:pt>
                      <c:pt idx="26">
                        <c:v>2.06373022898125</c:v>
                      </c:pt>
                      <c:pt idx="27">
                        <c:v>2.1401646819064815</c:v>
                      </c:pt>
                      <c:pt idx="28">
                        <c:v>2.2165991348317129</c:v>
                      </c:pt>
                      <c:pt idx="29">
                        <c:v>2.2930335877569443</c:v>
                      </c:pt>
                      <c:pt idx="30">
                        <c:v>2.3694680406821758</c:v>
                      </c:pt>
                      <c:pt idx="31">
                        <c:v>2.4459024936074072</c:v>
                      </c:pt>
                      <c:pt idx="32">
                        <c:v>2.5223369465326386</c:v>
                      </c:pt>
                      <c:pt idx="33">
                        <c:v>2.5987713994578701</c:v>
                      </c:pt>
                      <c:pt idx="34">
                        <c:v>2.6752058523831015</c:v>
                      </c:pt>
                      <c:pt idx="35">
                        <c:v>2.7516403053083329</c:v>
                      </c:pt>
                      <c:pt idx="36">
                        <c:v>2.8280747582335644</c:v>
                      </c:pt>
                      <c:pt idx="37">
                        <c:v>2.9045092111587958</c:v>
                      </c:pt>
                      <c:pt idx="38">
                        <c:v>2.9809436640840272</c:v>
                      </c:pt>
                      <c:pt idx="39">
                        <c:v>3.0573781170092587</c:v>
                      </c:pt>
                      <c:pt idx="40">
                        <c:v>3.1338125699344901</c:v>
                      </c:pt>
                      <c:pt idx="41">
                        <c:v>3.2102470228597215</c:v>
                      </c:pt>
                      <c:pt idx="42">
                        <c:v>3.286681475784953</c:v>
                      </c:pt>
                      <c:pt idx="43">
                        <c:v>3.3631159287101844</c:v>
                      </c:pt>
                      <c:pt idx="44">
                        <c:v>3.4395503816354158</c:v>
                      </c:pt>
                      <c:pt idx="45">
                        <c:v>3.5159848345606473</c:v>
                      </c:pt>
                      <c:pt idx="46">
                        <c:v>3.5924192874858787</c:v>
                      </c:pt>
                      <c:pt idx="47">
                        <c:v>3.6688537404111101</c:v>
                      </c:pt>
                      <c:pt idx="48">
                        <c:v>3.7452881933363416</c:v>
                      </c:pt>
                      <c:pt idx="49">
                        <c:v>3.821722646261573</c:v>
                      </c:pt>
                      <c:pt idx="50">
                        <c:v>3.8981570991868044</c:v>
                      </c:pt>
                      <c:pt idx="51">
                        <c:v>3.9745915521120359</c:v>
                      </c:pt>
                    </c:numCache>
                  </c:numRef>
                </c:val>
                <c:smooth val="0"/>
                <c:extLst xmlns:c15="http://schemas.microsoft.com/office/drawing/2012/chart">
                  <c:ext xmlns:c16="http://schemas.microsoft.com/office/drawing/2014/chart" uri="{C3380CC4-5D6E-409C-BE32-E72D297353CC}">
                    <c16:uniqueId val="{00000009-14F9-4E50-B989-F1D70F1E4894}"/>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'PBL OLD'!$DE$6:$DE$7</c15:sqref>
                        </c15:formulaRef>
                      </c:ext>
                    </c:extLst>
                    <c:strCache>
                      <c:ptCount val="2"/>
                      <c:pt idx="0">
                        <c:v>99th Percentile</c:v>
                      </c:pt>
                    </c:strCache>
                  </c:strRef>
                </c:tx>
                <c:spPr>
                  <a:ln w="28575">
                    <a:solidFill>
                      <a:schemeClr val="accent1"/>
                    </a:solidFill>
                    <a:prstDash val="sysDot"/>
                  </a:ln>
                </c:spPr>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OLD'!$DE$8:$DE$60</c15:sqref>
                        </c15:formulaRef>
                      </c:ext>
                    </c:extLst>
                    <c:numCache>
                      <c:formatCode>0.000</c:formatCode>
                      <c:ptCount val="53"/>
                      <c:pt idx="0">
                        <c:v>8.472863847550996E-2</c:v>
                      </c:pt>
                      <c:pt idx="1">
                        <c:v>0.16945727695101992</c:v>
                      </c:pt>
                      <c:pt idx="2">
                        <c:v>0.25418591542652991</c:v>
                      </c:pt>
                      <c:pt idx="3">
                        <c:v>0.33891455390203984</c:v>
                      </c:pt>
                      <c:pt idx="4">
                        <c:v>0.42364319237754977</c:v>
                      </c:pt>
                      <c:pt idx="5">
                        <c:v>0.5083718308530597</c:v>
                      </c:pt>
                      <c:pt idx="6">
                        <c:v>0.59310046932856963</c:v>
                      </c:pt>
                      <c:pt idx="7">
                        <c:v>0.67782910780407957</c:v>
                      </c:pt>
                      <c:pt idx="8">
                        <c:v>0.7625577462795895</c:v>
                      </c:pt>
                      <c:pt idx="9">
                        <c:v>0.84728638475509943</c:v>
                      </c:pt>
                      <c:pt idx="10">
                        <c:v>0.93201502323060936</c:v>
                      </c:pt>
                      <c:pt idx="11">
                        <c:v>1.0167436617061194</c:v>
                      </c:pt>
                      <c:pt idx="12">
                        <c:v>1.1014723001816293</c:v>
                      </c:pt>
                      <c:pt idx="13">
                        <c:v>1.1862009386571393</c:v>
                      </c:pt>
                      <c:pt idx="14">
                        <c:v>1.2709295771326492</c:v>
                      </c:pt>
                      <c:pt idx="15">
                        <c:v>1.3556582156081591</c:v>
                      </c:pt>
                      <c:pt idx="16">
                        <c:v>1.4403868540836691</c:v>
                      </c:pt>
                      <c:pt idx="17">
                        <c:v>1.525115492559179</c:v>
                      </c:pt>
                      <c:pt idx="18">
                        <c:v>1.6098441310346889</c:v>
                      </c:pt>
                      <c:pt idx="19">
                        <c:v>1.6945727695101989</c:v>
                      </c:pt>
                      <c:pt idx="20">
                        <c:v>1.7793014079857088</c:v>
                      </c:pt>
                      <c:pt idx="21">
                        <c:v>1.8640300464612187</c:v>
                      </c:pt>
                      <c:pt idx="22">
                        <c:v>1.9487586849367287</c:v>
                      </c:pt>
                      <c:pt idx="23">
                        <c:v>2.0334873234122388</c:v>
                      </c:pt>
                      <c:pt idx="24">
                        <c:v>2.1182159618877487</c:v>
                      </c:pt>
                      <c:pt idx="25">
                        <c:v>2.2029446003632587</c:v>
                      </c:pt>
                      <c:pt idx="26">
                        <c:v>2.2876732388387686</c:v>
                      </c:pt>
                      <c:pt idx="27">
                        <c:v>2.3724018773142785</c:v>
                      </c:pt>
                      <c:pt idx="28">
                        <c:v>2.4571305157897885</c:v>
                      </c:pt>
                      <c:pt idx="29">
                        <c:v>2.5418591542652984</c:v>
                      </c:pt>
                      <c:pt idx="30">
                        <c:v>2.6265877927408083</c:v>
                      </c:pt>
                      <c:pt idx="31">
                        <c:v>2.7113164312163183</c:v>
                      </c:pt>
                      <c:pt idx="32">
                        <c:v>2.7960450696918282</c:v>
                      </c:pt>
                      <c:pt idx="33">
                        <c:v>2.8807737081673381</c:v>
                      </c:pt>
                      <c:pt idx="34">
                        <c:v>2.9655023466428481</c:v>
                      </c:pt>
                      <c:pt idx="35">
                        <c:v>3.050230985118358</c:v>
                      </c:pt>
                      <c:pt idx="36">
                        <c:v>3.1349596235938679</c:v>
                      </c:pt>
                      <c:pt idx="37">
                        <c:v>3.2196882620693779</c:v>
                      </c:pt>
                      <c:pt idx="38">
                        <c:v>3.3044169005448878</c:v>
                      </c:pt>
                      <c:pt idx="39">
                        <c:v>3.3891455390203977</c:v>
                      </c:pt>
                      <c:pt idx="40">
                        <c:v>3.4738741774959077</c:v>
                      </c:pt>
                      <c:pt idx="41">
                        <c:v>3.5586028159714176</c:v>
                      </c:pt>
                      <c:pt idx="42">
                        <c:v>3.6433314544469275</c:v>
                      </c:pt>
                      <c:pt idx="43">
                        <c:v>3.7280600929224375</c:v>
                      </c:pt>
                      <c:pt idx="44">
                        <c:v>3.8127887313979474</c:v>
                      </c:pt>
                      <c:pt idx="45">
                        <c:v>3.8975173698734573</c:v>
                      </c:pt>
                      <c:pt idx="46">
                        <c:v>3.9822460083489672</c:v>
                      </c:pt>
                      <c:pt idx="47">
                        <c:v>4.0669746468244776</c:v>
                      </c:pt>
                      <c:pt idx="48">
                        <c:v>4.1517032852999876</c:v>
                      </c:pt>
                      <c:pt idx="49">
                        <c:v>4.2364319237754975</c:v>
                      </c:pt>
                      <c:pt idx="50">
                        <c:v>4.3211605622510074</c:v>
                      </c:pt>
                      <c:pt idx="51">
                        <c:v>4.4058892007265174</c:v>
                      </c:pt>
                    </c:numCache>
                  </c:numRef>
                </c:val>
                <c:smooth val="0"/>
                <c:extLst xmlns:c15="http://schemas.microsoft.com/office/drawing/2012/chart">
                  <c:ext xmlns:c16="http://schemas.microsoft.com/office/drawing/2014/chart" uri="{C3380CC4-5D6E-409C-BE32-E72D297353CC}">
                    <c16:uniqueId val="{0000000A-14F9-4E50-B989-F1D70F1E4894}"/>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'PBL OLD'!$DF$6:$DF$7</c15:sqref>
                        </c15:formulaRef>
                      </c:ext>
                    </c:extLst>
                    <c:strCache>
                      <c:ptCount val="2"/>
                      <c:pt idx="0">
                        <c:v>Max</c:v>
                      </c:pt>
                    </c:strCache>
                  </c:strRef>
                </c:tx>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OLD'!$DF$8:$DF$60</c15:sqref>
                        </c15:formulaRef>
                      </c:ext>
                    </c:extLst>
                    <c:numCache>
                      <c:formatCode>0.000</c:formatCode>
                      <c:ptCount val="53"/>
                      <c:pt idx="0">
                        <c:v>0.10288241710741779</c:v>
                      </c:pt>
                      <c:pt idx="1">
                        <c:v>0.20576483421483557</c:v>
                      </c:pt>
                      <c:pt idx="2">
                        <c:v>0.30864725132225335</c:v>
                      </c:pt>
                      <c:pt idx="3">
                        <c:v>0.41152966842967115</c:v>
                      </c:pt>
                      <c:pt idx="4">
                        <c:v>0.51441208553708895</c:v>
                      </c:pt>
                      <c:pt idx="5">
                        <c:v>0.61729450264450669</c:v>
                      </c:pt>
                      <c:pt idx="6">
                        <c:v>0.72017691975192444</c:v>
                      </c:pt>
                      <c:pt idx="7">
                        <c:v>0.82305933685934218</c:v>
                      </c:pt>
                      <c:pt idx="8">
                        <c:v>0.92594175396675993</c:v>
                      </c:pt>
                      <c:pt idx="9">
                        <c:v>1.0288241710741777</c:v>
                      </c:pt>
                      <c:pt idx="10">
                        <c:v>1.1317065881815955</c:v>
                      </c:pt>
                      <c:pt idx="11">
                        <c:v>1.2345890052890134</c:v>
                      </c:pt>
                      <c:pt idx="12">
                        <c:v>1.3374714223964312</c:v>
                      </c:pt>
                      <c:pt idx="13">
                        <c:v>1.4403538395038491</c:v>
                      </c:pt>
                      <c:pt idx="14">
                        <c:v>1.543236256611267</c:v>
                      </c:pt>
                      <c:pt idx="15">
                        <c:v>1.6461186737186848</c:v>
                      </c:pt>
                      <c:pt idx="16">
                        <c:v>1.7490010908261027</c:v>
                      </c:pt>
                      <c:pt idx="17">
                        <c:v>1.8518835079335205</c:v>
                      </c:pt>
                      <c:pt idx="18">
                        <c:v>1.9547659250409384</c:v>
                      </c:pt>
                      <c:pt idx="19">
                        <c:v>2.0576483421483562</c:v>
                      </c:pt>
                      <c:pt idx="20">
                        <c:v>2.1605307592557739</c:v>
                      </c:pt>
                      <c:pt idx="21">
                        <c:v>2.2634131763631915</c:v>
                      </c:pt>
                      <c:pt idx="22">
                        <c:v>2.3662955934706091</c:v>
                      </c:pt>
                      <c:pt idx="23">
                        <c:v>2.4691780105780268</c:v>
                      </c:pt>
                      <c:pt idx="24">
                        <c:v>2.5720604276854444</c:v>
                      </c:pt>
                      <c:pt idx="25">
                        <c:v>2.674942844792862</c:v>
                      </c:pt>
                      <c:pt idx="26">
                        <c:v>2.7778252619002797</c:v>
                      </c:pt>
                      <c:pt idx="27">
                        <c:v>2.8807076790076973</c:v>
                      </c:pt>
                      <c:pt idx="28">
                        <c:v>2.9835900961151149</c:v>
                      </c:pt>
                      <c:pt idx="29">
                        <c:v>3.0864725132225326</c:v>
                      </c:pt>
                      <c:pt idx="30">
                        <c:v>3.1893549303299502</c:v>
                      </c:pt>
                      <c:pt idx="31">
                        <c:v>3.2922373474373678</c:v>
                      </c:pt>
                      <c:pt idx="32">
                        <c:v>3.3951197645447855</c:v>
                      </c:pt>
                      <c:pt idx="33">
                        <c:v>3.4980021816522031</c:v>
                      </c:pt>
                      <c:pt idx="34">
                        <c:v>3.6008845987596207</c:v>
                      </c:pt>
                      <c:pt idx="35">
                        <c:v>3.7037670158670384</c:v>
                      </c:pt>
                      <c:pt idx="36">
                        <c:v>3.806649432974456</c:v>
                      </c:pt>
                      <c:pt idx="37">
                        <c:v>3.9095318500818736</c:v>
                      </c:pt>
                      <c:pt idx="38">
                        <c:v>4.0124142671892917</c:v>
                      </c:pt>
                      <c:pt idx="39">
                        <c:v>4.1152966842967098</c:v>
                      </c:pt>
                      <c:pt idx="40">
                        <c:v>4.2181791014041279</c:v>
                      </c:pt>
                      <c:pt idx="41">
                        <c:v>4.321061518511546</c:v>
                      </c:pt>
                      <c:pt idx="42">
                        <c:v>4.423943935618964</c:v>
                      </c:pt>
                      <c:pt idx="43">
                        <c:v>4.5268263527263821</c:v>
                      </c:pt>
                      <c:pt idx="44">
                        <c:v>4.6297087698338002</c:v>
                      </c:pt>
                      <c:pt idx="45">
                        <c:v>4.7325911869412183</c:v>
                      </c:pt>
                      <c:pt idx="46">
                        <c:v>4.8354736040486364</c:v>
                      </c:pt>
                      <c:pt idx="47">
                        <c:v>4.9383560211560544</c:v>
                      </c:pt>
                      <c:pt idx="48">
                        <c:v>5.0412384382634725</c:v>
                      </c:pt>
                      <c:pt idx="49">
                        <c:v>5.1441208553708906</c:v>
                      </c:pt>
                      <c:pt idx="50">
                        <c:v>5.2470032724783087</c:v>
                      </c:pt>
                      <c:pt idx="51">
                        <c:v>5.3498856895857267</c:v>
                      </c:pt>
                    </c:numCache>
                  </c:numRef>
                </c:val>
                <c:smooth val="0"/>
                <c:extLst xmlns:c15="http://schemas.microsoft.com/office/drawing/2012/chart">
                  <c:ext xmlns:c16="http://schemas.microsoft.com/office/drawing/2014/chart" uri="{C3380CC4-5D6E-409C-BE32-E72D297353CC}">
                    <c16:uniqueId val="{0000000B-14F9-4E50-B989-F1D70F1E4894}"/>
                  </c:ext>
                </c:extLst>
              </c15:ser>
            </c15:filteredLineSeries>
          </c:ext>
        </c:extLst>
      </c:lineChart>
      <c:dateAx>
        <c:axId val="1388952432"/>
        <c:scaling>
          <c:orientation val="minMax"/>
        </c:scaling>
        <c:delete val="0"/>
        <c:axPos val="b"/>
        <c:numFmt formatCode="mmm\-yy_);\(###0\);&quot;-  &quot;;&quot; &quot;@&quot; &quot;" sourceLinked="0"/>
        <c:majorTickMark val="none"/>
        <c:minorTickMark val="none"/>
        <c:tickLblPos val="nextTo"/>
        <c:spPr>
          <a:noFill/>
          <a:ln w="9525" cap="flat" cmpd="sng" algn="ctr">
            <a:noFill/>
            <a:round/>
          </a:ln>
          <a:effectLst/>
        </c:spPr>
        <c:txPr>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3088"/>
        <c:crosses val="autoZero"/>
        <c:auto val="1"/>
        <c:lblOffset val="100"/>
        <c:baseTimeUnit val="days"/>
        <c:majorUnit val="1"/>
        <c:majorTimeUnit val="months"/>
      </c:dateAx>
      <c:valAx>
        <c:axId val="13889530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2432"/>
        <c:crosses val="autoZero"/>
        <c:crossBetween val="between"/>
      </c:valAx>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orientation="portrait"/>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'PBL OLD'!$JA$6</c:f>
              <c:strCache>
                <c:ptCount val="1"/>
                <c:pt idx="0">
                  <c:v>Actual</c:v>
                </c:pt>
              </c:strCache>
            </c:strRef>
          </c:tx>
          <c:spPr>
            <a:ln w="28575" cap="rnd">
              <a:solidFill>
                <a:schemeClr val="tx2"/>
              </a:solidFill>
              <a:round/>
            </a:ln>
            <a:effectLst/>
          </c:spPr>
          <c:marker>
            <c:symbol val="none"/>
          </c:marker>
          <c:cat>
            <c:numRef>
              <c:extLst>
                <c:ext xmlns:c15="http://schemas.microsoft.com/office/drawing/2012/chart" uri="{02D57815-91ED-43cb-92C2-25804820EDAC}">
                  <c15:fullRef>
                    <c15:sqref>'PBL OLD'!$IZ$7:$IZ$60</c15:sqref>
                  </c15:fullRef>
                </c:ext>
              </c:extLst>
              <c:f>'PBL OLD'!$IZ$8:$IZ$60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pt idx="52">
                  <c:v>0</c:v>
                </c:pt>
              </c:numCache>
            </c:numRef>
          </c:cat>
          <c:val>
            <c:numRef>
              <c:extLst>
                <c:ext xmlns:c15="http://schemas.microsoft.com/office/drawing/2012/chart" uri="{02D57815-91ED-43cb-92C2-25804820EDAC}">
                  <c15:fullRef>
                    <c15:sqref>'PBL OLD'!$JA$7:$JA$60</c15:sqref>
                  </c15:fullRef>
                </c:ext>
              </c:extLst>
              <c:f>'PBL OLD'!$JA$8:$JA$60</c:f>
              <c:numCache>
                <c:formatCode>0.000</c:formatCode>
                <c:ptCount val="53"/>
                <c:pt idx="0">
                  <c:v>2.4383432684147156E-2</c:v>
                </c:pt>
                <c:pt idx="1">
                  <c:v>5.7456335077458197E-2</c:v>
                </c:pt>
                <c:pt idx="2">
                  <c:v>8.2897301732709039E-2</c:v>
                </c:pt>
                <c:pt idx="3">
                  <c:v>0.10634933406608696</c:v>
                </c:pt>
                <c:pt idx="4">
                  <c:v>0.13586762292789298</c:v>
                </c:pt>
                <c:pt idx="5">
                  <c:v>0.18374004427397994</c:v>
                </c:pt>
                <c:pt idx="6">
                  <c:v>0.20803473319331103</c:v>
                </c:pt>
                <c:pt idx="7">
                  <c:v>0.23891877923157193</c:v>
                </c:pt>
                <c:pt idx="8">
                  <c:v>0.28713984685163879</c:v>
                </c:pt>
                <c:pt idx="9">
                  <c:v>0.3616614278523077</c:v>
                </c:pt>
                <c:pt idx="10">
                  <c:v>0.392004627321204</c:v>
                </c:pt>
                <c:pt idx="11">
                  <c:v>0.41949779873926418</c:v>
                </c:pt>
                <c:pt idx="12">
                  <c:v>0.46306182742073576</c:v>
                </c:pt>
                <c:pt idx="13">
                  <c:v>0.52060037325672237</c:v>
                </c:pt>
                <c:pt idx="14">
                  <c:v>0.6148648724923077</c:v>
                </c:pt>
                <c:pt idx="15">
                  <c:v>0.83700126369498329</c:v>
                </c:pt>
                <c:pt idx="16">
                  <c:v>1.1825944978628762</c:v>
                </c:pt>
                <c:pt idx="17">
                  <c:v>1.2153577144507022</c:v>
                </c:pt>
                <c:pt idx="18">
                  <c:v>1.2691323901694982</c:v>
                </c:pt>
                <c:pt idx="19">
                  <c:v>1.3310424487488961</c:v>
                </c:pt>
                <c:pt idx="20">
                  <c:v>1.4175102073723076</c:v>
                </c:pt>
                <c:pt idx="21">
                  <c:v>1.4481012105839461</c:v>
                </c:pt>
                <c:pt idx="22">
                  <c:v>1.4946211055890297</c:v>
                </c:pt>
                <c:pt idx="23">
                  <c:v>1.5554005903488961</c:v>
                </c:pt>
                <c:pt idx="24">
                  <c:v>1.6472886013460868</c:v>
                </c:pt>
                <c:pt idx="25">
                  <c:v>1.8141838940449495</c:v>
                </c:pt>
                <c:pt idx="26">
                  <c:v>1.8392503831253511</c:v>
                </c:pt>
                <c:pt idx="27">
                  <c:v>1.866157764302341</c:v>
                </c:pt>
                <c:pt idx="28">
                  <c:v>1.9009749529614712</c:v>
                </c:pt>
                <c:pt idx="29">
                  <c:v>1.9519053104066888</c:v>
                </c:pt>
                <c:pt idx="30">
                  <c:v>2.0244714168671569</c:v>
                </c:pt>
                <c:pt idx="31">
                  <c:v>2.0488217174971233</c:v>
                </c:pt>
                <c:pt idx="32">
                  <c:v>2.0819389554734444</c:v>
                </c:pt>
                <c:pt idx="33">
                  <c:v>2.135068076795986</c:v>
                </c:pt>
                <c:pt idx="34">
                  <c:v>2.2086620296321069</c:v>
                </c:pt>
                <c:pt idx="35">
                  <c:v>2.2340468803692306</c:v>
                </c:pt>
                <c:pt idx="36">
                  <c:v>2.2608009917649499</c:v>
                </c:pt>
                <c:pt idx="37">
                  <c:v>2.2922285879399333</c:v>
                </c:pt>
                <c:pt idx="38">
                  <c:v>2.3232771205685618</c:v>
                </c:pt>
                <c:pt idx="39">
                  <c:v>2.3730794774674249</c:v>
                </c:pt>
                <c:pt idx="40">
                  <c:v>2.4331034888271574</c:v>
                </c:pt>
                <c:pt idx="41">
                  <c:v>2.459481893485485</c:v>
                </c:pt>
                <c:pt idx="42">
                  <c:v>2.4922966782375924</c:v>
                </c:pt>
                <c:pt idx="43">
                  <c:v>2.5430290760305017</c:v>
                </c:pt>
              </c:numCache>
            </c:numRef>
          </c:val>
          <c:smooth val="0"/>
          <c:extLst>
            <c:ext xmlns:c16="http://schemas.microsoft.com/office/drawing/2014/chart" uri="{C3380CC4-5D6E-409C-BE32-E72D297353CC}">
              <c16:uniqueId val="{00000000-A754-48BB-BF11-502791128896}"/>
            </c:ext>
          </c:extLst>
        </c:ser>
        <c:ser>
          <c:idx val="9"/>
          <c:order val="5"/>
          <c:tx>
            <c:v>25/75th percentiles</c:v>
          </c:tx>
          <c:spPr>
            <a:ln w="28575" cap="rnd">
              <a:solidFill>
                <a:schemeClr val="bg2">
                  <a:lumMod val="60000"/>
                  <a:lumOff val="40000"/>
                </a:schemeClr>
              </a:solidFill>
              <a:prstDash val="sysDot"/>
              <a:round/>
            </a:ln>
            <a:effectLst/>
          </c:spPr>
          <c:marker>
            <c:symbol val="none"/>
          </c:marker>
          <c:cat>
            <c:numRef>
              <c:extLst>
                <c:ext xmlns:c15="http://schemas.microsoft.com/office/drawing/2012/chart" uri="{02D57815-91ED-43cb-92C2-25804820EDAC}">
                  <c15:fullRef>
                    <c15:sqref>'PBL OLD'!$IZ$7:$IZ$60</c15:sqref>
                  </c15:fullRef>
                </c:ext>
              </c:extLst>
              <c:f>'PBL OLD'!$IZ$8:$IZ$60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pt idx="52">
                  <c:v>0</c:v>
                </c:pt>
              </c:numCache>
            </c:numRef>
          </c:cat>
          <c:val>
            <c:numRef>
              <c:extLst>
                <c:ext xmlns:c15="http://schemas.microsoft.com/office/drawing/2012/chart" uri="{02D57815-91ED-43cb-92C2-25804820EDAC}">
                  <c15:fullRef>
                    <c15:sqref>'PBL OLD'!$JF$7:$JF$60</c15:sqref>
                  </c15:fullRef>
                </c:ext>
              </c:extLst>
              <c:f>'PBL OLD'!$JF$8:$JF$60</c:f>
              <c:numCache>
                <c:formatCode>0.000</c:formatCode>
                <c:ptCount val="53"/>
                <c:pt idx="43">
                  <c:v>2.5430290760305017</c:v>
                </c:pt>
                <c:pt idx="44">
                  <c:v>2.5892827873959017</c:v>
                </c:pt>
                <c:pt idx="45">
                  <c:v>2.6355364987613017</c:v>
                </c:pt>
                <c:pt idx="46">
                  <c:v>2.6817902101267017</c:v>
                </c:pt>
                <c:pt idx="47">
                  <c:v>2.7280439214921017</c:v>
                </c:pt>
                <c:pt idx="48">
                  <c:v>2.7742976328575017</c:v>
                </c:pt>
                <c:pt idx="49">
                  <c:v>2.8205513442229018</c:v>
                </c:pt>
                <c:pt idx="50">
                  <c:v>2.8668050555883018</c:v>
                </c:pt>
                <c:pt idx="51">
                  <c:v>2.9130587669537018</c:v>
                </c:pt>
                <c:pt idx="52">
                  <c:v>2.9593124783191018</c:v>
                </c:pt>
              </c:numCache>
            </c:numRef>
          </c:val>
          <c:smooth val="0"/>
          <c:extLst xmlns:c15="http://schemas.microsoft.com/office/drawing/2012/chart">
            <c:ext xmlns:c16="http://schemas.microsoft.com/office/drawing/2014/chart" uri="{C3380CC4-5D6E-409C-BE32-E72D297353CC}">
              <c16:uniqueId val="{00000001-A754-48BB-BF11-502791128896}"/>
            </c:ext>
          </c:extLst>
        </c:ser>
        <c:ser>
          <c:idx val="1"/>
          <c:order val="6"/>
          <c:tx>
            <c:strRef>
              <c:f>'PBL OLD'!$JG$6</c:f>
              <c:strCache>
                <c:ptCount val="1"/>
                <c:pt idx="0">
                  <c:v>50th Percentile</c:v>
                </c:pt>
              </c:strCache>
            </c:strRef>
          </c:tx>
          <c:spPr>
            <a:ln w="28575">
              <a:solidFill>
                <a:schemeClr val="tx2">
                  <a:lumMod val="40000"/>
                  <a:lumOff val="60000"/>
                </a:schemeClr>
              </a:solidFill>
              <a:prstDash val="sysDot"/>
            </a:ln>
          </c:spPr>
          <c:marker>
            <c:symbol val="none"/>
          </c:marker>
          <c:cat>
            <c:numRef>
              <c:extLst>
                <c:ext xmlns:c15="http://schemas.microsoft.com/office/drawing/2012/chart" uri="{02D57815-91ED-43cb-92C2-25804820EDAC}">
                  <c15:fullRef>
                    <c15:sqref>'PBL OLD'!$IZ$7:$IZ$60</c15:sqref>
                  </c15:fullRef>
                </c:ext>
              </c:extLst>
              <c:f>'PBL OLD'!$IZ$8:$IZ$60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pt idx="52">
                  <c:v>0</c:v>
                </c:pt>
              </c:numCache>
            </c:numRef>
          </c:cat>
          <c:val>
            <c:numRef>
              <c:extLst>
                <c:ext xmlns:c15="http://schemas.microsoft.com/office/drawing/2012/chart" uri="{02D57815-91ED-43cb-92C2-25804820EDAC}">
                  <c15:fullRef>
                    <c15:sqref>'PBL OLD'!$JG$7:$JG$60</c15:sqref>
                  </c15:fullRef>
                </c:ext>
              </c:extLst>
              <c:f>'PBL OLD'!$JG$8:$JG$60</c:f>
              <c:numCache>
                <c:formatCode>0.000</c:formatCode>
                <c:ptCount val="53"/>
                <c:pt idx="43">
                  <c:v>2.5430290760305017</c:v>
                </c:pt>
                <c:pt idx="44">
                  <c:v>2.5972847395115681</c:v>
                </c:pt>
                <c:pt idx="45">
                  <c:v>2.6515404029926346</c:v>
                </c:pt>
                <c:pt idx="46">
                  <c:v>2.7057960664737011</c:v>
                </c:pt>
                <c:pt idx="47">
                  <c:v>2.7600517299547676</c:v>
                </c:pt>
                <c:pt idx="48">
                  <c:v>2.814307393435834</c:v>
                </c:pt>
                <c:pt idx="49">
                  <c:v>2.8685630569169005</c:v>
                </c:pt>
                <c:pt idx="50">
                  <c:v>2.922818720397967</c:v>
                </c:pt>
                <c:pt idx="51">
                  <c:v>2.9770743838790334</c:v>
                </c:pt>
                <c:pt idx="52">
                  <c:v>3.0313300473600999</c:v>
                </c:pt>
              </c:numCache>
            </c:numRef>
          </c:val>
          <c:smooth val="0"/>
          <c:extLst>
            <c:ext xmlns:c16="http://schemas.microsoft.com/office/drawing/2014/chart" uri="{C3380CC4-5D6E-409C-BE32-E72D297353CC}">
              <c16:uniqueId val="{00000002-A754-48BB-BF11-502791128896}"/>
            </c:ext>
          </c:extLst>
        </c:ser>
        <c:ser>
          <c:idx val="2"/>
          <c:order val="7"/>
          <c:tx>
            <c:strRef>
              <c:f>'PBL OLD'!$JH$6</c:f>
              <c:strCache>
                <c:ptCount val="1"/>
                <c:pt idx="0">
                  <c:v>75th Percentile</c:v>
                </c:pt>
              </c:strCache>
            </c:strRef>
          </c:tx>
          <c:spPr>
            <a:ln w="28575">
              <a:solidFill>
                <a:schemeClr val="bg2">
                  <a:lumMod val="60000"/>
                  <a:lumOff val="40000"/>
                </a:schemeClr>
              </a:solidFill>
              <a:prstDash val="sysDot"/>
            </a:ln>
          </c:spPr>
          <c:marker>
            <c:symbol val="none"/>
          </c:marker>
          <c:cat>
            <c:numRef>
              <c:extLst>
                <c:ext xmlns:c15="http://schemas.microsoft.com/office/drawing/2012/chart" uri="{02D57815-91ED-43cb-92C2-25804820EDAC}">
                  <c15:fullRef>
                    <c15:sqref>'PBL OLD'!$IZ$7:$IZ$60</c15:sqref>
                  </c15:fullRef>
                </c:ext>
              </c:extLst>
              <c:f>'PBL OLD'!$IZ$8:$IZ$60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pt idx="52">
                  <c:v>0</c:v>
                </c:pt>
              </c:numCache>
            </c:numRef>
          </c:cat>
          <c:val>
            <c:numRef>
              <c:extLst>
                <c:ext xmlns:c15="http://schemas.microsoft.com/office/drawing/2012/chart" uri="{02D57815-91ED-43cb-92C2-25804820EDAC}">
                  <c15:fullRef>
                    <c15:sqref>'PBL OLD'!$JH$7:$JH$60</c15:sqref>
                  </c15:fullRef>
                </c:ext>
              </c:extLst>
              <c:f>'PBL OLD'!$JH$8:$JH$60</c:f>
              <c:numCache>
                <c:formatCode>0.000</c:formatCode>
                <c:ptCount val="53"/>
                <c:pt idx="43">
                  <c:v>2.5430290760305017</c:v>
                </c:pt>
                <c:pt idx="44">
                  <c:v>2.6094795407670182</c:v>
                </c:pt>
                <c:pt idx="45">
                  <c:v>2.6759300055035347</c:v>
                </c:pt>
                <c:pt idx="46">
                  <c:v>2.7423804702400512</c:v>
                </c:pt>
                <c:pt idx="47">
                  <c:v>2.8088309349765677</c:v>
                </c:pt>
                <c:pt idx="48">
                  <c:v>2.8752813997130842</c:v>
                </c:pt>
                <c:pt idx="49">
                  <c:v>2.9417318644496007</c:v>
                </c:pt>
                <c:pt idx="50">
                  <c:v>3.0081823291861172</c:v>
                </c:pt>
                <c:pt idx="51">
                  <c:v>3.0746327939226337</c:v>
                </c:pt>
                <c:pt idx="52">
                  <c:v>3.1410832586591502</c:v>
                </c:pt>
              </c:numCache>
            </c:numRef>
          </c:val>
          <c:smooth val="0"/>
          <c:extLst xmlns:c15="http://schemas.microsoft.com/office/drawing/2012/chart">
            <c:ext xmlns:c16="http://schemas.microsoft.com/office/drawing/2014/chart" uri="{C3380CC4-5D6E-409C-BE32-E72D297353CC}">
              <c16:uniqueId val="{00000003-A754-48BB-BF11-502791128896}"/>
            </c:ext>
          </c:extLst>
        </c:ser>
        <c:ser>
          <c:idx val="12"/>
          <c:order val="12"/>
          <c:tx>
            <c:strRef>
              <c:f>'PBL OLD'!$JM$6</c:f>
              <c:strCache>
                <c:ptCount val="1"/>
                <c:pt idx="0">
                  <c:v>Yearly Average</c:v>
                </c:pt>
              </c:strCache>
            </c:strRef>
          </c:tx>
          <c:spPr>
            <a:ln w="28575">
              <a:solidFill>
                <a:schemeClr val="accent1">
                  <a:lumMod val="40000"/>
                  <a:lumOff val="60000"/>
                </a:schemeClr>
              </a:solidFill>
              <a:prstDash val="dash"/>
            </a:ln>
          </c:spPr>
          <c:marker>
            <c:symbol val="none"/>
          </c:marker>
          <c:cat>
            <c:numRef>
              <c:extLst>
                <c:ext xmlns:c15="http://schemas.microsoft.com/office/drawing/2012/chart" uri="{02D57815-91ED-43cb-92C2-25804820EDAC}">
                  <c15:fullRef>
                    <c15:sqref>'PBL OLD'!$IZ$7:$IZ$60</c15:sqref>
                  </c15:fullRef>
                </c:ext>
              </c:extLst>
              <c:f>'PBL OLD'!$IZ$8:$IZ$60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pt idx="52">
                  <c:v>0</c:v>
                </c:pt>
              </c:numCache>
            </c:numRef>
          </c:cat>
          <c:val>
            <c:numRef>
              <c:extLst>
                <c:ext xmlns:c15="http://schemas.microsoft.com/office/drawing/2012/chart" uri="{02D57815-91ED-43cb-92C2-25804820EDAC}">
                  <c15:fullRef>
                    <c15:sqref>'PBL OLD'!$JM$7:$JM$60</c15:sqref>
                  </c15:fullRef>
                </c:ext>
              </c:extLst>
              <c:f>'PBL OLD'!$JM$8:$JM$60</c:f>
              <c:numCache>
                <c:formatCode>0.000</c:formatCode>
                <c:ptCount val="53"/>
                <c:pt idx="43">
                  <c:v>2.5430290760305017</c:v>
                </c:pt>
                <c:pt idx="44">
                  <c:v>2.5430290760305017</c:v>
                </c:pt>
                <c:pt idx="45">
                  <c:v>2.5430290760305017</c:v>
                </c:pt>
                <c:pt idx="46">
                  <c:v>2.5430290760305017</c:v>
                </c:pt>
                <c:pt idx="47">
                  <c:v>2.5430290760305017</c:v>
                </c:pt>
                <c:pt idx="48">
                  <c:v>2.5430290760305017</c:v>
                </c:pt>
                <c:pt idx="49">
                  <c:v>2.5430290760305017</c:v>
                </c:pt>
                <c:pt idx="50">
                  <c:v>2.5430290760305017</c:v>
                </c:pt>
                <c:pt idx="51">
                  <c:v>2.5430290760305017</c:v>
                </c:pt>
                <c:pt idx="52">
                  <c:v>2.5430290760305017</c:v>
                </c:pt>
              </c:numCache>
            </c:numRef>
          </c:val>
          <c:smooth val="0"/>
          <c:extLst>
            <c:ext xmlns:c16="http://schemas.microsoft.com/office/drawing/2014/chart" uri="{C3380CC4-5D6E-409C-BE32-E72D297353CC}">
              <c16:uniqueId val="{00000004-A754-48BB-BF11-502791128896}"/>
            </c:ext>
          </c:extLst>
        </c:ser>
        <c:dLbls>
          <c:showLegendKey val="0"/>
          <c:showVal val="0"/>
          <c:showCatName val="0"/>
          <c:showSerName val="0"/>
          <c:showPercent val="0"/>
          <c:showBubbleSize val="0"/>
        </c:dLbls>
        <c:smooth val="0"/>
        <c:axId val="1388952432"/>
        <c:axId val="1388953088"/>
        <c:extLst>
          <c:ext xmlns:c15="http://schemas.microsoft.com/office/drawing/2012/chart" uri="{02D57815-91ED-43cb-92C2-25804820EDAC}">
            <c15:filteredLineSeries>
              <c15:ser>
                <c:idx val="3"/>
                <c:order val="1"/>
                <c:tx>
                  <c:strRef>
                    <c:extLst>
                      <c:ext uri="{02D57815-91ED-43cb-92C2-25804820EDAC}">
                        <c15:formulaRef>
                          <c15:sqref>'PBL OLD'!$JB$6</c15:sqref>
                        </c15:formulaRef>
                      </c:ext>
                    </c:extLst>
                    <c:strCache>
                      <c:ptCount val="1"/>
                      <c:pt idx="0">
                        <c:v>Min</c:v>
                      </c:pt>
                    </c:strCache>
                  </c:strRef>
                </c:tx>
                <c:spPr>
                  <a:ln w="28575" cap="rnd">
                    <a:solidFill>
                      <a:schemeClr val="accent6"/>
                    </a:solidFill>
                    <a:prstDash val="sysDot"/>
                    <a:round/>
                  </a:ln>
                  <a:effectLst/>
                </c:spPr>
                <c:marker>
                  <c:symbol val="none"/>
                </c:marker>
                <c:cat>
                  <c:numRef>
                    <c:extLst>
                      <c:ext uri="{02D57815-91ED-43cb-92C2-25804820EDAC}">
                        <c15:fullRef>
                          <c15:sqref>'PBL OLD'!$IZ$7:$IZ$60</c15:sqref>
                        </c15:fullRef>
                        <c15:formulaRef>
                          <c15:sqref>'PBL OLD'!$IZ$8:$IZ$60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pt idx="52">
                        <c:v>0</c:v>
                      </c:pt>
                    </c:numCache>
                  </c:numRef>
                </c:cat>
                <c:val>
                  <c:numRef>
                    <c:extLst>
                      <c:ext uri="{02D57815-91ED-43cb-92C2-25804820EDAC}">
                        <c15:fullRef>
                          <c15:sqref>'PBL OLD'!$JB$7:$JB$60</c15:sqref>
                        </c15:fullRef>
                        <c15:formulaRef>
                          <c15:sqref>'PBL OLD'!$JB$8:$JB$60</c15:sqref>
                        </c15:formulaRef>
                      </c:ext>
                    </c:extLst>
                    <c:numCache>
                      <c:formatCode>0.000</c:formatCode>
                      <c:ptCount val="53"/>
                      <c:pt idx="43">
                        <c:v>2.5430290760305017</c:v>
                      </c:pt>
                      <c:pt idx="44">
                        <c:v>2.5735001069846017</c:v>
                      </c:pt>
                      <c:pt idx="45">
                        <c:v>2.6039711379387018</c:v>
                      </c:pt>
                      <c:pt idx="46">
                        <c:v>2.6344421688928019</c:v>
                      </c:pt>
                      <c:pt idx="47">
                        <c:v>2.664913199846902</c:v>
                      </c:pt>
                      <c:pt idx="48">
                        <c:v>2.6953842308010021</c:v>
                      </c:pt>
                      <c:pt idx="49">
                        <c:v>2.7258552617551022</c:v>
                      </c:pt>
                      <c:pt idx="50">
                        <c:v>2.7563262927092023</c:v>
                      </c:pt>
                      <c:pt idx="51">
                        <c:v>2.7867973236633024</c:v>
                      </c:pt>
                      <c:pt idx="52">
                        <c:v>2.8172683546174024</c:v>
                      </c:pt>
                    </c:numCache>
                  </c:numRef>
                </c:val>
                <c:smooth val="0"/>
                <c:extLst>
                  <c:ext xmlns:c16="http://schemas.microsoft.com/office/drawing/2014/chart" uri="{C3380CC4-5D6E-409C-BE32-E72D297353CC}">
                    <c16:uniqueId val="{00000005-A754-48BB-BF11-502791128896}"/>
                  </c:ext>
                </c:extLst>
              </c15:ser>
            </c15:filteredLineSeries>
            <c15:filteredLineSeries>
              <c15:ser>
                <c:idx val="5"/>
                <c:order val="2"/>
                <c:tx>
                  <c:strRef>
                    <c:extLst xmlns:c15="http://schemas.microsoft.com/office/drawing/2012/chart">
                      <c:ext xmlns:c15="http://schemas.microsoft.com/office/drawing/2012/chart" uri="{02D57815-91ED-43cb-92C2-25804820EDAC}">
                        <c15:formulaRef>
                          <c15:sqref>'PBL OLD'!$JC$6</c15:sqref>
                        </c15:formulaRef>
                      </c:ext>
                    </c:extLst>
                    <c:strCache>
                      <c:ptCount val="1"/>
                      <c:pt idx="0">
                        <c:v>1st Percentile</c:v>
                      </c:pt>
                    </c:strCache>
                  </c:strRef>
                </c:tx>
                <c:spPr>
                  <a:ln w="28575" cap="rnd">
                    <a:solidFill>
                      <a:schemeClr val="accent5"/>
                    </a:solidFill>
                    <a:prstDash val="sysDot"/>
                    <a:round/>
                  </a:ln>
                  <a:effectLst/>
                </c:spPr>
                <c:marker>
                  <c:symbol val="none"/>
                </c:marker>
                <c:cat>
                  <c:numRef>
                    <c:extLst>
                      <c:ext xmlns:c15="http://schemas.microsoft.com/office/drawing/2012/chart" uri="{02D57815-91ED-43cb-92C2-25804820EDAC}">
                        <c15:fullRef>
                          <c15:sqref>'PBL OLD'!$IZ$7:$IZ$60</c15:sqref>
                        </c15:fullRef>
                        <c15:formulaRef>
                          <c15:sqref>'PBL OLD'!$IZ$8:$IZ$60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pt idx="52">
                        <c:v>0</c:v>
                      </c:pt>
                    </c:numCache>
                  </c:numRef>
                </c:cat>
                <c:val>
                  <c:numRef>
                    <c:extLst>
                      <c:ext xmlns:c15="http://schemas.microsoft.com/office/drawing/2012/chart" uri="{02D57815-91ED-43cb-92C2-25804820EDAC}">
                        <c15:fullRef>
                          <c15:sqref>'PBL OLD'!$JC$7:$JC$60</c15:sqref>
                        </c15:fullRef>
                        <c15:formulaRef>
                          <c15:sqref>'PBL OLD'!$JC$8:$JC$60</c15:sqref>
                        </c15:formulaRef>
                      </c:ext>
                    </c:extLst>
                    <c:numCache>
                      <c:formatCode>0.000</c:formatCode>
                      <c:ptCount val="53"/>
                      <c:pt idx="43">
                        <c:v>2.5430290760305017</c:v>
                      </c:pt>
                      <c:pt idx="44">
                        <c:v>2.5770879861404516</c:v>
                      </c:pt>
                      <c:pt idx="45">
                        <c:v>2.6111468962504016</c:v>
                      </c:pt>
                      <c:pt idx="46">
                        <c:v>2.6452058063603516</c:v>
                      </c:pt>
                      <c:pt idx="47">
                        <c:v>2.6792647164703016</c:v>
                      </c:pt>
                      <c:pt idx="48">
                        <c:v>2.7133236265802516</c:v>
                      </c:pt>
                      <c:pt idx="49">
                        <c:v>2.7473825366902016</c:v>
                      </c:pt>
                      <c:pt idx="50">
                        <c:v>2.7814414468001516</c:v>
                      </c:pt>
                      <c:pt idx="51">
                        <c:v>2.8155003569101016</c:v>
                      </c:pt>
                      <c:pt idx="52">
                        <c:v>2.8495592670200516</c:v>
                      </c:pt>
                    </c:numCache>
                  </c:numRef>
                </c:val>
                <c:smooth val="0"/>
                <c:extLst xmlns:c15="http://schemas.microsoft.com/office/drawing/2012/chart">
                  <c:ext xmlns:c16="http://schemas.microsoft.com/office/drawing/2014/chart" uri="{C3380CC4-5D6E-409C-BE32-E72D297353CC}">
                    <c16:uniqueId val="{00000006-A754-48BB-BF11-502791128896}"/>
                  </c:ext>
                </c:extLst>
              </c15:ser>
            </c15:filteredLineSeries>
            <c15:filteredLineSeries>
              <c15:ser>
                <c:idx val="6"/>
                <c:order val="3"/>
                <c:tx>
                  <c:strRef>
                    <c:extLst xmlns:c15="http://schemas.microsoft.com/office/drawing/2012/chart">
                      <c:ext xmlns:c15="http://schemas.microsoft.com/office/drawing/2012/chart" uri="{02D57815-91ED-43cb-92C2-25804820EDAC}">
                        <c15:formulaRef>
                          <c15:sqref>'PBL OLD'!$JD$6</c15:sqref>
                        </c15:formulaRef>
                      </c:ext>
                    </c:extLst>
                    <c:strCache>
                      <c:ptCount val="1"/>
                      <c:pt idx="0">
                        <c:v>5th Percentile</c:v>
                      </c:pt>
                    </c:strCache>
                  </c:strRef>
                </c:tx>
                <c:spPr>
                  <a:ln w="28575" cap="rnd">
                    <a:solidFill>
                      <a:schemeClr val="bg2"/>
                    </a:solidFill>
                    <a:prstDash val="sysDot"/>
                    <a:round/>
                  </a:ln>
                  <a:effectLst/>
                </c:spPr>
                <c:marker>
                  <c:symbol val="none"/>
                </c:marker>
                <c:cat>
                  <c:numRef>
                    <c:extLst>
                      <c:ext xmlns:c15="http://schemas.microsoft.com/office/drawing/2012/chart" uri="{02D57815-91ED-43cb-92C2-25804820EDAC}">
                        <c15:fullRef>
                          <c15:sqref>'PBL OLD'!$IZ$7:$IZ$60</c15:sqref>
                        </c15:fullRef>
                        <c15:formulaRef>
                          <c15:sqref>'PBL OLD'!$IZ$8:$IZ$60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pt idx="52">
                        <c:v>0</c:v>
                      </c:pt>
                    </c:numCache>
                  </c:numRef>
                </c:cat>
                <c:val>
                  <c:numRef>
                    <c:extLst>
                      <c:ext xmlns:c15="http://schemas.microsoft.com/office/drawing/2012/chart" uri="{02D57815-91ED-43cb-92C2-25804820EDAC}">
                        <c15:fullRef>
                          <c15:sqref>'PBL OLD'!$JD$7:$JD$60</c15:sqref>
                        </c15:fullRef>
                        <c15:formulaRef>
                          <c15:sqref>'PBL OLD'!$JD$8:$JD$60</c15:sqref>
                        </c15:formulaRef>
                      </c:ext>
                    </c:extLst>
                    <c:numCache>
                      <c:formatCode>0.000</c:formatCode>
                      <c:ptCount val="53"/>
                      <c:pt idx="43">
                        <c:v>2.5430290760305017</c:v>
                      </c:pt>
                      <c:pt idx="44">
                        <c:v>2.5813369742668018</c:v>
                      </c:pt>
                      <c:pt idx="45">
                        <c:v>2.6196448725031019</c:v>
                      </c:pt>
                      <c:pt idx="46">
                        <c:v>2.6579527707394019</c:v>
                      </c:pt>
                      <c:pt idx="47">
                        <c:v>2.696260668975702</c:v>
                      </c:pt>
                      <c:pt idx="48">
                        <c:v>2.7345685672120021</c:v>
                      </c:pt>
                      <c:pt idx="49">
                        <c:v>2.7728764654483022</c:v>
                      </c:pt>
                      <c:pt idx="50">
                        <c:v>2.8111843636846023</c:v>
                      </c:pt>
                      <c:pt idx="51">
                        <c:v>2.8494922619209024</c:v>
                      </c:pt>
                      <c:pt idx="52">
                        <c:v>2.8878001601572025</c:v>
                      </c:pt>
                    </c:numCache>
                  </c:numRef>
                </c:val>
                <c:smooth val="0"/>
                <c:extLst xmlns:c15="http://schemas.microsoft.com/office/drawing/2012/chart">
                  <c:ext xmlns:c16="http://schemas.microsoft.com/office/drawing/2014/chart" uri="{C3380CC4-5D6E-409C-BE32-E72D297353CC}">
                    <c16:uniqueId val="{00000007-A754-48BB-BF11-502791128896}"/>
                  </c:ext>
                </c:extLst>
              </c15:ser>
            </c15:filteredLineSeries>
            <c15:filteredLineSeries>
              <c15:ser>
                <c:idx val="7"/>
                <c:order val="4"/>
                <c:tx>
                  <c:strRef>
                    <c:extLst xmlns:c15="http://schemas.microsoft.com/office/drawing/2012/chart">
                      <c:ext xmlns:c15="http://schemas.microsoft.com/office/drawing/2012/chart" uri="{02D57815-91ED-43cb-92C2-25804820EDAC}">
                        <c15:formulaRef>
                          <c15:sqref>'PBL OLD'!$JE$6</c15:sqref>
                        </c15:formulaRef>
                      </c:ext>
                    </c:extLst>
                    <c:strCache>
                      <c:ptCount val="1"/>
                      <c:pt idx="0">
                        <c:v>10th Percentile</c:v>
                      </c:pt>
                    </c:strCache>
                  </c:strRef>
                </c:tx>
                <c:spPr>
                  <a:ln w="28575" cap="rnd">
                    <a:solidFill>
                      <a:schemeClr val="accent6"/>
                    </a:solidFill>
                    <a:prstDash val="sysDot"/>
                    <a:round/>
                  </a:ln>
                  <a:effectLst/>
                </c:spPr>
                <c:marker>
                  <c:symbol val="none"/>
                </c:marker>
                <c:cat>
                  <c:numRef>
                    <c:extLst>
                      <c:ext xmlns:c15="http://schemas.microsoft.com/office/drawing/2012/chart" uri="{02D57815-91ED-43cb-92C2-25804820EDAC}">
                        <c15:fullRef>
                          <c15:sqref>'PBL OLD'!$IZ$7:$IZ$60</c15:sqref>
                        </c15:fullRef>
                        <c15:formulaRef>
                          <c15:sqref>'PBL OLD'!$IZ$8:$IZ$60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pt idx="52">
                        <c:v>0</c:v>
                      </c:pt>
                    </c:numCache>
                  </c:numRef>
                </c:cat>
                <c:val>
                  <c:numRef>
                    <c:extLst>
                      <c:ext xmlns:c15="http://schemas.microsoft.com/office/drawing/2012/chart" uri="{02D57815-91ED-43cb-92C2-25804820EDAC}">
                        <c15:fullRef>
                          <c15:sqref>'PBL OLD'!$JE$7:$JE$60</c15:sqref>
                        </c15:fullRef>
                        <c15:formulaRef>
                          <c15:sqref>'PBL OLD'!$JE$8:$JE$60</c15:sqref>
                        </c15:formulaRef>
                      </c:ext>
                    </c:extLst>
                    <c:numCache>
                      <c:formatCode>0.000</c:formatCode>
                      <c:ptCount val="53"/>
                      <c:pt idx="43">
                        <c:v>2.5430290760305017</c:v>
                      </c:pt>
                      <c:pt idx="44">
                        <c:v>2.5843167403850682</c:v>
                      </c:pt>
                      <c:pt idx="45">
                        <c:v>2.6256044047396347</c:v>
                      </c:pt>
                      <c:pt idx="46">
                        <c:v>2.6668920690942013</c:v>
                      </c:pt>
                      <c:pt idx="47">
                        <c:v>2.7081797334487678</c:v>
                      </c:pt>
                      <c:pt idx="48">
                        <c:v>2.7494673978033344</c:v>
                      </c:pt>
                      <c:pt idx="49">
                        <c:v>2.7907550621579009</c:v>
                      </c:pt>
                      <c:pt idx="50">
                        <c:v>2.8320427265124675</c:v>
                      </c:pt>
                      <c:pt idx="51">
                        <c:v>2.873330390867034</c:v>
                      </c:pt>
                      <c:pt idx="52">
                        <c:v>2.9146180552216006</c:v>
                      </c:pt>
                    </c:numCache>
                  </c:numRef>
                </c:val>
                <c:smooth val="0"/>
                <c:extLst xmlns:c15="http://schemas.microsoft.com/office/drawing/2012/chart">
                  <c:ext xmlns:c16="http://schemas.microsoft.com/office/drawing/2014/chart" uri="{C3380CC4-5D6E-409C-BE32-E72D297353CC}">
                    <c16:uniqueId val="{00000008-A754-48BB-BF11-502791128896}"/>
                  </c:ext>
                </c:extLst>
              </c15:ser>
            </c15:filteredLineSeries>
            <c15:filteredLineSeries>
              <c15:ser>
                <c:idx val="4"/>
                <c:order val="8"/>
                <c:tx>
                  <c:strRef>
                    <c:extLst xmlns:c15="http://schemas.microsoft.com/office/drawing/2012/chart">
                      <c:ext xmlns:c15="http://schemas.microsoft.com/office/drawing/2012/chart" uri="{02D57815-91ED-43cb-92C2-25804820EDAC}">
                        <c15:formulaRef>
                          <c15:sqref>'PBL OLD'!$JI$6</c15:sqref>
                        </c15:formulaRef>
                      </c:ext>
                    </c:extLst>
                    <c:strCache>
                      <c:ptCount val="1"/>
                      <c:pt idx="0">
                        <c:v>90th Percentile</c:v>
                      </c:pt>
                    </c:strCache>
                  </c:strRef>
                </c:tx>
                <c:spPr>
                  <a:ln w="28575">
                    <a:solidFill>
                      <a:schemeClr val="accent1"/>
                    </a:solidFill>
                    <a:prstDash val="sysDot"/>
                  </a:ln>
                </c:spPr>
                <c:marker>
                  <c:symbol val="none"/>
                </c:marker>
                <c:cat>
                  <c:numRef>
                    <c:extLst>
                      <c:ext xmlns:c15="http://schemas.microsoft.com/office/drawing/2012/chart" uri="{02D57815-91ED-43cb-92C2-25804820EDAC}">
                        <c15:fullRef>
                          <c15:sqref>'PBL OLD'!$IZ$7:$IZ$60</c15:sqref>
                        </c15:fullRef>
                        <c15:formulaRef>
                          <c15:sqref>'PBL OLD'!$IZ$8:$IZ$60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pt idx="52">
                        <c:v>0</c:v>
                      </c:pt>
                    </c:numCache>
                  </c:numRef>
                </c:cat>
                <c:val>
                  <c:numRef>
                    <c:extLst>
                      <c:ext xmlns:c15="http://schemas.microsoft.com/office/drawing/2012/chart" uri="{02D57815-91ED-43cb-92C2-25804820EDAC}">
                        <c15:fullRef>
                          <c15:sqref>'PBL OLD'!$JI$7:$JI$60</c15:sqref>
                        </c15:fullRef>
                        <c15:formulaRef>
                          <c15:sqref>'PBL OLD'!$JI$8:$JI$60</c15:sqref>
                        </c15:formulaRef>
                      </c:ext>
                    </c:extLst>
                    <c:numCache>
                      <c:formatCode>0.000</c:formatCode>
                      <c:ptCount val="53"/>
                      <c:pt idx="43">
                        <c:v>2.5430290760305017</c:v>
                      </c:pt>
                      <c:pt idx="44">
                        <c:v>2.6324868447430849</c:v>
                      </c:pt>
                      <c:pt idx="45">
                        <c:v>2.7219446134556682</c:v>
                      </c:pt>
                      <c:pt idx="46">
                        <c:v>2.8114023821682514</c:v>
                      </c:pt>
                      <c:pt idx="47">
                        <c:v>2.9008601508808347</c:v>
                      </c:pt>
                      <c:pt idx="48">
                        <c:v>2.990317919593418</c:v>
                      </c:pt>
                      <c:pt idx="49">
                        <c:v>3.0797756883060012</c:v>
                      </c:pt>
                      <c:pt idx="50">
                        <c:v>3.1692334570185845</c:v>
                      </c:pt>
                      <c:pt idx="51">
                        <c:v>3.2586912257311678</c:v>
                      </c:pt>
                      <c:pt idx="52">
                        <c:v>3.348148994443751</c:v>
                      </c:pt>
                    </c:numCache>
                  </c:numRef>
                </c:val>
                <c:smooth val="0"/>
                <c:extLst xmlns:c15="http://schemas.microsoft.com/office/drawing/2012/chart">
                  <c:ext xmlns:c16="http://schemas.microsoft.com/office/drawing/2014/chart" uri="{C3380CC4-5D6E-409C-BE32-E72D297353CC}">
                    <c16:uniqueId val="{00000009-A754-48BB-BF11-502791128896}"/>
                  </c:ext>
                </c:extLst>
              </c15:ser>
            </c15:filteredLineSeries>
            <c15:filteredLineSeries>
              <c15:ser>
                <c:idx val="8"/>
                <c:order val="9"/>
                <c:tx>
                  <c:strRef>
                    <c:extLst xmlns:c15="http://schemas.microsoft.com/office/drawing/2012/chart">
                      <c:ext xmlns:c15="http://schemas.microsoft.com/office/drawing/2012/chart" uri="{02D57815-91ED-43cb-92C2-25804820EDAC}">
                        <c15:formulaRef>
                          <c15:sqref>'PBL OLD'!$JJ$6</c15:sqref>
                        </c15:formulaRef>
                      </c:ext>
                    </c:extLst>
                    <c:strCache>
                      <c:ptCount val="1"/>
                      <c:pt idx="0">
                        <c:v>95th Percentile</c:v>
                      </c:pt>
                    </c:strCache>
                  </c:strRef>
                </c:tx>
                <c:marker>
                  <c:symbol val="none"/>
                </c:marker>
                <c:cat>
                  <c:numRef>
                    <c:extLst>
                      <c:ext xmlns:c15="http://schemas.microsoft.com/office/drawing/2012/chart" uri="{02D57815-91ED-43cb-92C2-25804820EDAC}">
                        <c15:fullRef>
                          <c15:sqref>'PBL OLD'!$IZ$7:$IZ$60</c15:sqref>
                        </c15:fullRef>
                        <c15:formulaRef>
                          <c15:sqref>'PBL OLD'!$IZ$8:$IZ$60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pt idx="52">
                        <c:v>0</c:v>
                      </c:pt>
                    </c:numCache>
                  </c:numRef>
                </c:cat>
                <c:val>
                  <c:numRef>
                    <c:extLst>
                      <c:ext xmlns:c15="http://schemas.microsoft.com/office/drawing/2012/chart" uri="{02D57815-91ED-43cb-92C2-25804820EDAC}">
                        <c15:fullRef>
                          <c15:sqref>'PBL OLD'!$JJ$7:$JJ$60</c15:sqref>
                        </c15:fullRef>
                        <c15:formulaRef>
                          <c15:sqref>'PBL OLD'!$JJ$8:$JJ$60</c15:sqref>
                        </c15:formulaRef>
                      </c:ext>
                    </c:extLst>
                    <c:numCache>
                      <c:formatCode>0.000</c:formatCode>
                      <c:ptCount val="53"/>
                      <c:pt idx="43">
                        <c:v>2.5430290760305017</c:v>
                      </c:pt>
                      <c:pt idx="44">
                        <c:v>2.6403237120252849</c:v>
                      </c:pt>
                      <c:pt idx="45">
                        <c:v>2.7376183480200682</c:v>
                      </c:pt>
                      <c:pt idx="46">
                        <c:v>2.8349129840148515</c:v>
                      </c:pt>
                      <c:pt idx="47">
                        <c:v>2.9322076200096348</c:v>
                      </c:pt>
                      <c:pt idx="48">
                        <c:v>3.029502256004418</c:v>
                      </c:pt>
                      <c:pt idx="49">
                        <c:v>3.1267968919992013</c:v>
                      </c:pt>
                      <c:pt idx="50">
                        <c:v>3.2240915279939846</c:v>
                      </c:pt>
                      <c:pt idx="51">
                        <c:v>3.3213861639887678</c:v>
                      </c:pt>
                      <c:pt idx="52">
                        <c:v>3.4186807999835511</c:v>
                      </c:pt>
                    </c:numCache>
                  </c:numRef>
                </c:val>
                <c:smooth val="0"/>
                <c:extLst xmlns:c15="http://schemas.microsoft.com/office/drawing/2012/chart">
                  <c:ext xmlns:c16="http://schemas.microsoft.com/office/drawing/2014/chart" uri="{C3380CC4-5D6E-409C-BE32-E72D297353CC}">
                    <c16:uniqueId val="{0000000A-A754-48BB-BF11-502791128896}"/>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'PBL OLD'!$JK$6</c15:sqref>
                        </c15:formulaRef>
                      </c:ext>
                    </c:extLst>
                    <c:strCache>
                      <c:ptCount val="1"/>
                      <c:pt idx="0">
                        <c:v>99th Percentile</c:v>
                      </c:pt>
                    </c:strCache>
                  </c:strRef>
                </c:tx>
                <c:spPr>
                  <a:ln>
                    <a:solidFill>
                      <a:schemeClr val="accent6"/>
                    </a:solidFill>
                    <a:prstDash val="sysDot"/>
                  </a:ln>
                </c:spPr>
                <c:marker>
                  <c:symbol val="none"/>
                </c:marker>
                <c:cat>
                  <c:numRef>
                    <c:extLst>
                      <c:ext xmlns:c15="http://schemas.microsoft.com/office/drawing/2012/chart" uri="{02D57815-91ED-43cb-92C2-25804820EDAC}">
                        <c15:fullRef>
                          <c15:sqref>'PBL OLD'!$IZ$7:$IZ$60</c15:sqref>
                        </c15:fullRef>
                        <c15:formulaRef>
                          <c15:sqref>'PBL OLD'!$IZ$8:$IZ$60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pt idx="52">
                        <c:v>0</c:v>
                      </c:pt>
                    </c:numCache>
                  </c:numRef>
                </c:cat>
                <c:val>
                  <c:numRef>
                    <c:extLst>
                      <c:ext xmlns:c15="http://schemas.microsoft.com/office/drawing/2012/chart" uri="{02D57815-91ED-43cb-92C2-25804820EDAC}">
                        <c15:fullRef>
                          <c15:sqref>'PBL OLD'!$JK$7:$JK$60</c15:sqref>
                        </c15:fullRef>
                        <c15:formulaRef>
                          <c15:sqref>'PBL OLD'!$JK$8:$JK$60</c15:sqref>
                        </c15:formulaRef>
                      </c:ext>
                    </c:extLst>
                    <c:numCache>
                      <c:formatCode>0.000</c:formatCode>
                      <c:ptCount val="53"/>
                      <c:pt idx="43">
                        <c:v>2.5430290760305017</c:v>
                      </c:pt>
                      <c:pt idx="44">
                        <c:v>2.6724247202622626</c:v>
                      </c:pt>
                      <c:pt idx="45">
                        <c:v>2.8018203644940236</c:v>
                      </c:pt>
                      <c:pt idx="46">
                        <c:v>2.9312160087257846</c:v>
                      </c:pt>
                      <c:pt idx="47">
                        <c:v>3.0606116529575456</c:v>
                      </c:pt>
                      <c:pt idx="48">
                        <c:v>3.1900072971893065</c:v>
                      </c:pt>
                      <c:pt idx="49">
                        <c:v>3.3194029414210675</c:v>
                      </c:pt>
                      <c:pt idx="50">
                        <c:v>3.4487985856528285</c:v>
                      </c:pt>
                      <c:pt idx="51">
                        <c:v>3.5781942298845895</c:v>
                      </c:pt>
                      <c:pt idx="52">
                        <c:v>3.7075898741163504</c:v>
                      </c:pt>
                    </c:numCache>
                  </c:numRef>
                </c:val>
                <c:smooth val="0"/>
                <c:extLst xmlns:c15="http://schemas.microsoft.com/office/drawing/2012/chart">
                  <c:ext xmlns:c16="http://schemas.microsoft.com/office/drawing/2014/chart" uri="{C3380CC4-5D6E-409C-BE32-E72D297353CC}">
                    <c16:uniqueId val="{0000000B-A754-48BB-BF11-502791128896}"/>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'PBL OLD'!$JL$6</c15:sqref>
                        </c15:formulaRef>
                      </c:ext>
                    </c:extLst>
                    <c:strCache>
                      <c:ptCount val="1"/>
                      <c:pt idx="0">
                        <c:v>Max</c:v>
                      </c:pt>
                    </c:strCache>
                  </c:strRef>
                </c:tx>
                <c:marker>
                  <c:symbol val="none"/>
                </c:marker>
                <c:cat>
                  <c:numRef>
                    <c:extLst>
                      <c:ext xmlns:c15="http://schemas.microsoft.com/office/drawing/2012/chart" uri="{02D57815-91ED-43cb-92C2-25804820EDAC}">
                        <c15:fullRef>
                          <c15:sqref>'PBL OLD'!$IZ$7:$IZ$60</c15:sqref>
                        </c15:fullRef>
                        <c15:formulaRef>
                          <c15:sqref>'PBL OLD'!$IZ$8:$IZ$60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pt idx="52">
                        <c:v>0</c:v>
                      </c:pt>
                    </c:numCache>
                  </c:numRef>
                </c:cat>
                <c:val>
                  <c:numRef>
                    <c:extLst>
                      <c:ext xmlns:c15="http://schemas.microsoft.com/office/drawing/2012/chart" uri="{02D57815-91ED-43cb-92C2-25804820EDAC}">
                        <c15:fullRef>
                          <c15:sqref>'PBL OLD'!$JL$7:$JL$60</c15:sqref>
                        </c15:fullRef>
                        <c15:formulaRef>
                          <c15:sqref>'PBL OLD'!$JL$8:$JL$60</c15:sqref>
                        </c15:formulaRef>
                      </c:ext>
                    </c:extLst>
                    <c:numCache>
                      <c:formatCode>0.000</c:formatCode>
                      <c:ptCount val="53"/>
                      <c:pt idx="43">
                        <c:v>2.5430290760305017</c:v>
                      </c:pt>
                      <c:pt idx="44">
                        <c:v>2.7945043915048515</c:v>
                      </c:pt>
                      <c:pt idx="45">
                        <c:v>3.0459797069792014</c:v>
                      </c:pt>
                      <c:pt idx="46">
                        <c:v>3.2974550224535513</c:v>
                      </c:pt>
                      <c:pt idx="47">
                        <c:v>3.5489303379279011</c:v>
                      </c:pt>
                      <c:pt idx="48">
                        <c:v>3.800405653402251</c:v>
                      </c:pt>
                      <c:pt idx="49">
                        <c:v>4.0518809688766009</c:v>
                      </c:pt>
                      <c:pt idx="50">
                        <c:v>4.3033562843509507</c:v>
                      </c:pt>
                      <c:pt idx="51">
                        <c:v>4.5548315998253006</c:v>
                      </c:pt>
                      <c:pt idx="52">
                        <c:v>4.8063069152996505</c:v>
                      </c:pt>
                    </c:numCache>
                  </c:numRef>
                </c:val>
                <c:smooth val="0"/>
                <c:extLst xmlns:c15="http://schemas.microsoft.com/office/drawing/2012/chart">
                  <c:ext xmlns:c16="http://schemas.microsoft.com/office/drawing/2014/chart" uri="{C3380CC4-5D6E-409C-BE32-E72D297353CC}">
                    <c16:uniqueId val="{0000000C-A754-48BB-BF11-502791128896}"/>
                  </c:ext>
                </c:extLst>
              </c15:ser>
            </c15:filteredLineSeries>
          </c:ext>
        </c:extLst>
      </c:lineChart>
      <c:dateAx>
        <c:axId val="1388952432"/>
        <c:scaling>
          <c:orientation val="minMax"/>
          <c:min val="44562"/>
        </c:scaling>
        <c:delete val="0"/>
        <c:axPos val="b"/>
        <c:numFmt formatCode="mmm\-yy" sourceLinked="0"/>
        <c:majorTickMark val="none"/>
        <c:minorTickMark val="none"/>
        <c:tickLblPos val="nextTo"/>
        <c:spPr>
          <a:noFill/>
          <a:ln w="9525" cap="flat" cmpd="sng" algn="ctr">
            <a:noFill/>
            <a:round/>
          </a:ln>
          <a:effectLst/>
        </c:spPr>
        <c:txPr>
          <a:bodyPr rot="-60000000" vert="horz"/>
          <a:lstStyle/>
          <a:p>
            <a:pPr>
              <a:defRPr/>
            </a:pPr>
            <a:endParaRPr lang="en-US"/>
          </a:p>
        </c:txPr>
        <c:crossAx val="1388953088"/>
        <c:crosses val="autoZero"/>
        <c:auto val="1"/>
        <c:lblOffset val="100"/>
        <c:baseTimeUnit val="days"/>
        <c:majorUnit val="1"/>
        <c:majorTimeUnit val="months"/>
      </c:dateAx>
      <c:valAx>
        <c:axId val="1388953088"/>
        <c:scaling>
          <c:orientation val="minMax"/>
          <c:min val="1.5"/>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vert="horz"/>
          <a:lstStyle/>
          <a:p>
            <a:pPr>
              <a:defRPr/>
            </a:pPr>
            <a:endParaRPr lang="en-US"/>
          </a:p>
        </c:txPr>
        <c:crossAx val="1388952432"/>
        <c:crosses val="autoZero"/>
        <c:crossBetween val="between"/>
        <c:majorUnit val="0.5"/>
      </c:valAx>
    </c:plotArea>
    <c:legend>
      <c:legendPos val="b"/>
      <c:legendEntry>
        <c:idx val="3"/>
        <c:delete val="1"/>
      </c:legendEntry>
      <c:overlay val="0"/>
      <c:spPr>
        <a:noFill/>
        <a:ln>
          <a:noFill/>
        </a:ln>
        <a:effectLst/>
      </c:spPr>
      <c:txPr>
        <a:bodyPr rot="0" vert="horz"/>
        <a:lstStyle/>
        <a:p>
          <a:pPr>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orientation="portrait"/>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'PBL OLD'!$CU$6:$CU$7</c:f>
              <c:strCache>
                <c:ptCount val="2"/>
                <c:pt idx="0">
                  <c:v>Actual</c:v>
                </c:pt>
              </c:strCache>
            </c:strRef>
          </c:tx>
          <c:spPr>
            <a:ln w="28575" cap="rnd">
              <a:solidFill>
                <a:schemeClr val="tx2"/>
              </a:solidFill>
              <a:round/>
            </a:ln>
            <a:effectLst/>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OLD'!$CU$8:$CU$60</c:f>
              <c:numCache>
                <c:formatCode>0.000</c:formatCode>
                <c:ptCount val="53"/>
                <c:pt idx="0">
                  <c:v>2.4383432684147156E-2</c:v>
                </c:pt>
                <c:pt idx="1">
                  <c:v>5.7456335077458197E-2</c:v>
                </c:pt>
                <c:pt idx="2">
                  <c:v>8.2897301732709039E-2</c:v>
                </c:pt>
                <c:pt idx="3">
                  <c:v>0.10634933406608696</c:v>
                </c:pt>
                <c:pt idx="4">
                  <c:v>0.13586762292789298</c:v>
                </c:pt>
                <c:pt idx="5">
                  <c:v>0.18374004427397994</c:v>
                </c:pt>
                <c:pt idx="6">
                  <c:v>0.20803473319331103</c:v>
                </c:pt>
                <c:pt idx="7">
                  <c:v>0.23891877923157193</c:v>
                </c:pt>
                <c:pt idx="8">
                  <c:v>0.28713984685163879</c:v>
                </c:pt>
                <c:pt idx="9">
                  <c:v>0.3616614278523077</c:v>
                </c:pt>
                <c:pt idx="10">
                  <c:v>0.392004627321204</c:v>
                </c:pt>
                <c:pt idx="11">
                  <c:v>0.41949779873926418</c:v>
                </c:pt>
                <c:pt idx="12">
                  <c:v>0.46306182742073576</c:v>
                </c:pt>
                <c:pt idx="13">
                  <c:v>0.52060037325672237</c:v>
                </c:pt>
                <c:pt idx="14">
                  <c:v>0.6148648724923077</c:v>
                </c:pt>
                <c:pt idx="15">
                  <c:v>0.83700126369498329</c:v>
                </c:pt>
                <c:pt idx="16">
                  <c:v>1.1825944978628762</c:v>
                </c:pt>
                <c:pt idx="17">
                  <c:v>1.2153577144507022</c:v>
                </c:pt>
                <c:pt idx="18">
                  <c:v>1.2691323901694982</c:v>
                </c:pt>
                <c:pt idx="19">
                  <c:v>1.3310424487488961</c:v>
                </c:pt>
                <c:pt idx="20">
                  <c:v>1.4175102073723076</c:v>
                </c:pt>
                <c:pt idx="21">
                  <c:v>1.4481012105839461</c:v>
                </c:pt>
                <c:pt idx="22">
                  <c:v>1.4946211055890297</c:v>
                </c:pt>
                <c:pt idx="23">
                  <c:v>1.5554005903488961</c:v>
                </c:pt>
                <c:pt idx="24">
                  <c:v>1.6472886013460868</c:v>
                </c:pt>
                <c:pt idx="25">
                  <c:v>1.8141838940449495</c:v>
                </c:pt>
                <c:pt idx="26">
                  <c:v>1.8392503831253511</c:v>
                </c:pt>
                <c:pt idx="27">
                  <c:v>1.866157764302341</c:v>
                </c:pt>
                <c:pt idx="28">
                  <c:v>1.9009749529614712</c:v>
                </c:pt>
                <c:pt idx="29">
                  <c:v>1.9519053104066888</c:v>
                </c:pt>
                <c:pt idx="30">
                  <c:v>2.0244714168671569</c:v>
                </c:pt>
                <c:pt idx="31">
                  <c:v>2.0488217174971233</c:v>
                </c:pt>
                <c:pt idx="32">
                  <c:v>2.0819389554734444</c:v>
                </c:pt>
                <c:pt idx="33">
                  <c:v>2.135068076795986</c:v>
                </c:pt>
                <c:pt idx="34">
                  <c:v>2.2086620296321069</c:v>
                </c:pt>
                <c:pt idx="35">
                  <c:v>2.2340468803692306</c:v>
                </c:pt>
                <c:pt idx="36">
                  <c:v>2.2608009917649499</c:v>
                </c:pt>
                <c:pt idx="37">
                  <c:v>2.2922285879399333</c:v>
                </c:pt>
                <c:pt idx="38">
                  <c:v>2.3232771205685618</c:v>
                </c:pt>
                <c:pt idx="39">
                  <c:v>2.3730794774674249</c:v>
                </c:pt>
                <c:pt idx="40">
                  <c:v>2.4331034888271574</c:v>
                </c:pt>
                <c:pt idx="41">
                  <c:v>2.459481893485485</c:v>
                </c:pt>
                <c:pt idx="42">
                  <c:v>2.4922966782375924</c:v>
                </c:pt>
                <c:pt idx="43">
                  <c:v>2.5430290760305017</c:v>
                </c:pt>
                <c:pt idx="44">
                  <c:v>2.5665048546627425</c:v>
                </c:pt>
                <c:pt idx="45">
                  <c:v>2.5900549864143145</c:v>
                </c:pt>
                <c:pt idx="46">
                  <c:v>2.6316794518334712</c:v>
                </c:pt>
                <c:pt idx="47">
                  <c:v>2.6865530592113069</c:v>
                </c:pt>
                <c:pt idx="48">
                  <c:v>2.7625586865996037</c:v>
                </c:pt>
                <c:pt idx="49">
                  <c:v>2.8807855607703785</c:v>
                </c:pt>
                <c:pt idx="50">
                  <c:v>3.1087288440336671</c:v>
                </c:pt>
                <c:pt idx="51">
                  <c:v>3.1350399566342553</c:v>
                </c:pt>
              </c:numCache>
            </c:numRef>
          </c:val>
          <c:smooth val="0"/>
          <c:extLst>
            <c:ext xmlns:c16="http://schemas.microsoft.com/office/drawing/2014/chart" uri="{C3380CC4-5D6E-409C-BE32-E72D297353CC}">
              <c16:uniqueId val="{00000000-9C18-41DC-8D83-194E2557F4DD}"/>
            </c:ext>
          </c:extLst>
        </c:ser>
        <c:ser>
          <c:idx val="7"/>
          <c:order val="3"/>
          <c:tx>
            <c:strRef>
              <c:f>'PBL OLD'!$CX$6:$CX$7</c:f>
              <c:strCache>
                <c:ptCount val="2"/>
                <c:pt idx="0">
                  <c:v>5th Percentile</c:v>
                </c:pt>
              </c:strCache>
            </c:strRef>
          </c:tx>
          <c:spPr>
            <a:ln w="28575" cap="rnd">
              <a:solidFill>
                <a:schemeClr val="bg2"/>
              </a:solidFill>
              <a:prstDash val="sysDot"/>
              <a:round/>
            </a:ln>
            <a:effectLst/>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OLD'!$CX$8:$CX$60</c:f>
              <c:numCache>
                <c:formatCode>0.000</c:formatCode>
                <c:ptCount val="53"/>
                <c:pt idx="0">
                  <c:v>4.8416818848466985E-2</c:v>
                </c:pt>
                <c:pt idx="1">
                  <c:v>9.6833637696933969E-2</c:v>
                </c:pt>
                <c:pt idx="2">
                  <c:v>0.14525045654540095</c:v>
                </c:pt>
                <c:pt idx="3">
                  <c:v>0.19366727539386794</c:v>
                </c:pt>
                <c:pt idx="4">
                  <c:v>0.24208409424233493</c:v>
                </c:pt>
                <c:pt idx="5">
                  <c:v>0.29050091309080189</c:v>
                </c:pt>
                <c:pt idx="6">
                  <c:v>0.33891773193926888</c:v>
                </c:pt>
                <c:pt idx="7">
                  <c:v>0.38733455078773588</c:v>
                </c:pt>
                <c:pt idx="8">
                  <c:v>0.43575136963620287</c:v>
                </c:pt>
                <c:pt idx="9">
                  <c:v>0.48416818848466986</c:v>
                </c:pt>
                <c:pt idx="10">
                  <c:v>0.53258500733313685</c:v>
                </c:pt>
                <c:pt idx="11">
                  <c:v>0.58100182618160379</c:v>
                </c:pt>
                <c:pt idx="12">
                  <c:v>0.62941864503007072</c:v>
                </c:pt>
                <c:pt idx="13">
                  <c:v>0.67783546387853766</c:v>
                </c:pt>
                <c:pt idx="14">
                  <c:v>0.72625228272700459</c:v>
                </c:pt>
                <c:pt idx="15">
                  <c:v>0.77466910157547153</c:v>
                </c:pt>
                <c:pt idx="16">
                  <c:v>0.82308592042393847</c:v>
                </c:pt>
                <c:pt idx="17">
                  <c:v>0.8715027392724054</c:v>
                </c:pt>
                <c:pt idx="18">
                  <c:v>0.91991955812087234</c:v>
                </c:pt>
                <c:pt idx="19">
                  <c:v>0.96833637696933927</c:v>
                </c:pt>
                <c:pt idx="20">
                  <c:v>1.0167531958178062</c:v>
                </c:pt>
                <c:pt idx="21">
                  <c:v>1.0651700146662733</c:v>
                </c:pt>
                <c:pt idx="22">
                  <c:v>1.1135868335147403</c:v>
                </c:pt>
                <c:pt idx="23">
                  <c:v>1.1620036523632074</c:v>
                </c:pt>
                <c:pt idx="24">
                  <c:v>1.2104204712116744</c:v>
                </c:pt>
                <c:pt idx="25">
                  <c:v>1.2588372900601414</c:v>
                </c:pt>
                <c:pt idx="26">
                  <c:v>1.3072541089086085</c:v>
                </c:pt>
                <c:pt idx="27">
                  <c:v>1.3556709277570755</c:v>
                </c:pt>
                <c:pt idx="28">
                  <c:v>1.4040877466055426</c:v>
                </c:pt>
                <c:pt idx="29">
                  <c:v>1.4525045654540096</c:v>
                </c:pt>
                <c:pt idx="30">
                  <c:v>1.5009213843024767</c:v>
                </c:pt>
                <c:pt idx="31">
                  <c:v>1.5493382031509437</c:v>
                </c:pt>
                <c:pt idx="32">
                  <c:v>1.5977550219994108</c:v>
                </c:pt>
                <c:pt idx="33">
                  <c:v>1.6461718408478778</c:v>
                </c:pt>
                <c:pt idx="34">
                  <c:v>1.6945886596963449</c:v>
                </c:pt>
                <c:pt idx="35">
                  <c:v>1.7430054785448119</c:v>
                </c:pt>
                <c:pt idx="36">
                  <c:v>1.791422297393279</c:v>
                </c:pt>
                <c:pt idx="37">
                  <c:v>1.839839116241746</c:v>
                </c:pt>
                <c:pt idx="38">
                  <c:v>1.8882559350902131</c:v>
                </c:pt>
                <c:pt idx="39">
                  <c:v>1.9366727539386801</c:v>
                </c:pt>
                <c:pt idx="40">
                  <c:v>1.9850895727871471</c:v>
                </c:pt>
                <c:pt idx="41">
                  <c:v>2.0335063916356142</c:v>
                </c:pt>
                <c:pt idx="42">
                  <c:v>2.081923210484081</c:v>
                </c:pt>
                <c:pt idx="43">
                  <c:v>2.1303400293325478</c:v>
                </c:pt>
                <c:pt idx="44">
                  <c:v>2.1787568481810147</c:v>
                </c:pt>
                <c:pt idx="45">
                  <c:v>2.2271736670294815</c:v>
                </c:pt>
                <c:pt idx="46">
                  <c:v>2.2755904858779483</c:v>
                </c:pt>
                <c:pt idx="47">
                  <c:v>2.3240073047264151</c:v>
                </c:pt>
                <c:pt idx="48">
                  <c:v>2.372424123574882</c:v>
                </c:pt>
                <c:pt idx="49">
                  <c:v>2.4208409424233488</c:v>
                </c:pt>
                <c:pt idx="50">
                  <c:v>2.4692577612718156</c:v>
                </c:pt>
                <c:pt idx="51">
                  <c:v>2.5176745801202824</c:v>
                </c:pt>
              </c:numCache>
            </c:numRef>
          </c:val>
          <c:smooth val="0"/>
          <c:extLst xmlns:c15="http://schemas.microsoft.com/office/drawing/2012/chart">
            <c:ext xmlns:c16="http://schemas.microsoft.com/office/drawing/2014/chart" uri="{C3380CC4-5D6E-409C-BE32-E72D297353CC}">
              <c16:uniqueId val="{00000001-9C18-41DC-8D83-194E2557F4DD}"/>
            </c:ext>
          </c:extLst>
        </c:ser>
        <c:ser>
          <c:idx val="2"/>
          <c:order val="5"/>
          <c:tx>
            <c:v>5/25/50/75/95th percentile</c:v>
          </c:tx>
          <c:spPr>
            <a:ln w="28575">
              <a:solidFill>
                <a:schemeClr val="bg2"/>
              </a:solidFill>
              <a:prstDash val="sysDot"/>
            </a:ln>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OLD'!$CZ$8:$CZ$60</c:f>
              <c:numCache>
                <c:formatCode>0.000</c:formatCode>
                <c:ptCount val="53"/>
                <c:pt idx="0">
                  <c:v>5.470863400459542E-2</c:v>
                </c:pt>
                <c:pt idx="1">
                  <c:v>0.10941726800919084</c:v>
                </c:pt>
                <c:pt idx="2">
                  <c:v>0.16412590201378627</c:v>
                </c:pt>
                <c:pt idx="3">
                  <c:v>0.21883453601838168</c:v>
                </c:pt>
                <c:pt idx="4">
                  <c:v>0.27354317002297712</c:v>
                </c:pt>
                <c:pt idx="5">
                  <c:v>0.32825180402757254</c:v>
                </c:pt>
                <c:pt idx="6">
                  <c:v>0.38296043803216795</c:v>
                </c:pt>
                <c:pt idx="7">
                  <c:v>0.43766907203676336</c:v>
                </c:pt>
                <c:pt idx="8">
                  <c:v>0.49237770604135878</c:v>
                </c:pt>
                <c:pt idx="9">
                  <c:v>0.54708634004595424</c:v>
                </c:pt>
                <c:pt idx="10">
                  <c:v>0.60179497405054971</c:v>
                </c:pt>
                <c:pt idx="11">
                  <c:v>0.65650360805514518</c:v>
                </c:pt>
                <c:pt idx="12">
                  <c:v>0.71121224205974065</c:v>
                </c:pt>
                <c:pt idx="13">
                  <c:v>0.76592087606433612</c:v>
                </c:pt>
                <c:pt idx="14">
                  <c:v>0.82062951006893159</c:v>
                </c:pt>
                <c:pt idx="15">
                  <c:v>0.87533814407352706</c:v>
                </c:pt>
                <c:pt idx="16">
                  <c:v>0.93004677807812253</c:v>
                </c:pt>
                <c:pt idx="17">
                  <c:v>0.984755412082718</c:v>
                </c:pt>
                <c:pt idx="18">
                  <c:v>1.0394640460873135</c:v>
                </c:pt>
                <c:pt idx="19">
                  <c:v>1.0941726800919089</c:v>
                </c:pt>
                <c:pt idx="20">
                  <c:v>1.1488813140965044</c:v>
                </c:pt>
                <c:pt idx="21">
                  <c:v>1.2035899481010999</c:v>
                </c:pt>
                <c:pt idx="22">
                  <c:v>1.2582985821056953</c:v>
                </c:pt>
                <c:pt idx="23">
                  <c:v>1.3130072161102908</c:v>
                </c:pt>
                <c:pt idx="24">
                  <c:v>1.3677158501148863</c:v>
                </c:pt>
                <c:pt idx="25">
                  <c:v>1.4224244841194817</c:v>
                </c:pt>
                <c:pt idx="26">
                  <c:v>1.4771331181240772</c:v>
                </c:pt>
                <c:pt idx="27">
                  <c:v>1.5318417521286727</c:v>
                </c:pt>
                <c:pt idx="28">
                  <c:v>1.5865503861332682</c:v>
                </c:pt>
                <c:pt idx="29">
                  <c:v>1.6412590201378636</c:v>
                </c:pt>
                <c:pt idx="30">
                  <c:v>1.6959676541424591</c:v>
                </c:pt>
                <c:pt idx="31">
                  <c:v>1.7506762881470546</c:v>
                </c:pt>
                <c:pt idx="32">
                  <c:v>1.80538492215165</c:v>
                </c:pt>
                <c:pt idx="33">
                  <c:v>1.8600935561562455</c:v>
                </c:pt>
                <c:pt idx="34">
                  <c:v>1.914802190160841</c:v>
                </c:pt>
                <c:pt idx="35">
                  <c:v>1.9695108241654364</c:v>
                </c:pt>
                <c:pt idx="36">
                  <c:v>2.0242194581700317</c:v>
                </c:pt>
                <c:pt idx="37">
                  <c:v>2.0789280921746269</c:v>
                </c:pt>
                <c:pt idx="38">
                  <c:v>2.1336367261792222</c:v>
                </c:pt>
                <c:pt idx="39">
                  <c:v>2.1883453601838174</c:v>
                </c:pt>
                <c:pt idx="40">
                  <c:v>2.2430539941884127</c:v>
                </c:pt>
                <c:pt idx="41">
                  <c:v>2.2977626281930079</c:v>
                </c:pt>
                <c:pt idx="42">
                  <c:v>2.3524712621976032</c:v>
                </c:pt>
                <c:pt idx="43">
                  <c:v>2.4071798962021984</c:v>
                </c:pt>
                <c:pt idx="44">
                  <c:v>2.4618885302067937</c:v>
                </c:pt>
                <c:pt idx="45">
                  <c:v>2.5165971642113889</c:v>
                </c:pt>
                <c:pt idx="46">
                  <c:v>2.5713057982159842</c:v>
                </c:pt>
                <c:pt idx="47">
                  <c:v>2.6260144322205794</c:v>
                </c:pt>
                <c:pt idx="48">
                  <c:v>2.6807230662251746</c:v>
                </c:pt>
                <c:pt idx="49">
                  <c:v>2.7354317002297699</c:v>
                </c:pt>
                <c:pt idx="50">
                  <c:v>2.7901403342343651</c:v>
                </c:pt>
                <c:pt idx="51">
                  <c:v>2.8448489682389604</c:v>
                </c:pt>
              </c:numCache>
            </c:numRef>
          </c:val>
          <c:smooth val="0"/>
          <c:extLst>
            <c:ext xmlns:c16="http://schemas.microsoft.com/office/drawing/2014/chart" uri="{C3380CC4-5D6E-409C-BE32-E72D297353CC}">
              <c16:uniqueId val="{00000002-9C18-41DC-8D83-194E2557F4DD}"/>
            </c:ext>
          </c:extLst>
        </c:ser>
        <c:ser>
          <c:idx val="4"/>
          <c:order val="6"/>
          <c:tx>
            <c:strRef>
              <c:f>'PBL OLD'!$DA$6:$DA$7</c:f>
              <c:strCache>
                <c:ptCount val="2"/>
                <c:pt idx="0">
                  <c:v>50th Percentile</c:v>
                </c:pt>
              </c:strCache>
            </c:strRef>
          </c:tx>
          <c:spPr>
            <a:ln w="28575">
              <a:solidFill>
                <a:schemeClr val="bg2"/>
              </a:solidFill>
              <a:prstDash val="sysDot"/>
            </a:ln>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OLD'!$DA$8:$DA$60</c:f>
              <c:numCache>
                <c:formatCode>0.000</c:formatCode>
                <c:ptCount val="53"/>
                <c:pt idx="0">
                  <c:v>6.0209708872007502E-2</c:v>
                </c:pt>
                <c:pt idx="1">
                  <c:v>0.120419417744015</c:v>
                </c:pt>
                <c:pt idx="2">
                  <c:v>0.18062912661602251</c:v>
                </c:pt>
                <c:pt idx="3">
                  <c:v>0.24083883548803001</c:v>
                </c:pt>
                <c:pt idx="4">
                  <c:v>0.30104854436003753</c:v>
                </c:pt>
                <c:pt idx="5">
                  <c:v>0.36125825323204502</c:v>
                </c:pt>
                <c:pt idx="6">
                  <c:v>0.42146796210405252</c:v>
                </c:pt>
                <c:pt idx="7">
                  <c:v>0.48167767097606001</c:v>
                </c:pt>
                <c:pt idx="8">
                  <c:v>0.54188737984806756</c:v>
                </c:pt>
                <c:pt idx="9">
                  <c:v>0.60209708872007506</c:v>
                </c:pt>
                <c:pt idx="10">
                  <c:v>0.66230679759208255</c:v>
                </c:pt>
                <c:pt idx="11">
                  <c:v>0.72251650646409005</c:v>
                </c:pt>
                <c:pt idx="12">
                  <c:v>0.78272621533609754</c:v>
                </c:pt>
                <c:pt idx="13">
                  <c:v>0.84293592420810504</c:v>
                </c:pt>
                <c:pt idx="14">
                  <c:v>0.90314563308011253</c:v>
                </c:pt>
                <c:pt idx="15">
                  <c:v>0.96335534195212003</c:v>
                </c:pt>
                <c:pt idx="16">
                  <c:v>1.0235650508241276</c:v>
                </c:pt>
                <c:pt idx="17">
                  <c:v>1.0837747596961351</c:v>
                </c:pt>
                <c:pt idx="18">
                  <c:v>1.1439844685681426</c:v>
                </c:pt>
                <c:pt idx="19">
                  <c:v>1.2041941774401501</c:v>
                </c:pt>
                <c:pt idx="20">
                  <c:v>1.2644038863121576</c:v>
                </c:pt>
                <c:pt idx="21">
                  <c:v>1.3246135951841651</c:v>
                </c:pt>
                <c:pt idx="22">
                  <c:v>1.3848233040561726</c:v>
                </c:pt>
                <c:pt idx="23">
                  <c:v>1.4450330129281801</c:v>
                </c:pt>
                <c:pt idx="24">
                  <c:v>1.5052427218001876</c:v>
                </c:pt>
                <c:pt idx="25">
                  <c:v>1.5654524306721951</c:v>
                </c:pt>
                <c:pt idx="26">
                  <c:v>1.6256621395442026</c:v>
                </c:pt>
                <c:pt idx="27">
                  <c:v>1.6858718484162101</c:v>
                </c:pt>
                <c:pt idx="28">
                  <c:v>1.7460815572882176</c:v>
                </c:pt>
                <c:pt idx="29">
                  <c:v>1.8062912661602251</c:v>
                </c:pt>
                <c:pt idx="30">
                  <c:v>1.8665009750322326</c:v>
                </c:pt>
                <c:pt idx="31">
                  <c:v>1.9267106839042401</c:v>
                </c:pt>
                <c:pt idx="32">
                  <c:v>1.9869203927762475</c:v>
                </c:pt>
                <c:pt idx="33">
                  <c:v>2.0471301016482553</c:v>
                </c:pt>
                <c:pt idx="34">
                  <c:v>2.107339810520263</c:v>
                </c:pt>
                <c:pt idx="35">
                  <c:v>2.1675495193922707</c:v>
                </c:pt>
                <c:pt idx="36">
                  <c:v>2.2277592282642784</c:v>
                </c:pt>
                <c:pt idx="37">
                  <c:v>2.2879689371362861</c:v>
                </c:pt>
                <c:pt idx="38">
                  <c:v>2.3481786460082938</c:v>
                </c:pt>
                <c:pt idx="39">
                  <c:v>2.4083883548803016</c:v>
                </c:pt>
                <c:pt idx="40">
                  <c:v>2.4685980637523093</c:v>
                </c:pt>
                <c:pt idx="41">
                  <c:v>2.528807772624317</c:v>
                </c:pt>
                <c:pt idx="42">
                  <c:v>2.5890174814963247</c:v>
                </c:pt>
                <c:pt idx="43">
                  <c:v>2.6492271903683324</c:v>
                </c:pt>
                <c:pt idx="44">
                  <c:v>2.7094368992403401</c:v>
                </c:pt>
                <c:pt idx="45">
                  <c:v>2.7696466081123479</c:v>
                </c:pt>
                <c:pt idx="46">
                  <c:v>2.8298563169843556</c:v>
                </c:pt>
                <c:pt idx="47">
                  <c:v>2.8900660258563633</c:v>
                </c:pt>
                <c:pt idx="48">
                  <c:v>2.950275734728371</c:v>
                </c:pt>
                <c:pt idx="49">
                  <c:v>3.0104854436003787</c:v>
                </c:pt>
                <c:pt idx="50">
                  <c:v>3.0706951524723864</c:v>
                </c:pt>
                <c:pt idx="51">
                  <c:v>3.1309048613443942</c:v>
                </c:pt>
              </c:numCache>
            </c:numRef>
          </c:val>
          <c:smooth val="0"/>
          <c:extLst>
            <c:ext xmlns:c16="http://schemas.microsoft.com/office/drawing/2014/chart" uri="{C3380CC4-5D6E-409C-BE32-E72D297353CC}">
              <c16:uniqueId val="{00000003-9C18-41DC-8D83-194E2557F4DD}"/>
            </c:ext>
          </c:extLst>
        </c:ser>
        <c:ser>
          <c:idx val="6"/>
          <c:order val="7"/>
          <c:tx>
            <c:strRef>
              <c:f>'PBL OLD'!$DB$6:$DB$7</c:f>
              <c:strCache>
                <c:ptCount val="2"/>
                <c:pt idx="0">
                  <c:v>75th Percentile</c:v>
                </c:pt>
              </c:strCache>
            </c:strRef>
          </c:tx>
          <c:spPr>
            <a:ln w="28575">
              <a:solidFill>
                <a:schemeClr val="bg2"/>
              </a:solidFill>
              <a:prstDash val="sysDot"/>
            </a:ln>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OLD'!$DB$8:$DB$60</c:f>
              <c:numCache>
                <c:formatCode>0.000</c:formatCode>
                <c:ptCount val="53"/>
                <c:pt idx="0">
                  <c:v>6.6232533541717833E-2</c:v>
                </c:pt>
                <c:pt idx="1">
                  <c:v>0.13246506708343567</c:v>
                </c:pt>
                <c:pt idx="2">
                  <c:v>0.19869760062515351</c:v>
                </c:pt>
                <c:pt idx="3">
                  <c:v>0.26493013416687133</c:v>
                </c:pt>
                <c:pt idx="4">
                  <c:v>0.33116266770858915</c:v>
                </c:pt>
                <c:pt idx="5">
                  <c:v>0.39739520125030697</c:v>
                </c:pt>
                <c:pt idx="6">
                  <c:v>0.46362773479202479</c:v>
                </c:pt>
                <c:pt idx="7">
                  <c:v>0.52986026833374267</c:v>
                </c:pt>
                <c:pt idx="8">
                  <c:v>0.59609280187546054</c:v>
                </c:pt>
                <c:pt idx="9">
                  <c:v>0.66232533541717842</c:v>
                </c:pt>
                <c:pt idx="10">
                  <c:v>0.72855786895889629</c:v>
                </c:pt>
                <c:pt idx="11">
                  <c:v>0.79479040250061417</c:v>
                </c:pt>
                <c:pt idx="12">
                  <c:v>0.86102293604233204</c:v>
                </c:pt>
                <c:pt idx="13">
                  <c:v>0.92725546958404992</c:v>
                </c:pt>
                <c:pt idx="14">
                  <c:v>0.99348800312576779</c:v>
                </c:pt>
                <c:pt idx="15">
                  <c:v>1.0597205366674856</c:v>
                </c:pt>
                <c:pt idx="16">
                  <c:v>1.1259530702092033</c:v>
                </c:pt>
                <c:pt idx="17">
                  <c:v>1.1921856037509211</c:v>
                </c:pt>
                <c:pt idx="18">
                  <c:v>1.2584181372926388</c:v>
                </c:pt>
                <c:pt idx="19">
                  <c:v>1.3246506708343566</c:v>
                </c:pt>
                <c:pt idx="20">
                  <c:v>1.3908832043760744</c:v>
                </c:pt>
                <c:pt idx="21">
                  <c:v>1.4571157379177921</c:v>
                </c:pt>
                <c:pt idx="22">
                  <c:v>1.5233482714595099</c:v>
                </c:pt>
                <c:pt idx="23">
                  <c:v>1.5895808050012277</c:v>
                </c:pt>
                <c:pt idx="24">
                  <c:v>1.6558133385429454</c:v>
                </c:pt>
                <c:pt idx="25">
                  <c:v>1.7220458720846632</c:v>
                </c:pt>
                <c:pt idx="26">
                  <c:v>1.788278405626381</c:v>
                </c:pt>
                <c:pt idx="27">
                  <c:v>1.8545109391680987</c:v>
                </c:pt>
                <c:pt idx="28">
                  <c:v>1.9207434727098165</c:v>
                </c:pt>
                <c:pt idx="29">
                  <c:v>1.9869760062515343</c:v>
                </c:pt>
                <c:pt idx="30">
                  <c:v>2.053208539793252</c:v>
                </c:pt>
                <c:pt idx="31">
                  <c:v>2.1194410733349698</c:v>
                </c:pt>
                <c:pt idx="32">
                  <c:v>2.1856736068766875</c:v>
                </c:pt>
                <c:pt idx="33">
                  <c:v>2.2519061404184053</c:v>
                </c:pt>
                <c:pt idx="34">
                  <c:v>2.3181386739601231</c:v>
                </c:pt>
                <c:pt idx="35">
                  <c:v>2.3843712075018408</c:v>
                </c:pt>
                <c:pt idx="36">
                  <c:v>2.4506037410435586</c:v>
                </c:pt>
                <c:pt idx="37">
                  <c:v>2.5168362745852764</c:v>
                </c:pt>
                <c:pt idx="38">
                  <c:v>2.5830688081269941</c:v>
                </c:pt>
                <c:pt idx="39">
                  <c:v>2.6493013416687119</c:v>
                </c:pt>
                <c:pt idx="40">
                  <c:v>2.7155338752104297</c:v>
                </c:pt>
                <c:pt idx="41">
                  <c:v>2.7817664087521474</c:v>
                </c:pt>
                <c:pt idx="42">
                  <c:v>2.8479989422938652</c:v>
                </c:pt>
                <c:pt idx="43">
                  <c:v>2.914231475835583</c:v>
                </c:pt>
                <c:pt idx="44">
                  <c:v>2.9804640093773007</c:v>
                </c:pt>
                <c:pt idx="45">
                  <c:v>3.0466965429190185</c:v>
                </c:pt>
                <c:pt idx="46">
                  <c:v>3.1129290764607362</c:v>
                </c:pt>
                <c:pt idx="47">
                  <c:v>3.179161610002454</c:v>
                </c:pt>
                <c:pt idx="48">
                  <c:v>3.2453941435441718</c:v>
                </c:pt>
                <c:pt idx="49">
                  <c:v>3.3116266770858895</c:v>
                </c:pt>
                <c:pt idx="50">
                  <c:v>3.3778592106276073</c:v>
                </c:pt>
                <c:pt idx="51">
                  <c:v>3.4440917441693251</c:v>
                </c:pt>
              </c:numCache>
            </c:numRef>
          </c:val>
          <c:smooth val="0"/>
          <c:extLst xmlns:c15="http://schemas.microsoft.com/office/drawing/2012/chart">
            <c:ext xmlns:c16="http://schemas.microsoft.com/office/drawing/2014/chart" uri="{C3380CC4-5D6E-409C-BE32-E72D297353CC}">
              <c16:uniqueId val="{00000004-9C18-41DC-8D83-194E2557F4DD}"/>
            </c:ext>
          </c:extLst>
        </c:ser>
        <c:ser>
          <c:idx val="9"/>
          <c:order val="9"/>
          <c:tx>
            <c:strRef>
              <c:f>'PBL OLD'!$DD$6:$DD$7</c:f>
              <c:strCache>
                <c:ptCount val="2"/>
                <c:pt idx="0">
                  <c:v>95th Percentile</c:v>
                </c:pt>
              </c:strCache>
            </c:strRef>
          </c:tx>
          <c:spPr>
            <a:ln w="28575">
              <a:solidFill>
                <a:schemeClr val="bg2"/>
              </a:solidFill>
              <a:prstDash val="sysDot"/>
            </a:ln>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OLD'!$DD$8:$DD$60</c:f>
              <c:numCache>
                <c:formatCode>0.000</c:formatCode>
                <c:ptCount val="53"/>
                <c:pt idx="0">
                  <c:v>7.643445292523153E-2</c:v>
                </c:pt>
                <c:pt idx="1">
                  <c:v>0.15286890585046306</c:v>
                </c:pt>
                <c:pt idx="2">
                  <c:v>0.22930335877569458</c:v>
                </c:pt>
                <c:pt idx="3">
                  <c:v>0.30573781170092612</c:v>
                </c:pt>
                <c:pt idx="4">
                  <c:v>0.38217226462615767</c:v>
                </c:pt>
                <c:pt idx="5">
                  <c:v>0.45860671755138921</c:v>
                </c:pt>
                <c:pt idx="6">
                  <c:v>0.5350411704766207</c:v>
                </c:pt>
                <c:pt idx="7">
                  <c:v>0.61147562340185224</c:v>
                </c:pt>
                <c:pt idx="8">
                  <c:v>0.68791007632708379</c:v>
                </c:pt>
                <c:pt idx="9">
                  <c:v>0.76434452925231533</c:v>
                </c:pt>
                <c:pt idx="10">
                  <c:v>0.84077898217754687</c:v>
                </c:pt>
                <c:pt idx="11">
                  <c:v>0.91721343510277842</c:v>
                </c:pt>
                <c:pt idx="12">
                  <c:v>0.99364788802800996</c:v>
                </c:pt>
                <c:pt idx="13">
                  <c:v>1.0700823409532414</c:v>
                </c:pt>
                <c:pt idx="14">
                  <c:v>1.1465167938784728</c:v>
                </c:pt>
                <c:pt idx="15">
                  <c:v>1.2229512468037043</c:v>
                </c:pt>
                <c:pt idx="16">
                  <c:v>1.2993856997289357</c:v>
                </c:pt>
                <c:pt idx="17">
                  <c:v>1.3758201526541671</c:v>
                </c:pt>
                <c:pt idx="18">
                  <c:v>1.4522546055793986</c:v>
                </c:pt>
                <c:pt idx="19">
                  <c:v>1.52868905850463</c:v>
                </c:pt>
                <c:pt idx="20">
                  <c:v>1.6051235114298614</c:v>
                </c:pt>
                <c:pt idx="21">
                  <c:v>1.6815579643550929</c:v>
                </c:pt>
                <c:pt idx="22">
                  <c:v>1.7579924172803243</c:v>
                </c:pt>
                <c:pt idx="23">
                  <c:v>1.8344268702055557</c:v>
                </c:pt>
                <c:pt idx="24">
                  <c:v>1.9108613231307872</c:v>
                </c:pt>
                <c:pt idx="25">
                  <c:v>1.9872957760560186</c:v>
                </c:pt>
                <c:pt idx="26">
                  <c:v>2.06373022898125</c:v>
                </c:pt>
                <c:pt idx="27">
                  <c:v>2.1401646819064815</c:v>
                </c:pt>
                <c:pt idx="28">
                  <c:v>2.2165991348317129</c:v>
                </c:pt>
                <c:pt idx="29">
                  <c:v>2.2930335877569443</c:v>
                </c:pt>
                <c:pt idx="30">
                  <c:v>2.3694680406821758</c:v>
                </c:pt>
                <c:pt idx="31">
                  <c:v>2.4459024936074072</c:v>
                </c:pt>
                <c:pt idx="32">
                  <c:v>2.5223369465326386</c:v>
                </c:pt>
                <c:pt idx="33">
                  <c:v>2.5987713994578701</c:v>
                </c:pt>
                <c:pt idx="34">
                  <c:v>2.6752058523831015</c:v>
                </c:pt>
                <c:pt idx="35">
                  <c:v>2.7516403053083329</c:v>
                </c:pt>
                <c:pt idx="36">
                  <c:v>2.8280747582335644</c:v>
                </c:pt>
                <c:pt idx="37">
                  <c:v>2.9045092111587958</c:v>
                </c:pt>
                <c:pt idx="38">
                  <c:v>2.9809436640840272</c:v>
                </c:pt>
                <c:pt idx="39">
                  <c:v>3.0573781170092587</c:v>
                </c:pt>
                <c:pt idx="40">
                  <c:v>3.1338125699344901</c:v>
                </c:pt>
                <c:pt idx="41">
                  <c:v>3.2102470228597215</c:v>
                </c:pt>
                <c:pt idx="42">
                  <c:v>3.286681475784953</c:v>
                </c:pt>
                <c:pt idx="43">
                  <c:v>3.3631159287101844</c:v>
                </c:pt>
                <c:pt idx="44">
                  <c:v>3.4395503816354158</c:v>
                </c:pt>
                <c:pt idx="45">
                  <c:v>3.5159848345606473</c:v>
                </c:pt>
                <c:pt idx="46">
                  <c:v>3.5924192874858787</c:v>
                </c:pt>
                <c:pt idx="47">
                  <c:v>3.6688537404111101</c:v>
                </c:pt>
                <c:pt idx="48">
                  <c:v>3.7452881933363416</c:v>
                </c:pt>
                <c:pt idx="49">
                  <c:v>3.821722646261573</c:v>
                </c:pt>
                <c:pt idx="50">
                  <c:v>3.8981570991868044</c:v>
                </c:pt>
                <c:pt idx="51">
                  <c:v>3.9745915521120359</c:v>
                </c:pt>
              </c:numCache>
            </c:numRef>
          </c:val>
          <c:smooth val="0"/>
          <c:extLst xmlns:c15="http://schemas.microsoft.com/office/drawing/2012/chart">
            <c:ext xmlns:c16="http://schemas.microsoft.com/office/drawing/2014/chart" uri="{C3380CC4-5D6E-409C-BE32-E72D297353CC}">
              <c16:uniqueId val="{00000005-9C18-41DC-8D83-194E2557F4DD}"/>
            </c:ext>
          </c:extLst>
        </c:ser>
        <c:dLbls>
          <c:showLegendKey val="0"/>
          <c:showVal val="0"/>
          <c:showCatName val="0"/>
          <c:showSerName val="0"/>
          <c:showPercent val="0"/>
          <c:showBubbleSize val="0"/>
        </c:dLbls>
        <c:smooth val="0"/>
        <c:axId val="1388952432"/>
        <c:axId val="1388953088"/>
        <c:extLst>
          <c:ext xmlns:c15="http://schemas.microsoft.com/office/drawing/2012/chart" uri="{02D57815-91ED-43cb-92C2-25804820EDAC}">
            <c15:filteredLineSeries>
              <c15:ser>
                <c:idx val="3"/>
                <c:order val="1"/>
                <c:tx>
                  <c:strRef>
                    <c:extLst>
                      <c:ext uri="{02D57815-91ED-43cb-92C2-25804820EDAC}">
                        <c15:formulaRef>
                          <c15:sqref>'PBL OLD'!$CV$6:$CV$7</c15:sqref>
                        </c15:formulaRef>
                      </c:ext>
                    </c:extLst>
                    <c:strCache>
                      <c:ptCount val="2"/>
                      <c:pt idx="0">
                        <c:v>Min</c:v>
                      </c:pt>
                    </c:strCache>
                  </c:strRef>
                </c:tx>
                <c:marker>
                  <c:symbol val="none"/>
                </c:marker>
                <c:cat>
                  <c:numRef>
                    <c:extLst>
                      <c:ex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c:ext uri="{02D57815-91ED-43cb-92C2-25804820EDAC}">
                        <c15:formulaRef>
                          <c15:sqref>'PBL OLD'!$CV$8:$CV$60</c15:sqref>
                        </c15:formulaRef>
                      </c:ext>
                    </c:extLst>
                    <c:numCache>
                      <c:formatCode>0.000</c:formatCode>
                      <c:ptCount val="53"/>
                      <c:pt idx="0">
                        <c:v>3.7943638869952147E-2</c:v>
                      </c:pt>
                      <c:pt idx="1">
                        <c:v>7.5887277739904294E-2</c:v>
                      </c:pt>
                      <c:pt idx="2">
                        <c:v>0.11383091660985645</c:v>
                      </c:pt>
                      <c:pt idx="3">
                        <c:v>0.15177455547980859</c:v>
                      </c:pt>
                      <c:pt idx="4">
                        <c:v>0.18971819434976073</c:v>
                      </c:pt>
                      <c:pt idx="5">
                        <c:v>0.22766183321971287</c:v>
                      </c:pt>
                      <c:pt idx="6">
                        <c:v>0.26560547208966501</c:v>
                      </c:pt>
                      <c:pt idx="7">
                        <c:v>0.30354911095961717</c:v>
                      </c:pt>
                      <c:pt idx="8">
                        <c:v>0.34149274982956934</c:v>
                      </c:pt>
                      <c:pt idx="9">
                        <c:v>0.37943638869952151</c:v>
                      </c:pt>
                      <c:pt idx="10">
                        <c:v>0.41738002756947368</c:v>
                      </c:pt>
                      <c:pt idx="11">
                        <c:v>0.45532366643942584</c:v>
                      </c:pt>
                      <c:pt idx="12">
                        <c:v>0.49326730530937801</c:v>
                      </c:pt>
                      <c:pt idx="13">
                        <c:v>0.53121094417933012</c:v>
                      </c:pt>
                      <c:pt idx="14">
                        <c:v>0.56915458304928224</c:v>
                      </c:pt>
                      <c:pt idx="15">
                        <c:v>0.60709822191923435</c:v>
                      </c:pt>
                      <c:pt idx="16">
                        <c:v>0.64504186078918646</c:v>
                      </c:pt>
                      <c:pt idx="17">
                        <c:v>0.68298549965913857</c:v>
                      </c:pt>
                      <c:pt idx="18">
                        <c:v>0.72092913852909069</c:v>
                      </c:pt>
                      <c:pt idx="19">
                        <c:v>0.7588727773990428</c:v>
                      </c:pt>
                      <c:pt idx="20">
                        <c:v>0.79681641626899491</c:v>
                      </c:pt>
                      <c:pt idx="21">
                        <c:v>0.83476005513894702</c:v>
                      </c:pt>
                      <c:pt idx="22">
                        <c:v>0.87270369400889913</c:v>
                      </c:pt>
                      <c:pt idx="23">
                        <c:v>0.91064733287885125</c:v>
                      </c:pt>
                      <c:pt idx="24">
                        <c:v>0.94859097174880336</c:v>
                      </c:pt>
                      <c:pt idx="25">
                        <c:v>0.98653461061875547</c:v>
                      </c:pt>
                      <c:pt idx="26">
                        <c:v>1.0244782494887077</c:v>
                      </c:pt>
                      <c:pt idx="27">
                        <c:v>1.0624218883586598</c:v>
                      </c:pt>
                      <c:pt idx="28">
                        <c:v>1.1003655272286119</c:v>
                      </c:pt>
                      <c:pt idx="29">
                        <c:v>1.138309166098564</c:v>
                      </c:pt>
                      <c:pt idx="30">
                        <c:v>1.1762528049685161</c:v>
                      </c:pt>
                      <c:pt idx="31">
                        <c:v>1.2141964438384683</c:v>
                      </c:pt>
                      <c:pt idx="32">
                        <c:v>1.2521400827084204</c:v>
                      </c:pt>
                      <c:pt idx="33">
                        <c:v>1.2900837215783725</c:v>
                      </c:pt>
                      <c:pt idx="34">
                        <c:v>1.3280273604483246</c:v>
                      </c:pt>
                      <c:pt idx="35">
                        <c:v>1.3659709993182767</c:v>
                      </c:pt>
                      <c:pt idx="36">
                        <c:v>1.4039146381882288</c:v>
                      </c:pt>
                      <c:pt idx="37">
                        <c:v>1.4418582770581809</c:v>
                      </c:pt>
                      <c:pt idx="38">
                        <c:v>1.479801915928133</c:v>
                      </c:pt>
                      <c:pt idx="39">
                        <c:v>1.5177455547980852</c:v>
                      </c:pt>
                      <c:pt idx="40">
                        <c:v>1.5556891936680373</c:v>
                      </c:pt>
                      <c:pt idx="41">
                        <c:v>1.5936328325379894</c:v>
                      </c:pt>
                      <c:pt idx="42">
                        <c:v>1.6315764714079415</c:v>
                      </c:pt>
                      <c:pt idx="43">
                        <c:v>1.6695201102778936</c:v>
                      </c:pt>
                      <c:pt idx="44">
                        <c:v>1.7074637491478457</c:v>
                      </c:pt>
                      <c:pt idx="45">
                        <c:v>1.7454073880177978</c:v>
                      </c:pt>
                      <c:pt idx="46">
                        <c:v>1.7833510268877499</c:v>
                      </c:pt>
                      <c:pt idx="47">
                        <c:v>1.821294665757702</c:v>
                      </c:pt>
                      <c:pt idx="48">
                        <c:v>1.8592383046276542</c:v>
                      </c:pt>
                      <c:pt idx="49">
                        <c:v>1.8971819434976063</c:v>
                      </c:pt>
                      <c:pt idx="50">
                        <c:v>1.9351255823675584</c:v>
                      </c:pt>
                      <c:pt idx="51">
                        <c:v>1.9730692212375105</c:v>
                      </c:pt>
                    </c:numCache>
                  </c:numRef>
                </c:val>
                <c:smooth val="0"/>
                <c:extLst>
                  <c:ext xmlns:c16="http://schemas.microsoft.com/office/drawing/2014/chart" uri="{C3380CC4-5D6E-409C-BE32-E72D297353CC}">
                    <c16:uniqueId val="{00000006-9C18-41DC-8D83-194E2557F4DD}"/>
                  </c:ext>
                </c:extLst>
              </c15:ser>
            </c15:filteredLineSeries>
            <c15:filteredLineSeries>
              <c15:ser>
                <c:idx val="5"/>
                <c:order val="2"/>
                <c:tx>
                  <c:strRef>
                    <c:extLst xmlns:c15="http://schemas.microsoft.com/office/drawing/2012/chart">
                      <c:ext xmlns:c15="http://schemas.microsoft.com/office/drawing/2012/chart" uri="{02D57815-91ED-43cb-92C2-25804820EDAC}">
                        <c15:formulaRef>
                          <c15:sqref>'PBL OLD'!$CW$6:$CW$7</c15:sqref>
                        </c15:formulaRef>
                      </c:ext>
                    </c:extLst>
                    <c:strCache>
                      <c:ptCount val="2"/>
                      <c:pt idx="0">
                        <c:v>1st Percentile</c:v>
                      </c:pt>
                    </c:strCache>
                  </c:strRef>
                </c:tx>
                <c:spPr>
                  <a:ln w="28575" cap="rnd">
                    <a:solidFill>
                      <a:schemeClr val="accent6"/>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OLD'!$CW$8:$CW$60</c15:sqref>
                        </c15:formulaRef>
                      </c:ext>
                    </c:extLst>
                    <c:numCache>
                      <c:formatCode>0.000</c:formatCode>
                      <c:ptCount val="53"/>
                      <c:pt idx="0">
                        <c:v>4.5436313528305135E-2</c:v>
                      </c:pt>
                      <c:pt idx="1">
                        <c:v>9.087262705661027E-2</c:v>
                      </c:pt>
                      <c:pt idx="2">
                        <c:v>0.13630894058491541</c:v>
                      </c:pt>
                      <c:pt idx="3">
                        <c:v>0.18174525411322054</c:v>
                      </c:pt>
                      <c:pt idx="4">
                        <c:v>0.22718156764152567</c:v>
                      </c:pt>
                      <c:pt idx="5">
                        <c:v>0.27261788116983082</c:v>
                      </c:pt>
                      <c:pt idx="6">
                        <c:v>0.31805419469813595</c:v>
                      </c:pt>
                      <c:pt idx="7">
                        <c:v>0.36349050822644108</c:v>
                      </c:pt>
                      <c:pt idx="8">
                        <c:v>0.40892682175474621</c:v>
                      </c:pt>
                      <c:pt idx="9">
                        <c:v>0.45436313528305133</c:v>
                      </c:pt>
                      <c:pt idx="10">
                        <c:v>0.49979944881135646</c:v>
                      </c:pt>
                      <c:pt idx="11">
                        <c:v>0.54523576233966164</c:v>
                      </c:pt>
                      <c:pt idx="12">
                        <c:v>0.59067207586796677</c:v>
                      </c:pt>
                      <c:pt idx="13">
                        <c:v>0.6361083893962719</c:v>
                      </c:pt>
                      <c:pt idx="14">
                        <c:v>0.68154470292457703</c:v>
                      </c:pt>
                      <c:pt idx="15">
                        <c:v>0.72698101645288216</c:v>
                      </c:pt>
                      <c:pt idx="16">
                        <c:v>0.77241732998118728</c:v>
                      </c:pt>
                      <c:pt idx="17">
                        <c:v>0.81785364350949241</c:v>
                      </c:pt>
                      <c:pt idx="18">
                        <c:v>0.86328995703779754</c:v>
                      </c:pt>
                      <c:pt idx="19">
                        <c:v>0.90872627056610267</c:v>
                      </c:pt>
                      <c:pt idx="20">
                        <c:v>0.9541625840944078</c:v>
                      </c:pt>
                      <c:pt idx="21">
                        <c:v>0.99959889762271292</c:v>
                      </c:pt>
                      <c:pt idx="22">
                        <c:v>1.0450352111510182</c:v>
                      </c:pt>
                      <c:pt idx="23">
                        <c:v>1.0904715246793233</c:v>
                      </c:pt>
                      <c:pt idx="24">
                        <c:v>1.1359078382076284</c:v>
                      </c:pt>
                      <c:pt idx="25">
                        <c:v>1.1813441517359335</c:v>
                      </c:pt>
                      <c:pt idx="26">
                        <c:v>1.2267804652642387</c:v>
                      </c:pt>
                      <c:pt idx="27">
                        <c:v>1.2722167787925438</c:v>
                      </c:pt>
                      <c:pt idx="28">
                        <c:v>1.3176530923208489</c:v>
                      </c:pt>
                      <c:pt idx="29">
                        <c:v>1.3630894058491541</c:v>
                      </c:pt>
                      <c:pt idx="30">
                        <c:v>1.4085257193774592</c:v>
                      </c:pt>
                      <c:pt idx="31">
                        <c:v>1.4539620329057643</c:v>
                      </c:pt>
                      <c:pt idx="32">
                        <c:v>1.4993983464340694</c:v>
                      </c:pt>
                      <c:pt idx="33">
                        <c:v>1.5448346599623746</c:v>
                      </c:pt>
                      <c:pt idx="34">
                        <c:v>1.5902709734906797</c:v>
                      </c:pt>
                      <c:pt idx="35">
                        <c:v>1.6357072870189848</c:v>
                      </c:pt>
                      <c:pt idx="36">
                        <c:v>1.68114360054729</c:v>
                      </c:pt>
                      <c:pt idx="37">
                        <c:v>1.7265799140755951</c:v>
                      </c:pt>
                      <c:pt idx="38">
                        <c:v>1.7720162276039002</c:v>
                      </c:pt>
                      <c:pt idx="39">
                        <c:v>1.8174525411322053</c:v>
                      </c:pt>
                      <c:pt idx="40">
                        <c:v>1.8628888546605105</c:v>
                      </c:pt>
                      <c:pt idx="41">
                        <c:v>1.9083251681888156</c:v>
                      </c:pt>
                      <c:pt idx="42">
                        <c:v>1.9537614817171207</c:v>
                      </c:pt>
                      <c:pt idx="43">
                        <c:v>1.9991977952454258</c:v>
                      </c:pt>
                      <c:pt idx="44">
                        <c:v>2.0446341087737312</c:v>
                      </c:pt>
                      <c:pt idx="45">
                        <c:v>2.0900704223020363</c:v>
                      </c:pt>
                      <c:pt idx="46">
                        <c:v>2.1355067358303415</c:v>
                      </c:pt>
                      <c:pt idx="47">
                        <c:v>2.1809430493586466</c:v>
                      </c:pt>
                      <c:pt idx="48">
                        <c:v>2.2263793628869517</c:v>
                      </c:pt>
                      <c:pt idx="49">
                        <c:v>2.2718156764152568</c:v>
                      </c:pt>
                      <c:pt idx="50">
                        <c:v>2.317251989943562</c:v>
                      </c:pt>
                      <c:pt idx="51">
                        <c:v>2.3626883034718671</c:v>
                      </c:pt>
                    </c:numCache>
                  </c:numRef>
                </c:val>
                <c:smooth val="0"/>
                <c:extLst xmlns:c15="http://schemas.microsoft.com/office/drawing/2012/chart">
                  <c:ext xmlns:c16="http://schemas.microsoft.com/office/drawing/2014/chart" uri="{C3380CC4-5D6E-409C-BE32-E72D297353CC}">
                    <c16:uniqueId val="{00000007-9C18-41DC-8D83-194E2557F4DD}"/>
                  </c:ext>
                </c:extLst>
              </c15:ser>
            </c15:filteredLineSeries>
            <c15:filteredLineSeries>
              <c15:ser>
                <c:idx val="1"/>
                <c:order val="4"/>
                <c:tx>
                  <c:strRef>
                    <c:extLst xmlns:c15="http://schemas.microsoft.com/office/drawing/2012/chart">
                      <c:ext xmlns:c15="http://schemas.microsoft.com/office/drawing/2012/chart" uri="{02D57815-91ED-43cb-92C2-25804820EDAC}">
                        <c15:formulaRef>
                          <c15:sqref>'PBL OLD'!$CY$6:$CY$7</c15:sqref>
                        </c15:formulaRef>
                      </c:ext>
                    </c:extLst>
                    <c:strCache>
                      <c:ptCount val="2"/>
                      <c:pt idx="0">
                        <c:v>10th Percentile</c:v>
                      </c:pt>
                    </c:strCache>
                  </c:strRef>
                </c:tx>
                <c:spPr>
                  <a:ln w="28575" cap="rnd" cmpd="sng">
                    <a:solidFill>
                      <a:schemeClr val="accent2"/>
                    </a:solidFill>
                    <a:prstDash val="sysDot"/>
                    <a:round/>
                    <a:headEnd type="none"/>
                  </a:ln>
                  <a:effectLst/>
                </c:spPr>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OLD'!$CY$8:$CY$60</c15:sqref>
                        </c15:formulaRef>
                      </c:ext>
                    </c:extLst>
                    <c:numCache>
                      <c:formatCode>0.000</c:formatCode>
                      <c:ptCount val="53"/>
                      <c:pt idx="0">
                        <c:v>5.0502007292025322E-2</c:v>
                      </c:pt>
                      <c:pt idx="1">
                        <c:v>0.10100401458405064</c:v>
                      </c:pt>
                      <c:pt idx="2">
                        <c:v>0.15150602187607598</c:v>
                      </c:pt>
                      <c:pt idx="3">
                        <c:v>0.20200802916810129</c:v>
                      </c:pt>
                      <c:pt idx="4">
                        <c:v>0.2525100364601266</c:v>
                      </c:pt>
                      <c:pt idx="5">
                        <c:v>0.30301204375215191</c:v>
                      </c:pt>
                      <c:pt idx="6">
                        <c:v>0.35351405104417721</c:v>
                      </c:pt>
                      <c:pt idx="7">
                        <c:v>0.40401605833620252</c:v>
                      </c:pt>
                      <c:pt idx="8">
                        <c:v>0.45451806562822783</c:v>
                      </c:pt>
                      <c:pt idx="9">
                        <c:v>0.50502007292025319</c:v>
                      </c:pt>
                      <c:pt idx="10">
                        <c:v>0.55552208021227856</c:v>
                      </c:pt>
                      <c:pt idx="11">
                        <c:v>0.60602408750430392</c:v>
                      </c:pt>
                      <c:pt idx="12">
                        <c:v>0.65652609479632928</c:v>
                      </c:pt>
                      <c:pt idx="13">
                        <c:v>0.70702810208835465</c:v>
                      </c:pt>
                      <c:pt idx="14">
                        <c:v>0.75753010938038001</c:v>
                      </c:pt>
                      <c:pt idx="15">
                        <c:v>0.80803211667240538</c:v>
                      </c:pt>
                      <c:pt idx="16">
                        <c:v>0.85853412396443074</c:v>
                      </c:pt>
                      <c:pt idx="17">
                        <c:v>0.9090361312564561</c:v>
                      </c:pt>
                      <c:pt idx="18">
                        <c:v>0.95953813854848147</c:v>
                      </c:pt>
                      <c:pt idx="19">
                        <c:v>1.0100401458405068</c:v>
                      </c:pt>
                      <c:pt idx="20">
                        <c:v>1.0605421531325321</c:v>
                      </c:pt>
                      <c:pt idx="21">
                        <c:v>1.1110441604245573</c:v>
                      </c:pt>
                      <c:pt idx="22">
                        <c:v>1.1615461677165826</c:v>
                      </c:pt>
                      <c:pt idx="23">
                        <c:v>1.2120481750086078</c:v>
                      </c:pt>
                      <c:pt idx="24">
                        <c:v>1.2625501823006331</c:v>
                      </c:pt>
                      <c:pt idx="25">
                        <c:v>1.3130521895926583</c:v>
                      </c:pt>
                      <c:pt idx="26">
                        <c:v>1.3635541968846836</c:v>
                      </c:pt>
                      <c:pt idx="27">
                        <c:v>1.4140562041767089</c:v>
                      </c:pt>
                      <c:pt idx="28">
                        <c:v>1.4645582114687341</c:v>
                      </c:pt>
                      <c:pt idx="29">
                        <c:v>1.5150602187607594</c:v>
                      </c:pt>
                      <c:pt idx="30">
                        <c:v>1.5655622260527846</c:v>
                      </c:pt>
                      <c:pt idx="31">
                        <c:v>1.6160642333448099</c:v>
                      </c:pt>
                      <c:pt idx="32">
                        <c:v>1.6665662406368351</c:v>
                      </c:pt>
                      <c:pt idx="33">
                        <c:v>1.7170682479288604</c:v>
                      </c:pt>
                      <c:pt idx="34">
                        <c:v>1.7675702552208856</c:v>
                      </c:pt>
                      <c:pt idx="35">
                        <c:v>1.8180722625129109</c:v>
                      </c:pt>
                      <c:pt idx="36">
                        <c:v>1.8685742698049361</c:v>
                      </c:pt>
                      <c:pt idx="37">
                        <c:v>1.9190762770969614</c:v>
                      </c:pt>
                      <c:pt idx="38">
                        <c:v>1.9695782843889866</c:v>
                      </c:pt>
                      <c:pt idx="39">
                        <c:v>2.0200802916810119</c:v>
                      </c:pt>
                      <c:pt idx="40">
                        <c:v>2.0705822989730374</c:v>
                      </c:pt>
                      <c:pt idx="41">
                        <c:v>2.1210843062650628</c:v>
                      </c:pt>
                      <c:pt idx="42">
                        <c:v>2.1715863135570883</c:v>
                      </c:pt>
                      <c:pt idx="43">
                        <c:v>2.2220883208491138</c:v>
                      </c:pt>
                      <c:pt idx="44">
                        <c:v>2.2725903281411393</c:v>
                      </c:pt>
                      <c:pt idx="45">
                        <c:v>2.3230923354331647</c:v>
                      </c:pt>
                      <c:pt idx="46">
                        <c:v>2.3735943427251902</c:v>
                      </c:pt>
                      <c:pt idx="47">
                        <c:v>2.4240963500172157</c:v>
                      </c:pt>
                      <c:pt idx="48">
                        <c:v>2.4745983573092412</c:v>
                      </c:pt>
                      <c:pt idx="49">
                        <c:v>2.5251003646012666</c:v>
                      </c:pt>
                      <c:pt idx="50">
                        <c:v>2.5756023718932921</c:v>
                      </c:pt>
                      <c:pt idx="51">
                        <c:v>2.6261043791853176</c:v>
                      </c:pt>
                    </c:numCache>
                  </c:numRef>
                </c:val>
                <c:smooth val="0"/>
                <c:extLst xmlns:c15="http://schemas.microsoft.com/office/drawing/2012/chart">
                  <c:ext xmlns:c16="http://schemas.microsoft.com/office/drawing/2014/chart" uri="{C3380CC4-5D6E-409C-BE32-E72D297353CC}">
                    <c16:uniqueId val="{00000008-9C18-41DC-8D83-194E2557F4DD}"/>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'PBL OLD'!$DC$6:$DC$7</c15:sqref>
                        </c15:formulaRef>
                      </c:ext>
                    </c:extLst>
                    <c:strCache>
                      <c:ptCount val="2"/>
                      <c:pt idx="0">
                        <c:v>90th Percentile</c:v>
                      </c:pt>
                    </c:strCache>
                  </c:strRef>
                </c:tx>
                <c:spPr>
                  <a:ln w="28575">
                    <a:solidFill>
                      <a:schemeClr val="accent1"/>
                    </a:solidFill>
                    <a:prstDash val="sysDot"/>
                  </a:ln>
                </c:spPr>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OLD'!$DC$8:$DC$60</c15:sqref>
                        </c15:formulaRef>
                      </c:ext>
                    </c:extLst>
                    <c:numCache>
                      <c:formatCode>0.000</c:formatCode>
                      <c:ptCount val="53"/>
                      <c:pt idx="0">
                        <c:v>7.261484324723147E-2</c:v>
                      </c:pt>
                      <c:pt idx="1">
                        <c:v>0.14522968649446294</c:v>
                      </c:pt>
                      <c:pt idx="2">
                        <c:v>0.21784452974169441</c:v>
                      </c:pt>
                      <c:pt idx="3">
                        <c:v>0.29045937298892588</c:v>
                      </c:pt>
                      <c:pt idx="4">
                        <c:v>0.36307421623615732</c:v>
                      </c:pt>
                      <c:pt idx="5">
                        <c:v>0.43568905948338876</c:v>
                      </c:pt>
                      <c:pt idx="6">
                        <c:v>0.50830390273062021</c:v>
                      </c:pt>
                      <c:pt idx="7">
                        <c:v>0.58091874597785165</c:v>
                      </c:pt>
                      <c:pt idx="8">
                        <c:v>0.65353358922508309</c:v>
                      </c:pt>
                      <c:pt idx="9">
                        <c:v>0.72614843247231453</c:v>
                      </c:pt>
                      <c:pt idx="10">
                        <c:v>0.79876327571954597</c:v>
                      </c:pt>
                      <c:pt idx="11">
                        <c:v>0.87137811896677742</c:v>
                      </c:pt>
                      <c:pt idx="12">
                        <c:v>0.94399296221400886</c:v>
                      </c:pt>
                      <c:pt idx="13">
                        <c:v>1.0166078054612404</c:v>
                      </c:pt>
                      <c:pt idx="14">
                        <c:v>1.089222648708472</c:v>
                      </c:pt>
                      <c:pt idx="15">
                        <c:v>1.1618374919557035</c:v>
                      </c:pt>
                      <c:pt idx="16">
                        <c:v>1.2344523352029351</c:v>
                      </c:pt>
                      <c:pt idx="17">
                        <c:v>1.3070671784501666</c:v>
                      </c:pt>
                      <c:pt idx="18">
                        <c:v>1.3796820216973982</c:v>
                      </c:pt>
                      <c:pt idx="19">
                        <c:v>1.4522968649446297</c:v>
                      </c:pt>
                      <c:pt idx="20">
                        <c:v>1.5249117081918613</c:v>
                      </c:pt>
                      <c:pt idx="21">
                        <c:v>1.5975265514390928</c:v>
                      </c:pt>
                      <c:pt idx="22">
                        <c:v>1.6701413946863244</c:v>
                      </c:pt>
                      <c:pt idx="23">
                        <c:v>1.7427562379335559</c:v>
                      </c:pt>
                      <c:pt idx="24">
                        <c:v>1.8153710811807875</c:v>
                      </c:pt>
                      <c:pt idx="25">
                        <c:v>1.887985924428019</c:v>
                      </c:pt>
                      <c:pt idx="26">
                        <c:v>1.9606007676752506</c:v>
                      </c:pt>
                      <c:pt idx="27">
                        <c:v>2.0332156109224822</c:v>
                      </c:pt>
                      <c:pt idx="28">
                        <c:v>2.1058304541697135</c:v>
                      </c:pt>
                      <c:pt idx="29">
                        <c:v>2.1784452974169448</c:v>
                      </c:pt>
                      <c:pt idx="30">
                        <c:v>2.2510601406641761</c:v>
                      </c:pt>
                      <c:pt idx="31">
                        <c:v>2.3236749839114075</c:v>
                      </c:pt>
                      <c:pt idx="32">
                        <c:v>2.3962898271586388</c:v>
                      </c:pt>
                      <c:pt idx="33">
                        <c:v>2.4689046704058701</c:v>
                      </c:pt>
                      <c:pt idx="34">
                        <c:v>2.5415195136531015</c:v>
                      </c:pt>
                      <c:pt idx="35">
                        <c:v>2.6141343569003328</c:v>
                      </c:pt>
                      <c:pt idx="36">
                        <c:v>2.6867492001475641</c:v>
                      </c:pt>
                      <c:pt idx="37">
                        <c:v>2.7593640433947955</c:v>
                      </c:pt>
                      <c:pt idx="38">
                        <c:v>2.8319788866420268</c:v>
                      </c:pt>
                      <c:pt idx="39">
                        <c:v>2.9045937298892581</c:v>
                      </c:pt>
                      <c:pt idx="40">
                        <c:v>2.9772085731364895</c:v>
                      </c:pt>
                      <c:pt idx="41">
                        <c:v>3.0498234163837208</c:v>
                      </c:pt>
                      <c:pt idx="42">
                        <c:v>3.1224382596309521</c:v>
                      </c:pt>
                      <c:pt idx="43">
                        <c:v>3.1950531028781834</c:v>
                      </c:pt>
                      <c:pt idx="44">
                        <c:v>3.2676679461254148</c:v>
                      </c:pt>
                      <c:pt idx="45">
                        <c:v>3.3402827893726461</c:v>
                      </c:pt>
                      <c:pt idx="46">
                        <c:v>3.4128976326198774</c:v>
                      </c:pt>
                      <c:pt idx="47">
                        <c:v>3.4855124758671088</c:v>
                      </c:pt>
                      <c:pt idx="48">
                        <c:v>3.5581273191143401</c:v>
                      </c:pt>
                      <c:pt idx="49">
                        <c:v>3.6307421623615714</c:v>
                      </c:pt>
                      <c:pt idx="50">
                        <c:v>3.7033570056088028</c:v>
                      </c:pt>
                      <c:pt idx="51">
                        <c:v>3.7759718488560341</c:v>
                      </c:pt>
                    </c:numCache>
                  </c:numRef>
                </c:val>
                <c:smooth val="0"/>
                <c:extLst xmlns:c15="http://schemas.microsoft.com/office/drawing/2012/chart">
                  <c:ext xmlns:c16="http://schemas.microsoft.com/office/drawing/2014/chart" uri="{C3380CC4-5D6E-409C-BE32-E72D297353CC}">
                    <c16:uniqueId val="{00000009-9C18-41DC-8D83-194E2557F4DD}"/>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'PBL OLD'!$DE$6:$DE$7</c15:sqref>
                        </c15:formulaRef>
                      </c:ext>
                    </c:extLst>
                    <c:strCache>
                      <c:ptCount val="2"/>
                      <c:pt idx="0">
                        <c:v>99th Percentile</c:v>
                      </c:pt>
                    </c:strCache>
                  </c:strRef>
                </c:tx>
                <c:spPr>
                  <a:ln w="28575">
                    <a:solidFill>
                      <a:schemeClr val="accent1"/>
                    </a:solidFill>
                    <a:prstDash val="sysDot"/>
                  </a:ln>
                </c:spPr>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OLD'!$DE$8:$DE$60</c15:sqref>
                        </c15:formulaRef>
                      </c:ext>
                    </c:extLst>
                    <c:numCache>
                      <c:formatCode>0.000</c:formatCode>
                      <c:ptCount val="53"/>
                      <c:pt idx="0">
                        <c:v>8.472863847550996E-2</c:v>
                      </c:pt>
                      <c:pt idx="1">
                        <c:v>0.16945727695101992</c:v>
                      </c:pt>
                      <c:pt idx="2">
                        <c:v>0.25418591542652991</c:v>
                      </c:pt>
                      <c:pt idx="3">
                        <c:v>0.33891455390203984</c:v>
                      </c:pt>
                      <c:pt idx="4">
                        <c:v>0.42364319237754977</c:v>
                      </c:pt>
                      <c:pt idx="5">
                        <c:v>0.5083718308530597</c:v>
                      </c:pt>
                      <c:pt idx="6">
                        <c:v>0.59310046932856963</c:v>
                      </c:pt>
                      <c:pt idx="7">
                        <c:v>0.67782910780407957</c:v>
                      </c:pt>
                      <c:pt idx="8">
                        <c:v>0.7625577462795895</c:v>
                      </c:pt>
                      <c:pt idx="9">
                        <c:v>0.84728638475509943</c:v>
                      </c:pt>
                      <c:pt idx="10">
                        <c:v>0.93201502323060936</c:v>
                      </c:pt>
                      <c:pt idx="11">
                        <c:v>1.0167436617061194</c:v>
                      </c:pt>
                      <c:pt idx="12">
                        <c:v>1.1014723001816293</c:v>
                      </c:pt>
                      <c:pt idx="13">
                        <c:v>1.1862009386571393</c:v>
                      </c:pt>
                      <c:pt idx="14">
                        <c:v>1.2709295771326492</c:v>
                      </c:pt>
                      <c:pt idx="15">
                        <c:v>1.3556582156081591</c:v>
                      </c:pt>
                      <c:pt idx="16">
                        <c:v>1.4403868540836691</c:v>
                      </c:pt>
                      <c:pt idx="17">
                        <c:v>1.525115492559179</c:v>
                      </c:pt>
                      <c:pt idx="18">
                        <c:v>1.6098441310346889</c:v>
                      </c:pt>
                      <c:pt idx="19">
                        <c:v>1.6945727695101989</c:v>
                      </c:pt>
                      <c:pt idx="20">
                        <c:v>1.7793014079857088</c:v>
                      </c:pt>
                      <c:pt idx="21">
                        <c:v>1.8640300464612187</c:v>
                      </c:pt>
                      <c:pt idx="22">
                        <c:v>1.9487586849367287</c:v>
                      </c:pt>
                      <c:pt idx="23">
                        <c:v>2.0334873234122388</c:v>
                      </c:pt>
                      <c:pt idx="24">
                        <c:v>2.1182159618877487</c:v>
                      </c:pt>
                      <c:pt idx="25">
                        <c:v>2.2029446003632587</c:v>
                      </c:pt>
                      <c:pt idx="26">
                        <c:v>2.2876732388387686</c:v>
                      </c:pt>
                      <c:pt idx="27">
                        <c:v>2.3724018773142785</c:v>
                      </c:pt>
                      <c:pt idx="28">
                        <c:v>2.4571305157897885</c:v>
                      </c:pt>
                      <c:pt idx="29">
                        <c:v>2.5418591542652984</c:v>
                      </c:pt>
                      <c:pt idx="30">
                        <c:v>2.6265877927408083</c:v>
                      </c:pt>
                      <c:pt idx="31">
                        <c:v>2.7113164312163183</c:v>
                      </c:pt>
                      <c:pt idx="32">
                        <c:v>2.7960450696918282</c:v>
                      </c:pt>
                      <c:pt idx="33">
                        <c:v>2.8807737081673381</c:v>
                      </c:pt>
                      <c:pt idx="34">
                        <c:v>2.9655023466428481</c:v>
                      </c:pt>
                      <c:pt idx="35">
                        <c:v>3.050230985118358</c:v>
                      </c:pt>
                      <c:pt idx="36">
                        <c:v>3.1349596235938679</c:v>
                      </c:pt>
                      <c:pt idx="37">
                        <c:v>3.2196882620693779</c:v>
                      </c:pt>
                      <c:pt idx="38">
                        <c:v>3.3044169005448878</c:v>
                      </c:pt>
                      <c:pt idx="39">
                        <c:v>3.3891455390203977</c:v>
                      </c:pt>
                      <c:pt idx="40">
                        <c:v>3.4738741774959077</c:v>
                      </c:pt>
                      <c:pt idx="41">
                        <c:v>3.5586028159714176</c:v>
                      </c:pt>
                      <c:pt idx="42">
                        <c:v>3.6433314544469275</c:v>
                      </c:pt>
                      <c:pt idx="43">
                        <c:v>3.7280600929224375</c:v>
                      </c:pt>
                      <c:pt idx="44">
                        <c:v>3.8127887313979474</c:v>
                      </c:pt>
                      <c:pt idx="45">
                        <c:v>3.8975173698734573</c:v>
                      </c:pt>
                      <c:pt idx="46">
                        <c:v>3.9822460083489672</c:v>
                      </c:pt>
                      <c:pt idx="47">
                        <c:v>4.0669746468244776</c:v>
                      </c:pt>
                      <c:pt idx="48">
                        <c:v>4.1517032852999876</c:v>
                      </c:pt>
                      <c:pt idx="49">
                        <c:v>4.2364319237754975</c:v>
                      </c:pt>
                      <c:pt idx="50">
                        <c:v>4.3211605622510074</c:v>
                      </c:pt>
                      <c:pt idx="51">
                        <c:v>4.4058892007265174</c:v>
                      </c:pt>
                    </c:numCache>
                  </c:numRef>
                </c:val>
                <c:smooth val="0"/>
                <c:extLst xmlns:c15="http://schemas.microsoft.com/office/drawing/2012/chart">
                  <c:ext xmlns:c16="http://schemas.microsoft.com/office/drawing/2014/chart" uri="{C3380CC4-5D6E-409C-BE32-E72D297353CC}">
                    <c16:uniqueId val="{0000000A-9C18-41DC-8D83-194E2557F4DD}"/>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'PBL OLD'!$DF$6:$DF$7</c15:sqref>
                        </c15:formulaRef>
                      </c:ext>
                    </c:extLst>
                    <c:strCache>
                      <c:ptCount val="2"/>
                      <c:pt idx="0">
                        <c:v>Max</c:v>
                      </c:pt>
                    </c:strCache>
                  </c:strRef>
                </c:tx>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OLD'!$DF$8:$DF$60</c15:sqref>
                        </c15:formulaRef>
                      </c:ext>
                    </c:extLst>
                    <c:numCache>
                      <c:formatCode>0.000</c:formatCode>
                      <c:ptCount val="53"/>
                      <c:pt idx="0">
                        <c:v>0.10288241710741779</c:v>
                      </c:pt>
                      <c:pt idx="1">
                        <c:v>0.20576483421483557</c:v>
                      </c:pt>
                      <c:pt idx="2">
                        <c:v>0.30864725132225335</c:v>
                      </c:pt>
                      <c:pt idx="3">
                        <c:v>0.41152966842967115</c:v>
                      </c:pt>
                      <c:pt idx="4">
                        <c:v>0.51441208553708895</c:v>
                      </c:pt>
                      <c:pt idx="5">
                        <c:v>0.61729450264450669</c:v>
                      </c:pt>
                      <c:pt idx="6">
                        <c:v>0.72017691975192444</c:v>
                      </c:pt>
                      <c:pt idx="7">
                        <c:v>0.82305933685934218</c:v>
                      </c:pt>
                      <c:pt idx="8">
                        <c:v>0.92594175396675993</c:v>
                      </c:pt>
                      <c:pt idx="9">
                        <c:v>1.0288241710741777</c:v>
                      </c:pt>
                      <c:pt idx="10">
                        <c:v>1.1317065881815955</c:v>
                      </c:pt>
                      <c:pt idx="11">
                        <c:v>1.2345890052890134</c:v>
                      </c:pt>
                      <c:pt idx="12">
                        <c:v>1.3374714223964312</c:v>
                      </c:pt>
                      <c:pt idx="13">
                        <c:v>1.4403538395038491</c:v>
                      </c:pt>
                      <c:pt idx="14">
                        <c:v>1.543236256611267</c:v>
                      </c:pt>
                      <c:pt idx="15">
                        <c:v>1.6461186737186848</c:v>
                      </c:pt>
                      <c:pt idx="16">
                        <c:v>1.7490010908261027</c:v>
                      </c:pt>
                      <c:pt idx="17">
                        <c:v>1.8518835079335205</c:v>
                      </c:pt>
                      <c:pt idx="18">
                        <c:v>1.9547659250409384</c:v>
                      </c:pt>
                      <c:pt idx="19">
                        <c:v>2.0576483421483562</c:v>
                      </c:pt>
                      <c:pt idx="20">
                        <c:v>2.1605307592557739</c:v>
                      </c:pt>
                      <c:pt idx="21">
                        <c:v>2.2634131763631915</c:v>
                      </c:pt>
                      <c:pt idx="22">
                        <c:v>2.3662955934706091</c:v>
                      </c:pt>
                      <c:pt idx="23">
                        <c:v>2.4691780105780268</c:v>
                      </c:pt>
                      <c:pt idx="24">
                        <c:v>2.5720604276854444</c:v>
                      </c:pt>
                      <c:pt idx="25">
                        <c:v>2.674942844792862</c:v>
                      </c:pt>
                      <c:pt idx="26">
                        <c:v>2.7778252619002797</c:v>
                      </c:pt>
                      <c:pt idx="27">
                        <c:v>2.8807076790076973</c:v>
                      </c:pt>
                      <c:pt idx="28">
                        <c:v>2.9835900961151149</c:v>
                      </c:pt>
                      <c:pt idx="29">
                        <c:v>3.0864725132225326</c:v>
                      </c:pt>
                      <c:pt idx="30">
                        <c:v>3.1893549303299502</c:v>
                      </c:pt>
                      <c:pt idx="31">
                        <c:v>3.2922373474373678</c:v>
                      </c:pt>
                      <c:pt idx="32">
                        <c:v>3.3951197645447855</c:v>
                      </c:pt>
                      <c:pt idx="33">
                        <c:v>3.4980021816522031</c:v>
                      </c:pt>
                      <c:pt idx="34">
                        <c:v>3.6008845987596207</c:v>
                      </c:pt>
                      <c:pt idx="35">
                        <c:v>3.7037670158670384</c:v>
                      </c:pt>
                      <c:pt idx="36">
                        <c:v>3.806649432974456</c:v>
                      </c:pt>
                      <c:pt idx="37">
                        <c:v>3.9095318500818736</c:v>
                      </c:pt>
                      <c:pt idx="38">
                        <c:v>4.0124142671892917</c:v>
                      </c:pt>
                      <c:pt idx="39">
                        <c:v>4.1152966842967098</c:v>
                      </c:pt>
                      <c:pt idx="40">
                        <c:v>4.2181791014041279</c:v>
                      </c:pt>
                      <c:pt idx="41">
                        <c:v>4.321061518511546</c:v>
                      </c:pt>
                      <c:pt idx="42">
                        <c:v>4.423943935618964</c:v>
                      </c:pt>
                      <c:pt idx="43">
                        <c:v>4.5268263527263821</c:v>
                      </c:pt>
                      <c:pt idx="44">
                        <c:v>4.6297087698338002</c:v>
                      </c:pt>
                      <c:pt idx="45">
                        <c:v>4.7325911869412183</c:v>
                      </c:pt>
                      <c:pt idx="46">
                        <c:v>4.8354736040486364</c:v>
                      </c:pt>
                      <c:pt idx="47">
                        <c:v>4.9383560211560544</c:v>
                      </c:pt>
                      <c:pt idx="48">
                        <c:v>5.0412384382634725</c:v>
                      </c:pt>
                      <c:pt idx="49">
                        <c:v>5.1441208553708906</c:v>
                      </c:pt>
                      <c:pt idx="50">
                        <c:v>5.2470032724783087</c:v>
                      </c:pt>
                      <c:pt idx="51">
                        <c:v>5.3498856895857267</c:v>
                      </c:pt>
                    </c:numCache>
                  </c:numRef>
                </c:val>
                <c:smooth val="0"/>
                <c:extLst xmlns:c15="http://schemas.microsoft.com/office/drawing/2012/chart">
                  <c:ext xmlns:c16="http://schemas.microsoft.com/office/drawing/2014/chart" uri="{C3380CC4-5D6E-409C-BE32-E72D297353CC}">
                    <c16:uniqueId val="{0000000B-9C18-41DC-8D83-194E2557F4DD}"/>
                  </c:ext>
                </c:extLst>
              </c15:ser>
            </c15:filteredLineSeries>
          </c:ext>
        </c:extLst>
      </c:lineChart>
      <c:dateAx>
        <c:axId val="1388952432"/>
        <c:scaling>
          <c:orientation val="minMax"/>
        </c:scaling>
        <c:delete val="0"/>
        <c:axPos val="b"/>
        <c:numFmt formatCode="mmm\-yy_);\(###0\);&quot;-  &quot;;&quot; &quot;@&quot; &quot;" sourceLinked="0"/>
        <c:majorTickMark val="none"/>
        <c:minorTickMark val="none"/>
        <c:tickLblPos val="nextTo"/>
        <c:spPr>
          <a:noFill/>
          <a:ln w="9525" cap="flat" cmpd="sng" algn="ctr">
            <a:noFill/>
            <a:round/>
          </a:ln>
          <a:effectLst/>
        </c:spPr>
        <c:txPr>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3088"/>
        <c:crosses val="autoZero"/>
        <c:auto val="1"/>
        <c:lblOffset val="100"/>
        <c:baseTimeUnit val="days"/>
        <c:majorUnit val="1"/>
        <c:majorTimeUnit val="months"/>
      </c:dateAx>
      <c:valAx>
        <c:axId val="13889530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2432"/>
        <c:crosses val="autoZero"/>
        <c:crossBetween val="between"/>
      </c:valAx>
    </c:plotArea>
    <c:legend>
      <c:legendPos val="b"/>
      <c:legendEntry>
        <c:idx val="1"/>
        <c:delete val="1"/>
      </c:legendEntry>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orientation="portrait"/>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'PBL OLD'!$BG$35</c:f>
              <c:strCache>
                <c:ptCount val="1"/>
                <c:pt idx="0">
                  <c:v>Delete</c:v>
                </c:pt>
              </c:strCache>
            </c:strRef>
          </c:tx>
          <c:spPr>
            <a:noFill/>
          </c:spPr>
          <c:invertIfNegative val="0"/>
          <c:cat>
            <c:strRef>
              <c:extLst>
                <c:ext xmlns:c15="http://schemas.microsoft.com/office/drawing/2012/chart" uri="{02D57815-91ED-43cb-92C2-25804820EDAC}">
                  <c15:fullRef>
                    <c15:sqref>'PBL OLD'!$BH$9:$BN$9</c15:sqref>
                  </c15:fullRef>
                </c:ext>
              </c:extLst>
              <c:f>('PBL OLD'!$BH$9:$BK$9,'PBL OLD'!$BM$9:$BN$9)</c:f>
              <c:strCache>
                <c:ptCount val="6"/>
                <c:pt idx="0">
                  <c:v>FY18</c:v>
                </c:pt>
                <c:pt idx="1">
                  <c:v>FY19</c:v>
                </c:pt>
                <c:pt idx="2">
                  <c:v>FY20</c:v>
                </c:pt>
                <c:pt idx="3">
                  <c:v>FY21</c:v>
                </c:pt>
                <c:pt idx="4">
                  <c:v>FY23e</c:v>
                </c:pt>
                <c:pt idx="5">
                  <c:v>FY22 ytd</c:v>
                </c:pt>
              </c:strCache>
            </c:strRef>
          </c:cat>
          <c:val>
            <c:numRef>
              <c:extLst>
                <c:ext xmlns:c15="http://schemas.microsoft.com/office/drawing/2012/chart" uri="{02D57815-91ED-43cb-92C2-25804820EDAC}">
                  <c15:fullRef>
                    <c15:sqref>'PBL OLD'!$BH$35:$BN$35</c15:sqref>
                  </c15:fullRef>
                </c:ext>
              </c:extLst>
              <c:f>('PBL OLD'!$BH$35:$BK$35,'PBL OLD'!$BM$35:$BN$35)</c:f>
              <c:numCache>
                <c:formatCode>0.0000</c:formatCode>
                <c:ptCount val="6"/>
                <c:pt idx="0">
                  <c:v>0.88898749196337468</c:v>
                </c:pt>
                <c:pt idx="1">
                  <c:v>1.2628339576374232</c:v>
                </c:pt>
                <c:pt idx="2">
                  <c:v>1.497466908542763</c:v>
                </c:pt>
                <c:pt idx="3">
                  <c:v>1.8014767645404111</c:v>
                </c:pt>
                <c:pt idx="4">
                  <c:v>1.6867811392566225</c:v>
                </c:pt>
                <c:pt idx="5">
                  <c:v>1.8374304196768296</c:v>
                </c:pt>
              </c:numCache>
            </c:numRef>
          </c:val>
          <c:extLst>
            <c:ext xmlns:c16="http://schemas.microsoft.com/office/drawing/2014/chart" uri="{C3380CC4-5D6E-409C-BE32-E72D297353CC}">
              <c16:uniqueId val="{00000000-EF67-4825-B464-C53893C3D06B}"/>
            </c:ext>
          </c:extLst>
        </c:ser>
        <c:ser>
          <c:idx val="6"/>
          <c:order val="1"/>
          <c:tx>
            <c:strRef>
              <c:f>'PBL OLD'!$BG$36</c:f>
              <c:strCache>
                <c:ptCount val="1"/>
                <c:pt idx="0">
                  <c:v>Min to 5th Percentile</c:v>
                </c:pt>
              </c:strCache>
            </c:strRef>
          </c:tx>
          <c:spPr>
            <a:noFill/>
          </c:spPr>
          <c:invertIfNegative val="0"/>
          <c:cat>
            <c:strRef>
              <c:extLst>
                <c:ext xmlns:c15="http://schemas.microsoft.com/office/drawing/2012/chart" uri="{02D57815-91ED-43cb-92C2-25804820EDAC}">
                  <c15:fullRef>
                    <c15:sqref>'PBL OLD'!$BH$9:$BN$9</c15:sqref>
                  </c15:fullRef>
                </c:ext>
              </c:extLst>
              <c:f>('PBL OLD'!$BH$9:$BK$9,'PBL OLD'!$BM$9:$BN$9)</c:f>
              <c:strCache>
                <c:ptCount val="6"/>
                <c:pt idx="0">
                  <c:v>FY18</c:v>
                </c:pt>
                <c:pt idx="1">
                  <c:v>FY19</c:v>
                </c:pt>
                <c:pt idx="2">
                  <c:v>FY20</c:v>
                </c:pt>
                <c:pt idx="3">
                  <c:v>FY21</c:v>
                </c:pt>
                <c:pt idx="4">
                  <c:v>FY23e</c:v>
                </c:pt>
                <c:pt idx="5">
                  <c:v>FY22 ytd</c:v>
                </c:pt>
              </c:strCache>
            </c:strRef>
          </c:cat>
          <c:val>
            <c:numRef>
              <c:extLst>
                <c:ext xmlns:c15="http://schemas.microsoft.com/office/drawing/2012/chart" uri="{02D57815-91ED-43cb-92C2-25804820EDAC}">
                  <c15:fullRef>
                    <c15:sqref>'PBL OLD'!$BH$36:$BN$36</c15:sqref>
                  </c15:fullRef>
                </c:ext>
              </c:extLst>
              <c:f>('PBL OLD'!$BH$36:$BK$36,'PBL OLD'!$BM$36:$BN$36)</c:f>
              <c:numCache>
                <c:formatCode>0.0000</c:formatCode>
                <c:ptCount val="6"/>
                <c:pt idx="0">
                  <c:v>0.1887850472067778</c:v>
                </c:pt>
                <c:pt idx="1">
                  <c:v>0.2713339913093713</c:v>
                </c:pt>
                <c:pt idx="2">
                  <c:v>0.33690357289335715</c:v>
                </c:pt>
                <c:pt idx="3">
                  <c:v>0.45935994667453928</c:v>
                </c:pt>
                <c:pt idx="4">
                  <c:v>0.47374977495426629</c:v>
                </c:pt>
                <c:pt idx="5">
                  <c:v>0.59522218044897857</c:v>
                </c:pt>
              </c:numCache>
            </c:numRef>
          </c:val>
          <c:extLst>
            <c:ext xmlns:c16="http://schemas.microsoft.com/office/drawing/2014/chart" uri="{C3380CC4-5D6E-409C-BE32-E72D297353CC}">
              <c16:uniqueId val="{00000001-EF67-4825-B464-C53893C3D06B}"/>
            </c:ext>
          </c:extLst>
        </c:ser>
        <c:ser>
          <c:idx val="8"/>
          <c:order val="2"/>
          <c:spPr>
            <a:solidFill>
              <a:schemeClr val="bg1">
                <a:lumMod val="85000"/>
              </a:schemeClr>
            </a:solidFill>
          </c:spPr>
          <c:invertIfNegative val="0"/>
          <c:cat>
            <c:strRef>
              <c:extLst>
                <c:ext xmlns:c15="http://schemas.microsoft.com/office/drawing/2012/chart" uri="{02D57815-91ED-43cb-92C2-25804820EDAC}">
                  <c15:fullRef>
                    <c15:sqref>'PBL OLD'!$BH$9:$BN$9</c15:sqref>
                  </c15:fullRef>
                </c:ext>
              </c:extLst>
              <c:f>('PBL OLD'!$BH$9:$BK$9,'PBL OLD'!$BM$9:$BN$9)</c:f>
              <c:strCache>
                <c:ptCount val="6"/>
                <c:pt idx="0">
                  <c:v>FY18</c:v>
                </c:pt>
                <c:pt idx="1">
                  <c:v>FY19</c:v>
                </c:pt>
                <c:pt idx="2">
                  <c:v>FY20</c:v>
                </c:pt>
                <c:pt idx="3">
                  <c:v>FY21</c:v>
                </c:pt>
                <c:pt idx="4">
                  <c:v>FY23e</c:v>
                </c:pt>
                <c:pt idx="5">
                  <c:v>FY22 ytd</c:v>
                </c:pt>
              </c:strCache>
            </c:strRef>
          </c:cat>
          <c:val>
            <c:numRef>
              <c:extLst>
                <c:ext xmlns:c15="http://schemas.microsoft.com/office/drawing/2012/chart" uri="{02D57815-91ED-43cb-92C2-25804820EDAC}">
                  <c15:fullRef>
                    <c15:sqref>'PBL OLD'!$MX$38:$NH$38</c15:sqref>
                  </c15:fullRef>
                </c:ext>
              </c:extLst>
              <c:f>('PBL OLD'!$MX$38:$NA$38,'PBL OLD'!$NC$38:$NH$38)</c:f>
              <c:numCache>
                <c:formatCode>0.0000</c:formatCode>
                <c:ptCount val="10"/>
                <c:pt idx="0">
                  <c:v>0.16049131409634898</c:v>
                </c:pt>
                <c:pt idx="1">
                  <c:v>0.19167961575935233</c:v>
                </c:pt>
                <c:pt idx="2">
                  <c:v>0.29538807082405527</c:v>
                </c:pt>
                <c:pt idx="3">
                  <c:v>0.35648636107037812</c:v>
                </c:pt>
                <c:pt idx="4">
                  <c:v>0.34315700929729998</c:v>
                </c:pt>
                <c:pt idx="5">
                  <c:v>0.3638682919703855</c:v>
                </c:pt>
                <c:pt idx="6">
                  <c:v>0.33894747374372525</c:v>
                </c:pt>
                <c:pt idx="7">
                  <c:v>0.44800609824975446</c:v>
                </c:pt>
                <c:pt idx="8">
                  <c:v>0.46915691485299993</c:v>
                </c:pt>
                <c:pt idx="9">
                  <c:v>0.36299913368234993</c:v>
                </c:pt>
              </c:numCache>
            </c:numRef>
          </c:val>
          <c:extLst>
            <c:ext xmlns:c16="http://schemas.microsoft.com/office/drawing/2014/chart" uri="{C3380CC4-5D6E-409C-BE32-E72D297353CC}">
              <c16:uniqueId val="{00000002-EF67-4825-B464-C53893C3D06B}"/>
            </c:ext>
          </c:extLst>
        </c:ser>
        <c:ser>
          <c:idx val="1"/>
          <c:order val="3"/>
          <c:spPr>
            <a:solidFill>
              <a:schemeClr val="bg2">
                <a:lumMod val="40000"/>
                <a:lumOff val="60000"/>
              </a:schemeClr>
            </a:solidFill>
          </c:spPr>
          <c:invertIfNegative val="0"/>
          <c:cat>
            <c:strRef>
              <c:extLst>
                <c:ext xmlns:c15="http://schemas.microsoft.com/office/drawing/2012/chart" uri="{02D57815-91ED-43cb-92C2-25804820EDAC}">
                  <c15:fullRef>
                    <c15:sqref>'PBL OLD'!$BH$9:$BN$9</c15:sqref>
                  </c15:fullRef>
                </c:ext>
              </c:extLst>
              <c:f>('PBL OLD'!$BH$9:$BK$9,'PBL OLD'!$BM$9:$BN$9)</c:f>
              <c:strCache>
                <c:ptCount val="6"/>
                <c:pt idx="0">
                  <c:v>FY18</c:v>
                </c:pt>
                <c:pt idx="1">
                  <c:v>FY19</c:v>
                </c:pt>
                <c:pt idx="2">
                  <c:v>FY20</c:v>
                </c:pt>
                <c:pt idx="3">
                  <c:v>FY21</c:v>
                </c:pt>
                <c:pt idx="4">
                  <c:v>FY23e</c:v>
                </c:pt>
                <c:pt idx="5">
                  <c:v>FY22 ytd</c:v>
                </c:pt>
              </c:strCache>
            </c:strRef>
          </c:cat>
          <c:val>
            <c:numRef>
              <c:extLst>
                <c:ext xmlns:c15="http://schemas.microsoft.com/office/drawing/2012/chart" uri="{02D57815-91ED-43cb-92C2-25804820EDAC}">
                  <c15:fullRef>
                    <c15:sqref>'PBL OLD'!$MX$43:$NH$43</c15:sqref>
                  </c15:fullRef>
                </c:ext>
              </c:extLst>
              <c:f>('PBL OLD'!$MX$43:$NA$43,'PBL OLD'!$NC$43:$NH$43)</c:f>
              <c:numCache>
                <c:formatCode>0.0000</c:formatCode>
                <c:ptCount val="10"/>
                <c:pt idx="0">
                  <c:v>6.8048408377119118E-2</c:v>
                </c:pt>
                <c:pt idx="1">
                  <c:v>8.6096915807099883E-2</c:v>
                </c:pt>
                <c:pt idx="2">
                  <c:v>0.14040066428245057</c:v>
                </c:pt>
                <c:pt idx="3">
                  <c:v>0.16465929115767974</c:v>
                </c:pt>
                <c:pt idx="4">
                  <c:v>0.12163945944479992</c:v>
                </c:pt>
                <c:pt idx="5">
                  <c:v>0.1608471037821213</c:v>
                </c:pt>
                <c:pt idx="6">
                  <c:v>0.14568931854290001</c:v>
                </c:pt>
                <c:pt idx="7">
                  <c:v>0.22038149945020025</c:v>
                </c:pt>
                <c:pt idx="8">
                  <c:v>0.22866745304452496</c:v>
                </c:pt>
                <c:pt idx="9">
                  <c:v>0.14352988720289983</c:v>
                </c:pt>
              </c:numCache>
            </c:numRef>
          </c:val>
          <c:extLst>
            <c:ext xmlns:c16="http://schemas.microsoft.com/office/drawing/2014/chart" uri="{C3380CC4-5D6E-409C-BE32-E72D297353CC}">
              <c16:uniqueId val="{00000003-EF67-4825-B464-C53893C3D06B}"/>
            </c:ext>
          </c:extLst>
        </c:ser>
        <c:ser>
          <c:idx val="2"/>
          <c:order val="4"/>
          <c:tx>
            <c:strRef>
              <c:f>'PBL OLD'!$BG$39</c:f>
              <c:strCache>
                <c:ptCount val="1"/>
                <c:pt idx="0">
                  <c:v>75th to 95th Percentile</c:v>
                </c:pt>
              </c:strCache>
            </c:strRef>
          </c:tx>
          <c:spPr>
            <a:solidFill>
              <a:schemeClr val="bg1">
                <a:lumMod val="85000"/>
              </a:schemeClr>
            </a:solidFill>
            <a:ln w="19050">
              <a:noFill/>
            </a:ln>
          </c:spPr>
          <c:invertIfNegative val="0"/>
          <c:cat>
            <c:strRef>
              <c:extLst>
                <c:ext xmlns:c15="http://schemas.microsoft.com/office/drawing/2012/chart" uri="{02D57815-91ED-43cb-92C2-25804820EDAC}">
                  <c15:fullRef>
                    <c15:sqref>'PBL OLD'!$BH$9:$BN$9</c15:sqref>
                  </c15:fullRef>
                </c:ext>
              </c:extLst>
              <c:f>('PBL OLD'!$BH$9:$BK$9,'PBL OLD'!$BM$9:$BN$9)</c:f>
              <c:strCache>
                <c:ptCount val="6"/>
                <c:pt idx="0">
                  <c:v>FY18</c:v>
                </c:pt>
                <c:pt idx="1">
                  <c:v>FY19</c:v>
                </c:pt>
                <c:pt idx="2">
                  <c:v>FY20</c:v>
                </c:pt>
                <c:pt idx="3">
                  <c:v>FY21</c:v>
                </c:pt>
                <c:pt idx="4">
                  <c:v>FY23e</c:v>
                </c:pt>
                <c:pt idx="5">
                  <c:v>FY22 ytd</c:v>
                </c:pt>
              </c:strCache>
            </c:strRef>
          </c:cat>
          <c:val>
            <c:numRef>
              <c:extLst>
                <c:ext xmlns:c15="http://schemas.microsoft.com/office/drawing/2012/chart" uri="{02D57815-91ED-43cb-92C2-25804820EDAC}">
                  <c15:fullRef>
                    <c15:sqref>'PBL OLD'!$MX$36:$NH$36</c15:sqref>
                  </c15:fullRef>
                </c:ext>
              </c:extLst>
              <c:f>('PBL OLD'!$MX$36:$NA$36,'PBL OLD'!$NC$36:$NH$36)</c:f>
              <c:numCache>
                <c:formatCode>0.0000</c:formatCode>
                <c:ptCount val="10"/>
                <c:pt idx="0">
                  <c:v>6.9267170674690515E-2</c:v>
                </c:pt>
                <c:pt idx="1">
                  <c:v>9.2819252143504505E-2</c:v>
                </c:pt>
                <c:pt idx="2">
                  <c:v>0.11619768417950005</c:v>
                </c:pt>
                <c:pt idx="3">
                  <c:v>0.15370431624977043</c:v>
                </c:pt>
                <c:pt idx="4">
                  <c:v>0.12891974597809985</c:v>
                </c:pt>
                <c:pt idx="5">
                  <c:v>0.1794607207516361</c:v>
                </c:pt>
                <c:pt idx="6">
                  <c:v>0.15722700604275497</c:v>
                </c:pt>
                <c:pt idx="7">
                  <c:v>0.19393915592149957</c:v>
                </c:pt>
                <c:pt idx="8">
                  <c:v>0.19866206915890516</c:v>
                </c:pt>
                <c:pt idx="9">
                  <c:v>0.1310765280775501</c:v>
                </c:pt>
              </c:numCache>
            </c:numRef>
          </c:val>
          <c:extLst>
            <c:ext xmlns:c16="http://schemas.microsoft.com/office/drawing/2014/chart" uri="{C3380CC4-5D6E-409C-BE32-E72D297353CC}">
              <c16:uniqueId val="{00000004-EF67-4825-B464-C53893C3D06B}"/>
            </c:ext>
          </c:extLst>
        </c:ser>
        <c:ser>
          <c:idx val="4"/>
          <c:order val="5"/>
          <c:tx>
            <c:strRef>
              <c:f>'PBL OLD'!$BG$40</c:f>
              <c:strCache>
                <c:ptCount val="1"/>
                <c:pt idx="0">
                  <c:v>95th Percentile to Max</c:v>
                </c:pt>
              </c:strCache>
            </c:strRef>
          </c:tx>
          <c:spPr>
            <a:noFill/>
            <a:ln w="19050">
              <a:noFill/>
            </a:ln>
          </c:spPr>
          <c:invertIfNegative val="0"/>
          <c:cat>
            <c:strRef>
              <c:extLst>
                <c:ext xmlns:c15="http://schemas.microsoft.com/office/drawing/2012/chart" uri="{02D57815-91ED-43cb-92C2-25804820EDAC}">
                  <c15:fullRef>
                    <c15:sqref>'PBL OLD'!$BH$9:$BN$9</c15:sqref>
                  </c15:fullRef>
                </c:ext>
              </c:extLst>
              <c:f>('PBL OLD'!$BH$9:$BK$9,'PBL OLD'!$BM$9:$BN$9)</c:f>
              <c:strCache>
                <c:ptCount val="6"/>
                <c:pt idx="0">
                  <c:v>FY18</c:v>
                </c:pt>
                <c:pt idx="1">
                  <c:v>FY19</c:v>
                </c:pt>
                <c:pt idx="2">
                  <c:v>FY20</c:v>
                </c:pt>
                <c:pt idx="3">
                  <c:v>FY21</c:v>
                </c:pt>
                <c:pt idx="4">
                  <c:v>FY23e</c:v>
                </c:pt>
                <c:pt idx="5">
                  <c:v>FY22 ytd</c:v>
                </c:pt>
              </c:strCache>
            </c:strRef>
          </c:cat>
          <c:val>
            <c:numRef>
              <c:extLst>
                <c:ext xmlns:c15="http://schemas.microsoft.com/office/drawing/2012/chart" uri="{02D57815-91ED-43cb-92C2-25804820EDAC}">
                  <c15:fullRef>
                    <c15:sqref>'PBL OLD'!$BH$40:$BN$40</c15:sqref>
                  </c15:fullRef>
                </c:ext>
              </c:extLst>
              <c:f>('PBL OLD'!$BH$40:$BK$40,'PBL OLD'!$BM$40:$BN$40)</c:f>
              <c:numCache>
                <c:formatCode>0.0000</c:formatCode>
                <c:ptCount val="6"/>
                <c:pt idx="0">
                  <c:v>0.82537497438512819</c:v>
                </c:pt>
                <c:pt idx="1">
                  <c:v>1.0215119601576026</c:v>
                </c:pt>
                <c:pt idx="2">
                  <c:v>1.2814072798090059</c:v>
                </c:pt>
                <c:pt idx="3">
                  <c:v>1.3035681378389739</c:v>
                </c:pt>
                <c:pt idx="4">
                  <c:v>1.0777187838231868</c:v>
                </c:pt>
                <c:pt idx="5">
                  <c:v>1.2354468106542869</c:v>
                </c:pt>
              </c:numCache>
            </c:numRef>
          </c:val>
          <c:extLst>
            <c:ext xmlns:c16="http://schemas.microsoft.com/office/drawing/2014/chart" uri="{C3380CC4-5D6E-409C-BE32-E72D297353CC}">
              <c16:uniqueId val="{00000005-EF67-4825-B464-C53893C3D06B}"/>
            </c:ext>
          </c:extLst>
        </c:ser>
        <c:ser>
          <c:idx val="5"/>
          <c:order val="7"/>
          <c:tx>
            <c:strRef>
              <c:f>'PBL OLD'!$BG$13</c:f>
              <c:strCache>
                <c:ptCount val="1"/>
                <c:pt idx="0">
                  <c:v>Actual ytd Standardised</c:v>
                </c:pt>
              </c:strCache>
            </c:strRef>
          </c:tx>
          <c:spPr>
            <a:ln>
              <a:noFill/>
            </a:ln>
          </c:spPr>
          <c:invertIfNegative val="0"/>
          <c:cat>
            <c:strLit>
              <c:ptCount val="10"/>
              <c:pt idx="0">
                <c:v>FY18</c:v>
              </c:pt>
              <c:pt idx="1">
                <c:v>FY19</c:v>
              </c:pt>
              <c:pt idx="2">
                <c:v>FY20</c:v>
              </c:pt>
              <c:pt idx="3">
                <c:v>FY21</c:v>
              </c:pt>
              <c:pt idx="4">
                <c:v>FY23e</c:v>
              </c:pt>
              <c:pt idx="5">
                <c:v>FY22 ytd</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'PBL OLD'!$BH$13:$BL$13</c15:sqref>
                  </c15:fullRef>
                </c:ext>
              </c:extLst>
              <c:f>'PBL OLD'!$BH$13:$BK$13</c:f>
              <c:numCache>
                <c:formatCode>_(* #,##0.00_);_(* \(#,##0.00\);_(* "-"??_);_(@_)</c:formatCode>
                <c:ptCount val="4"/>
              </c:numCache>
            </c:numRef>
          </c:val>
          <c:extLst>
            <c:ext xmlns:c16="http://schemas.microsoft.com/office/drawing/2014/chart" uri="{C3380CC4-5D6E-409C-BE32-E72D297353CC}">
              <c16:uniqueId val="{00000006-EF67-4825-B464-C53893C3D06B}"/>
            </c:ext>
          </c:extLst>
        </c:ser>
        <c:ser>
          <c:idx val="7"/>
          <c:order val="8"/>
          <c:tx>
            <c:strRef>
              <c:f>'PBL OLD'!$BG$14</c:f>
              <c:strCache>
                <c:ptCount val="1"/>
                <c:pt idx="0">
                  <c:v>Actual ytd + 50th percentile</c:v>
                </c:pt>
              </c:strCache>
            </c:strRef>
          </c:tx>
          <c:spPr>
            <a:noFill/>
          </c:spPr>
          <c:invertIfNegative val="0"/>
          <c:cat>
            <c:strLit>
              <c:ptCount val="10"/>
              <c:pt idx="0">
                <c:v>FY18</c:v>
              </c:pt>
              <c:pt idx="1">
                <c:v>FY19</c:v>
              </c:pt>
              <c:pt idx="2">
                <c:v>FY20</c:v>
              </c:pt>
              <c:pt idx="3">
                <c:v>FY21</c:v>
              </c:pt>
              <c:pt idx="4">
                <c:v>FY23e</c:v>
              </c:pt>
              <c:pt idx="5">
                <c:v>FY22 ytd</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'PBL OLD'!$BH$14:$BL$14</c15:sqref>
                  </c15:fullRef>
                </c:ext>
              </c:extLst>
              <c:f>'PBL OLD'!$BH$14:$BK$14</c:f>
              <c:numCache>
                <c:formatCode>General</c:formatCode>
                <c:ptCount val="4"/>
              </c:numCache>
            </c:numRef>
          </c:val>
          <c:extLst>
            <c:ext xmlns:c16="http://schemas.microsoft.com/office/drawing/2014/chart" uri="{C3380CC4-5D6E-409C-BE32-E72D297353CC}">
              <c16:uniqueId val="{00000007-EF67-4825-B464-C53893C3D06B}"/>
            </c:ext>
          </c:extLst>
        </c:ser>
        <c:dLbls>
          <c:showLegendKey val="0"/>
          <c:showVal val="0"/>
          <c:showCatName val="0"/>
          <c:showSerName val="0"/>
          <c:showPercent val="0"/>
          <c:showBubbleSize val="0"/>
        </c:dLbls>
        <c:gapWidth val="150"/>
        <c:overlap val="100"/>
        <c:axId val="1019316528"/>
        <c:axId val="1019315544"/>
      </c:barChart>
      <c:lineChart>
        <c:grouping val="standard"/>
        <c:varyColors val="0"/>
        <c:ser>
          <c:idx val="3"/>
          <c:order val="6"/>
          <c:tx>
            <c:strRef>
              <c:f>'PBL OLD'!$MW$12</c:f>
              <c:strCache>
                <c:ptCount val="1"/>
                <c:pt idx="0">
                  <c:v>Actual</c:v>
                </c:pt>
              </c:strCache>
            </c:strRef>
          </c:tx>
          <c:marker>
            <c:symbol val="none"/>
          </c:marker>
          <c:cat>
            <c:strRef>
              <c:extLst>
                <c:ext xmlns:c15="http://schemas.microsoft.com/office/drawing/2012/chart" uri="{02D57815-91ED-43cb-92C2-25804820EDAC}">
                  <c15:fullRef>
                    <c15:sqref>'PBL OLD'!$MX$9:$NG$9</c15:sqref>
                  </c15:fullRef>
                </c:ext>
              </c:extLst>
              <c:f>('PBL OLD'!$MX$9:$NA$9,'PBL OLD'!$NC$9:$NG$9)</c:f>
              <c:strCache>
                <c:ptCount val="9"/>
                <c:pt idx="0">
                  <c:v>1H18</c:v>
                </c:pt>
                <c:pt idx="1">
                  <c:v>2H18</c:v>
                </c:pt>
                <c:pt idx="2">
                  <c:v>1H19</c:v>
                </c:pt>
                <c:pt idx="3">
                  <c:v>2H19</c:v>
                </c:pt>
                <c:pt idx="4">
                  <c:v>2H20</c:v>
                </c:pt>
                <c:pt idx="5">
                  <c:v>1H21</c:v>
                </c:pt>
                <c:pt idx="6">
                  <c:v>2H21</c:v>
                </c:pt>
                <c:pt idx="7">
                  <c:v>1H22</c:v>
                </c:pt>
                <c:pt idx="8">
                  <c:v>2H22*</c:v>
                </c:pt>
              </c:strCache>
            </c:strRef>
          </c:cat>
          <c:val>
            <c:numRef>
              <c:extLst>
                <c:ext xmlns:c15="http://schemas.microsoft.com/office/drawing/2012/chart" uri="{02D57815-91ED-43cb-92C2-25804820EDAC}">
                  <c15:fullRef>
                    <c15:sqref>'PBL OLD'!$MX$12:$NG$12</c15:sqref>
                  </c15:fullRef>
                </c:ext>
              </c:extLst>
              <c:f>('PBL OLD'!$MX$12:$NA$12,'PBL OLD'!$NC$12:$NG$12)</c:f>
              <c:numCache>
                <c:formatCode>_-* #,##0.0000_-;\-* #,##0.0000_-;_-* "-"??_-;_-@_-</c:formatCode>
                <c:ptCount val="9"/>
                <c:pt idx="0">
                  <c:v>0.50481337402649995</c:v>
                </c:pt>
                <c:pt idx="1">
                  <c:v>0.7021907353350999</c:v>
                </c:pt>
                <c:pt idx="2">
                  <c:v>1.1393866275132001</c:v>
                </c:pt>
                <c:pt idx="3">
                  <c:v>1.0555108226916003</c:v>
                </c:pt>
                <c:pt idx="4">
                  <c:v>1.0392567352463999</c:v>
                </c:pt>
                <c:pt idx="5">
                  <c:v>1.2199573358477998</c:v>
                </c:pt>
                <c:pt idx="6">
                  <c:v>1.2338811836339998</c:v>
                </c:pt>
                <c:pt idx="7">
                  <c:v>1.5639026176620001</c:v>
                </c:pt>
                <c:pt idx="8">
                  <c:v>1.7439737266775999</c:v>
                </c:pt>
              </c:numCache>
            </c:numRef>
          </c:val>
          <c:smooth val="0"/>
          <c:extLst>
            <c:ext xmlns:c16="http://schemas.microsoft.com/office/drawing/2014/chart" uri="{C3380CC4-5D6E-409C-BE32-E72D297353CC}">
              <c16:uniqueId val="{00000008-EF67-4825-B464-C53893C3D06B}"/>
            </c:ext>
          </c:extLst>
        </c:ser>
        <c:dLbls>
          <c:showLegendKey val="0"/>
          <c:showVal val="0"/>
          <c:showCatName val="0"/>
          <c:showSerName val="0"/>
          <c:showPercent val="0"/>
          <c:showBubbleSize val="0"/>
        </c:dLbls>
        <c:marker val="1"/>
        <c:smooth val="0"/>
        <c:axId val="1019316528"/>
        <c:axId val="1019315544"/>
        <c:extLst/>
      </c:lineChart>
      <c:catAx>
        <c:axId val="101931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1019315544"/>
        <c:crosses val="autoZero"/>
        <c:auto val="1"/>
        <c:lblAlgn val="ctr"/>
        <c:lblOffset val="100"/>
        <c:noMultiLvlLbl val="0"/>
      </c:catAx>
      <c:valAx>
        <c:axId val="1019315544"/>
        <c:scaling>
          <c:orientation val="minMax"/>
          <c:max val="4"/>
          <c:min val="0.5"/>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vert="horz"/>
          <a:lstStyle/>
          <a:p>
            <a:pPr>
              <a:defRPr/>
            </a:pPr>
            <a:endParaRPr lang="en-US"/>
          </a:p>
        </c:txPr>
        <c:crossAx val="1019316528"/>
        <c:crosses val="autoZero"/>
        <c:crossBetween val="between"/>
      </c:valAx>
    </c:plotArea>
    <c:legend>
      <c:legendPos val="b"/>
      <c:legendEntry>
        <c:idx val="0"/>
        <c:delete val="1"/>
      </c:legendEntry>
      <c:legendEntry>
        <c:idx val="1"/>
        <c:delete val="1"/>
      </c:legendEntry>
      <c:legendEntry>
        <c:idx val="4"/>
        <c:delete val="1"/>
      </c:legendEntry>
      <c:legendEntry>
        <c:idx val="5"/>
        <c:delete val="1"/>
      </c:legendEntry>
      <c:legendEntry>
        <c:idx val="6"/>
        <c:delete val="1"/>
      </c:legendEntry>
      <c:legendEntry>
        <c:idx val="7"/>
        <c:delete val="1"/>
      </c:legendEntry>
      <c:overlay val="0"/>
    </c:legend>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orientation="portrait"/>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'PBL OLD'!$BG$35</c:f>
              <c:strCache>
                <c:ptCount val="1"/>
                <c:pt idx="0">
                  <c:v>Delete</c:v>
                </c:pt>
              </c:strCache>
            </c:strRef>
          </c:tx>
          <c:spPr>
            <a:noFill/>
          </c:spPr>
          <c:invertIfNegative val="0"/>
          <c:cat>
            <c:strRef>
              <c:extLst>
                <c:ext xmlns:c15="http://schemas.microsoft.com/office/drawing/2012/chart" uri="{02D57815-91ED-43cb-92C2-25804820EDAC}">
                  <c15:fullRef>
                    <c15:sqref>'PBL OLD'!$BH$9:$BN$9</c15:sqref>
                  </c15:fullRef>
                </c:ext>
              </c:extLst>
              <c:f>('PBL OLD'!$BH$9:$BK$9,'PBL OLD'!$BM$9:$BN$9)</c:f>
              <c:strCache>
                <c:ptCount val="6"/>
                <c:pt idx="0">
                  <c:v>FY18</c:v>
                </c:pt>
                <c:pt idx="1">
                  <c:v>FY19</c:v>
                </c:pt>
                <c:pt idx="2">
                  <c:v>FY20</c:v>
                </c:pt>
                <c:pt idx="3">
                  <c:v>FY21</c:v>
                </c:pt>
                <c:pt idx="4">
                  <c:v>FY23e</c:v>
                </c:pt>
                <c:pt idx="5">
                  <c:v>FY22 ytd</c:v>
                </c:pt>
              </c:strCache>
            </c:strRef>
          </c:cat>
          <c:val>
            <c:numRef>
              <c:extLst>
                <c:ext xmlns:c15="http://schemas.microsoft.com/office/drawing/2012/chart" uri="{02D57815-91ED-43cb-92C2-25804820EDAC}">
                  <c15:fullRef>
                    <c15:sqref>'PBL OLD'!$BH$35:$BN$35</c15:sqref>
                  </c15:fullRef>
                </c:ext>
              </c:extLst>
              <c:f>('PBL OLD'!$BH$35:$BK$35,'PBL OLD'!$BM$35:$BN$35)</c:f>
              <c:numCache>
                <c:formatCode>0.0000</c:formatCode>
                <c:ptCount val="6"/>
                <c:pt idx="0">
                  <c:v>0.88898749196337468</c:v>
                </c:pt>
                <c:pt idx="1">
                  <c:v>1.2628339576374232</c:v>
                </c:pt>
                <c:pt idx="2">
                  <c:v>1.497466908542763</c:v>
                </c:pt>
                <c:pt idx="3">
                  <c:v>1.8014767645404111</c:v>
                </c:pt>
                <c:pt idx="4">
                  <c:v>1.6867811392566225</c:v>
                </c:pt>
                <c:pt idx="5">
                  <c:v>1.8374304196768296</c:v>
                </c:pt>
              </c:numCache>
            </c:numRef>
          </c:val>
          <c:extLst>
            <c:ext xmlns:c16="http://schemas.microsoft.com/office/drawing/2014/chart" uri="{C3380CC4-5D6E-409C-BE32-E72D297353CC}">
              <c16:uniqueId val="{00000000-D72A-4F24-8B7B-AFC87B685B06}"/>
            </c:ext>
          </c:extLst>
        </c:ser>
        <c:ser>
          <c:idx val="6"/>
          <c:order val="1"/>
          <c:tx>
            <c:strRef>
              <c:f>'PBL OLD'!$BG$36</c:f>
              <c:strCache>
                <c:ptCount val="1"/>
                <c:pt idx="0">
                  <c:v>Min to 5th Percentile</c:v>
                </c:pt>
              </c:strCache>
            </c:strRef>
          </c:tx>
          <c:spPr>
            <a:noFill/>
          </c:spPr>
          <c:invertIfNegative val="0"/>
          <c:cat>
            <c:strRef>
              <c:extLst>
                <c:ext xmlns:c15="http://schemas.microsoft.com/office/drawing/2012/chart" uri="{02D57815-91ED-43cb-92C2-25804820EDAC}">
                  <c15:fullRef>
                    <c15:sqref>'PBL OLD'!$BH$9:$BN$9</c15:sqref>
                  </c15:fullRef>
                </c:ext>
              </c:extLst>
              <c:f>('PBL OLD'!$BH$9:$BK$9,'PBL OLD'!$BM$9:$BN$9)</c:f>
              <c:strCache>
                <c:ptCount val="6"/>
                <c:pt idx="0">
                  <c:v>FY18</c:v>
                </c:pt>
                <c:pt idx="1">
                  <c:v>FY19</c:v>
                </c:pt>
                <c:pt idx="2">
                  <c:v>FY20</c:v>
                </c:pt>
                <c:pt idx="3">
                  <c:v>FY21</c:v>
                </c:pt>
                <c:pt idx="4">
                  <c:v>FY23e</c:v>
                </c:pt>
                <c:pt idx="5">
                  <c:v>FY22 ytd</c:v>
                </c:pt>
              </c:strCache>
            </c:strRef>
          </c:cat>
          <c:val>
            <c:numRef>
              <c:extLst>
                <c:ext xmlns:c15="http://schemas.microsoft.com/office/drawing/2012/chart" uri="{02D57815-91ED-43cb-92C2-25804820EDAC}">
                  <c15:fullRef>
                    <c15:sqref>'PBL OLD'!$BH$36:$BN$36</c15:sqref>
                  </c15:fullRef>
                </c:ext>
              </c:extLst>
              <c:f>('PBL OLD'!$BH$36:$BK$36,'PBL OLD'!$BM$36:$BN$36)</c:f>
              <c:numCache>
                <c:formatCode>0.0000</c:formatCode>
                <c:ptCount val="6"/>
                <c:pt idx="0">
                  <c:v>0.1887850472067778</c:v>
                </c:pt>
                <c:pt idx="1">
                  <c:v>0.2713339913093713</c:v>
                </c:pt>
                <c:pt idx="2">
                  <c:v>0.33690357289335715</c:v>
                </c:pt>
                <c:pt idx="3">
                  <c:v>0.45935994667453928</c:v>
                </c:pt>
                <c:pt idx="4">
                  <c:v>0.47374977495426629</c:v>
                </c:pt>
                <c:pt idx="5">
                  <c:v>0.59522218044897857</c:v>
                </c:pt>
              </c:numCache>
            </c:numRef>
          </c:val>
          <c:extLst>
            <c:ext xmlns:c16="http://schemas.microsoft.com/office/drawing/2014/chart" uri="{C3380CC4-5D6E-409C-BE32-E72D297353CC}">
              <c16:uniqueId val="{00000001-D72A-4F24-8B7B-AFC87B685B06}"/>
            </c:ext>
          </c:extLst>
        </c:ser>
        <c:ser>
          <c:idx val="8"/>
          <c:order val="2"/>
          <c:tx>
            <c:v>5th to 95th percentile</c:v>
          </c:tx>
          <c:spPr>
            <a:solidFill>
              <a:schemeClr val="bg1">
                <a:lumMod val="85000"/>
              </a:schemeClr>
            </a:solidFill>
          </c:spPr>
          <c:invertIfNegative val="0"/>
          <c:cat>
            <c:strRef>
              <c:extLst>
                <c:ext xmlns:c15="http://schemas.microsoft.com/office/drawing/2012/chart" uri="{02D57815-91ED-43cb-92C2-25804820EDAC}">
                  <c15:fullRef>
                    <c15:sqref>'PBL OLD'!$BH$9:$BN$9</c15:sqref>
                  </c15:fullRef>
                </c:ext>
              </c:extLst>
              <c:f>('PBL OLD'!$BH$9:$BK$9,'PBL OLD'!$BM$9:$BN$9)</c:f>
              <c:strCache>
                <c:ptCount val="6"/>
                <c:pt idx="0">
                  <c:v>FY18</c:v>
                </c:pt>
                <c:pt idx="1">
                  <c:v>FY19</c:v>
                </c:pt>
                <c:pt idx="2">
                  <c:v>FY20</c:v>
                </c:pt>
                <c:pt idx="3">
                  <c:v>FY21</c:v>
                </c:pt>
                <c:pt idx="4">
                  <c:v>FY23e</c:v>
                </c:pt>
                <c:pt idx="5">
                  <c:v>FY22 ytd</c:v>
                </c:pt>
              </c:strCache>
            </c:strRef>
          </c:cat>
          <c:val>
            <c:numRef>
              <c:extLst>
                <c:ext xmlns:c15="http://schemas.microsoft.com/office/drawing/2012/chart" uri="{02D57815-91ED-43cb-92C2-25804820EDAC}">
                  <c15:fullRef>
                    <c15:sqref>'PBL OLD'!$BH$37:$BN$37</c15:sqref>
                  </c15:fullRef>
                </c:ext>
              </c:extLst>
              <c:f>('PBL OLD'!$BH$37:$BK$37,'PBL OLD'!$BM$37:$BN$37)</c:f>
              <c:numCache>
                <c:formatCode>0.0000</c:formatCode>
                <c:ptCount val="6"/>
                <c:pt idx="0">
                  <c:v>0.13256015533953636</c:v>
                </c:pt>
                <c:pt idx="1">
                  <c:v>0.23308226126661813</c:v>
                </c:pt>
                <c:pt idx="2">
                  <c:v>0.2535364855598945</c:v>
                </c:pt>
                <c:pt idx="3">
                  <c:v>0.29696568427794157</c:v>
                </c:pt>
                <c:pt idx="4">
                  <c:v>0.30960932000823504</c:v>
                </c:pt>
                <c:pt idx="5">
                  <c:v>0.34347359494438656</c:v>
                </c:pt>
              </c:numCache>
            </c:numRef>
          </c:val>
          <c:extLst>
            <c:ext xmlns:c16="http://schemas.microsoft.com/office/drawing/2014/chart" uri="{C3380CC4-5D6E-409C-BE32-E72D297353CC}">
              <c16:uniqueId val="{00000002-D72A-4F24-8B7B-AFC87B685B06}"/>
            </c:ext>
          </c:extLst>
        </c:ser>
        <c:ser>
          <c:idx val="1"/>
          <c:order val="3"/>
          <c:tx>
            <c:v>25th to 75th percentile</c:v>
          </c:tx>
          <c:spPr>
            <a:solidFill>
              <a:schemeClr val="bg2">
                <a:lumMod val="40000"/>
                <a:lumOff val="60000"/>
              </a:schemeClr>
            </a:solidFill>
          </c:spPr>
          <c:invertIfNegative val="0"/>
          <c:cat>
            <c:strRef>
              <c:extLst>
                <c:ext xmlns:c15="http://schemas.microsoft.com/office/drawing/2012/chart" uri="{02D57815-91ED-43cb-92C2-25804820EDAC}">
                  <c15:fullRef>
                    <c15:sqref>'PBL OLD'!$BH$9:$BN$9</c15:sqref>
                  </c15:fullRef>
                </c:ext>
              </c:extLst>
              <c:f>('PBL OLD'!$BH$9:$BK$9,'PBL OLD'!$BM$9:$BN$9)</c:f>
              <c:strCache>
                <c:ptCount val="6"/>
                <c:pt idx="0">
                  <c:v>FY18</c:v>
                </c:pt>
                <c:pt idx="1">
                  <c:v>FY19</c:v>
                </c:pt>
                <c:pt idx="2">
                  <c:v>FY20</c:v>
                </c:pt>
                <c:pt idx="3">
                  <c:v>FY21</c:v>
                </c:pt>
                <c:pt idx="4">
                  <c:v>FY23e</c:v>
                </c:pt>
                <c:pt idx="5">
                  <c:v>FY22 ytd</c:v>
                </c:pt>
              </c:strCache>
            </c:strRef>
          </c:cat>
          <c:val>
            <c:numRef>
              <c:extLst>
                <c:ext xmlns:c15="http://schemas.microsoft.com/office/drawing/2012/chart" uri="{02D57815-91ED-43cb-92C2-25804820EDAC}">
                  <c15:fullRef>
                    <c15:sqref>'PBL OLD'!$BH$38:$BN$38</c15:sqref>
                  </c15:fullRef>
                </c:ext>
              </c:extLst>
              <c:f>('PBL OLD'!$BH$38:$BK$38,'PBL OLD'!$BM$38:$BN$38)</c:f>
              <c:numCache>
                <c:formatCode>0.0000</c:formatCode>
                <c:ptCount val="6"/>
                <c:pt idx="0">
                  <c:v>0.25687366549660706</c:v>
                </c:pt>
                <c:pt idx="1">
                  <c:v>0.4770360311494084</c:v>
                </c:pt>
                <c:pt idx="2">
                  <c:v>0.51521146886833735</c:v>
                </c:pt>
                <c:pt idx="3">
                  <c:v>0.51809636821058636</c:v>
                </c:pt>
                <c:pt idx="4">
                  <c:v>0.59836615442047281</c:v>
                </c:pt>
                <c:pt idx="5">
                  <c:v>0.60676558914972034</c:v>
                </c:pt>
              </c:numCache>
            </c:numRef>
          </c:val>
          <c:extLst>
            <c:ext xmlns:c16="http://schemas.microsoft.com/office/drawing/2014/chart" uri="{C3380CC4-5D6E-409C-BE32-E72D297353CC}">
              <c16:uniqueId val="{00000003-D72A-4F24-8B7B-AFC87B685B06}"/>
            </c:ext>
          </c:extLst>
        </c:ser>
        <c:ser>
          <c:idx val="2"/>
          <c:order val="4"/>
          <c:tx>
            <c:strRef>
              <c:f>'PBL OLD'!$BG$39</c:f>
              <c:strCache>
                <c:ptCount val="1"/>
                <c:pt idx="0">
                  <c:v>75th to 95th Percentile</c:v>
                </c:pt>
              </c:strCache>
            </c:strRef>
          </c:tx>
          <c:spPr>
            <a:solidFill>
              <a:schemeClr val="bg1">
                <a:lumMod val="85000"/>
              </a:schemeClr>
            </a:solidFill>
            <a:ln w="19050">
              <a:noFill/>
            </a:ln>
          </c:spPr>
          <c:invertIfNegative val="0"/>
          <c:cat>
            <c:strRef>
              <c:extLst>
                <c:ext xmlns:c15="http://schemas.microsoft.com/office/drawing/2012/chart" uri="{02D57815-91ED-43cb-92C2-25804820EDAC}">
                  <c15:fullRef>
                    <c15:sqref>'PBL OLD'!$BH$9:$BN$9</c15:sqref>
                  </c15:fullRef>
                </c:ext>
              </c:extLst>
              <c:f>('PBL OLD'!$BH$9:$BK$9,'PBL OLD'!$BM$9:$BN$9)</c:f>
              <c:strCache>
                <c:ptCount val="6"/>
                <c:pt idx="0">
                  <c:v>FY18</c:v>
                </c:pt>
                <c:pt idx="1">
                  <c:v>FY19</c:v>
                </c:pt>
                <c:pt idx="2">
                  <c:v>FY20</c:v>
                </c:pt>
                <c:pt idx="3">
                  <c:v>FY21</c:v>
                </c:pt>
                <c:pt idx="4">
                  <c:v>FY23e</c:v>
                </c:pt>
                <c:pt idx="5">
                  <c:v>FY22 ytd</c:v>
                </c:pt>
              </c:strCache>
            </c:strRef>
          </c:cat>
          <c:val>
            <c:numRef>
              <c:extLst>
                <c:ext xmlns:c15="http://schemas.microsoft.com/office/drawing/2012/chart" uri="{02D57815-91ED-43cb-92C2-25804820EDAC}">
                  <c15:fullRef>
                    <c15:sqref>'PBL OLD'!$BH$39:$BN$39</c15:sqref>
                  </c15:fullRef>
                </c:ext>
              </c:extLst>
              <c:f>('PBL OLD'!$BH$39:$BK$39,'PBL OLD'!$BM$39:$BN$39)</c:f>
              <c:numCache>
                <c:formatCode>0.0000</c:formatCode>
                <c:ptCount val="6"/>
                <c:pt idx="0">
                  <c:v>0.2479172920291095</c:v>
                </c:pt>
                <c:pt idx="1">
                  <c:v>0.45457143321454829</c:v>
                </c:pt>
                <c:pt idx="2">
                  <c:v>0.47435899378051793</c:v>
                </c:pt>
                <c:pt idx="3">
                  <c:v>0.48810928627648398</c:v>
                </c:pt>
                <c:pt idx="4">
                  <c:v>0.52874832124535098</c:v>
                </c:pt>
                <c:pt idx="5">
                  <c:v>0.55646038184767832</c:v>
                </c:pt>
              </c:numCache>
            </c:numRef>
          </c:val>
          <c:extLst>
            <c:ext xmlns:c16="http://schemas.microsoft.com/office/drawing/2014/chart" uri="{C3380CC4-5D6E-409C-BE32-E72D297353CC}">
              <c16:uniqueId val="{00000004-D72A-4F24-8B7B-AFC87B685B06}"/>
            </c:ext>
          </c:extLst>
        </c:ser>
        <c:ser>
          <c:idx val="4"/>
          <c:order val="5"/>
          <c:tx>
            <c:strRef>
              <c:f>'PBL OLD'!$BG$40</c:f>
              <c:strCache>
                <c:ptCount val="1"/>
                <c:pt idx="0">
                  <c:v>95th Percentile to Max</c:v>
                </c:pt>
              </c:strCache>
            </c:strRef>
          </c:tx>
          <c:spPr>
            <a:noFill/>
            <a:ln w="19050">
              <a:noFill/>
            </a:ln>
          </c:spPr>
          <c:invertIfNegative val="0"/>
          <c:cat>
            <c:strRef>
              <c:extLst>
                <c:ext xmlns:c15="http://schemas.microsoft.com/office/drawing/2012/chart" uri="{02D57815-91ED-43cb-92C2-25804820EDAC}">
                  <c15:fullRef>
                    <c15:sqref>'PBL OLD'!$BH$9:$BN$9</c15:sqref>
                  </c15:fullRef>
                </c:ext>
              </c:extLst>
              <c:f>('PBL OLD'!$BH$9:$BK$9,'PBL OLD'!$BM$9:$BN$9)</c:f>
              <c:strCache>
                <c:ptCount val="6"/>
                <c:pt idx="0">
                  <c:v>FY18</c:v>
                </c:pt>
                <c:pt idx="1">
                  <c:v>FY19</c:v>
                </c:pt>
                <c:pt idx="2">
                  <c:v>FY20</c:v>
                </c:pt>
                <c:pt idx="3">
                  <c:v>FY21</c:v>
                </c:pt>
                <c:pt idx="4">
                  <c:v>FY23e</c:v>
                </c:pt>
                <c:pt idx="5">
                  <c:v>FY22 ytd</c:v>
                </c:pt>
              </c:strCache>
            </c:strRef>
          </c:cat>
          <c:val>
            <c:numRef>
              <c:extLst>
                <c:ext xmlns:c15="http://schemas.microsoft.com/office/drawing/2012/chart" uri="{02D57815-91ED-43cb-92C2-25804820EDAC}">
                  <c15:fullRef>
                    <c15:sqref>'PBL OLD'!$BH$40:$BN$40</c15:sqref>
                  </c15:fullRef>
                </c:ext>
              </c:extLst>
              <c:f>('PBL OLD'!$BH$40:$BK$40,'PBL OLD'!$BM$40:$BN$40)</c:f>
              <c:numCache>
                <c:formatCode>0.0000</c:formatCode>
                <c:ptCount val="6"/>
                <c:pt idx="0">
                  <c:v>0.82537497438512819</c:v>
                </c:pt>
                <c:pt idx="1">
                  <c:v>1.0215119601576026</c:v>
                </c:pt>
                <c:pt idx="2">
                  <c:v>1.2814072798090059</c:v>
                </c:pt>
                <c:pt idx="3">
                  <c:v>1.3035681378389739</c:v>
                </c:pt>
                <c:pt idx="4">
                  <c:v>1.0777187838231868</c:v>
                </c:pt>
                <c:pt idx="5">
                  <c:v>1.2354468106542869</c:v>
                </c:pt>
              </c:numCache>
            </c:numRef>
          </c:val>
          <c:extLst>
            <c:ext xmlns:c16="http://schemas.microsoft.com/office/drawing/2014/chart" uri="{C3380CC4-5D6E-409C-BE32-E72D297353CC}">
              <c16:uniqueId val="{00000005-D72A-4F24-8B7B-AFC87B685B06}"/>
            </c:ext>
          </c:extLst>
        </c:ser>
        <c:ser>
          <c:idx val="5"/>
          <c:order val="7"/>
          <c:tx>
            <c:strRef>
              <c:f>'PBL OLD'!$BG$13</c:f>
              <c:strCache>
                <c:ptCount val="1"/>
                <c:pt idx="0">
                  <c:v>Actual ytd Standardised</c:v>
                </c:pt>
              </c:strCache>
            </c:strRef>
          </c:tx>
          <c:spPr>
            <a:noFill/>
          </c:spPr>
          <c:invertIfNegative val="0"/>
          <c:cat>
            <c:strLit>
              <c:ptCount val="6"/>
              <c:pt idx="0">
                <c:v>FY18</c:v>
              </c:pt>
              <c:pt idx="1">
                <c:v>FY19</c:v>
              </c:pt>
              <c:pt idx="2">
                <c:v>FY20</c:v>
              </c:pt>
              <c:pt idx="3">
                <c:v>FY21</c:v>
              </c:pt>
              <c:pt idx="4">
                <c:v>FY23e</c:v>
              </c:pt>
              <c:pt idx="5">
                <c:v>FY22 ytd</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'PBL OLD'!$BH$13:$BL$13</c15:sqref>
                  </c15:fullRef>
                </c:ext>
              </c:extLst>
              <c:f>'PBL OLD'!$BH$13:$BK$13</c:f>
              <c:numCache>
                <c:formatCode>_(* #,##0.00_);_(* \(#,##0.00\);_(* "-"??_);_(@_)</c:formatCode>
                <c:ptCount val="4"/>
              </c:numCache>
            </c:numRef>
          </c:val>
          <c:extLst>
            <c:ext xmlns:c16="http://schemas.microsoft.com/office/drawing/2014/chart" uri="{C3380CC4-5D6E-409C-BE32-E72D297353CC}">
              <c16:uniqueId val="{00000006-D72A-4F24-8B7B-AFC87B685B06}"/>
            </c:ext>
          </c:extLst>
        </c:ser>
        <c:ser>
          <c:idx val="7"/>
          <c:order val="8"/>
          <c:tx>
            <c:strRef>
              <c:f>'PBL OLD'!$BG$14</c:f>
              <c:strCache>
                <c:ptCount val="1"/>
                <c:pt idx="0">
                  <c:v>Actual ytd + 50th percentile</c:v>
                </c:pt>
              </c:strCache>
            </c:strRef>
          </c:tx>
          <c:spPr>
            <a:solidFill>
              <a:srgbClr val="7030A0"/>
            </a:solidFill>
          </c:spPr>
          <c:invertIfNegative val="0"/>
          <c:cat>
            <c:strLit>
              <c:ptCount val="6"/>
              <c:pt idx="0">
                <c:v>FY18</c:v>
              </c:pt>
              <c:pt idx="1">
                <c:v>FY19</c:v>
              </c:pt>
              <c:pt idx="2">
                <c:v>FY20</c:v>
              </c:pt>
              <c:pt idx="3">
                <c:v>FY21</c:v>
              </c:pt>
              <c:pt idx="4">
                <c:v>FY23e</c:v>
              </c:pt>
              <c:pt idx="5">
                <c:v>FY22 ytd</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'PBL OLD'!$BH$14:$BL$14</c15:sqref>
                  </c15:fullRef>
                </c:ext>
              </c:extLst>
              <c:f>'PBL OLD'!$BH$14:$BK$14</c:f>
              <c:numCache>
                <c:formatCode>General</c:formatCode>
                <c:ptCount val="4"/>
              </c:numCache>
            </c:numRef>
          </c:val>
          <c:extLst>
            <c:ext xmlns:c16="http://schemas.microsoft.com/office/drawing/2014/chart" uri="{C3380CC4-5D6E-409C-BE32-E72D297353CC}">
              <c16:uniqueId val="{00000007-D72A-4F24-8B7B-AFC87B685B06}"/>
            </c:ext>
          </c:extLst>
        </c:ser>
        <c:dLbls>
          <c:showLegendKey val="0"/>
          <c:showVal val="0"/>
          <c:showCatName val="0"/>
          <c:showSerName val="0"/>
          <c:showPercent val="0"/>
          <c:showBubbleSize val="0"/>
        </c:dLbls>
        <c:gapWidth val="150"/>
        <c:overlap val="100"/>
        <c:axId val="1019316528"/>
        <c:axId val="1019315544"/>
      </c:barChart>
      <c:lineChart>
        <c:grouping val="standard"/>
        <c:varyColors val="0"/>
        <c:ser>
          <c:idx val="3"/>
          <c:order val="6"/>
          <c:tx>
            <c:strRef>
              <c:f>'PBL OLD'!$BG$12</c:f>
              <c:strCache>
                <c:ptCount val="1"/>
                <c:pt idx="0">
                  <c:v>Actual</c:v>
                </c:pt>
              </c:strCache>
            </c:strRef>
          </c:tx>
          <c:spPr>
            <a:ln>
              <a:noFill/>
            </a:ln>
          </c:spPr>
          <c:marker>
            <c:symbol val="circle"/>
            <c:size val="12"/>
            <c:spPr>
              <a:solidFill>
                <a:schemeClr val="tx2"/>
              </a:solidFill>
              <a:ln w="19050">
                <a:solidFill>
                  <a:schemeClr val="bg1"/>
                </a:solidFill>
              </a:ln>
            </c:spPr>
          </c:marker>
          <c:cat>
            <c:strRef>
              <c:extLst>
                <c:ext xmlns:c15="http://schemas.microsoft.com/office/drawing/2012/chart" uri="{02D57815-91ED-43cb-92C2-25804820EDAC}">
                  <c15:fullRef>
                    <c15:sqref>'PBL OLD'!$BH$9:$BL$9</c15:sqref>
                  </c15:fullRef>
                </c:ext>
              </c:extLst>
              <c:f>'PBL OLD'!$BH$9:$BK$9</c:f>
              <c:strCache>
                <c:ptCount val="4"/>
                <c:pt idx="0">
                  <c:v>FY18</c:v>
                </c:pt>
                <c:pt idx="1">
                  <c:v>FY19</c:v>
                </c:pt>
                <c:pt idx="2">
                  <c:v>FY20</c:v>
                </c:pt>
                <c:pt idx="3">
                  <c:v>FY21</c:v>
                </c:pt>
              </c:strCache>
            </c:strRef>
          </c:cat>
          <c:val>
            <c:numRef>
              <c:extLst>
                <c:ext xmlns:c15="http://schemas.microsoft.com/office/drawing/2012/chart" uri="{02D57815-91ED-43cb-92C2-25804820EDAC}">
                  <c15:fullRef>
                    <c15:sqref>'PBL OLD'!$BH$12:$BN$12</c15:sqref>
                  </c15:fullRef>
                </c:ext>
              </c:extLst>
              <c:f>('PBL OLD'!$BH$12:$BK$12,'PBL OLD'!$BM$12:$BN$12)</c:f>
              <c:numCache>
                <c:formatCode>_(* #,##0.00_);_(* \(#,##0.00\);_(* "-"??_);_(@_)</c:formatCode>
                <c:ptCount val="6"/>
                <c:pt idx="0">
                  <c:v>1.2070041093615997</c:v>
                </c:pt>
                <c:pt idx="1">
                  <c:v>2.1948974502048002</c:v>
                </c:pt>
                <c:pt idx="2">
                  <c:v>2.5238888986673995</c:v>
                </c:pt>
                <c:pt idx="3">
                  <c:v>2.4538385194818004</c:v>
                </c:pt>
                <c:pt idx="5">
                  <c:v>3.3078763443396002</c:v>
                </c:pt>
              </c:numCache>
            </c:numRef>
          </c:val>
          <c:smooth val="0"/>
          <c:extLst>
            <c:ext xmlns:c16="http://schemas.microsoft.com/office/drawing/2014/chart" uri="{C3380CC4-5D6E-409C-BE32-E72D297353CC}">
              <c16:uniqueId val="{00000008-D72A-4F24-8B7B-AFC87B685B06}"/>
            </c:ext>
          </c:extLst>
        </c:ser>
        <c:dLbls>
          <c:showLegendKey val="0"/>
          <c:showVal val="0"/>
          <c:showCatName val="0"/>
          <c:showSerName val="0"/>
          <c:showPercent val="0"/>
          <c:showBubbleSize val="0"/>
        </c:dLbls>
        <c:marker val="1"/>
        <c:smooth val="0"/>
        <c:axId val="1019316528"/>
        <c:axId val="1019315544"/>
        <c:extLst/>
      </c:lineChart>
      <c:catAx>
        <c:axId val="101931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1019315544"/>
        <c:crosses val="autoZero"/>
        <c:auto val="1"/>
        <c:lblAlgn val="ctr"/>
        <c:lblOffset val="100"/>
        <c:noMultiLvlLbl val="0"/>
      </c:catAx>
      <c:valAx>
        <c:axId val="1019315544"/>
        <c:scaling>
          <c:orientation val="minMax"/>
          <c:max val="4"/>
          <c:min val="0.5"/>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vert="horz"/>
          <a:lstStyle/>
          <a:p>
            <a:pPr>
              <a:defRPr/>
            </a:pPr>
            <a:endParaRPr lang="en-US"/>
          </a:p>
        </c:txPr>
        <c:crossAx val="1019316528"/>
        <c:crosses val="autoZero"/>
        <c:crossBetween val="between"/>
      </c:valAx>
    </c:plotArea>
    <c:legend>
      <c:legendPos val="b"/>
      <c:legendEntry>
        <c:idx val="0"/>
        <c:delete val="1"/>
      </c:legendEntry>
      <c:legendEntry>
        <c:idx val="1"/>
        <c:delete val="1"/>
      </c:legendEntry>
      <c:legendEntry>
        <c:idx val="4"/>
        <c:delete val="1"/>
      </c:legendEntry>
      <c:legendEntry>
        <c:idx val="5"/>
        <c:delete val="1"/>
      </c:legendEntry>
      <c:legendEntry>
        <c:idx val="6"/>
        <c:delete val="1"/>
      </c:legendEntry>
      <c:legendEntry>
        <c:idx val="7"/>
        <c:delete val="1"/>
      </c:legendEntry>
      <c:overlay val="0"/>
    </c:legend>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orientation="portrait"/>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'PBL OLD'!$BG$35</c:f>
              <c:strCache>
                <c:ptCount val="1"/>
                <c:pt idx="0">
                  <c:v>Delete</c:v>
                </c:pt>
              </c:strCache>
            </c:strRef>
          </c:tx>
          <c:spPr>
            <a:noFill/>
          </c:spPr>
          <c:invertIfNegative val="0"/>
          <c:cat>
            <c:strRef>
              <c:extLst>
                <c:ext xmlns:c15="http://schemas.microsoft.com/office/drawing/2012/chart" uri="{02D57815-91ED-43cb-92C2-25804820EDAC}">
                  <c15:fullRef>
                    <c15:sqref>'PBL OLD'!$BH$9:$BN$9</c15:sqref>
                  </c15:fullRef>
                </c:ext>
              </c:extLst>
              <c:f>'PBL OLD'!$BH$9:$BM$9</c:f>
              <c:strCache>
                <c:ptCount val="6"/>
                <c:pt idx="0">
                  <c:v>FY18</c:v>
                </c:pt>
                <c:pt idx="1">
                  <c:v>FY19</c:v>
                </c:pt>
                <c:pt idx="2">
                  <c:v>FY20</c:v>
                </c:pt>
                <c:pt idx="3">
                  <c:v>FY21</c:v>
                </c:pt>
                <c:pt idx="4">
                  <c:v>FY22</c:v>
                </c:pt>
                <c:pt idx="5">
                  <c:v>FY23e</c:v>
                </c:pt>
              </c:strCache>
            </c:strRef>
          </c:cat>
          <c:val>
            <c:numRef>
              <c:extLst>
                <c:ext xmlns:c15="http://schemas.microsoft.com/office/drawing/2012/chart" uri="{02D57815-91ED-43cb-92C2-25804820EDAC}">
                  <c15:fullRef>
                    <c15:sqref>'PBL OLD'!$BH$35:$BN$35</c15:sqref>
                  </c15:fullRef>
                </c:ext>
              </c:extLst>
              <c:f>'PBL OLD'!$BH$35:$BM$35</c:f>
              <c:numCache>
                <c:formatCode>0.0000</c:formatCode>
                <c:ptCount val="6"/>
                <c:pt idx="0">
                  <c:v>0.88898749196337468</c:v>
                </c:pt>
                <c:pt idx="1">
                  <c:v>1.2628339576374232</c:v>
                </c:pt>
                <c:pt idx="2">
                  <c:v>1.497466908542763</c:v>
                </c:pt>
                <c:pt idx="3">
                  <c:v>1.8014767645404111</c:v>
                </c:pt>
                <c:pt idx="4">
                  <c:v>1.8374304196768296</c:v>
                </c:pt>
                <c:pt idx="5">
                  <c:v>1.6867811392566225</c:v>
                </c:pt>
              </c:numCache>
            </c:numRef>
          </c:val>
          <c:extLst>
            <c:ext xmlns:c16="http://schemas.microsoft.com/office/drawing/2014/chart" uri="{C3380CC4-5D6E-409C-BE32-E72D297353CC}">
              <c16:uniqueId val="{00000000-01A8-4183-B07E-F773DEC1B6C1}"/>
            </c:ext>
          </c:extLst>
        </c:ser>
        <c:ser>
          <c:idx val="6"/>
          <c:order val="1"/>
          <c:tx>
            <c:strRef>
              <c:f>'PBL OLD'!$BG$36</c:f>
              <c:strCache>
                <c:ptCount val="1"/>
                <c:pt idx="0">
                  <c:v>Min to 5th Percentile</c:v>
                </c:pt>
              </c:strCache>
            </c:strRef>
          </c:tx>
          <c:spPr>
            <a:noFill/>
          </c:spPr>
          <c:invertIfNegative val="0"/>
          <c:cat>
            <c:strRef>
              <c:extLst>
                <c:ext xmlns:c15="http://schemas.microsoft.com/office/drawing/2012/chart" uri="{02D57815-91ED-43cb-92C2-25804820EDAC}">
                  <c15:fullRef>
                    <c15:sqref>'PBL OLD'!$BH$9:$BN$9</c15:sqref>
                  </c15:fullRef>
                </c:ext>
              </c:extLst>
              <c:f>'PBL OLD'!$BH$9:$BM$9</c:f>
              <c:strCache>
                <c:ptCount val="6"/>
                <c:pt idx="0">
                  <c:v>FY18</c:v>
                </c:pt>
                <c:pt idx="1">
                  <c:v>FY19</c:v>
                </c:pt>
                <c:pt idx="2">
                  <c:v>FY20</c:v>
                </c:pt>
                <c:pt idx="3">
                  <c:v>FY21</c:v>
                </c:pt>
                <c:pt idx="4">
                  <c:v>FY22</c:v>
                </c:pt>
                <c:pt idx="5">
                  <c:v>FY23e</c:v>
                </c:pt>
              </c:strCache>
            </c:strRef>
          </c:cat>
          <c:val>
            <c:numRef>
              <c:extLst>
                <c:ext xmlns:c15="http://schemas.microsoft.com/office/drawing/2012/chart" uri="{02D57815-91ED-43cb-92C2-25804820EDAC}">
                  <c15:fullRef>
                    <c15:sqref>'PBL OLD'!$BH$36:$BN$36</c15:sqref>
                  </c15:fullRef>
                </c:ext>
              </c:extLst>
              <c:f>'PBL OLD'!$BH$36:$BM$36</c:f>
              <c:numCache>
                <c:formatCode>0.0000</c:formatCode>
                <c:ptCount val="6"/>
                <c:pt idx="0">
                  <c:v>0.1887850472067778</c:v>
                </c:pt>
                <c:pt idx="1">
                  <c:v>0.2713339913093713</c:v>
                </c:pt>
                <c:pt idx="2">
                  <c:v>0.33690357289335715</c:v>
                </c:pt>
                <c:pt idx="3">
                  <c:v>0.45935994667453928</c:v>
                </c:pt>
                <c:pt idx="4">
                  <c:v>0.59522218044897857</c:v>
                </c:pt>
                <c:pt idx="5">
                  <c:v>0.47374977495426629</c:v>
                </c:pt>
              </c:numCache>
            </c:numRef>
          </c:val>
          <c:extLst>
            <c:ext xmlns:c16="http://schemas.microsoft.com/office/drawing/2014/chart" uri="{C3380CC4-5D6E-409C-BE32-E72D297353CC}">
              <c16:uniqueId val="{00000001-01A8-4183-B07E-F773DEC1B6C1}"/>
            </c:ext>
          </c:extLst>
        </c:ser>
        <c:ser>
          <c:idx val="8"/>
          <c:order val="2"/>
          <c:tx>
            <c:v>5th to 95th percentile</c:v>
          </c:tx>
          <c:spPr>
            <a:solidFill>
              <a:schemeClr val="bg1">
                <a:lumMod val="85000"/>
              </a:schemeClr>
            </a:solidFill>
          </c:spPr>
          <c:invertIfNegative val="0"/>
          <c:cat>
            <c:strRef>
              <c:extLst>
                <c:ext xmlns:c15="http://schemas.microsoft.com/office/drawing/2012/chart" uri="{02D57815-91ED-43cb-92C2-25804820EDAC}">
                  <c15:fullRef>
                    <c15:sqref>'PBL OLD'!$BH$9:$BN$9</c15:sqref>
                  </c15:fullRef>
                </c:ext>
              </c:extLst>
              <c:f>'PBL OLD'!$BH$9:$BM$9</c:f>
              <c:strCache>
                <c:ptCount val="6"/>
                <c:pt idx="0">
                  <c:v>FY18</c:v>
                </c:pt>
                <c:pt idx="1">
                  <c:v>FY19</c:v>
                </c:pt>
                <c:pt idx="2">
                  <c:v>FY20</c:v>
                </c:pt>
                <c:pt idx="3">
                  <c:v>FY21</c:v>
                </c:pt>
                <c:pt idx="4">
                  <c:v>FY22</c:v>
                </c:pt>
                <c:pt idx="5">
                  <c:v>FY23e</c:v>
                </c:pt>
              </c:strCache>
            </c:strRef>
          </c:cat>
          <c:val>
            <c:numRef>
              <c:extLst>
                <c:ext xmlns:c15="http://schemas.microsoft.com/office/drawing/2012/chart" uri="{02D57815-91ED-43cb-92C2-25804820EDAC}">
                  <c15:fullRef>
                    <c15:sqref>'PBL OLD'!$BH$37:$BN$37</c15:sqref>
                  </c15:fullRef>
                </c:ext>
              </c:extLst>
              <c:f>'PBL OLD'!$BH$37:$BM$37</c:f>
              <c:numCache>
                <c:formatCode>0.0000</c:formatCode>
                <c:ptCount val="6"/>
                <c:pt idx="0">
                  <c:v>0.13256015533953636</c:v>
                </c:pt>
                <c:pt idx="1">
                  <c:v>0.23308226126661813</c:v>
                </c:pt>
                <c:pt idx="2">
                  <c:v>0.2535364855598945</c:v>
                </c:pt>
                <c:pt idx="3">
                  <c:v>0.29696568427794157</c:v>
                </c:pt>
                <c:pt idx="4">
                  <c:v>0.34347359494438656</c:v>
                </c:pt>
                <c:pt idx="5">
                  <c:v>0.30960932000823504</c:v>
                </c:pt>
              </c:numCache>
            </c:numRef>
          </c:val>
          <c:extLst>
            <c:ext xmlns:c16="http://schemas.microsoft.com/office/drawing/2014/chart" uri="{C3380CC4-5D6E-409C-BE32-E72D297353CC}">
              <c16:uniqueId val="{00000002-01A8-4183-B07E-F773DEC1B6C1}"/>
            </c:ext>
          </c:extLst>
        </c:ser>
        <c:ser>
          <c:idx val="1"/>
          <c:order val="3"/>
          <c:tx>
            <c:v>25th to 75th percentile</c:v>
          </c:tx>
          <c:spPr>
            <a:solidFill>
              <a:schemeClr val="bg2">
                <a:lumMod val="40000"/>
                <a:lumOff val="60000"/>
              </a:schemeClr>
            </a:solidFill>
          </c:spPr>
          <c:invertIfNegative val="0"/>
          <c:cat>
            <c:strRef>
              <c:extLst>
                <c:ext xmlns:c15="http://schemas.microsoft.com/office/drawing/2012/chart" uri="{02D57815-91ED-43cb-92C2-25804820EDAC}">
                  <c15:fullRef>
                    <c15:sqref>'PBL OLD'!$BH$9:$BN$9</c15:sqref>
                  </c15:fullRef>
                </c:ext>
              </c:extLst>
              <c:f>'PBL OLD'!$BH$9:$BM$9</c:f>
              <c:strCache>
                <c:ptCount val="6"/>
                <c:pt idx="0">
                  <c:v>FY18</c:v>
                </c:pt>
                <c:pt idx="1">
                  <c:v>FY19</c:v>
                </c:pt>
                <c:pt idx="2">
                  <c:v>FY20</c:v>
                </c:pt>
                <c:pt idx="3">
                  <c:v>FY21</c:v>
                </c:pt>
                <c:pt idx="4">
                  <c:v>FY22</c:v>
                </c:pt>
                <c:pt idx="5">
                  <c:v>FY23e</c:v>
                </c:pt>
              </c:strCache>
            </c:strRef>
          </c:cat>
          <c:val>
            <c:numRef>
              <c:extLst>
                <c:ext xmlns:c15="http://schemas.microsoft.com/office/drawing/2012/chart" uri="{02D57815-91ED-43cb-92C2-25804820EDAC}">
                  <c15:fullRef>
                    <c15:sqref>'PBL OLD'!$BH$38:$BN$38</c15:sqref>
                  </c15:fullRef>
                </c:ext>
              </c:extLst>
              <c:f>'PBL OLD'!$BH$38:$BM$38</c:f>
              <c:numCache>
                <c:formatCode>0.0000</c:formatCode>
                <c:ptCount val="6"/>
                <c:pt idx="0">
                  <c:v>0.25687366549660706</c:v>
                </c:pt>
                <c:pt idx="1">
                  <c:v>0.4770360311494084</c:v>
                </c:pt>
                <c:pt idx="2">
                  <c:v>0.51521146886833735</c:v>
                </c:pt>
                <c:pt idx="3">
                  <c:v>0.51809636821058636</c:v>
                </c:pt>
                <c:pt idx="4">
                  <c:v>0.60676558914972034</c:v>
                </c:pt>
                <c:pt idx="5">
                  <c:v>0.59836615442047281</c:v>
                </c:pt>
              </c:numCache>
            </c:numRef>
          </c:val>
          <c:extLst>
            <c:ext xmlns:c16="http://schemas.microsoft.com/office/drawing/2014/chart" uri="{C3380CC4-5D6E-409C-BE32-E72D297353CC}">
              <c16:uniqueId val="{00000003-01A8-4183-B07E-F773DEC1B6C1}"/>
            </c:ext>
          </c:extLst>
        </c:ser>
        <c:ser>
          <c:idx val="2"/>
          <c:order val="4"/>
          <c:tx>
            <c:strRef>
              <c:f>'PBL OLD'!$BG$39</c:f>
              <c:strCache>
                <c:ptCount val="1"/>
                <c:pt idx="0">
                  <c:v>75th to 95th Percentile</c:v>
                </c:pt>
              </c:strCache>
            </c:strRef>
          </c:tx>
          <c:spPr>
            <a:solidFill>
              <a:schemeClr val="bg1">
                <a:lumMod val="85000"/>
              </a:schemeClr>
            </a:solidFill>
            <a:ln w="19050">
              <a:noFill/>
            </a:ln>
          </c:spPr>
          <c:invertIfNegative val="0"/>
          <c:cat>
            <c:strRef>
              <c:extLst>
                <c:ext xmlns:c15="http://schemas.microsoft.com/office/drawing/2012/chart" uri="{02D57815-91ED-43cb-92C2-25804820EDAC}">
                  <c15:fullRef>
                    <c15:sqref>'PBL OLD'!$BH$9:$BN$9</c15:sqref>
                  </c15:fullRef>
                </c:ext>
              </c:extLst>
              <c:f>'PBL OLD'!$BH$9:$BM$9</c:f>
              <c:strCache>
                <c:ptCount val="6"/>
                <c:pt idx="0">
                  <c:v>FY18</c:v>
                </c:pt>
                <c:pt idx="1">
                  <c:v>FY19</c:v>
                </c:pt>
                <c:pt idx="2">
                  <c:v>FY20</c:v>
                </c:pt>
                <c:pt idx="3">
                  <c:v>FY21</c:v>
                </c:pt>
                <c:pt idx="4">
                  <c:v>FY22</c:v>
                </c:pt>
                <c:pt idx="5">
                  <c:v>FY23e</c:v>
                </c:pt>
              </c:strCache>
            </c:strRef>
          </c:cat>
          <c:val>
            <c:numRef>
              <c:extLst>
                <c:ext xmlns:c15="http://schemas.microsoft.com/office/drawing/2012/chart" uri="{02D57815-91ED-43cb-92C2-25804820EDAC}">
                  <c15:fullRef>
                    <c15:sqref>'PBL OLD'!$BH$39:$BN$39</c15:sqref>
                  </c15:fullRef>
                </c:ext>
              </c:extLst>
              <c:f>'PBL OLD'!$BH$39:$BM$39</c:f>
              <c:numCache>
                <c:formatCode>0.0000</c:formatCode>
                <c:ptCount val="6"/>
                <c:pt idx="0">
                  <c:v>0.2479172920291095</c:v>
                </c:pt>
                <c:pt idx="1">
                  <c:v>0.45457143321454829</c:v>
                </c:pt>
                <c:pt idx="2">
                  <c:v>0.47435899378051793</c:v>
                </c:pt>
                <c:pt idx="3">
                  <c:v>0.48810928627648398</c:v>
                </c:pt>
                <c:pt idx="4">
                  <c:v>0.55646038184767832</c:v>
                </c:pt>
                <c:pt idx="5">
                  <c:v>0.52874832124535098</c:v>
                </c:pt>
              </c:numCache>
            </c:numRef>
          </c:val>
          <c:extLst>
            <c:ext xmlns:c16="http://schemas.microsoft.com/office/drawing/2014/chart" uri="{C3380CC4-5D6E-409C-BE32-E72D297353CC}">
              <c16:uniqueId val="{00000004-01A8-4183-B07E-F773DEC1B6C1}"/>
            </c:ext>
          </c:extLst>
        </c:ser>
        <c:ser>
          <c:idx val="4"/>
          <c:order val="5"/>
          <c:tx>
            <c:strRef>
              <c:f>'PBL OLD'!$BG$40</c:f>
              <c:strCache>
                <c:ptCount val="1"/>
                <c:pt idx="0">
                  <c:v>95th Percentile to Max</c:v>
                </c:pt>
              </c:strCache>
            </c:strRef>
          </c:tx>
          <c:spPr>
            <a:noFill/>
            <a:ln w="19050">
              <a:noFill/>
            </a:ln>
          </c:spPr>
          <c:invertIfNegative val="0"/>
          <c:cat>
            <c:strRef>
              <c:extLst>
                <c:ext xmlns:c15="http://schemas.microsoft.com/office/drawing/2012/chart" uri="{02D57815-91ED-43cb-92C2-25804820EDAC}">
                  <c15:fullRef>
                    <c15:sqref>'PBL OLD'!$BH$9:$BN$9</c15:sqref>
                  </c15:fullRef>
                </c:ext>
              </c:extLst>
              <c:f>'PBL OLD'!$BH$9:$BM$9</c:f>
              <c:strCache>
                <c:ptCount val="6"/>
                <c:pt idx="0">
                  <c:v>FY18</c:v>
                </c:pt>
                <c:pt idx="1">
                  <c:v>FY19</c:v>
                </c:pt>
                <c:pt idx="2">
                  <c:v>FY20</c:v>
                </c:pt>
                <c:pt idx="3">
                  <c:v>FY21</c:v>
                </c:pt>
                <c:pt idx="4">
                  <c:v>FY22</c:v>
                </c:pt>
                <c:pt idx="5">
                  <c:v>FY23e</c:v>
                </c:pt>
              </c:strCache>
            </c:strRef>
          </c:cat>
          <c:val>
            <c:numRef>
              <c:extLst>
                <c:ext xmlns:c15="http://schemas.microsoft.com/office/drawing/2012/chart" uri="{02D57815-91ED-43cb-92C2-25804820EDAC}">
                  <c15:fullRef>
                    <c15:sqref>'PBL OLD'!$BH$40:$BN$40</c15:sqref>
                  </c15:fullRef>
                </c:ext>
              </c:extLst>
              <c:f>'PBL OLD'!$BH$40:$BM$40</c:f>
              <c:numCache>
                <c:formatCode>0.0000</c:formatCode>
                <c:ptCount val="6"/>
                <c:pt idx="0">
                  <c:v>0.82537497438512819</c:v>
                </c:pt>
                <c:pt idx="1">
                  <c:v>1.0215119601576026</c:v>
                </c:pt>
                <c:pt idx="2">
                  <c:v>1.2814072798090059</c:v>
                </c:pt>
                <c:pt idx="3">
                  <c:v>1.3035681378389739</c:v>
                </c:pt>
                <c:pt idx="4">
                  <c:v>1.2354468106542869</c:v>
                </c:pt>
                <c:pt idx="5">
                  <c:v>1.0777187838231868</c:v>
                </c:pt>
              </c:numCache>
            </c:numRef>
          </c:val>
          <c:extLst>
            <c:ext xmlns:c16="http://schemas.microsoft.com/office/drawing/2014/chart" uri="{C3380CC4-5D6E-409C-BE32-E72D297353CC}">
              <c16:uniqueId val="{00000005-01A8-4183-B07E-F773DEC1B6C1}"/>
            </c:ext>
          </c:extLst>
        </c:ser>
        <c:ser>
          <c:idx val="5"/>
          <c:order val="7"/>
          <c:tx>
            <c:strRef>
              <c:f>'PBL OLD'!$BG$13</c:f>
              <c:strCache>
                <c:ptCount val="1"/>
                <c:pt idx="0">
                  <c:v>Actual ytd Standardised</c:v>
                </c:pt>
              </c:strCache>
            </c:strRef>
          </c:tx>
          <c:spPr>
            <a:noFill/>
          </c:spPr>
          <c:invertIfNegative val="0"/>
          <c:cat>
            <c:strLit>
              <c:ptCount val="6"/>
              <c:pt idx="0">
                <c:v>FY18</c:v>
              </c:pt>
              <c:pt idx="1">
                <c:v>FY19</c:v>
              </c:pt>
              <c:pt idx="2">
                <c:v>FY20</c:v>
              </c:pt>
              <c:pt idx="3">
                <c:v>FY21</c:v>
              </c:pt>
              <c:pt idx="4">
                <c:v>FY22</c:v>
              </c:pt>
              <c:pt idx="5">
                <c:v>FY23e</c:v>
              </c:pt>
              <c:pt idx="6">
                <c:v>FY22 ytd</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'PBL OLD'!$BH$13:$BL$13</c15:sqref>
                  </c15:fullRef>
                </c:ext>
              </c:extLst>
              <c:f>'PBL OLD'!$BH$13:$BL$13</c:f>
              <c:numCache>
                <c:formatCode>_(* #,##0.00_);_(* \(#,##0.00\);_(* "-"??_);_(@_)</c:formatCode>
                <c:ptCount val="5"/>
                <c:pt idx="4">
                  <c:v>3.2454635831256451</c:v>
                </c:pt>
              </c:numCache>
            </c:numRef>
          </c:val>
          <c:extLst>
            <c:ext xmlns:c16="http://schemas.microsoft.com/office/drawing/2014/chart" uri="{C3380CC4-5D6E-409C-BE32-E72D297353CC}">
              <c16:uniqueId val="{00000006-01A8-4183-B07E-F773DEC1B6C1}"/>
            </c:ext>
          </c:extLst>
        </c:ser>
        <c:ser>
          <c:idx val="7"/>
          <c:order val="8"/>
          <c:tx>
            <c:strRef>
              <c:f>'PBL OLD'!$BG$14</c:f>
              <c:strCache>
                <c:ptCount val="1"/>
                <c:pt idx="0">
                  <c:v>Actual ytd + 50th percentile</c:v>
                </c:pt>
              </c:strCache>
            </c:strRef>
          </c:tx>
          <c:spPr>
            <a:solidFill>
              <a:srgbClr val="7030A0"/>
            </a:solidFill>
          </c:spPr>
          <c:invertIfNegative val="0"/>
          <c:cat>
            <c:strLit>
              <c:ptCount val="6"/>
              <c:pt idx="0">
                <c:v>FY18</c:v>
              </c:pt>
              <c:pt idx="1">
                <c:v>FY19</c:v>
              </c:pt>
              <c:pt idx="2">
                <c:v>FY20</c:v>
              </c:pt>
              <c:pt idx="3">
                <c:v>FY21</c:v>
              </c:pt>
              <c:pt idx="4">
                <c:v>FY22</c:v>
              </c:pt>
              <c:pt idx="5">
                <c:v>FY23e</c:v>
              </c:pt>
              <c:pt idx="6">
                <c:v>FY22 ytd</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'PBL OLD'!$BH$14:$BL$14</c15:sqref>
                  </c15:fullRef>
                </c:ext>
              </c:extLst>
              <c:f>'PBL OLD'!$BH$14:$BL$14</c:f>
              <c:numCache>
                <c:formatCode>General</c:formatCode>
                <c:ptCount val="5"/>
                <c:pt idx="4" formatCode="_(* #,##0.00_);_(* \(#,##0.00\);_(* &quot;-&quot;??_);_(@_)">
                  <c:v>3.7961773156692002</c:v>
                </c:pt>
              </c:numCache>
            </c:numRef>
          </c:val>
          <c:extLst>
            <c:ext xmlns:c16="http://schemas.microsoft.com/office/drawing/2014/chart" uri="{C3380CC4-5D6E-409C-BE32-E72D297353CC}">
              <c16:uniqueId val="{00000007-01A8-4183-B07E-F773DEC1B6C1}"/>
            </c:ext>
          </c:extLst>
        </c:ser>
        <c:dLbls>
          <c:showLegendKey val="0"/>
          <c:showVal val="0"/>
          <c:showCatName val="0"/>
          <c:showSerName val="0"/>
          <c:showPercent val="0"/>
          <c:showBubbleSize val="0"/>
        </c:dLbls>
        <c:gapWidth val="150"/>
        <c:overlap val="100"/>
        <c:axId val="1019316528"/>
        <c:axId val="1019315544"/>
      </c:barChart>
      <c:lineChart>
        <c:grouping val="standard"/>
        <c:varyColors val="0"/>
        <c:ser>
          <c:idx val="3"/>
          <c:order val="6"/>
          <c:tx>
            <c:strRef>
              <c:f>'PBL OLD'!$BG$12</c:f>
              <c:strCache>
                <c:ptCount val="1"/>
                <c:pt idx="0">
                  <c:v>Actual</c:v>
                </c:pt>
              </c:strCache>
            </c:strRef>
          </c:tx>
          <c:spPr>
            <a:ln>
              <a:noFill/>
            </a:ln>
          </c:spPr>
          <c:marker>
            <c:symbol val="circle"/>
            <c:size val="12"/>
            <c:spPr>
              <a:solidFill>
                <a:schemeClr val="tx2"/>
              </a:solidFill>
              <a:ln w="19050">
                <a:solidFill>
                  <a:schemeClr val="bg1"/>
                </a:solidFill>
              </a:ln>
            </c:spPr>
          </c:marker>
          <c:cat>
            <c:strRef>
              <c:extLst>
                <c:ext xmlns:c15="http://schemas.microsoft.com/office/drawing/2012/chart" uri="{02D57815-91ED-43cb-92C2-25804820EDAC}">
                  <c15:fullRef>
                    <c15:sqref>'PBL OLD'!$BH$9:$BL$9</c15:sqref>
                  </c15:fullRef>
                </c:ext>
              </c:extLst>
              <c:f>'PBL OLD'!$BH$9:$BL$9</c:f>
              <c:strCache>
                <c:ptCount val="5"/>
                <c:pt idx="0">
                  <c:v>FY18</c:v>
                </c:pt>
                <c:pt idx="1">
                  <c:v>FY19</c:v>
                </c:pt>
                <c:pt idx="2">
                  <c:v>FY20</c:v>
                </c:pt>
                <c:pt idx="3">
                  <c:v>FY21</c:v>
                </c:pt>
                <c:pt idx="4">
                  <c:v>FY22</c:v>
                </c:pt>
              </c:strCache>
            </c:strRef>
          </c:cat>
          <c:val>
            <c:numRef>
              <c:extLst>
                <c:ext xmlns:c15="http://schemas.microsoft.com/office/drawing/2012/chart" uri="{02D57815-91ED-43cb-92C2-25804820EDAC}">
                  <c15:fullRef>
                    <c15:sqref>'PBL OLD'!$BH$12:$BN$12</c15:sqref>
                  </c15:fullRef>
                </c:ext>
              </c:extLst>
              <c:f>'PBL OLD'!$BH$12:$BM$12</c:f>
              <c:numCache>
                <c:formatCode>_(* #,##0.00_);_(* \(#,##0.00\);_(* "-"??_);_(@_)</c:formatCode>
                <c:ptCount val="6"/>
                <c:pt idx="0">
                  <c:v>1.2070041093615997</c:v>
                </c:pt>
                <c:pt idx="1">
                  <c:v>2.1948974502048002</c:v>
                </c:pt>
                <c:pt idx="2">
                  <c:v>2.5238888986673995</c:v>
                </c:pt>
                <c:pt idx="3">
                  <c:v>2.4538385194818004</c:v>
                </c:pt>
                <c:pt idx="4">
                  <c:v>3.3078763443396002</c:v>
                </c:pt>
              </c:numCache>
            </c:numRef>
          </c:val>
          <c:smooth val="0"/>
          <c:extLst>
            <c:ext xmlns:c16="http://schemas.microsoft.com/office/drawing/2014/chart" uri="{C3380CC4-5D6E-409C-BE32-E72D297353CC}">
              <c16:uniqueId val="{00000008-01A8-4183-B07E-F773DEC1B6C1}"/>
            </c:ext>
          </c:extLst>
        </c:ser>
        <c:ser>
          <c:idx val="9"/>
          <c:order val="9"/>
          <c:tx>
            <c:strRef>
              <c:f>'PBL OLD'!$BG$15</c:f>
              <c:strCache>
                <c:ptCount val="1"/>
                <c:pt idx="0">
                  <c:v>E&amp;Pe</c:v>
                </c:pt>
              </c:strCache>
            </c:strRef>
          </c:tx>
          <c:spPr>
            <a:ln w="19050">
              <a:noFill/>
            </a:ln>
          </c:spPr>
          <c:marker>
            <c:symbol val="diamond"/>
            <c:size val="12"/>
            <c:spPr>
              <a:solidFill>
                <a:schemeClr val="accent1"/>
              </a:solidFill>
              <a:ln w="19050">
                <a:solidFill>
                  <a:schemeClr val="bg1"/>
                </a:solidFill>
              </a:ln>
            </c:spPr>
          </c:marker>
          <c:cat>
            <c:strLit>
              <c:ptCount val="6"/>
              <c:pt idx="0">
                <c:v>FY18</c:v>
              </c:pt>
              <c:pt idx="1">
                <c:v>FY19</c:v>
              </c:pt>
              <c:pt idx="2">
                <c:v>FY20</c:v>
              </c:pt>
              <c:pt idx="3">
                <c:v>FY21</c:v>
              </c:pt>
              <c:pt idx="4">
                <c:v>FY22</c:v>
              </c:pt>
              <c:pt idx="5">
                <c:v>FY23e</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'PBL OLD'!$BH$15:$BN$15</c15:sqref>
                  </c15:fullRef>
                </c:ext>
              </c:extLst>
              <c:f>'PBL OLD'!$BH$15:$BM$15</c:f>
              <c:numCache>
                <c:formatCode>General</c:formatCode>
                <c:ptCount val="6"/>
                <c:pt idx="5" formatCode="0.0000">
                  <c:v>2.7944760670203199</c:v>
                </c:pt>
              </c:numCache>
            </c:numRef>
          </c:val>
          <c:smooth val="0"/>
          <c:extLst>
            <c:ext xmlns:c16="http://schemas.microsoft.com/office/drawing/2014/chart" uri="{C3380CC4-5D6E-409C-BE32-E72D297353CC}">
              <c16:uniqueId val="{00000009-01A8-4183-B07E-F773DEC1B6C1}"/>
            </c:ext>
          </c:extLst>
        </c:ser>
        <c:dLbls>
          <c:showLegendKey val="0"/>
          <c:showVal val="0"/>
          <c:showCatName val="0"/>
          <c:showSerName val="0"/>
          <c:showPercent val="0"/>
          <c:showBubbleSize val="0"/>
        </c:dLbls>
        <c:marker val="1"/>
        <c:smooth val="0"/>
        <c:axId val="1019316528"/>
        <c:axId val="1019315544"/>
        <c:extLst/>
      </c:lineChart>
      <c:catAx>
        <c:axId val="101931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1019315544"/>
        <c:crosses val="autoZero"/>
        <c:auto val="1"/>
        <c:lblAlgn val="ctr"/>
        <c:lblOffset val="100"/>
        <c:noMultiLvlLbl val="0"/>
      </c:catAx>
      <c:valAx>
        <c:axId val="1019315544"/>
        <c:scaling>
          <c:orientation val="minMax"/>
          <c:max val="4"/>
          <c:min val="0.5"/>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vert="horz"/>
          <a:lstStyle/>
          <a:p>
            <a:pPr>
              <a:defRPr/>
            </a:pPr>
            <a:endParaRPr lang="en-US"/>
          </a:p>
        </c:txPr>
        <c:crossAx val="1019316528"/>
        <c:crosses val="autoZero"/>
        <c:crossBetween val="between"/>
      </c:valAx>
    </c:plotArea>
    <c:legend>
      <c:legendPos val="b"/>
      <c:legendEntry>
        <c:idx val="0"/>
        <c:delete val="1"/>
      </c:legendEntry>
      <c:legendEntry>
        <c:idx val="1"/>
        <c:delete val="1"/>
      </c:legendEntry>
      <c:legendEntry>
        <c:idx val="4"/>
        <c:delete val="1"/>
      </c:legendEntry>
      <c:legendEntry>
        <c:idx val="5"/>
        <c:delete val="1"/>
      </c:legendEntry>
      <c:legendEntry>
        <c:idx val="6"/>
        <c:delete val="1"/>
      </c:legendEntry>
      <c:legendEntry>
        <c:idx val="7"/>
        <c:delete val="1"/>
      </c:legendEntry>
      <c:overlay val="0"/>
    </c:legend>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orientation="portrait"/>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'PBL OLD'!$AN$6</c:f>
              <c:strCache>
                <c:ptCount val="1"/>
                <c:pt idx="0">
                  <c:v>FY18</c:v>
                </c:pt>
              </c:strCache>
            </c:strRef>
          </c:tx>
          <c:spPr>
            <a:ln w="28575" cap="rnd">
              <a:solidFill>
                <a:schemeClr val="bg1">
                  <a:lumMod val="75000"/>
                </a:schemeClr>
              </a:solidFill>
              <a:round/>
            </a:ln>
            <a:effectLst/>
          </c:spPr>
          <c:marker>
            <c:symbol val="none"/>
          </c:marker>
          <c:cat>
            <c:numRef>
              <c:f>'PBL OLD'!$AM$7:$AM$60</c:f>
              <c:numCache>
                <c:formatCode>General</c:formatCode>
                <c:ptCount val="5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numCache>
            </c:numRef>
          </c:cat>
          <c:val>
            <c:numRef>
              <c:f>'PBL OLD'!$AN$7:$AN$60</c:f>
              <c:numCache>
                <c:formatCode>_-* #,##0.000_-;\-* #,##0.000_-;_-* "-"??_-;_-@_-</c:formatCode>
                <c:ptCount val="54"/>
                <c:pt idx="0" formatCode="0.000">
                  <c:v>0</c:v>
                </c:pt>
                <c:pt idx="1">
                  <c:v>1.3252916830999998E-2</c:v>
                </c:pt>
                <c:pt idx="2">
                  <c:v>2.7884757543499998E-2</c:v>
                </c:pt>
                <c:pt idx="3">
                  <c:v>4.0568036657500001E-2</c:v>
                </c:pt>
                <c:pt idx="4">
                  <c:v>5.1985522308500003E-2</c:v>
                </c:pt>
                <c:pt idx="5">
                  <c:v>6.807354670049999E-2</c:v>
                </c:pt>
                <c:pt idx="6">
                  <c:v>8.0850641283500002E-2</c:v>
                </c:pt>
                <c:pt idx="7">
                  <c:v>9.3063003533499999E-2</c:v>
                </c:pt>
                <c:pt idx="8">
                  <c:v>0.1080397540585</c:v>
                </c:pt>
                <c:pt idx="9">
                  <c:v>0.1253856006645</c:v>
                </c:pt>
                <c:pt idx="10">
                  <c:v>0.14921851102399999</c:v>
                </c:pt>
                <c:pt idx="11">
                  <c:v>0.18899821159449998</c:v>
                </c:pt>
                <c:pt idx="12">
                  <c:v>0.25368285331949997</c:v>
                </c:pt>
                <c:pt idx="13">
                  <c:v>0.26693750747399997</c:v>
                </c:pt>
                <c:pt idx="14">
                  <c:v>0.28319241711749993</c:v>
                </c:pt>
                <c:pt idx="15">
                  <c:v>0.30665854782749991</c:v>
                </c:pt>
                <c:pt idx="16">
                  <c:v>0.33301272336749993</c:v>
                </c:pt>
                <c:pt idx="17">
                  <c:v>0.34482243534749996</c:v>
                </c:pt>
                <c:pt idx="18">
                  <c:v>0.35979703976699995</c:v>
                </c:pt>
                <c:pt idx="19">
                  <c:v>0.37190945481799997</c:v>
                </c:pt>
                <c:pt idx="20">
                  <c:v>0.38807044679699992</c:v>
                </c:pt>
                <c:pt idx="21">
                  <c:v>0.41142395806599991</c:v>
                </c:pt>
                <c:pt idx="22">
                  <c:v>0.42354894316349995</c:v>
                </c:pt>
                <c:pt idx="23">
                  <c:v>0.43943952584949997</c:v>
                </c:pt>
                <c:pt idx="24">
                  <c:v>0.45751433295699995</c:v>
                </c:pt>
                <c:pt idx="25">
                  <c:v>0.47920543002749999</c:v>
                </c:pt>
                <c:pt idx="26">
                  <c:v>0.50481337402649995</c:v>
                </c:pt>
                <c:pt idx="27">
                  <c:v>0.54832576523449994</c:v>
                </c:pt>
                <c:pt idx="28">
                  <c:v>0.62289373376449986</c:v>
                </c:pt>
                <c:pt idx="29">
                  <c:v>0.63632242685549989</c:v>
                </c:pt>
                <c:pt idx="30">
                  <c:v>0.65116765177199987</c:v>
                </c:pt>
                <c:pt idx="31">
                  <c:v>0.66306361675399983</c:v>
                </c:pt>
                <c:pt idx="32">
                  <c:v>0.67808349377999988</c:v>
                </c:pt>
                <c:pt idx="33">
                  <c:v>0.69135214871799977</c:v>
                </c:pt>
                <c:pt idx="34">
                  <c:v>0.70726746271499974</c:v>
                </c:pt>
                <c:pt idx="35">
                  <c:v>0.72734990041999981</c:v>
                </c:pt>
                <c:pt idx="36">
                  <c:v>0.75273536481549974</c:v>
                </c:pt>
                <c:pt idx="37">
                  <c:v>0.79166755810449985</c:v>
                </c:pt>
                <c:pt idx="38">
                  <c:v>0.84011108657849976</c:v>
                </c:pt>
                <c:pt idx="39">
                  <c:v>0.85412137425999979</c:v>
                </c:pt>
                <c:pt idx="40">
                  <c:v>0.87113835574699972</c:v>
                </c:pt>
                <c:pt idx="41">
                  <c:v>0.88302880217199964</c:v>
                </c:pt>
                <c:pt idx="42">
                  <c:v>0.90496275061719966</c:v>
                </c:pt>
                <c:pt idx="43">
                  <c:v>0.9191283958977996</c:v>
                </c:pt>
                <c:pt idx="44">
                  <c:v>0.93933287186199965</c:v>
                </c:pt>
                <c:pt idx="45">
                  <c:v>0.96051504135399957</c:v>
                </c:pt>
                <c:pt idx="46">
                  <c:v>0.99223544729319968</c:v>
                </c:pt>
                <c:pt idx="47">
                  <c:v>1.0358130752991996</c:v>
                </c:pt>
                <c:pt idx="48">
                  <c:v>1.0914419405229998</c:v>
                </c:pt>
                <c:pt idx="49">
                  <c:v>1.1596527478029997</c:v>
                </c:pt>
                <c:pt idx="50">
                  <c:v>1.1738783830443997</c:v>
                </c:pt>
                <c:pt idx="51">
                  <c:v>1.1871202146693998</c:v>
                </c:pt>
                <c:pt idx="52">
                  <c:v>1.2070041093615997</c:v>
                </c:pt>
              </c:numCache>
            </c:numRef>
          </c:val>
          <c:smooth val="0"/>
          <c:extLst>
            <c:ext xmlns:c16="http://schemas.microsoft.com/office/drawing/2014/chart" uri="{C3380CC4-5D6E-409C-BE32-E72D297353CC}">
              <c16:uniqueId val="{00000000-FC79-49DF-8017-173D809A4D4E}"/>
            </c:ext>
          </c:extLst>
        </c:ser>
        <c:ser>
          <c:idx val="1"/>
          <c:order val="1"/>
          <c:tx>
            <c:strRef>
              <c:f>'PBL OLD'!$AO$6</c:f>
              <c:strCache>
                <c:ptCount val="1"/>
                <c:pt idx="0">
                  <c:v>FY19</c:v>
                </c:pt>
              </c:strCache>
            </c:strRef>
          </c:tx>
          <c:spPr>
            <a:ln w="28575" cap="rnd">
              <a:solidFill>
                <a:schemeClr val="bg1">
                  <a:lumMod val="50000"/>
                </a:schemeClr>
              </a:solidFill>
              <a:round/>
            </a:ln>
            <a:effectLst/>
          </c:spPr>
          <c:marker>
            <c:symbol val="none"/>
          </c:marker>
          <c:cat>
            <c:numRef>
              <c:f>'PBL OLD'!$AM$7:$AM$60</c:f>
              <c:numCache>
                <c:formatCode>General</c:formatCode>
                <c:ptCount val="5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numCache>
            </c:numRef>
          </c:cat>
          <c:val>
            <c:numRef>
              <c:f>'PBL OLD'!$AO$7:$AO$60</c:f>
              <c:numCache>
                <c:formatCode>_-* #,##0.000_-;\-* #,##0.000_-;_-* "-"??_-;_-@_-</c:formatCode>
                <c:ptCount val="54"/>
                <c:pt idx="0" formatCode="0.000">
                  <c:v>0</c:v>
                </c:pt>
                <c:pt idx="1">
                  <c:v>2.4234595182600002E-2</c:v>
                </c:pt>
                <c:pt idx="2">
                  <c:v>5.7172416437400009E-2</c:v>
                </c:pt>
                <c:pt idx="3">
                  <c:v>9.5831343768600016E-2</c:v>
                </c:pt>
                <c:pt idx="4">
                  <c:v>0.14260526227860004</c:v>
                </c:pt>
                <c:pt idx="5">
                  <c:v>0.20022704795940005</c:v>
                </c:pt>
                <c:pt idx="6">
                  <c:v>0.3090859734930001</c:v>
                </c:pt>
                <c:pt idx="7">
                  <c:v>0.51181649139060004</c:v>
                </c:pt>
                <c:pt idx="8">
                  <c:v>0.52953844629180014</c:v>
                </c:pt>
                <c:pt idx="9">
                  <c:v>0.55037202332640001</c:v>
                </c:pt>
                <c:pt idx="10">
                  <c:v>0.57662334450600006</c:v>
                </c:pt>
                <c:pt idx="11">
                  <c:v>0.61092950820000003</c:v>
                </c:pt>
                <c:pt idx="12">
                  <c:v>0.65609052202320006</c:v>
                </c:pt>
                <c:pt idx="13">
                  <c:v>0.67163720603099997</c:v>
                </c:pt>
                <c:pt idx="14">
                  <c:v>0.69383158708380011</c:v>
                </c:pt>
                <c:pt idx="15">
                  <c:v>0.72326475673980006</c:v>
                </c:pt>
                <c:pt idx="16">
                  <c:v>0.75835935991860004</c:v>
                </c:pt>
                <c:pt idx="17">
                  <c:v>0.80001611890200008</c:v>
                </c:pt>
                <c:pt idx="18">
                  <c:v>0.85065573970080011</c:v>
                </c:pt>
                <c:pt idx="19">
                  <c:v>0.93406122640379996</c:v>
                </c:pt>
                <c:pt idx="20">
                  <c:v>0.9503713540794001</c:v>
                </c:pt>
                <c:pt idx="21">
                  <c:v>0.96620814826800006</c:v>
                </c:pt>
                <c:pt idx="22">
                  <c:v>0.98973373511759999</c:v>
                </c:pt>
                <c:pt idx="23">
                  <c:v>1.0186353270654001</c:v>
                </c:pt>
                <c:pt idx="24">
                  <c:v>1.0569277284323999</c:v>
                </c:pt>
                <c:pt idx="25">
                  <c:v>1.0956737840399999</c:v>
                </c:pt>
                <c:pt idx="26">
                  <c:v>1.1393866275132001</c:v>
                </c:pt>
                <c:pt idx="27">
                  <c:v>1.2183377802750002</c:v>
                </c:pt>
                <c:pt idx="28">
                  <c:v>1.3503298186554</c:v>
                </c:pt>
                <c:pt idx="29">
                  <c:v>1.5568189139118001</c:v>
                </c:pt>
                <c:pt idx="30">
                  <c:v>1.5737393362812002</c:v>
                </c:pt>
                <c:pt idx="31">
                  <c:v>1.5958052467698003</c:v>
                </c:pt>
                <c:pt idx="32">
                  <c:v>1.6268040274398003</c:v>
                </c:pt>
                <c:pt idx="33">
                  <c:v>1.6655636522052002</c:v>
                </c:pt>
                <c:pt idx="34">
                  <c:v>1.7128492311216001</c:v>
                </c:pt>
                <c:pt idx="35">
                  <c:v>1.7673436830126001</c:v>
                </c:pt>
                <c:pt idx="36">
                  <c:v>1.7827864161624003</c:v>
                </c:pt>
                <c:pt idx="37">
                  <c:v>1.8024663767286002</c:v>
                </c:pt>
                <c:pt idx="38">
                  <c:v>1.8282295256346002</c:v>
                </c:pt>
                <c:pt idx="39">
                  <c:v>1.8598575660786001</c:v>
                </c:pt>
                <c:pt idx="40">
                  <c:v>1.8759501904704001</c:v>
                </c:pt>
                <c:pt idx="41">
                  <c:v>1.8977881232376002</c:v>
                </c:pt>
                <c:pt idx="42">
                  <c:v>1.9235925350796002</c:v>
                </c:pt>
                <c:pt idx="43">
                  <c:v>1.9508194866402002</c:v>
                </c:pt>
                <c:pt idx="44">
                  <c:v>1.9922009742294002</c:v>
                </c:pt>
                <c:pt idx="45">
                  <c:v>2.0061019019052004</c:v>
                </c:pt>
                <c:pt idx="46">
                  <c:v>2.0268232754946003</c:v>
                </c:pt>
                <c:pt idx="47">
                  <c:v>2.0413748879304006</c:v>
                </c:pt>
                <c:pt idx="48">
                  <c:v>2.0606901476238004</c:v>
                </c:pt>
                <c:pt idx="49">
                  <c:v>2.0838859483926004</c:v>
                </c:pt>
                <c:pt idx="50">
                  <c:v>2.1117508884252003</c:v>
                </c:pt>
                <c:pt idx="51">
                  <c:v>2.1467966108952004</c:v>
                </c:pt>
                <c:pt idx="52">
                  <c:v>2.1948974502048002</c:v>
                </c:pt>
              </c:numCache>
            </c:numRef>
          </c:val>
          <c:smooth val="0"/>
          <c:extLst>
            <c:ext xmlns:c16="http://schemas.microsoft.com/office/drawing/2014/chart" uri="{C3380CC4-5D6E-409C-BE32-E72D297353CC}">
              <c16:uniqueId val="{00000001-FC79-49DF-8017-173D809A4D4E}"/>
            </c:ext>
          </c:extLst>
        </c:ser>
        <c:ser>
          <c:idx val="2"/>
          <c:order val="2"/>
          <c:tx>
            <c:strRef>
              <c:f>'PBL OLD'!$AP$6</c:f>
              <c:strCache>
                <c:ptCount val="1"/>
                <c:pt idx="0">
                  <c:v>FY20</c:v>
                </c:pt>
              </c:strCache>
            </c:strRef>
          </c:tx>
          <c:spPr>
            <a:ln w="28575" cap="rnd">
              <a:solidFill>
                <a:schemeClr val="tx2">
                  <a:lumMod val="20000"/>
                  <a:lumOff val="80000"/>
                </a:schemeClr>
              </a:solidFill>
              <a:round/>
            </a:ln>
            <a:effectLst/>
          </c:spPr>
          <c:marker>
            <c:symbol val="none"/>
          </c:marker>
          <c:cat>
            <c:numRef>
              <c:f>'PBL OLD'!$AM$7:$AM$60</c:f>
              <c:numCache>
                <c:formatCode>General</c:formatCode>
                <c:ptCount val="5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numCache>
            </c:numRef>
          </c:cat>
          <c:val>
            <c:numRef>
              <c:f>'PBL OLD'!$AP$7:$AP$60</c:f>
              <c:numCache>
                <c:formatCode>_-* #,##0.000_-;\-* #,##0.000_-;_-* "-"??_-;_-@_-</c:formatCode>
                <c:ptCount val="54"/>
                <c:pt idx="0" formatCode="0.000">
                  <c:v>0</c:v>
                </c:pt>
                <c:pt idx="1">
                  <c:v>6.3792737111400002E-2</c:v>
                </c:pt>
                <c:pt idx="2">
                  <c:v>0.152397909213</c:v>
                </c:pt>
                <c:pt idx="3">
                  <c:v>0.33964704963420006</c:v>
                </c:pt>
                <c:pt idx="4">
                  <c:v>0.35693542630020003</c:v>
                </c:pt>
                <c:pt idx="5">
                  <c:v>0.37779995053680004</c:v>
                </c:pt>
                <c:pt idx="6">
                  <c:v>0.40685429469960005</c:v>
                </c:pt>
                <c:pt idx="7">
                  <c:v>0.44477707538220007</c:v>
                </c:pt>
                <c:pt idx="8">
                  <c:v>0.49425228786780007</c:v>
                </c:pt>
                <c:pt idx="9">
                  <c:v>0.5619957923976</c:v>
                </c:pt>
                <c:pt idx="10">
                  <c:v>0.66485691212820008</c:v>
                </c:pt>
                <c:pt idx="11">
                  <c:v>0.81297276015780007</c:v>
                </c:pt>
                <c:pt idx="12">
                  <c:v>1.0622424739410001</c:v>
                </c:pt>
                <c:pt idx="13">
                  <c:v>1.0812228690384003</c:v>
                </c:pt>
                <c:pt idx="14">
                  <c:v>1.1036211902430002</c:v>
                </c:pt>
                <c:pt idx="15">
                  <c:v>1.1311248715866002</c:v>
                </c:pt>
                <c:pt idx="16">
                  <c:v>1.1496884271048002</c:v>
                </c:pt>
                <c:pt idx="17">
                  <c:v>1.1761261127748004</c:v>
                </c:pt>
                <c:pt idx="18">
                  <c:v>1.2044927124912002</c:v>
                </c:pt>
                <c:pt idx="19">
                  <c:v>1.2415876322520003</c:v>
                </c:pt>
                <c:pt idx="20">
                  <c:v>1.2905154883632004</c:v>
                </c:pt>
                <c:pt idx="21">
                  <c:v>1.3494382550814004</c:v>
                </c:pt>
                <c:pt idx="22">
                  <c:v>1.3667452297620004</c:v>
                </c:pt>
                <c:pt idx="23">
                  <c:v>1.3911257968278004</c:v>
                </c:pt>
                <c:pt idx="24">
                  <c:v>1.4230165404444004</c:v>
                </c:pt>
                <c:pt idx="25">
                  <c:v>1.4545245922548002</c:v>
                </c:pt>
                <c:pt idx="26">
                  <c:v>1.4846321634210002</c:v>
                </c:pt>
                <c:pt idx="27">
                  <c:v>1.5019547532726001</c:v>
                </c:pt>
                <c:pt idx="28">
                  <c:v>1.5260941260048</c:v>
                </c:pt>
                <c:pt idx="29">
                  <c:v>1.5588784577915999</c:v>
                </c:pt>
                <c:pt idx="30">
                  <c:v>1.601237451891</c:v>
                </c:pt>
                <c:pt idx="31">
                  <c:v>1.6560169932372</c:v>
                </c:pt>
                <c:pt idx="32">
                  <c:v>1.7372451108342</c:v>
                </c:pt>
                <c:pt idx="33">
                  <c:v>1.7546034954623999</c:v>
                </c:pt>
                <c:pt idx="34">
                  <c:v>1.7807707584018</c:v>
                </c:pt>
                <c:pt idx="35">
                  <c:v>1.8139041493188</c:v>
                </c:pt>
                <c:pt idx="36">
                  <c:v>1.8587518012865998</c:v>
                </c:pt>
                <c:pt idx="37">
                  <c:v>1.9151332990217997</c:v>
                </c:pt>
                <c:pt idx="38">
                  <c:v>1.9946937964337998</c:v>
                </c:pt>
                <c:pt idx="39">
                  <c:v>2.0989035219305996</c:v>
                </c:pt>
                <c:pt idx="40">
                  <c:v>2.1174573079571997</c:v>
                </c:pt>
                <c:pt idx="41">
                  <c:v>2.1455780688275996</c:v>
                </c:pt>
                <c:pt idx="42">
                  <c:v>2.1801784850405994</c:v>
                </c:pt>
                <c:pt idx="43">
                  <c:v>2.2288195024721995</c:v>
                </c:pt>
                <c:pt idx="44">
                  <c:v>2.2498058118293995</c:v>
                </c:pt>
                <c:pt idx="45">
                  <c:v>2.2777414328261996</c:v>
                </c:pt>
                <c:pt idx="46">
                  <c:v>2.2990205866979996</c:v>
                </c:pt>
                <c:pt idx="47">
                  <c:v>2.3289201958175991</c:v>
                </c:pt>
                <c:pt idx="48">
                  <c:v>2.3741850531233992</c:v>
                </c:pt>
                <c:pt idx="49">
                  <c:v>2.3979206735879992</c:v>
                </c:pt>
                <c:pt idx="50">
                  <c:v>2.4287109079991995</c:v>
                </c:pt>
                <c:pt idx="51">
                  <c:v>2.4655201902473993</c:v>
                </c:pt>
                <c:pt idx="52">
                  <c:v>2.5238888986673995</c:v>
                </c:pt>
              </c:numCache>
            </c:numRef>
          </c:val>
          <c:smooth val="0"/>
          <c:extLst>
            <c:ext xmlns:c16="http://schemas.microsoft.com/office/drawing/2014/chart" uri="{C3380CC4-5D6E-409C-BE32-E72D297353CC}">
              <c16:uniqueId val="{00000002-FC79-49DF-8017-173D809A4D4E}"/>
            </c:ext>
          </c:extLst>
        </c:ser>
        <c:ser>
          <c:idx val="3"/>
          <c:order val="3"/>
          <c:tx>
            <c:strRef>
              <c:f>'PBL OLD'!$AQ$6</c:f>
              <c:strCache>
                <c:ptCount val="1"/>
                <c:pt idx="0">
                  <c:v>FY21</c:v>
                </c:pt>
              </c:strCache>
            </c:strRef>
          </c:tx>
          <c:spPr>
            <a:ln w="28575" cap="rnd">
              <a:solidFill>
                <a:schemeClr val="tx2">
                  <a:lumMod val="40000"/>
                  <a:lumOff val="60000"/>
                </a:schemeClr>
              </a:solidFill>
              <a:round/>
            </a:ln>
            <a:effectLst/>
          </c:spPr>
          <c:marker>
            <c:symbol val="none"/>
          </c:marker>
          <c:cat>
            <c:numRef>
              <c:f>'PBL OLD'!$AM$7:$AM$60</c:f>
              <c:numCache>
                <c:formatCode>General</c:formatCode>
                <c:ptCount val="5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numCache>
            </c:numRef>
          </c:cat>
          <c:val>
            <c:numRef>
              <c:f>'PBL OLD'!$AQ$7:$AQ$60</c:f>
              <c:numCache>
                <c:formatCode>_-* #,##0.000_-;\-* #,##0.000_-;_-* "-"??_-;_-@_-</c:formatCode>
                <c:ptCount val="54"/>
                <c:pt idx="0" formatCode="0.000">
                  <c:v>0</c:v>
                </c:pt>
                <c:pt idx="1">
                  <c:v>8.3878292388E-2</c:v>
                </c:pt>
                <c:pt idx="2">
                  <c:v>0.21553140064499998</c:v>
                </c:pt>
                <c:pt idx="3">
                  <c:v>0.24056564279219997</c:v>
                </c:pt>
                <c:pt idx="4">
                  <c:v>0.27198953283479993</c:v>
                </c:pt>
                <c:pt idx="5">
                  <c:v>0.32423092823219996</c:v>
                </c:pt>
                <c:pt idx="6">
                  <c:v>0.35060951648579997</c:v>
                </c:pt>
                <c:pt idx="7">
                  <c:v>0.38322128061359995</c:v>
                </c:pt>
                <c:pt idx="8">
                  <c:v>0.40523963265719998</c:v>
                </c:pt>
                <c:pt idx="9">
                  <c:v>0.43841106052919998</c:v>
                </c:pt>
                <c:pt idx="10">
                  <c:v>0.48890187514079991</c:v>
                </c:pt>
                <c:pt idx="11">
                  <c:v>0.56263254855719991</c:v>
                </c:pt>
                <c:pt idx="12">
                  <c:v>0.66412635538919995</c:v>
                </c:pt>
                <c:pt idx="13">
                  <c:v>0.68886350889839998</c:v>
                </c:pt>
                <c:pt idx="14">
                  <c:v>0.72218107875539994</c:v>
                </c:pt>
                <c:pt idx="15">
                  <c:v>0.77568642214799999</c:v>
                </c:pt>
                <c:pt idx="16">
                  <c:v>0.854410506939</c:v>
                </c:pt>
                <c:pt idx="17">
                  <c:v>0.87791558341739995</c:v>
                </c:pt>
                <c:pt idx="18">
                  <c:v>0.9085567930427999</c:v>
                </c:pt>
                <c:pt idx="19">
                  <c:v>0.95703789510780002</c:v>
                </c:pt>
                <c:pt idx="20">
                  <c:v>0.97898705993219992</c:v>
                </c:pt>
                <c:pt idx="21">
                  <c:v>1.0091054416013998</c:v>
                </c:pt>
                <c:pt idx="22">
                  <c:v>1.0575821393873999</c:v>
                </c:pt>
                <c:pt idx="23">
                  <c:v>1.0791525362177998</c:v>
                </c:pt>
                <c:pt idx="24">
                  <c:v>1.1119100419415999</c:v>
                </c:pt>
                <c:pt idx="25">
                  <c:v>1.1634365027406</c:v>
                </c:pt>
                <c:pt idx="26">
                  <c:v>1.1861645042478</c:v>
                </c:pt>
                <c:pt idx="27">
                  <c:v>1.2199573358477998</c:v>
                </c:pt>
                <c:pt idx="28">
                  <c:v>1.2415091546285999</c:v>
                </c:pt>
                <c:pt idx="29">
                  <c:v>1.2703546195890001</c:v>
                </c:pt>
                <c:pt idx="30">
                  <c:v>1.3168683702635999</c:v>
                </c:pt>
                <c:pt idx="31">
                  <c:v>1.3445162717249999</c:v>
                </c:pt>
                <c:pt idx="32">
                  <c:v>1.3907447051982</c:v>
                </c:pt>
                <c:pt idx="33">
                  <c:v>1.4492922273455999</c:v>
                </c:pt>
                <c:pt idx="34">
                  <c:v>1.5446136373535997</c:v>
                </c:pt>
                <c:pt idx="35">
                  <c:v>1.5734880103997999</c:v>
                </c:pt>
                <c:pt idx="36">
                  <c:v>1.6187873011595997</c:v>
                </c:pt>
                <c:pt idx="37">
                  <c:v>1.6742748904133997</c:v>
                </c:pt>
                <c:pt idx="38">
                  <c:v>1.7575352224187997</c:v>
                </c:pt>
                <c:pt idx="39">
                  <c:v>1.7863687557869996</c:v>
                </c:pt>
                <c:pt idx="40">
                  <c:v>1.8319923616367999</c:v>
                </c:pt>
                <c:pt idx="41">
                  <c:v>1.8833738816177998</c:v>
                </c:pt>
                <c:pt idx="42">
                  <c:v>1.9623325142849999</c:v>
                </c:pt>
                <c:pt idx="43">
                  <c:v>2.1033304615685999</c:v>
                </c:pt>
                <c:pt idx="44">
                  <c:v>2.1325967353680002</c:v>
                </c:pt>
                <c:pt idx="45">
                  <c:v>2.1778897800594001</c:v>
                </c:pt>
                <c:pt idx="46">
                  <c:v>2.2377158243616</c:v>
                </c:pt>
                <c:pt idx="47">
                  <c:v>2.2620606767286002</c:v>
                </c:pt>
                <c:pt idx="48">
                  <c:v>2.2931668180608002</c:v>
                </c:pt>
                <c:pt idx="49">
                  <c:v>2.3166344982066001</c:v>
                </c:pt>
                <c:pt idx="50">
                  <c:v>2.3441540349546002</c:v>
                </c:pt>
                <c:pt idx="51">
                  <c:v>2.3871795966612006</c:v>
                </c:pt>
                <c:pt idx="52">
                  <c:v>2.4538385194818004</c:v>
                </c:pt>
              </c:numCache>
            </c:numRef>
          </c:val>
          <c:smooth val="0"/>
          <c:extLst xmlns:c15="http://schemas.microsoft.com/office/drawing/2012/chart">
            <c:ext xmlns:c16="http://schemas.microsoft.com/office/drawing/2014/chart" uri="{C3380CC4-5D6E-409C-BE32-E72D297353CC}">
              <c16:uniqueId val="{00000003-FC79-49DF-8017-173D809A4D4E}"/>
            </c:ext>
          </c:extLst>
        </c:ser>
        <c:ser>
          <c:idx val="4"/>
          <c:order val="4"/>
          <c:tx>
            <c:strRef>
              <c:f>'PBL OLD'!$AR$6</c:f>
              <c:strCache>
                <c:ptCount val="1"/>
                <c:pt idx="0">
                  <c:v>FY22</c:v>
                </c:pt>
              </c:strCache>
            </c:strRef>
          </c:tx>
          <c:spPr>
            <a:ln w="28575" cap="rnd">
              <a:solidFill>
                <a:schemeClr val="tx2"/>
              </a:solidFill>
              <a:round/>
            </a:ln>
            <a:effectLst/>
          </c:spPr>
          <c:marker>
            <c:symbol val="none"/>
          </c:marker>
          <c:cat>
            <c:numRef>
              <c:f>'PBL OLD'!$AM$7:$AM$60</c:f>
              <c:numCache>
                <c:formatCode>General</c:formatCode>
                <c:ptCount val="5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numCache>
            </c:numRef>
          </c:cat>
          <c:val>
            <c:numRef>
              <c:f>'PBL OLD'!$AR$7:$AR$60</c:f>
              <c:numCache>
                <c:formatCode>_-* #,##0.000_-;\-* #,##0.000_-;_-* "-"??_-;_-@_-</c:formatCode>
                <c:ptCount val="54"/>
                <c:pt idx="0" formatCode="0.000">
                  <c:v>0</c:v>
                </c:pt>
                <c:pt idx="1">
                  <c:v>9.5665744548000003E-2</c:v>
                </c:pt>
                <c:pt idx="2">
                  <c:v>0.11793257800500001</c:v>
                </c:pt>
                <c:pt idx="3">
                  <c:v>0.14911191044640001</c:v>
                </c:pt>
                <c:pt idx="4">
                  <c:v>0.20023678107840001</c:v>
                </c:pt>
                <c:pt idx="5">
                  <c:v>0.2701509465468</c:v>
                </c:pt>
                <c:pt idx="6">
                  <c:v>0.36942956119740006</c:v>
                </c:pt>
                <c:pt idx="7">
                  <c:v>0.52990114819620004</c:v>
                </c:pt>
                <c:pt idx="8">
                  <c:v>0.55553957734440007</c:v>
                </c:pt>
                <c:pt idx="9">
                  <c:v>0.59104062857399997</c:v>
                </c:pt>
                <c:pt idx="10">
                  <c:v>0.64431783031439993</c:v>
                </c:pt>
                <c:pt idx="11">
                  <c:v>0.66758515580459998</c:v>
                </c:pt>
                <c:pt idx="12">
                  <c:v>0.69931494304319997</c:v>
                </c:pt>
                <c:pt idx="13">
                  <c:v>0.72348987031860001</c:v>
                </c:pt>
                <c:pt idx="14">
                  <c:v>0.7559707072434001</c:v>
                </c:pt>
                <c:pt idx="15">
                  <c:v>0.80990678912220015</c:v>
                </c:pt>
                <c:pt idx="16">
                  <c:v>0.88230096405660008</c:v>
                </c:pt>
                <c:pt idx="17">
                  <c:v>0.98874678204060007</c:v>
                </c:pt>
                <c:pt idx="18">
                  <c:v>1.0120299629352001</c:v>
                </c:pt>
                <c:pt idx="19">
                  <c:v>1.0438740211944</c:v>
                </c:pt>
                <c:pt idx="20">
                  <c:v>1.0936904205744002</c:v>
                </c:pt>
                <c:pt idx="21">
                  <c:v>1.1660568885900002</c:v>
                </c:pt>
                <c:pt idx="22">
                  <c:v>1.2674987249298</c:v>
                </c:pt>
                <c:pt idx="23">
                  <c:v>1.4037287599235999</c:v>
                </c:pt>
                <c:pt idx="24">
                  <c:v>1.4266092295620001</c:v>
                </c:pt>
                <c:pt idx="25">
                  <c:v>1.4579451141024</c:v>
                </c:pt>
                <c:pt idx="26">
                  <c:v>1.5087963588918001</c:v>
                </c:pt>
                <c:pt idx="27">
                  <c:v>1.5639026176620001</c:v>
                </c:pt>
                <c:pt idx="28">
                  <c:v>1.6569426111480003</c:v>
                </c:pt>
                <c:pt idx="29">
                  <c:v>1.6806172924068004</c:v>
                </c:pt>
                <c:pt idx="30">
                  <c:v>1.7072860826076002</c:v>
                </c:pt>
                <c:pt idx="31">
                  <c:v>1.7486309714478001</c:v>
                </c:pt>
                <c:pt idx="32">
                  <c:v>1.8182678274948001</c:v>
                </c:pt>
                <c:pt idx="33">
                  <c:v>1.9142152857432</c:v>
                </c:pt>
                <c:pt idx="34">
                  <c:v>2.0558697108312001</c:v>
                </c:pt>
                <c:pt idx="35">
                  <c:v>2.3574291724830001</c:v>
                </c:pt>
                <c:pt idx="36">
                  <c:v>2.3817293414376</c:v>
                </c:pt>
                <c:pt idx="37">
                  <c:v>2.4127516413132</c:v>
                </c:pt>
                <c:pt idx="38">
                  <c:v>2.4651885866982002</c:v>
                </c:pt>
                <c:pt idx="39">
                  <c:v>2.489099497467</c:v>
                </c:pt>
                <c:pt idx="40">
                  <c:v>2.5236070234320001</c:v>
                </c:pt>
                <c:pt idx="41">
                  <c:v>2.5775473494342003</c:v>
                </c:pt>
                <c:pt idx="42">
                  <c:v>2.6028146980572004</c:v>
                </c:pt>
                <c:pt idx="43">
                  <c:v>2.6322778831668003</c:v>
                </c:pt>
                <c:pt idx="44">
                  <c:v>2.6837529340182003</c:v>
                </c:pt>
                <c:pt idx="45">
                  <c:v>2.7563431394070004</c:v>
                </c:pt>
                <c:pt idx="46">
                  <c:v>2.8601138784042006</c:v>
                </c:pt>
                <c:pt idx="47">
                  <c:v>3.0047512816200004</c:v>
                </c:pt>
                <c:pt idx="48">
                  <c:v>3.0297182584152003</c:v>
                </c:pt>
                <c:pt idx="49">
                  <c:v>3.0565454425044001</c:v>
                </c:pt>
                <c:pt idx="50">
                  <c:v>3.0899016098610002</c:v>
                </c:pt>
                <c:pt idx="51">
                  <c:v>3.1411297007772001</c:v>
                </c:pt>
                <c:pt idx="52">
                  <c:v>3.2132586580380003</c:v>
                </c:pt>
                <c:pt idx="53">
                  <c:v>3.3078763443396002</c:v>
                </c:pt>
              </c:numCache>
            </c:numRef>
          </c:val>
          <c:smooth val="0"/>
          <c:extLst xmlns:c15="http://schemas.microsoft.com/office/drawing/2012/chart">
            <c:ext xmlns:c16="http://schemas.microsoft.com/office/drawing/2014/chart" uri="{C3380CC4-5D6E-409C-BE32-E72D297353CC}">
              <c16:uniqueId val="{00000004-FC79-49DF-8017-173D809A4D4E}"/>
            </c:ext>
          </c:extLst>
        </c:ser>
        <c:ser>
          <c:idx val="5"/>
          <c:order val="5"/>
          <c:tx>
            <c:strRef>
              <c:f>'PBL OLD'!$AU$6</c:f>
              <c:strCache>
                <c:ptCount val="1"/>
                <c:pt idx="0">
                  <c:v>FY23e</c:v>
                </c:pt>
              </c:strCache>
            </c:strRef>
          </c:tx>
          <c:spPr>
            <a:ln w="28575" cap="rnd">
              <a:solidFill>
                <a:schemeClr val="accent1"/>
              </a:solidFill>
              <a:prstDash val="sysDash"/>
              <a:round/>
            </a:ln>
            <a:effectLst/>
          </c:spPr>
          <c:marker>
            <c:symbol val="none"/>
          </c:marker>
          <c:cat>
            <c:numRef>
              <c:f>'PBL OLD'!$AM$7:$AM$60</c:f>
              <c:numCache>
                <c:formatCode>General</c:formatCode>
                <c:ptCount val="5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numCache>
            </c:numRef>
          </c:cat>
          <c:val>
            <c:numRef>
              <c:f>'PBL OLD'!$AU$7:$AU$60</c:f>
              <c:numCache>
                <c:formatCode>_-* #,##0.000_-;\-* #,##0.000_-;_-* "-"??_-;_-@_-</c:formatCode>
                <c:ptCount val="54"/>
                <c:pt idx="0" formatCode="0.000">
                  <c:v>0</c:v>
                </c:pt>
                <c:pt idx="1">
                  <c:v>0</c:v>
                </c:pt>
                <c:pt idx="2">
                  <c:v>5.2938476687433497E-2</c:v>
                </c:pt>
                <c:pt idx="3">
                  <c:v>0.10587695337486699</c:v>
                </c:pt>
                <c:pt idx="4">
                  <c:v>0.15881543006230048</c:v>
                </c:pt>
                <c:pt idx="5">
                  <c:v>0.21175390674973399</c:v>
                </c:pt>
                <c:pt idx="6">
                  <c:v>0.2646923834371675</c:v>
                </c:pt>
                <c:pt idx="7">
                  <c:v>0.31763086012460101</c:v>
                </c:pt>
                <c:pt idx="8">
                  <c:v>0.37056933681203452</c:v>
                </c:pt>
                <c:pt idx="9">
                  <c:v>0.42350781349946803</c:v>
                </c:pt>
                <c:pt idx="10">
                  <c:v>0.47644629018690154</c:v>
                </c:pt>
                <c:pt idx="11">
                  <c:v>0.529384766874335</c:v>
                </c:pt>
                <c:pt idx="12">
                  <c:v>0.58232324356176846</c:v>
                </c:pt>
                <c:pt idx="13">
                  <c:v>0.63526172024920191</c:v>
                </c:pt>
                <c:pt idx="14">
                  <c:v>0.68820019693663537</c:v>
                </c:pt>
                <c:pt idx="15">
                  <c:v>0.74113867362406882</c:v>
                </c:pt>
                <c:pt idx="16">
                  <c:v>0.79407715031150228</c:v>
                </c:pt>
                <c:pt idx="17">
                  <c:v>0.84701562699893573</c:v>
                </c:pt>
                <c:pt idx="18">
                  <c:v>0.89995410368636919</c:v>
                </c:pt>
                <c:pt idx="19">
                  <c:v>0.95289258037380264</c:v>
                </c:pt>
                <c:pt idx="20">
                  <c:v>1.0058310570612361</c:v>
                </c:pt>
                <c:pt idx="21">
                  <c:v>1.0587695337486696</c:v>
                </c:pt>
                <c:pt idx="22">
                  <c:v>1.111708010436103</c:v>
                </c:pt>
                <c:pt idx="23">
                  <c:v>1.1646464871235365</c:v>
                </c:pt>
                <c:pt idx="24">
                  <c:v>1.2175849638109699</c:v>
                </c:pt>
                <c:pt idx="25">
                  <c:v>1.2705234404984034</c:v>
                </c:pt>
                <c:pt idx="26">
                  <c:v>1.3234619171858368</c:v>
                </c:pt>
                <c:pt idx="27">
                  <c:v>1.3764003938732703</c:v>
                </c:pt>
                <c:pt idx="28">
                  <c:v>1.4293388705607037</c:v>
                </c:pt>
                <c:pt idx="29">
                  <c:v>1.4822773472481372</c:v>
                </c:pt>
                <c:pt idx="30">
                  <c:v>1.5352158239355707</c:v>
                </c:pt>
                <c:pt idx="31">
                  <c:v>1.5881543006230041</c:v>
                </c:pt>
                <c:pt idx="32">
                  <c:v>1.6410927773104376</c:v>
                </c:pt>
                <c:pt idx="33">
                  <c:v>1.694031253997871</c:v>
                </c:pt>
                <c:pt idx="34">
                  <c:v>1.7469697306853045</c:v>
                </c:pt>
                <c:pt idx="35">
                  <c:v>1.7999082073727379</c:v>
                </c:pt>
                <c:pt idx="36">
                  <c:v>1.8528466840601714</c:v>
                </c:pt>
                <c:pt idx="37">
                  <c:v>1.9057851607476048</c:v>
                </c:pt>
                <c:pt idx="38">
                  <c:v>1.9587236374350383</c:v>
                </c:pt>
                <c:pt idx="39">
                  <c:v>2.0116621141224718</c:v>
                </c:pt>
                <c:pt idx="40">
                  <c:v>2.0646005908099054</c:v>
                </c:pt>
                <c:pt idx="41">
                  <c:v>2.1175390674973391</c:v>
                </c:pt>
                <c:pt idx="42">
                  <c:v>2.1704775441847728</c:v>
                </c:pt>
                <c:pt idx="43">
                  <c:v>2.2234160208722065</c:v>
                </c:pt>
                <c:pt idx="44">
                  <c:v>2.2763544975596401</c:v>
                </c:pt>
                <c:pt idx="45">
                  <c:v>2.3292929742470738</c:v>
                </c:pt>
                <c:pt idx="46">
                  <c:v>2.3822314509345075</c:v>
                </c:pt>
                <c:pt idx="47">
                  <c:v>2.4351699276219412</c:v>
                </c:pt>
                <c:pt idx="48">
                  <c:v>2.4881084043093749</c:v>
                </c:pt>
                <c:pt idx="49">
                  <c:v>2.5410468809968085</c:v>
                </c:pt>
                <c:pt idx="50">
                  <c:v>2.5939853576842422</c:v>
                </c:pt>
                <c:pt idx="51">
                  <c:v>2.6469238343716759</c:v>
                </c:pt>
                <c:pt idx="52">
                  <c:v>2.6998623110591096</c:v>
                </c:pt>
              </c:numCache>
            </c:numRef>
          </c:val>
          <c:smooth val="0"/>
          <c:extLst xmlns:c15="http://schemas.microsoft.com/office/drawing/2012/chart">
            <c:ext xmlns:c16="http://schemas.microsoft.com/office/drawing/2014/chart" uri="{C3380CC4-5D6E-409C-BE32-E72D297353CC}">
              <c16:uniqueId val="{00000005-FC79-49DF-8017-173D809A4D4E}"/>
            </c:ext>
          </c:extLst>
        </c:ser>
        <c:dLbls>
          <c:showLegendKey val="0"/>
          <c:showVal val="0"/>
          <c:showCatName val="0"/>
          <c:showSerName val="0"/>
          <c:showPercent val="0"/>
          <c:showBubbleSize val="0"/>
        </c:dLbls>
        <c:smooth val="0"/>
        <c:axId val="1388952432"/>
        <c:axId val="1388953088"/>
        <c:extLst/>
      </c:lineChart>
      <c:catAx>
        <c:axId val="1388952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3088"/>
        <c:crosses val="autoZero"/>
        <c:auto val="1"/>
        <c:lblAlgn val="ctr"/>
        <c:lblOffset val="100"/>
        <c:tickLblSkip val="10"/>
        <c:noMultiLvlLbl val="0"/>
      </c:catAx>
      <c:valAx>
        <c:axId val="13889530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orientation="portrait"/>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'PBL OLD'!$CU$6:$CU$7</c:f>
              <c:strCache>
                <c:ptCount val="2"/>
                <c:pt idx="0">
                  <c:v>Actual</c:v>
                </c:pt>
              </c:strCache>
            </c:strRef>
          </c:tx>
          <c:spPr>
            <a:ln w="28575" cap="rnd">
              <a:solidFill>
                <a:schemeClr val="tx2"/>
              </a:solidFill>
              <a:round/>
            </a:ln>
            <a:effectLst/>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OLD'!$CU$8:$CU$60</c:f>
              <c:numCache>
                <c:formatCode>0.000</c:formatCode>
                <c:ptCount val="53"/>
                <c:pt idx="0">
                  <c:v>2.4383432684147156E-2</c:v>
                </c:pt>
                <c:pt idx="1">
                  <c:v>5.7456335077458197E-2</c:v>
                </c:pt>
                <c:pt idx="2">
                  <c:v>8.2897301732709039E-2</c:v>
                </c:pt>
                <c:pt idx="3">
                  <c:v>0.10634933406608696</c:v>
                </c:pt>
                <c:pt idx="4">
                  <c:v>0.13586762292789298</c:v>
                </c:pt>
                <c:pt idx="5">
                  <c:v>0.18374004427397994</c:v>
                </c:pt>
                <c:pt idx="6">
                  <c:v>0.20803473319331103</c:v>
                </c:pt>
                <c:pt idx="7">
                  <c:v>0.23891877923157193</c:v>
                </c:pt>
                <c:pt idx="8">
                  <c:v>0.28713984685163879</c:v>
                </c:pt>
                <c:pt idx="9">
                  <c:v>0.3616614278523077</c:v>
                </c:pt>
                <c:pt idx="10">
                  <c:v>0.392004627321204</c:v>
                </c:pt>
                <c:pt idx="11">
                  <c:v>0.41949779873926418</c:v>
                </c:pt>
                <c:pt idx="12">
                  <c:v>0.46306182742073576</c:v>
                </c:pt>
                <c:pt idx="13">
                  <c:v>0.52060037325672237</c:v>
                </c:pt>
                <c:pt idx="14">
                  <c:v>0.6148648724923077</c:v>
                </c:pt>
                <c:pt idx="15">
                  <c:v>0.83700126369498329</c:v>
                </c:pt>
                <c:pt idx="16">
                  <c:v>1.1825944978628762</c:v>
                </c:pt>
                <c:pt idx="17">
                  <c:v>1.2153577144507022</c:v>
                </c:pt>
                <c:pt idx="18">
                  <c:v>1.2691323901694982</c:v>
                </c:pt>
                <c:pt idx="19">
                  <c:v>1.3310424487488961</c:v>
                </c:pt>
                <c:pt idx="20">
                  <c:v>1.4175102073723076</c:v>
                </c:pt>
                <c:pt idx="21">
                  <c:v>1.4481012105839461</c:v>
                </c:pt>
                <c:pt idx="22">
                  <c:v>1.4946211055890297</c:v>
                </c:pt>
                <c:pt idx="23">
                  <c:v>1.5554005903488961</c:v>
                </c:pt>
                <c:pt idx="24">
                  <c:v>1.6472886013460868</c:v>
                </c:pt>
                <c:pt idx="25">
                  <c:v>1.8141838940449495</c:v>
                </c:pt>
                <c:pt idx="26">
                  <c:v>1.8392503831253511</c:v>
                </c:pt>
                <c:pt idx="27">
                  <c:v>1.866157764302341</c:v>
                </c:pt>
                <c:pt idx="28">
                  <c:v>1.9009749529614712</c:v>
                </c:pt>
                <c:pt idx="29">
                  <c:v>1.9519053104066888</c:v>
                </c:pt>
                <c:pt idx="30">
                  <c:v>2.0244714168671569</c:v>
                </c:pt>
                <c:pt idx="31">
                  <c:v>2.0488217174971233</c:v>
                </c:pt>
                <c:pt idx="32">
                  <c:v>2.0819389554734444</c:v>
                </c:pt>
                <c:pt idx="33">
                  <c:v>2.135068076795986</c:v>
                </c:pt>
                <c:pt idx="34">
                  <c:v>2.2086620296321069</c:v>
                </c:pt>
                <c:pt idx="35">
                  <c:v>2.2340468803692306</c:v>
                </c:pt>
                <c:pt idx="36">
                  <c:v>2.2608009917649499</c:v>
                </c:pt>
                <c:pt idx="37">
                  <c:v>2.2922285879399333</c:v>
                </c:pt>
                <c:pt idx="38">
                  <c:v>2.3232771205685618</c:v>
                </c:pt>
                <c:pt idx="39">
                  <c:v>2.3730794774674249</c:v>
                </c:pt>
                <c:pt idx="40">
                  <c:v>2.4331034888271574</c:v>
                </c:pt>
                <c:pt idx="41">
                  <c:v>2.459481893485485</c:v>
                </c:pt>
                <c:pt idx="42">
                  <c:v>2.4922966782375924</c:v>
                </c:pt>
                <c:pt idx="43">
                  <c:v>2.5430290760305017</c:v>
                </c:pt>
                <c:pt idx="44">
                  <c:v>2.5665048546627425</c:v>
                </c:pt>
                <c:pt idx="45">
                  <c:v>2.5900549864143145</c:v>
                </c:pt>
                <c:pt idx="46">
                  <c:v>2.6316794518334712</c:v>
                </c:pt>
                <c:pt idx="47">
                  <c:v>2.6865530592113069</c:v>
                </c:pt>
                <c:pt idx="48">
                  <c:v>2.7625586865996037</c:v>
                </c:pt>
                <c:pt idx="49">
                  <c:v>2.8807855607703785</c:v>
                </c:pt>
                <c:pt idx="50">
                  <c:v>3.1087288440336671</c:v>
                </c:pt>
                <c:pt idx="51">
                  <c:v>3.1350399566342553</c:v>
                </c:pt>
              </c:numCache>
            </c:numRef>
          </c:val>
          <c:smooth val="0"/>
          <c:extLst>
            <c:ext xmlns:c16="http://schemas.microsoft.com/office/drawing/2014/chart" uri="{C3380CC4-5D6E-409C-BE32-E72D297353CC}">
              <c16:uniqueId val="{00000000-F16A-46E3-8364-E6214B5A1C15}"/>
            </c:ext>
          </c:extLst>
        </c:ser>
        <c:ser>
          <c:idx val="1"/>
          <c:order val="4"/>
          <c:tx>
            <c:strRef>
              <c:f>'PBL OLD'!$CY$6:$CY$7</c:f>
              <c:strCache>
                <c:ptCount val="2"/>
                <c:pt idx="0">
                  <c:v>10th Percentile</c:v>
                </c:pt>
              </c:strCache>
            </c:strRef>
          </c:tx>
          <c:spPr>
            <a:ln w="28575" cap="rnd" cmpd="sng">
              <a:solidFill>
                <a:schemeClr val="accent6"/>
              </a:solidFill>
              <a:prstDash val="sysDot"/>
              <a:round/>
              <a:headEnd type="none"/>
            </a:ln>
            <a:effectLst/>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OLD'!$CY$8:$CY$60</c:f>
              <c:numCache>
                <c:formatCode>0.000</c:formatCode>
                <c:ptCount val="53"/>
                <c:pt idx="0">
                  <c:v>5.0502007292025322E-2</c:v>
                </c:pt>
                <c:pt idx="1">
                  <c:v>0.10100401458405064</c:v>
                </c:pt>
                <c:pt idx="2">
                  <c:v>0.15150602187607598</c:v>
                </c:pt>
                <c:pt idx="3">
                  <c:v>0.20200802916810129</c:v>
                </c:pt>
                <c:pt idx="4">
                  <c:v>0.2525100364601266</c:v>
                </c:pt>
                <c:pt idx="5">
                  <c:v>0.30301204375215191</c:v>
                </c:pt>
                <c:pt idx="6">
                  <c:v>0.35351405104417721</c:v>
                </c:pt>
                <c:pt idx="7">
                  <c:v>0.40401605833620252</c:v>
                </c:pt>
                <c:pt idx="8">
                  <c:v>0.45451806562822783</c:v>
                </c:pt>
                <c:pt idx="9">
                  <c:v>0.50502007292025319</c:v>
                </c:pt>
                <c:pt idx="10">
                  <c:v>0.55552208021227856</c:v>
                </c:pt>
                <c:pt idx="11">
                  <c:v>0.60602408750430392</c:v>
                </c:pt>
                <c:pt idx="12">
                  <c:v>0.65652609479632928</c:v>
                </c:pt>
                <c:pt idx="13">
                  <c:v>0.70702810208835465</c:v>
                </c:pt>
                <c:pt idx="14">
                  <c:v>0.75753010938038001</c:v>
                </c:pt>
                <c:pt idx="15">
                  <c:v>0.80803211667240538</c:v>
                </c:pt>
                <c:pt idx="16">
                  <c:v>0.85853412396443074</c:v>
                </c:pt>
                <c:pt idx="17">
                  <c:v>0.9090361312564561</c:v>
                </c:pt>
                <c:pt idx="18">
                  <c:v>0.95953813854848147</c:v>
                </c:pt>
                <c:pt idx="19">
                  <c:v>1.0100401458405068</c:v>
                </c:pt>
                <c:pt idx="20">
                  <c:v>1.0605421531325321</c:v>
                </c:pt>
                <c:pt idx="21">
                  <c:v>1.1110441604245573</c:v>
                </c:pt>
                <c:pt idx="22">
                  <c:v>1.1615461677165826</c:v>
                </c:pt>
                <c:pt idx="23">
                  <c:v>1.2120481750086078</c:v>
                </c:pt>
                <c:pt idx="24">
                  <c:v>1.2625501823006331</c:v>
                </c:pt>
                <c:pt idx="25">
                  <c:v>1.3130521895926583</c:v>
                </c:pt>
                <c:pt idx="26">
                  <c:v>1.3635541968846836</c:v>
                </c:pt>
                <c:pt idx="27">
                  <c:v>1.4140562041767089</c:v>
                </c:pt>
                <c:pt idx="28">
                  <c:v>1.4645582114687341</c:v>
                </c:pt>
                <c:pt idx="29">
                  <c:v>1.5150602187607594</c:v>
                </c:pt>
                <c:pt idx="30">
                  <c:v>1.5655622260527846</c:v>
                </c:pt>
                <c:pt idx="31">
                  <c:v>1.6160642333448099</c:v>
                </c:pt>
                <c:pt idx="32">
                  <c:v>1.6665662406368351</c:v>
                </c:pt>
                <c:pt idx="33">
                  <c:v>1.7170682479288604</c:v>
                </c:pt>
                <c:pt idx="34">
                  <c:v>1.7675702552208856</c:v>
                </c:pt>
                <c:pt idx="35">
                  <c:v>1.8180722625129109</c:v>
                </c:pt>
                <c:pt idx="36">
                  <c:v>1.8685742698049361</c:v>
                </c:pt>
                <c:pt idx="37">
                  <c:v>1.9190762770969614</c:v>
                </c:pt>
                <c:pt idx="38">
                  <c:v>1.9695782843889866</c:v>
                </c:pt>
                <c:pt idx="39">
                  <c:v>2.0200802916810119</c:v>
                </c:pt>
                <c:pt idx="40">
                  <c:v>2.0705822989730374</c:v>
                </c:pt>
                <c:pt idx="41">
                  <c:v>2.1210843062650628</c:v>
                </c:pt>
                <c:pt idx="42">
                  <c:v>2.1715863135570883</c:v>
                </c:pt>
                <c:pt idx="43">
                  <c:v>2.2220883208491138</c:v>
                </c:pt>
                <c:pt idx="44">
                  <c:v>2.2725903281411393</c:v>
                </c:pt>
                <c:pt idx="45">
                  <c:v>2.3230923354331647</c:v>
                </c:pt>
                <c:pt idx="46">
                  <c:v>2.3735943427251902</c:v>
                </c:pt>
                <c:pt idx="47">
                  <c:v>2.4240963500172157</c:v>
                </c:pt>
                <c:pt idx="48">
                  <c:v>2.4745983573092412</c:v>
                </c:pt>
                <c:pt idx="49">
                  <c:v>2.5251003646012666</c:v>
                </c:pt>
                <c:pt idx="50">
                  <c:v>2.5756023718932921</c:v>
                </c:pt>
                <c:pt idx="51">
                  <c:v>2.6261043791853176</c:v>
                </c:pt>
              </c:numCache>
            </c:numRef>
          </c:val>
          <c:smooth val="0"/>
          <c:extLst xmlns:c15="http://schemas.microsoft.com/office/drawing/2012/chart">
            <c:ext xmlns:c16="http://schemas.microsoft.com/office/drawing/2014/chart" uri="{C3380CC4-5D6E-409C-BE32-E72D297353CC}">
              <c16:uniqueId val="{00000001-F16A-46E3-8364-E6214B5A1C15}"/>
            </c:ext>
          </c:extLst>
        </c:ser>
        <c:ser>
          <c:idx val="4"/>
          <c:order val="6"/>
          <c:tx>
            <c:strRef>
              <c:f>'PBL OLD'!$DA$6:$DA$7</c:f>
              <c:strCache>
                <c:ptCount val="2"/>
                <c:pt idx="0">
                  <c:v>50th Percentile</c:v>
                </c:pt>
              </c:strCache>
            </c:strRef>
          </c:tx>
          <c:spPr>
            <a:ln w="28575">
              <a:solidFill>
                <a:schemeClr val="bg2"/>
              </a:solidFill>
              <a:prstDash val="sysDot"/>
            </a:ln>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OLD'!$DA$8:$DA$60</c:f>
              <c:numCache>
                <c:formatCode>0.000</c:formatCode>
                <c:ptCount val="53"/>
                <c:pt idx="0">
                  <c:v>6.0209708872007502E-2</c:v>
                </c:pt>
                <c:pt idx="1">
                  <c:v>0.120419417744015</c:v>
                </c:pt>
                <c:pt idx="2">
                  <c:v>0.18062912661602251</c:v>
                </c:pt>
                <c:pt idx="3">
                  <c:v>0.24083883548803001</c:v>
                </c:pt>
                <c:pt idx="4">
                  <c:v>0.30104854436003753</c:v>
                </c:pt>
                <c:pt idx="5">
                  <c:v>0.36125825323204502</c:v>
                </c:pt>
                <c:pt idx="6">
                  <c:v>0.42146796210405252</c:v>
                </c:pt>
                <c:pt idx="7">
                  <c:v>0.48167767097606001</c:v>
                </c:pt>
                <c:pt idx="8">
                  <c:v>0.54188737984806756</c:v>
                </c:pt>
                <c:pt idx="9">
                  <c:v>0.60209708872007506</c:v>
                </c:pt>
                <c:pt idx="10">
                  <c:v>0.66230679759208255</c:v>
                </c:pt>
                <c:pt idx="11">
                  <c:v>0.72251650646409005</c:v>
                </c:pt>
                <c:pt idx="12">
                  <c:v>0.78272621533609754</c:v>
                </c:pt>
                <c:pt idx="13">
                  <c:v>0.84293592420810504</c:v>
                </c:pt>
                <c:pt idx="14">
                  <c:v>0.90314563308011253</c:v>
                </c:pt>
                <c:pt idx="15">
                  <c:v>0.96335534195212003</c:v>
                </c:pt>
                <c:pt idx="16">
                  <c:v>1.0235650508241276</c:v>
                </c:pt>
                <c:pt idx="17">
                  <c:v>1.0837747596961351</c:v>
                </c:pt>
                <c:pt idx="18">
                  <c:v>1.1439844685681426</c:v>
                </c:pt>
                <c:pt idx="19">
                  <c:v>1.2041941774401501</c:v>
                </c:pt>
                <c:pt idx="20">
                  <c:v>1.2644038863121576</c:v>
                </c:pt>
                <c:pt idx="21">
                  <c:v>1.3246135951841651</c:v>
                </c:pt>
                <c:pt idx="22">
                  <c:v>1.3848233040561726</c:v>
                </c:pt>
                <c:pt idx="23">
                  <c:v>1.4450330129281801</c:v>
                </c:pt>
                <c:pt idx="24">
                  <c:v>1.5052427218001876</c:v>
                </c:pt>
                <c:pt idx="25">
                  <c:v>1.5654524306721951</c:v>
                </c:pt>
                <c:pt idx="26">
                  <c:v>1.6256621395442026</c:v>
                </c:pt>
                <c:pt idx="27">
                  <c:v>1.6858718484162101</c:v>
                </c:pt>
                <c:pt idx="28">
                  <c:v>1.7460815572882176</c:v>
                </c:pt>
                <c:pt idx="29">
                  <c:v>1.8062912661602251</c:v>
                </c:pt>
                <c:pt idx="30">
                  <c:v>1.8665009750322326</c:v>
                </c:pt>
                <c:pt idx="31">
                  <c:v>1.9267106839042401</c:v>
                </c:pt>
                <c:pt idx="32">
                  <c:v>1.9869203927762475</c:v>
                </c:pt>
                <c:pt idx="33">
                  <c:v>2.0471301016482553</c:v>
                </c:pt>
                <c:pt idx="34">
                  <c:v>2.107339810520263</c:v>
                </c:pt>
                <c:pt idx="35">
                  <c:v>2.1675495193922707</c:v>
                </c:pt>
                <c:pt idx="36">
                  <c:v>2.2277592282642784</c:v>
                </c:pt>
                <c:pt idx="37">
                  <c:v>2.2879689371362861</c:v>
                </c:pt>
                <c:pt idx="38">
                  <c:v>2.3481786460082938</c:v>
                </c:pt>
                <c:pt idx="39">
                  <c:v>2.4083883548803016</c:v>
                </c:pt>
                <c:pt idx="40">
                  <c:v>2.4685980637523093</c:v>
                </c:pt>
                <c:pt idx="41">
                  <c:v>2.528807772624317</c:v>
                </c:pt>
                <c:pt idx="42">
                  <c:v>2.5890174814963247</c:v>
                </c:pt>
                <c:pt idx="43">
                  <c:v>2.6492271903683324</c:v>
                </c:pt>
                <c:pt idx="44">
                  <c:v>2.7094368992403401</c:v>
                </c:pt>
                <c:pt idx="45">
                  <c:v>2.7696466081123479</c:v>
                </c:pt>
                <c:pt idx="46">
                  <c:v>2.8298563169843556</c:v>
                </c:pt>
                <c:pt idx="47">
                  <c:v>2.8900660258563633</c:v>
                </c:pt>
                <c:pt idx="48">
                  <c:v>2.950275734728371</c:v>
                </c:pt>
                <c:pt idx="49">
                  <c:v>3.0104854436003787</c:v>
                </c:pt>
                <c:pt idx="50">
                  <c:v>3.0706951524723864</c:v>
                </c:pt>
                <c:pt idx="51">
                  <c:v>3.1309048613443942</c:v>
                </c:pt>
              </c:numCache>
            </c:numRef>
          </c:val>
          <c:smooth val="0"/>
          <c:extLst xmlns:c15="http://schemas.microsoft.com/office/drawing/2012/chart">
            <c:ext xmlns:c16="http://schemas.microsoft.com/office/drawing/2014/chart" uri="{C3380CC4-5D6E-409C-BE32-E72D297353CC}">
              <c16:uniqueId val="{00000002-F16A-46E3-8364-E6214B5A1C15}"/>
            </c:ext>
          </c:extLst>
        </c:ser>
        <c:ser>
          <c:idx val="8"/>
          <c:order val="8"/>
          <c:tx>
            <c:strRef>
              <c:f>'PBL OLD'!$DC$6:$DC$7</c:f>
              <c:strCache>
                <c:ptCount val="2"/>
                <c:pt idx="0">
                  <c:v>90th Percentile</c:v>
                </c:pt>
              </c:strCache>
            </c:strRef>
          </c:tx>
          <c:spPr>
            <a:ln w="28575">
              <a:solidFill>
                <a:schemeClr val="accent1"/>
              </a:solidFill>
              <a:prstDash val="sysDot"/>
            </a:ln>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OLD'!$DC$8:$DC$60</c:f>
              <c:numCache>
                <c:formatCode>0.000</c:formatCode>
                <c:ptCount val="53"/>
                <c:pt idx="0">
                  <c:v>7.261484324723147E-2</c:v>
                </c:pt>
                <c:pt idx="1">
                  <c:v>0.14522968649446294</c:v>
                </c:pt>
                <c:pt idx="2">
                  <c:v>0.21784452974169441</c:v>
                </c:pt>
                <c:pt idx="3">
                  <c:v>0.29045937298892588</c:v>
                </c:pt>
                <c:pt idx="4">
                  <c:v>0.36307421623615732</c:v>
                </c:pt>
                <c:pt idx="5">
                  <c:v>0.43568905948338876</c:v>
                </c:pt>
                <c:pt idx="6">
                  <c:v>0.50830390273062021</c:v>
                </c:pt>
                <c:pt idx="7">
                  <c:v>0.58091874597785165</c:v>
                </c:pt>
                <c:pt idx="8">
                  <c:v>0.65353358922508309</c:v>
                </c:pt>
                <c:pt idx="9">
                  <c:v>0.72614843247231453</c:v>
                </c:pt>
                <c:pt idx="10">
                  <c:v>0.79876327571954597</c:v>
                </c:pt>
                <c:pt idx="11">
                  <c:v>0.87137811896677742</c:v>
                </c:pt>
                <c:pt idx="12">
                  <c:v>0.94399296221400886</c:v>
                </c:pt>
                <c:pt idx="13">
                  <c:v>1.0166078054612404</c:v>
                </c:pt>
                <c:pt idx="14">
                  <c:v>1.089222648708472</c:v>
                </c:pt>
                <c:pt idx="15">
                  <c:v>1.1618374919557035</c:v>
                </c:pt>
                <c:pt idx="16">
                  <c:v>1.2344523352029351</c:v>
                </c:pt>
                <c:pt idx="17">
                  <c:v>1.3070671784501666</c:v>
                </c:pt>
                <c:pt idx="18">
                  <c:v>1.3796820216973982</c:v>
                </c:pt>
                <c:pt idx="19">
                  <c:v>1.4522968649446297</c:v>
                </c:pt>
                <c:pt idx="20">
                  <c:v>1.5249117081918613</c:v>
                </c:pt>
                <c:pt idx="21">
                  <c:v>1.5975265514390928</c:v>
                </c:pt>
                <c:pt idx="22">
                  <c:v>1.6701413946863244</c:v>
                </c:pt>
                <c:pt idx="23">
                  <c:v>1.7427562379335559</c:v>
                </c:pt>
                <c:pt idx="24">
                  <c:v>1.8153710811807875</c:v>
                </c:pt>
                <c:pt idx="25">
                  <c:v>1.887985924428019</c:v>
                </c:pt>
                <c:pt idx="26">
                  <c:v>1.9606007676752506</c:v>
                </c:pt>
                <c:pt idx="27">
                  <c:v>2.0332156109224822</c:v>
                </c:pt>
                <c:pt idx="28">
                  <c:v>2.1058304541697135</c:v>
                </c:pt>
                <c:pt idx="29">
                  <c:v>2.1784452974169448</c:v>
                </c:pt>
                <c:pt idx="30">
                  <c:v>2.2510601406641761</c:v>
                </c:pt>
                <c:pt idx="31">
                  <c:v>2.3236749839114075</c:v>
                </c:pt>
                <c:pt idx="32">
                  <c:v>2.3962898271586388</c:v>
                </c:pt>
                <c:pt idx="33">
                  <c:v>2.4689046704058701</c:v>
                </c:pt>
                <c:pt idx="34">
                  <c:v>2.5415195136531015</c:v>
                </c:pt>
                <c:pt idx="35">
                  <c:v>2.6141343569003328</c:v>
                </c:pt>
                <c:pt idx="36">
                  <c:v>2.6867492001475641</c:v>
                </c:pt>
                <c:pt idx="37">
                  <c:v>2.7593640433947955</c:v>
                </c:pt>
                <c:pt idx="38">
                  <c:v>2.8319788866420268</c:v>
                </c:pt>
                <c:pt idx="39">
                  <c:v>2.9045937298892581</c:v>
                </c:pt>
                <c:pt idx="40">
                  <c:v>2.9772085731364895</c:v>
                </c:pt>
                <c:pt idx="41">
                  <c:v>3.0498234163837208</c:v>
                </c:pt>
                <c:pt idx="42">
                  <c:v>3.1224382596309521</c:v>
                </c:pt>
                <c:pt idx="43">
                  <c:v>3.1950531028781834</c:v>
                </c:pt>
                <c:pt idx="44">
                  <c:v>3.2676679461254148</c:v>
                </c:pt>
                <c:pt idx="45">
                  <c:v>3.3402827893726461</c:v>
                </c:pt>
                <c:pt idx="46">
                  <c:v>3.4128976326198774</c:v>
                </c:pt>
                <c:pt idx="47">
                  <c:v>3.4855124758671088</c:v>
                </c:pt>
                <c:pt idx="48">
                  <c:v>3.5581273191143401</c:v>
                </c:pt>
                <c:pt idx="49">
                  <c:v>3.6307421623615714</c:v>
                </c:pt>
                <c:pt idx="50">
                  <c:v>3.7033570056088028</c:v>
                </c:pt>
                <c:pt idx="51">
                  <c:v>3.7759718488560341</c:v>
                </c:pt>
              </c:numCache>
            </c:numRef>
          </c:val>
          <c:smooth val="0"/>
          <c:extLst xmlns:c15="http://schemas.microsoft.com/office/drawing/2012/chart">
            <c:ext xmlns:c16="http://schemas.microsoft.com/office/drawing/2014/chart" uri="{C3380CC4-5D6E-409C-BE32-E72D297353CC}">
              <c16:uniqueId val="{00000003-F16A-46E3-8364-E6214B5A1C15}"/>
            </c:ext>
          </c:extLst>
        </c:ser>
        <c:dLbls>
          <c:showLegendKey val="0"/>
          <c:showVal val="0"/>
          <c:showCatName val="0"/>
          <c:showSerName val="0"/>
          <c:showPercent val="0"/>
          <c:showBubbleSize val="0"/>
        </c:dLbls>
        <c:smooth val="0"/>
        <c:axId val="1388952432"/>
        <c:axId val="1388953088"/>
        <c:extLst>
          <c:ext xmlns:c15="http://schemas.microsoft.com/office/drawing/2012/chart" uri="{02D57815-91ED-43cb-92C2-25804820EDAC}">
            <c15:filteredLineSeries>
              <c15:ser>
                <c:idx val="3"/>
                <c:order val="1"/>
                <c:tx>
                  <c:strRef>
                    <c:extLst>
                      <c:ext uri="{02D57815-91ED-43cb-92C2-25804820EDAC}">
                        <c15:formulaRef>
                          <c15:sqref>'PBL OLD'!$CV$6:$CV$7</c15:sqref>
                        </c15:formulaRef>
                      </c:ext>
                    </c:extLst>
                    <c:strCache>
                      <c:ptCount val="2"/>
                      <c:pt idx="0">
                        <c:v>Min</c:v>
                      </c:pt>
                    </c:strCache>
                  </c:strRef>
                </c:tx>
                <c:marker>
                  <c:symbol val="none"/>
                </c:marker>
                <c:cat>
                  <c:numRef>
                    <c:extLst>
                      <c:ex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c:ext uri="{02D57815-91ED-43cb-92C2-25804820EDAC}">
                        <c15:formulaRef>
                          <c15:sqref>'PBL OLD'!$CV$8:$CV$60</c15:sqref>
                        </c15:formulaRef>
                      </c:ext>
                    </c:extLst>
                    <c:numCache>
                      <c:formatCode>0.000</c:formatCode>
                      <c:ptCount val="53"/>
                      <c:pt idx="0">
                        <c:v>3.7943638869952147E-2</c:v>
                      </c:pt>
                      <c:pt idx="1">
                        <c:v>7.5887277739904294E-2</c:v>
                      </c:pt>
                      <c:pt idx="2">
                        <c:v>0.11383091660985645</c:v>
                      </c:pt>
                      <c:pt idx="3">
                        <c:v>0.15177455547980859</c:v>
                      </c:pt>
                      <c:pt idx="4">
                        <c:v>0.18971819434976073</c:v>
                      </c:pt>
                      <c:pt idx="5">
                        <c:v>0.22766183321971287</c:v>
                      </c:pt>
                      <c:pt idx="6">
                        <c:v>0.26560547208966501</c:v>
                      </c:pt>
                      <c:pt idx="7">
                        <c:v>0.30354911095961717</c:v>
                      </c:pt>
                      <c:pt idx="8">
                        <c:v>0.34149274982956934</c:v>
                      </c:pt>
                      <c:pt idx="9">
                        <c:v>0.37943638869952151</c:v>
                      </c:pt>
                      <c:pt idx="10">
                        <c:v>0.41738002756947368</c:v>
                      </c:pt>
                      <c:pt idx="11">
                        <c:v>0.45532366643942584</c:v>
                      </c:pt>
                      <c:pt idx="12">
                        <c:v>0.49326730530937801</c:v>
                      </c:pt>
                      <c:pt idx="13">
                        <c:v>0.53121094417933012</c:v>
                      </c:pt>
                      <c:pt idx="14">
                        <c:v>0.56915458304928224</c:v>
                      </c:pt>
                      <c:pt idx="15">
                        <c:v>0.60709822191923435</c:v>
                      </c:pt>
                      <c:pt idx="16">
                        <c:v>0.64504186078918646</c:v>
                      </c:pt>
                      <c:pt idx="17">
                        <c:v>0.68298549965913857</c:v>
                      </c:pt>
                      <c:pt idx="18">
                        <c:v>0.72092913852909069</c:v>
                      </c:pt>
                      <c:pt idx="19">
                        <c:v>0.7588727773990428</c:v>
                      </c:pt>
                      <c:pt idx="20">
                        <c:v>0.79681641626899491</c:v>
                      </c:pt>
                      <c:pt idx="21">
                        <c:v>0.83476005513894702</c:v>
                      </c:pt>
                      <c:pt idx="22">
                        <c:v>0.87270369400889913</c:v>
                      </c:pt>
                      <c:pt idx="23">
                        <c:v>0.91064733287885125</c:v>
                      </c:pt>
                      <c:pt idx="24">
                        <c:v>0.94859097174880336</c:v>
                      </c:pt>
                      <c:pt idx="25">
                        <c:v>0.98653461061875547</c:v>
                      </c:pt>
                      <c:pt idx="26">
                        <c:v>1.0244782494887077</c:v>
                      </c:pt>
                      <c:pt idx="27">
                        <c:v>1.0624218883586598</c:v>
                      </c:pt>
                      <c:pt idx="28">
                        <c:v>1.1003655272286119</c:v>
                      </c:pt>
                      <c:pt idx="29">
                        <c:v>1.138309166098564</c:v>
                      </c:pt>
                      <c:pt idx="30">
                        <c:v>1.1762528049685161</c:v>
                      </c:pt>
                      <c:pt idx="31">
                        <c:v>1.2141964438384683</c:v>
                      </c:pt>
                      <c:pt idx="32">
                        <c:v>1.2521400827084204</c:v>
                      </c:pt>
                      <c:pt idx="33">
                        <c:v>1.2900837215783725</c:v>
                      </c:pt>
                      <c:pt idx="34">
                        <c:v>1.3280273604483246</c:v>
                      </c:pt>
                      <c:pt idx="35">
                        <c:v>1.3659709993182767</c:v>
                      </c:pt>
                      <c:pt idx="36">
                        <c:v>1.4039146381882288</c:v>
                      </c:pt>
                      <c:pt idx="37">
                        <c:v>1.4418582770581809</c:v>
                      </c:pt>
                      <c:pt idx="38">
                        <c:v>1.479801915928133</c:v>
                      </c:pt>
                      <c:pt idx="39">
                        <c:v>1.5177455547980852</c:v>
                      </c:pt>
                      <c:pt idx="40">
                        <c:v>1.5556891936680373</c:v>
                      </c:pt>
                      <c:pt idx="41">
                        <c:v>1.5936328325379894</c:v>
                      </c:pt>
                      <c:pt idx="42">
                        <c:v>1.6315764714079415</c:v>
                      </c:pt>
                      <c:pt idx="43">
                        <c:v>1.6695201102778936</c:v>
                      </c:pt>
                      <c:pt idx="44">
                        <c:v>1.7074637491478457</c:v>
                      </c:pt>
                      <c:pt idx="45">
                        <c:v>1.7454073880177978</c:v>
                      </c:pt>
                      <c:pt idx="46">
                        <c:v>1.7833510268877499</c:v>
                      </c:pt>
                      <c:pt idx="47">
                        <c:v>1.821294665757702</c:v>
                      </c:pt>
                      <c:pt idx="48">
                        <c:v>1.8592383046276542</c:v>
                      </c:pt>
                      <c:pt idx="49">
                        <c:v>1.8971819434976063</c:v>
                      </c:pt>
                      <c:pt idx="50">
                        <c:v>1.9351255823675584</c:v>
                      </c:pt>
                      <c:pt idx="51">
                        <c:v>1.9730692212375105</c:v>
                      </c:pt>
                    </c:numCache>
                  </c:numRef>
                </c:val>
                <c:smooth val="0"/>
                <c:extLst>
                  <c:ext xmlns:c16="http://schemas.microsoft.com/office/drawing/2014/chart" uri="{C3380CC4-5D6E-409C-BE32-E72D297353CC}">
                    <c16:uniqueId val="{00000004-F16A-46E3-8364-E6214B5A1C15}"/>
                  </c:ext>
                </c:extLst>
              </c15:ser>
            </c15:filteredLineSeries>
            <c15:filteredLineSeries>
              <c15:ser>
                <c:idx val="5"/>
                <c:order val="2"/>
                <c:tx>
                  <c:strRef>
                    <c:extLst xmlns:c15="http://schemas.microsoft.com/office/drawing/2012/chart">
                      <c:ext xmlns:c15="http://schemas.microsoft.com/office/drawing/2012/chart" uri="{02D57815-91ED-43cb-92C2-25804820EDAC}">
                        <c15:formulaRef>
                          <c15:sqref>'PBL OLD'!$CW$6:$CW$7</c15:sqref>
                        </c15:formulaRef>
                      </c:ext>
                    </c:extLst>
                    <c:strCache>
                      <c:ptCount val="2"/>
                      <c:pt idx="0">
                        <c:v>1st Percentile</c:v>
                      </c:pt>
                    </c:strCache>
                  </c:strRef>
                </c:tx>
                <c:spPr>
                  <a:ln w="28575" cap="rnd">
                    <a:solidFill>
                      <a:schemeClr val="accent2"/>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OLD'!$CW$8:$CW$60</c15:sqref>
                        </c15:formulaRef>
                      </c:ext>
                    </c:extLst>
                    <c:numCache>
                      <c:formatCode>0.000</c:formatCode>
                      <c:ptCount val="53"/>
                      <c:pt idx="0">
                        <c:v>4.5436313528305135E-2</c:v>
                      </c:pt>
                      <c:pt idx="1">
                        <c:v>9.087262705661027E-2</c:v>
                      </c:pt>
                      <c:pt idx="2">
                        <c:v>0.13630894058491541</c:v>
                      </c:pt>
                      <c:pt idx="3">
                        <c:v>0.18174525411322054</c:v>
                      </c:pt>
                      <c:pt idx="4">
                        <c:v>0.22718156764152567</c:v>
                      </c:pt>
                      <c:pt idx="5">
                        <c:v>0.27261788116983082</c:v>
                      </c:pt>
                      <c:pt idx="6">
                        <c:v>0.31805419469813595</c:v>
                      </c:pt>
                      <c:pt idx="7">
                        <c:v>0.36349050822644108</c:v>
                      </c:pt>
                      <c:pt idx="8">
                        <c:v>0.40892682175474621</c:v>
                      </c:pt>
                      <c:pt idx="9">
                        <c:v>0.45436313528305133</c:v>
                      </c:pt>
                      <c:pt idx="10">
                        <c:v>0.49979944881135646</c:v>
                      </c:pt>
                      <c:pt idx="11">
                        <c:v>0.54523576233966164</c:v>
                      </c:pt>
                      <c:pt idx="12">
                        <c:v>0.59067207586796677</c:v>
                      </c:pt>
                      <c:pt idx="13">
                        <c:v>0.6361083893962719</c:v>
                      </c:pt>
                      <c:pt idx="14">
                        <c:v>0.68154470292457703</c:v>
                      </c:pt>
                      <c:pt idx="15">
                        <c:v>0.72698101645288216</c:v>
                      </c:pt>
                      <c:pt idx="16">
                        <c:v>0.77241732998118728</c:v>
                      </c:pt>
                      <c:pt idx="17">
                        <c:v>0.81785364350949241</c:v>
                      </c:pt>
                      <c:pt idx="18">
                        <c:v>0.86328995703779754</c:v>
                      </c:pt>
                      <c:pt idx="19">
                        <c:v>0.90872627056610267</c:v>
                      </c:pt>
                      <c:pt idx="20">
                        <c:v>0.9541625840944078</c:v>
                      </c:pt>
                      <c:pt idx="21">
                        <c:v>0.99959889762271292</c:v>
                      </c:pt>
                      <c:pt idx="22">
                        <c:v>1.0450352111510182</c:v>
                      </c:pt>
                      <c:pt idx="23">
                        <c:v>1.0904715246793233</c:v>
                      </c:pt>
                      <c:pt idx="24">
                        <c:v>1.1359078382076284</c:v>
                      </c:pt>
                      <c:pt idx="25">
                        <c:v>1.1813441517359335</c:v>
                      </c:pt>
                      <c:pt idx="26">
                        <c:v>1.2267804652642387</c:v>
                      </c:pt>
                      <c:pt idx="27">
                        <c:v>1.2722167787925438</c:v>
                      </c:pt>
                      <c:pt idx="28">
                        <c:v>1.3176530923208489</c:v>
                      </c:pt>
                      <c:pt idx="29">
                        <c:v>1.3630894058491541</c:v>
                      </c:pt>
                      <c:pt idx="30">
                        <c:v>1.4085257193774592</c:v>
                      </c:pt>
                      <c:pt idx="31">
                        <c:v>1.4539620329057643</c:v>
                      </c:pt>
                      <c:pt idx="32">
                        <c:v>1.4993983464340694</c:v>
                      </c:pt>
                      <c:pt idx="33">
                        <c:v>1.5448346599623746</c:v>
                      </c:pt>
                      <c:pt idx="34">
                        <c:v>1.5902709734906797</c:v>
                      </c:pt>
                      <c:pt idx="35">
                        <c:v>1.6357072870189848</c:v>
                      </c:pt>
                      <c:pt idx="36">
                        <c:v>1.68114360054729</c:v>
                      </c:pt>
                      <c:pt idx="37">
                        <c:v>1.7265799140755951</c:v>
                      </c:pt>
                      <c:pt idx="38">
                        <c:v>1.7720162276039002</c:v>
                      </c:pt>
                      <c:pt idx="39">
                        <c:v>1.8174525411322053</c:v>
                      </c:pt>
                      <c:pt idx="40">
                        <c:v>1.8628888546605105</c:v>
                      </c:pt>
                      <c:pt idx="41">
                        <c:v>1.9083251681888156</c:v>
                      </c:pt>
                      <c:pt idx="42">
                        <c:v>1.9537614817171207</c:v>
                      </c:pt>
                      <c:pt idx="43">
                        <c:v>1.9991977952454258</c:v>
                      </c:pt>
                      <c:pt idx="44">
                        <c:v>2.0446341087737312</c:v>
                      </c:pt>
                      <c:pt idx="45">
                        <c:v>2.0900704223020363</c:v>
                      </c:pt>
                      <c:pt idx="46">
                        <c:v>2.1355067358303415</c:v>
                      </c:pt>
                      <c:pt idx="47">
                        <c:v>2.1809430493586466</c:v>
                      </c:pt>
                      <c:pt idx="48">
                        <c:v>2.2263793628869517</c:v>
                      </c:pt>
                      <c:pt idx="49">
                        <c:v>2.2718156764152568</c:v>
                      </c:pt>
                      <c:pt idx="50">
                        <c:v>2.317251989943562</c:v>
                      </c:pt>
                      <c:pt idx="51">
                        <c:v>2.3626883034718671</c:v>
                      </c:pt>
                    </c:numCache>
                  </c:numRef>
                </c:val>
                <c:smooth val="0"/>
                <c:extLst xmlns:c15="http://schemas.microsoft.com/office/drawing/2012/chart">
                  <c:ext xmlns:c16="http://schemas.microsoft.com/office/drawing/2014/chart" uri="{C3380CC4-5D6E-409C-BE32-E72D297353CC}">
                    <c16:uniqueId val="{00000005-F16A-46E3-8364-E6214B5A1C15}"/>
                  </c:ext>
                </c:extLst>
              </c15:ser>
            </c15:filteredLineSeries>
            <c15:filteredLineSeries>
              <c15:ser>
                <c:idx val="7"/>
                <c:order val="3"/>
                <c:tx>
                  <c:strRef>
                    <c:extLst xmlns:c15="http://schemas.microsoft.com/office/drawing/2012/chart">
                      <c:ext xmlns:c15="http://schemas.microsoft.com/office/drawing/2012/chart" uri="{02D57815-91ED-43cb-92C2-25804820EDAC}">
                        <c15:formulaRef>
                          <c15:sqref>'PBL OLD'!$CX$6:$CX$7</c15:sqref>
                        </c15:formulaRef>
                      </c:ext>
                    </c:extLst>
                    <c:strCache>
                      <c:ptCount val="2"/>
                      <c:pt idx="0">
                        <c:v>5th Percentile</c:v>
                      </c:pt>
                    </c:strCache>
                  </c:strRef>
                </c:tx>
                <c:spPr>
                  <a:ln w="28575" cap="rnd">
                    <a:solidFill>
                      <a:schemeClr val="bg2"/>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OLD'!$CX$8:$CX$60</c15:sqref>
                        </c15:formulaRef>
                      </c:ext>
                    </c:extLst>
                    <c:numCache>
                      <c:formatCode>0.000</c:formatCode>
                      <c:ptCount val="53"/>
                      <c:pt idx="0">
                        <c:v>4.8416818848466985E-2</c:v>
                      </c:pt>
                      <c:pt idx="1">
                        <c:v>9.6833637696933969E-2</c:v>
                      </c:pt>
                      <c:pt idx="2">
                        <c:v>0.14525045654540095</c:v>
                      </c:pt>
                      <c:pt idx="3">
                        <c:v>0.19366727539386794</c:v>
                      </c:pt>
                      <c:pt idx="4">
                        <c:v>0.24208409424233493</c:v>
                      </c:pt>
                      <c:pt idx="5">
                        <c:v>0.29050091309080189</c:v>
                      </c:pt>
                      <c:pt idx="6">
                        <c:v>0.33891773193926888</c:v>
                      </c:pt>
                      <c:pt idx="7">
                        <c:v>0.38733455078773588</c:v>
                      </c:pt>
                      <c:pt idx="8">
                        <c:v>0.43575136963620287</c:v>
                      </c:pt>
                      <c:pt idx="9">
                        <c:v>0.48416818848466986</c:v>
                      </c:pt>
                      <c:pt idx="10">
                        <c:v>0.53258500733313685</c:v>
                      </c:pt>
                      <c:pt idx="11">
                        <c:v>0.58100182618160379</c:v>
                      </c:pt>
                      <c:pt idx="12">
                        <c:v>0.62941864503007072</c:v>
                      </c:pt>
                      <c:pt idx="13">
                        <c:v>0.67783546387853766</c:v>
                      </c:pt>
                      <c:pt idx="14">
                        <c:v>0.72625228272700459</c:v>
                      </c:pt>
                      <c:pt idx="15">
                        <c:v>0.77466910157547153</c:v>
                      </c:pt>
                      <c:pt idx="16">
                        <c:v>0.82308592042393847</c:v>
                      </c:pt>
                      <c:pt idx="17">
                        <c:v>0.8715027392724054</c:v>
                      </c:pt>
                      <c:pt idx="18">
                        <c:v>0.91991955812087234</c:v>
                      </c:pt>
                      <c:pt idx="19">
                        <c:v>0.96833637696933927</c:v>
                      </c:pt>
                      <c:pt idx="20">
                        <c:v>1.0167531958178062</c:v>
                      </c:pt>
                      <c:pt idx="21">
                        <c:v>1.0651700146662733</c:v>
                      </c:pt>
                      <c:pt idx="22">
                        <c:v>1.1135868335147403</c:v>
                      </c:pt>
                      <c:pt idx="23">
                        <c:v>1.1620036523632074</c:v>
                      </c:pt>
                      <c:pt idx="24">
                        <c:v>1.2104204712116744</c:v>
                      </c:pt>
                      <c:pt idx="25">
                        <c:v>1.2588372900601414</c:v>
                      </c:pt>
                      <c:pt idx="26">
                        <c:v>1.3072541089086085</c:v>
                      </c:pt>
                      <c:pt idx="27">
                        <c:v>1.3556709277570755</c:v>
                      </c:pt>
                      <c:pt idx="28">
                        <c:v>1.4040877466055426</c:v>
                      </c:pt>
                      <c:pt idx="29">
                        <c:v>1.4525045654540096</c:v>
                      </c:pt>
                      <c:pt idx="30">
                        <c:v>1.5009213843024767</c:v>
                      </c:pt>
                      <c:pt idx="31">
                        <c:v>1.5493382031509437</c:v>
                      </c:pt>
                      <c:pt idx="32">
                        <c:v>1.5977550219994108</c:v>
                      </c:pt>
                      <c:pt idx="33">
                        <c:v>1.6461718408478778</c:v>
                      </c:pt>
                      <c:pt idx="34">
                        <c:v>1.6945886596963449</c:v>
                      </c:pt>
                      <c:pt idx="35">
                        <c:v>1.7430054785448119</c:v>
                      </c:pt>
                      <c:pt idx="36">
                        <c:v>1.791422297393279</c:v>
                      </c:pt>
                      <c:pt idx="37">
                        <c:v>1.839839116241746</c:v>
                      </c:pt>
                      <c:pt idx="38">
                        <c:v>1.8882559350902131</c:v>
                      </c:pt>
                      <c:pt idx="39">
                        <c:v>1.9366727539386801</c:v>
                      </c:pt>
                      <c:pt idx="40">
                        <c:v>1.9850895727871471</c:v>
                      </c:pt>
                      <c:pt idx="41">
                        <c:v>2.0335063916356142</c:v>
                      </c:pt>
                      <c:pt idx="42">
                        <c:v>2.081923210484081</c:v>
                      </c:pt>
                      <c:pt idx="43">
                        <c:v>2.1303400293325478</c:v>
                      </c:pt>
                      <c:pt idx="44">
                        <c:v>2.1787568481810147</c:v>
                      </c:pt>
                      <c:pt idx="45">
                        <c:v>2.2271736670294815</c:v>
                      </c:pt>
                      <c:pt idx="46">
                        <c:v>2.2755904858779483</c:v>
                      </c:pt>
                      <c:pt idx="47">
                        <c:v>2.3240073047264151</c:v>
                      </c:pt>
                      <c:pt idx="48">
                        <c:v>2.372424123574882</c:v>
                      </c:pt>
                      <c:pt idx="49">
                        <c:v>2.4208409424233488</c:v>
                      </c:pt>
                      <c:pt idx="50">
                        <c:v>2.4692577612718156</c:v>
                      </c:pt>
                      <c:pt idx="51">
                        <c:v>2.5176745801202824</c:v>
                      </c:pt>
                    </c:numCache>
                  </c:numRef>
                </c:val>
                <c:smooth val="0"/>
                <c:extLst xmlns:c15="http://schemas.microsoft.com/office/drawing/2012/chart">
                  <c:ext xmlns:c16="http://schemas.microsoft.com/office/drawing/2014/chart" uri="{C3380CC4-5D6E-409C-BE32-E72D297353CC}">
                    <c16:uniqueId val="{00000006-F16A-46E3-8364-E6214B5A1C15}"/>
                  </c:ext>
                </c:extLst>
              </c15:ser>
            </c15:filteredLineSeries>
            <c15:filteredLineSeries>
              <c15:ser>
                <c:idx val="2"/>
                <c:order val="5"/>
                <c:tx>
                  <c:strRef>
                    <c:extLst xmlns:c15="http://schemas.microsoft.com/office/drawing/2012/chart">
                      <c:ext xmlns:c15="http://schemas.microsoft.com/office/drawing/2012/chart" uri="{02D57815-91ED-43cb-92C2-25804820EDAC}">
                        <c15:formulaRef>
                          <c15:sqref>'PBL OLD'!$CZ$6:$CZ$7</c15:sqref>
                        </c15:formulaRef>
                      </c:ext>
                    </c:extLst>
                    <c:strCache>
                      <c:ptCount val="2"/>
                      <c:pt idx="0">
                        <c:v>25th Percentile</c:v>
                      </c:pt>
                    </c:strCache>
                  </c:strRef>
                </c:tx>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OLD'!$CZ$8:$CZ$60</c15:sqref>
                        </c15:formulaRef>
                      </c:ext>
                    </c:extLst>
                    <c:numCache>
                      <c:formatCode>0.000</c:formatCode>
                      <c:ptCount val="53"/>
                      <c:pt idx="0">
                        <c:v>5.470863400459542E-2</c:v>
                      </c:pt>
                      <c:pt idx="1">
                        <c:v>0.10941726800919084</c:v>
                      </c:pt>
                      <c:pt idx="2">
                        <c:v>0.16412590201378627</c:v>
                      </c:pt>
                      <c:pt idx="3">
                        <c:v>0.21883453601838168</c:v>
                      </c:pt>
                      <c:pt idx="4">
                        <c:v>0.27354317002297712</c:v>
                      </c:pt>
                      <c:pt idx="5">
                        <c:v>0.32825180402757254</c:v>
                      </c:pt>
                      <c:pt idx="6">
                        <c:v>0.38296043803216795</c:v>
                      </c:pt>
                      <c:pt idx="7">
                        <c:v>0.43766907203676336</c:v>
                      </c:pt>
                      <c:pt idx="8">
                        <c:v>0.49237770604135878</c:v>
                      </c:pt>
                      <c:pt idx="9">
                        <c:v>0.54708634004595424</c:v>
                      </c:pt>
                      <c:pt idx="10">
                        <c:v>0.60179497405054971</c:v>
                      </c:pt>
                      <c:pt idx="11">
                        <c:v>0.65650360805514518</c:v>
                      </c:pt>
                      <c:pt idx="12">
                        <c:v>0.71121224205974065</c:v>
                      </c:pt>
                      <c:pt idx="13">
                        <c:v>0.76592087606433612</c:v>
                      </c:pt>
                      <c:pt idx="14">
                        <c:v>0.82062951006893159</c:v>
                      </c:pt>
                      <c:pt idx="15">
                        <c:v>0.87533814407352706</c:v>
                      </c:pt>
                      <c:pt idx="16">
                        <c:v>0.93004677807812253</c:v>
                      </c:pt>
                      <c:pt idx="17">
                        <c:v>0.984755412082718</c:v>
                      </c:pt>
                      <c:pt idx="18">
                        <c:v>1.0394640460873135</c:v>
                      </c:pt>
                      <c:pt idx="19">
                        <c:v>1.0941726800919089</c:v>
                      </c:pt>
                      <c:pt idx="20">
                        <c:v>1.1488813140965044</c:v>
                      </c:pt>
                      <c:pt idx="21">
                        <c:v>1.2035899481010999</c:v>
                      </c:pt>
                      <c:pt idx="22">
                        <c:v>1.2582985821056953</c:v>
                      </c:pt>
                      <c:pt idx="23">
                        <c:v>1.3130072161102908</c:v>
                      </c:pt>
                      <c:pt idx="24">
                        <c:v>1.3677158501148863</c:v>
                      </c:pt>
                      <c:pt idx="25">
                        <c:v>1.4224244841194817</c:v>
                      </c:pt>
                      <c:pt idx="26">
                        <c:v>1.4771331181240772</c:v>
                      </c:pt>
                      <c:pt idx="27">
                        <c:v>1.5318417521286727</c:v>
                      </c:pt>
                      <c:pt idx="28">
                        <c:v>1.5865503861332682</c:v>
                      </c:pt>
                      <c:pt idx="29">
                        <c:v>1.6412590201378636</c:v>
                      </c:pt>
                      <c:pt idx="30">
                        <c:v>1.6959676541424591</c:v>
                      </c:pt>
                      <c:pt idx="31">
                        <c:v>1.7506762881470546</c:v>
                      </c:pt>
                      <c:pt idx="32">
                        <c:v>1.80538492215165</c:v>
                      </c:pt>
                      <c:pt idx="33">
                        <c:v>1.8600935561562455</c:v>
                      </c:pt>
                      <c:pt idx="34">
                        <c:v>1.914802190160841</c:v>
                      </c:pt>
                      <c:pt idx="35">
                        <c:v>1.9695108241654364</c:v>
                      </c:pt>
                      <c:pt idx="36">
                        <c:v>2.0242194581700317</c:v>
                      </c:pt>
                      <c:pt idx="37">
                        <c:v>2.0789280921746269</c:v>
                      </c:pt>
                      <c:pt idx="38">
                        <c:v>2.1336367261792222</c:v>
                      </c:pt>
                      <c:pt idx="39">
                        <c:v>2.1883453601838174</c:v>
                      </c:pt>
                      <c:pt idx="40">
                        <c:v>2.2430539941884127</c:v>
                      </c:pt>
                      <c:pt idx="41">
                        <c:v>2.2977626281930079</c:v>
                      </c:pt>
                      <c:pt idx="42">
                        <c:v>2.3524712621976032</c:v>
                      </c:pt>
                      <c:pt idx="43">
                        <c:v>2.4071798962021984</c:v>
                      </c:pt>
                      <c:pt idx="44">
                        <c:v>2.4618885302067937</c:v>
                      </c:pt>
                      <c:pt idx="45">
                        <c:v>2.5165971642113889</c:v>
                      </c:pt>
                      <c:pt idx="46">
                        <c:v>2.5713057982159842</c:v>
                      </c:pt>
                      <c:pt idx="47">
                        <c:v>2.6260144322205794</c:v>
                      </c:pt>
                      <c:pt idx="48">
                        <c:v>2.6807230662251746</c:v>
                      </c:pt>
                      <c:pt idx="49">
                        <c:v>2.7354317002297699</c:v>
                      </c:pt>
                      <c:pt idx="50">
                        <c:v>2.7901403342343651</c:v>
                      </c:pt>
                      <c:pt idx="51">
                        <c:v>2.8448489682389604</c:v>
                      </c:pt>
                    </c:numCache>
                  </c:numRef>
                </c:val>
                <c:smooth val="0"/>
                <c:extLst xmlns:c15="http://schemas.microsoft.com/office/drawing/2012/chart">
                  <c:ext xmlns:c16="http://schemas.microsoft.com/office/drawing/2014/chart" uri="{C3380CC4-5D6E-409C-BE32-E72D297353CC}">
                    <c16:uniqueId val="{00000007-F16A-46E3-8364-E6214B5A1C15}"/>
                  </c:ext>
                </c:extLst>
              </c15:ser>
            </c15:filteredLineSeries>
            <c15:filteredLineSeries>
              <c15:ser>
                <c:idx val="6"/>
                <c:order val="7"/>
                <c:tx>
                  <c:strRef>
                    <c:extLst xmlns:c15="http://schemas.microsoft.com/office/drawing/2012/chart">
                      <c:ext xmlns:c15="http://schemas.microsoft.com/office/drawing/2012/chart" uri="{02D57815-91ED-43cb-92C2-25804820EDAC}">
                        <c15:formulaRef>
                          <c15:sqref>'PBL OLD'!$DB$6:$DB$7</c15:sqref>
                        </c15:formulaRef>
                      </c:ext>
                    </c:extLst>
                    <c:strCache>
                      <c:ptCount val="2"/>
                      <c:pt idx="0">
                        <c:v>75th Percentile</c:v>
                      </c:pt>
                    </c:strCache>
                  </c:strRef>
                </c:tx>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OLD'!$DB$8:$DB$60</c15:sqref>
                        </c15:formulaRef>
                      </c:ext>
                    </c:extLst>
                    <c:numCache>
                      <c:formatCode>0.000</c:formatCode>
                      <c:ptCount val="53"/>
                      <c:pt idx="0">
                        <c:v>6.6232533541717833E-2</c:v>
                      </c:pt>
                      <c:pt idx="1">
                        <c:v>0.13246506708343567</c:v>
                      </c:pt>
                      <c:pt idx="2">
                        <c:v>0.19869760062515351</c:v>
                      </c:pt>
                      <c:pt idx="3">
                        <c:v>0.26493013416687133</c:v>
                      </c:pt>
                      <c:pt idx="4">
                        <c:v>0.33116266770858915</c:v>
                      </c:pt>
                      <c:pt idx="5">
                        <c:v>0.39739520125030697</c:v>
                      </c:pt>
                      <c:pt idx="6">
                        <c:v>0.46362773479202479</c:v>
                      </c:pt>
                      <c:pt idx="7">
                        <c:v>0.52986026833374267</c:v>
                      </c:pt>
                      <c:pt idx="8">
                        <c:v>0.59609280187546054</c:v>
                      </c:pt>
                      <c:pt idx="9">
                        <c:v>0.66232533541717842</c:v>
                      </c:pt>
                      <c:pt idx="10">
                        <c:v>0.72855786895889629</c:v>
                      </c:pt>
                      <c:pt idx="11">
                        <c:v>0.79479040250061417</c:v>
                      </c:pt>
                      <c:pt idx="12">
                        <c:v>0.86102293604233204</c:v>
                      </c:pt>
                      <c:pt idx="13">
                        <c:v>0.92725546958404992</c:v>
                      </c:pt>
                      <c:pt idx="14">
                        <c:v>0.99348800312576779</c:v>
                      </c:pt>
                      <c:pt idx="15">
                        <c:v>1.0597205366674856</c:v>
                      </c:pt>
                      <c:pt idx="16">
                        <c:v>1.1259530702092033</c:v>
                      </c:pt>
                      <c:pt idx="17">
                        <c:v>1.1921856037509211</c:v>
                      </c:pt>
                      <c:pt idx="18">
                        <c:v>1.2584181372926388</c:v>
                      </c:pt>
                      <c:pt idx="19">
                        <c:v>1.3246506708343566</c:v>
                      </c:pt>
                      <c:pt idx="20">
                        <c:v>1.3908832043760744</c:v>
                      </c:pt>
                      <c:pt idx="21">
                        <c:v>1.4571157379177921</c:v>
                      </c:pt>
                      <c:pt idx="22">
                        <c:v>1.5233482714595099</c:v>
                      </c:pt>
                      <c:pt idx="23">
                        <c:v>1.5895808050012277</c:v>
                      </c:pt>
                      <c:pt idx="24">
                        <c:v>1.6558133385429454</c:v>
                      </c:pt>
                      <c:pt idx="25">
                        <c:v>1.7220458720846632</c:v>
                      </c:pt>
                      <c:pt idx="26">
                        <c:v>1.788278405626381</c:v>
                      </c:pt>
                      <c:pt idx="27">
                        <c:v>1.8545109391680987</c:v>
                      </c:pt>
                      <c:pt idx="28">
                        <c:v>1.9207434727098165</c:v>
                      </c:pt>
                      <c:pt idx="29">
                        <c:v>1.9869760062515343</c:v>
                      </c:pt>
                      <c:pt idx="30">
                        <c:v>2.053208539793252</c:v>
                      </c:pt>
                      <c:pt idx="31">
                        <c:v>2.1194410733349698</c:v>
                      </c:pt>
                      <c:pt idx="32">
                        <c:v>2.1856736068766875</c:v>
                      </c:pt>
                      <c:pt idx="33">
                        <c:v>2.2519061404184053</c:v>
                      </c:pt>
                      <c:pt idx="34">
                        <c:v>2.3181386739601231</c:v>
                      </c:pt>
                      <c:pt idx="35">
                        <c:v>2.3843712075018408</c:v>
                      </c:pt>
                      <c:pt idx="36">
                        <c:v>2.4506037410435586</c:v>
                      </c:pt>
                      <c:pt idx="37">
                        <c:v>2.5168362745852764</c:v>
                      </c:pt>
                      <c:pt idx="38">
                        <c:v>2.5830688081269941</c:v>
                      </c:pt>
                      <c:pt idx="39">
                        <c:v>2.6493013416687119</c:v>
                      </c:pt>
                      <c:pt idx="40">
                        <c:v>2.7155338752104297</c:v>
                      </c:pt>
                      <c:pt idx="41">
                        <c:v>2.7817664087521474</c:v>
                      </c:pt>
                      <c:pt idx="42">
                        <c:v>2.8479989422938652</c:v>
                      </c:pt>
                      <c:pt idx="43">
                        <c:v>2.914231475835583</c:v>
                      </c:pt>
                      <c:pt idx="44">
                        <c:v>2.9804640093773007</c:v>
                      </c:pt>
                      <c:pt idx="45">
                        <c:v>3.0466965429190185</c:v>
                      </c:pt>
                      <c:pt idx="46">
                        <c:v>3.1129290764607362</c:v>
                      </c:pt>
                      <c:pt idx="47">
                        <c:v>3.179161610002454</c:v>
                      </c:pt>
                      <c:pt idx="48">
                        <c:v>3.2453941435441718</c:v>
                      </c:pt>
                      <c:pt idx="49">
                        <c:v>3.3116266770858895</c:v>
                      </c:pt>
                      <c:pt idx="50">
                        <c:v>3.3778592106276073</c:v>
                      </c:pt>
                      <c:pt idx="51">
                        <c:v>3.4440917441693251</c:v>
                      </c:pt>
                    </c:numCache>
                  </c:numRef>
                </c:val>
                <c:smooth val="0"/>
                <c:extLst xmlns:c15="http://schemas.microsoft.com/office/drawing/2012/chart">
                  <c:ext xmlns:c16="http://schemas.microsoft.com/office/drawing/2014/chart" uri="{C3380CC4-5D6E-409C-BE32-E72D297353CC}">
                    <c16:uniqueId val="{00000008-F16A-46E3-8364-E6214B5A1C15}"/>
                  </c:ext>
                </c:extLst>
              </c15:ser>
            </c15:filteredLineSeries>
            <c15:filteredLineSeries>
              <c15:ser>
                <c:idx val="9"/>
                <c:order val="9"/>
                <c:tx>
                  <c:strRef>
                    <c:extLst xmlns:c15="http://schemas.microsoft.com/office/drawing/2012/chart">
                      <c:ext xmlns:c15="http://schemas.microsoft.com/office/drawing/2012/chart" uri="{02D57815-91ED-43cb-92C2-25804820EDAC}">
                        <c15:formulaRef>
                          <c15:sqref>'PBL OLD'!$DD$6:$DD$7</c15:sqref>
                        </c15:formulaRef>
                      </c:ext>
                    </c:extLst>
                    <c:strCache>
                      <c:ptCount val="2"/>
                      <c:pt idx="0">
                        <c:v>95th Percentile</c:v>
                      </c:pt>
                    </c:strCache>
                  </c:strRef>
                </c:tx>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OLD'!$DD$8:$DD$60</c15:sqref>
                        </c15:formulaRef>
                      </c:ext>
                    </c:extLst>
                    <c:numCache>
                      <c:formatCode>0.000</c:formatCode>
                      <c:ptCount val="53"/>
                      <c:pt idx="0">
                        <c:v>7.643445292523153E-2</c:v>
                      </c:pt>
                      <c:pt idx="1">
                        <c:v>0.15286890585046306</c:v>
                      </c:pt>
                      <c:pt idx="2">
                        <c:v>0.22930335877569458</c:v>
                      </c:pt>
                      <c:pt idx="3">
                        <c:v>0.30573781170092612</c:v>
                      </c:pt>
                      <c:pt idx="4">
                        <c:v>0.38217226462615767</c:v>
                      </c:pt>
                      <c:pt idx="5">
                        <c:v>0.45860671755138921</c:v>
                      </c:pt>
                      <c:pt idx="6">
                        <c:v>0.5350411704766207</c:v>
                      </c:pt>
                      <c:pt idx="7">
                        <c:v>0.61147562340185224</c:v>
                      </c:pt>
                      <c:pt idx="8">
                        <c:v>0.68791007632708379</c:v>
                      </c:pt>
                      <c:pt idx="9">
                        <c:v>0.76434452925231533</c:v>
                      </c:pt>
                      <c:pt idx="10">
                        <c:v>0.84077898217754687</c:v>
                      </c:pt>
                      <c:pt idx="11">
                        <c:v>0.91721343510277842</c:v>
                      </c:pt>
                      <c:pt idx="12">
                        <c:v>0.99364788802800996</c:v>
                      </c:pt>
                      <c:pt idx="13">
                        <c:v>1.0700823409532414</c:v>
                      </c:pt>
                      <c:pt idx="14">
                        <c:v>1.1465167938784728</c:v>
                      </c:pt>
                      <c:pt idx="15">
                        <c:v>1.2229512468037043</c:v>
                      </c:pt>
                      <c:pt idx="16">
                        <c:v>1.2993856997289357</c:v>
                      </c:pt>
                      <c:pt idx="17">
                        <c:v>1.3758201526541671</c:v>
                      </c:pt>
                      <c:pt idx="18">
                        <c:v>1.4522546055793986</c:v>
                      </c:pt>
                      <c:pt idx="19">
                        <c:v>1.52868905850463</c:v>
                      </c:pt>
                      <c:pt idx="20">
                        <c:v>1.6051235114298614</c:v>
                      </c:pt>
                      <c:pt idx="21">
                        <c:v>1.6815579643550929</c:v>
                      </c:pt>
                      <c:pt idx="22">
                        <c:v>1.7579924172803243</c:v>
                      </c:pt>
                      <c:pt idx="23">
                        <c:v>1.8344268702055557</c:v>
                      </c:pt>
                      <c:pt idx="24">
                        <c:v>1.9108613231307872</c:v>
                      </c:pt>
                      <c:pt idx="25">
                        <c:v>1.9872957760560186</c:v>
                      </c:pt>
                      <c:pt idx="26">
                        <c:v>2.06373022898125</c:v>
                      </c:pt>
                      <c:pt idx="27">
                        <c:v>2.1401646819064815</c:v>
                      </c:pt>
                      <c:pt idx="28">
                        <c:v>2.2165991348317129</c:v>
                      </c:pt>
                      <c:pt idx="29">
                        <c:v>2.2930335877569443</c:v>
                      </c:pt>
                      <c:pt idx="30">
                        <c:v>2.3694680406821758</c:v>
                      </c:pt>
                      <c:pt idx="31">
                        <c:v>2.4459024936074072</c:v>
                      </c:pt>
                      <c:pt idx="32">
                        <c:v>2.5223369465326386</c:v>
                      </c:pt>
                      <c:pt idx="33">
                        <c:v>2.5987713994578701</c:v>
                      </c:pt>
                      <c:pt idx="34">
                        <c:v>2.6752058523831015</c:v>
                      </c:pt>
                      <c:pt idx="35">
                        <c:v>2.7516403053083329</c:v>
                      </c:pt>
                      <c:pt idx="36">
                        <c:v>2.8280747582335644</c:v>
                      </c:pt>
                      <c:pt idx="37">
                        <c:v>2.9045092111587958</c:v>
                      </c:pt>
                      <c:pt idx="38">
                        <c:v>2.9809436640840272</c:v>
                      </c:pt>
                      <c:pt idx="39">
                        <c:v>3.0573781170092587</c:v>
                      </c:pt>
                      <c:pt idx="40">
                        <c:v>3.1338125699344901</c:v>
                      </c:pt>
                      <c:pt idx="41">
                        <c:v>3.2102470228597215</c:v>
                      </c:pt>
                      <c:pt idx="42">
                        <c:v>3.286681475784953</c:v>
                      </c:pt>
                      <c:pt idx="43">
                        <c:v>3.3631159287101844</c:v>
                      </c:pt>
                      <c:pt idx="44">
                        <c:v>3.4395503816354158</c:v>
                      </c:pt>
                      <c:pt idx="45">
                        <c:v>3.5159848345606473</c:v>
                      </c:pt>
                      <c:pt idx="46">
                        <c:v>3.5924192874858787</c:v>
                      </c:pt>
                      <c:pt idx="47">
                        <c:v>3.6688537404111101</c:v>
                      </c:pt>
                      <c:pt idx="48">
                        <c:v>3.7452881933363416</c:v>
                      </c:pt>
                      <c:pt idx="49">
                        <c:v>3.821722646261573</c:v>
                      </c:pt>
                      <c:pt idx="50">
                        <c:v>3.8981570991868044</c:v>
                      </c:pt>
                      <c:pt idx="51">
                        <c:v>3.9745915521120359</c:v>
                      </c:pt>
                    </c:numCache>
                  </c:numRef>
                </c:val>
                <c:smooth val="0"/>
                <c:extLst xmlns:c15="http://schemas.microsoft.com/office/drawing/2012/chart">
                  <c:ext xmlns:c16="http://schemas.microsoft.com/office/drawing/2014/chart" uri="{C3380CC4-5D6E-409C-BE32-E72D297353CC}">
                    <c16:uniqueId val="{00000009-F16A-46E3-8364-E6214B5A1C15}"/>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'PBL OLD'!$DE$6:$DE$7</c15:sqref>
                        </c15:formulaRef>
                      </c:ext>
                    </c:extLst>
                    <c:strCache>
                      <c:ptCount val="2"/>
                      <c:pt idx="0">
                        <c:v>99th Percentile</c:v>
                      </c:pt>
                    </c:strCache>
                  </c:strRef>
                </c:tx>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OLD'!$DE$8:$DE$60</c15:sqref>
                        </c15:formulaRef>
                      </c:ext>
                    </c:extLst>
                    <c:numCache>
                      <c:formatCode>0.000</c:formatCode>
                      <c:ptCount val="53"/>
                      <c:pt idx="0">
                        <c:v>8.472863847550996E-2</c:v>
                      </c:pt>
                      <c:pt idx="1">
                        <c:v>0.16945727695101992</c:v>
                      </c:pt>
                      <c:pt idx="2">
                        <c:v>0.25418591542652991</c:v>
                      </c:pt>
                      <c:pt idx="3">
                        <c:v>0.33891455390203984</c:v>
                      </c:pt>
                      <c:pt idx="4">
                        <c:v>0.42364319237754977</c:v>
                      </c:pt>
                      <c:pt idx="5">
                        <c:v>0.5083718308530597</c:v>
                      </c:pt>
                      <c:pt idx="6">
                        <c:v>0.59310046932856963</c:v>
                      </c:pt>
                      <c:pt idx="7">
                        <c:v>0.67782910780407957</c:v>
                      </c:pt>
                      <c:pt idx="8">
                        <c:v>0.7625577462795895</c:v>
                      </c:pt>
                      <c:pt idx="9">
                        <c:v>0.84728638475509943</c:v>
                      </c:pt>
                      <c:pt idx="10">
                        <c:v>0.93201502323060936</c:v>
                      </c:pt>
                      <c:pt idx="11">
                        <c:v>1.0167436617061194</c:v>
                      </c:pt>
                      <c:pt idx="12">
                        <c:v>1.1014723001816293</c:v>
                      </c:pt>
                      <c:pt idx="13">
                        <c:v>1.1862009386571393</c:v>
                      </c:pt>
                      <c:pt idx="14">
                        <c:v>1.2709295771326492</c:v>
                      </c:pt>
                      <c:pt idx="15">
                        <c:v>1.3556582156081591</c:v>
                      </c:pt>
                      <c:pt idx="16">
                        <c:v>1.4403868540836691</c:v>
                      </c:pt>
                      <c:pt idx="17">
                        <c:v>1.525115492559179</c:v>
                      </c:pt>
                      <c:pt idx="18">
                        <c:v>1.6098441310346889</c:v>
                      </c:pt>
                      <c:pt idx="19">
                        <c:v>1.6945727695101989</c:v>
                      </c:pt>
                      <c:pt idx="20">
                        <c:v>1.7793014079857088</c:v>
                      </c:pt>
                      <c:pt idx="21">
                        <c:v>1.8640300464612187</c:v>
                      </c:pt>
                      <c:pt idx="22">
                        <c:v>1.9487586849367287</c:v>
                      </c:pt>
                      <c:pt idx="23">
                        <c:v>2.0334873234122388</c:v>
                      </c:pt>
                      <c:pt idx="24">
                        <c:v>2.1182159618877487</c:v>
                      </c:pt>
                      <c:pt idx="25">
                        <c:v>2.2029446003632587</c:v>
                      </c:pt>
                      <c:pt idx="26">
                        <c:v>2.2876732388387686</c:v>
                      </c:pt>
                      <c:pt idx="27">
                        <c:v>2.3724018773142785</c:v>
                      </c:pt>
                      <c:pt idx="28">
                        <c:v>2.4571305157897885</c:v>
                      </c:pt>
                      <c:pt idx="29">
                        <c:v>2.5418591542652984</c:v>
                      </c:pt>
                      <c:pt idx="30">
                        <c:v>2.6265877927408083</c:v>
                      </c:pt>
                      <c:pt idx="31">
                        <c:v>2.7113164312163183</c:v>
                      </c:pt>
                      <c:pt idx="32">
                        <c:v>2.7960450696918282</c:v>
                      </c:pt>
                      <c:pt idx="33">
                        <c:v>2.8807737081673381</c:v>
                      </c:pt>
                      <c:pt idx="34">
                        <c:v>2.9655023466428481</c:v>
                      </c:pt>
                      <c:pt idx="35">
                        <c:v>3.050230985118358</c:v>
                      </c:pt>
                      <c:pt idx="36">
                        <c:v>3.1349596235938679</c:v>
                      </c:pt>
                      <c:pt idx="37">
                        <c:v>3.2196882620693779</c:v>
                      </c:pt>
                      <c:pt idx="38">
                        <c:v>3.3044169005448878</c:v>
                      </c:pt>
                      <c:pt idx="39">
                        <c:v>3.3891455390203977</c:v>
                      </c:pt>
                      <c:pt idx="40">
                        <c:v>3.4738741774959077</c:v>
                      </c:pt>
                      <c:pt idx="41">
                        <c:v>3.5586028159714176</c:v>
                      </c:pt>
                      <c:pt idx="42">
                        <c:v>3.6433314544469275</c:v>
                      </c:pt>
                      <c:pt idx="43">
                        <c:v>3.7280600929224375</c:v>
                      </c:pt>
                      <c:pt idx="44">
                        <c:v>3.8127887313979474</c:v>
                      </c:pt>
                      <c:pt idx="45">
                        <c:v>3.8975173698734573</c:v>
                      </c:pt>
                      <c:pt idx="46">
                        <c:v>3.9822460083489672</c:v>
                      </c:pt>
                      <c:pt idx="47">
                        <c:v>4.0669746468244776</c:v>
                      </c:pt>
                      <c:pt idx="48">
                        <c:v>4.1517032852999876</c:v>
                      </c:pt>
                      <c:pt idx="49">
                        <c:v>4.2364319237754975</c:v>
                      </c:pt>
                      <c:pt idx="50">
                        <c:v>4.3211605622510074</c:v>
                      </c:pt>
                      <c:pt idx="51">
                        <c:v>4.4058892007265174</c:v>
                      </c:pt>
                    </c:numCache>
                  </c:numRef>
                </c:val>
                <c:smooth val="0"/>
                <c:extLst xmlns:c15="http://schemas.microsoft.com/office/drawing/2012/chart">
                  <c:ext xmlns:c16="http://schemas.microsoft.com/office/drawing/2014/chart" uri="{C3380CC4-5D6E-409C-BE32-E72D297353CC}">
                    <c16:uniqueId val="{0000000A-F16A-46E3-8364-E6214B5A1C15}"/>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'PBL OLD'!$DF$6:$DF$7</c15:sqref>
                        </c15:formulaRef>
                      </c:ext>
                    </c:extLst>
                    <c:strCache>
                      <c:ptCount val="2"/>
                      <c:pt idx="0">
                        <c:v>Max</c:v>
                      </c:pt>
                    </c:strCache>
                  </c:strRef>
                </c:tx>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OLD'!$DF$8:$DF$60</c15:sqref>
                        </c15:formulaRef>
                      </c:ext>
                    </c:extLst>
                    <c:numCache>
                      <c:formatCode>0.000</c:formatCode>
                      <c:ptCount val="53"/>
                      <c:pt idx="0">
                        <c:v>0.10288241710741779</c:v>
                      </c:pt>
                      <c:pt idx="1">
                        <c:v>0.20576483421483557</c:v>
                      </c:pt>
                      <c:pt idx="2">
                        <c:v>0.30864725132225335</c:v>
                      </c:pt>
                      <c:pt idx="3">
                        <c:v>0.41152966842967115</c:v>
                      </c:pt>
                      <c:pt idx="4">
                        <c:v>0.51441208553708895</c:v>
                      </c:pt>
                      <c:pt idx="5">
                        <c:v>0.61729450264450669</c:v>
                      </c:pt>
                      <c:pt idx="6">
                        <c:v>0.72017691975192444</c:v>
                      </c:pt>
                      <c:pt idx="7">
                        <c:v>0.82305933685934218</c:v>
                      </c:pt>
                      <c:pt idx="8">
                        <c:v>0.92594175396675993</c:v>
                      </c:pt>
                      <c:pt idx="9">
                        <c:v>1.0288241710741777</c:v>
                      </c:pt>
                      <c:pt idx="10">
                        <c:v>1.1317065881815955</c:v>
                      </c:pt>
                      <c:pt idx="11">
                        <c:v>1.2345890052890134</c:v>
                      </c:pt>
                      <c:pt idx="12">
                        <c:v>1.3374714223964312</c:v>
                      </c:pt>
                      <c:pt idx="13">
                        <c:v>1.4403538395038491</c:v>
                      </c:pt>
                      <c:pt idx="14">
                        <c:v>1.543236256611267</c:v>
                      </c:pt>
                      <c:pt idx="15">
                        <c:v>1.6461186737186848</c:v>
                      </c:pt>
                      <c:pt idx="16">
                        <c:v>1.7490010908261027</c:v>
                      </c:pt>
                      <c:pt idx="17">
                        <c:v>1.8518835079335205</c:v>
                      </c:pt>
                      <c:pt idx="18">
                        <c:v>1.9547659250409384</c:v>
                      </c:pt>
                      <c:pt idx="19">
                        <c:v>2.0576483421483562</c:v>
                      </c:pt>
                      <c:pt idx="20">
                        <c:v>2.1605307592557739</c:v>
                      </c:pt>
                      <c:pt idx="21">
                        <c:v>2.2634131763631915</c:v>
                      </c:pt>
                      <c:pt idx="22">
                        <c:v>2.3662955934706091</c:v>
                      </c:pt>
                      <c:pt idx="23">
                        <c:v>2.4691780105780268</c:v>
                      </c:pt>
                      <c:pt idx="24">
                        <c:v>2.5720604276854444</c:v>
                      </c:pt>
                      <c:pt idx="25">
                        <c:v>2.674942844792862</c:v>
                      </c:pt>
                      <c:pt idx="26">
                        <c:v>2.7778252619002797</c:v>
                      </c:pt>
                      <c:pt idx="27">
                        <c:v>2.8807076790076973</c:v>
                      </c:pt>
                      <c:pt idx="28">
                        <c:v>2.9835900961151149</c:v>
                      </c:pt>
                      <c:pt idx="29">
                        <c:v>3.0864725132225326</c:v>
                      </c:pt>
                      <c:pt idx="30">
                        <c:v>3.1893549303299502</c:v>
                      </c:pt>
                      <c:pt idx="31">
                        <c:v>3.2922373474373678</c:v>
                      </c:pt>
                      <c:pt idx="32">
                        <c:v>3.3951197645447855</c:v>
                      </c:pt>
                      <c:pt idx="33">
                        <c:v>3.4980021816522031</c:v>
                      </c:pt>
                      <c:pt idx="34">
                        <c:v>3.6008845987596207</c:v>
                      </c:pt>
                      <c:pt idx="35">
                        <c:v>3.7037670158670384</c:v>
                      </c:pt>
                      <c:pt idx="36">
                        <c:v>3.806649432974456</c:v>
                      </c:pt>
                      <c:pt idx="37">
                        <c:v>3.9095318500818736</c:v>
                      </c:pt>
                      <c:pt idx="38">
                        <c:v>4.0124142671892917</c:v>
                      </c:pt>
                      <c:pt idx="39">
                        <c:v>4.1152966842967098</c:v>
                      </c:pt>
                      <c:pt idx="40">
                        <c:v>4.2181791014041279</c:v>
                      </c:pt>
                      <c:pt idx="41">
                        <c:v>4.321061518511546</c:v>
                      </c:pt>
                      <c:pt idx="42">
                        <c:v>4.423943935618964</c:v>
                      </c:pt>
                      <c:pt idx="43">
                        <c:v>4.5268263527263821</c:v>
                      </c:pt>
                      <c:pt idx="44">
                        <c:v>4.6297087698338002</c:v>
                      </c:pt>
                      <c:pt idx="45">
                        <c:v>4.7325911869412183</c:v>
                      </c:pt>
                      <c:pt idx="46">
                        <c:v>4.8354736040486364</c:v>
                      </c:pt>
                      <c:pt idx="47">
                        <c:v>4.9383560211560544</c:v>
                      </c:pt>
                      <c:pt idx="48">
                        <c:v>5.0412384382634725</c:v>
                      </c:pt>
                      <c:pt idx="49">
                        <c:v>5.1441208553708906</c:v>
                      </c:pt>
                      <c:pt idx="50">
                        <c:v>5.2470032724783087</c:v>
                      </c:pt>
                      <c:pt idx="51">
                        <c:v>5.3498856895857267</c:v>
                      </c:pt>
                    </c:numCache>
                  </c:numRef>
                </c:val>
                <c:smooth val="0"/>
                <c:extLst xmlns:c15="http://schemas.microsoft.com/office/drawing/2012/chart">
                  <c:ext xmlns:c16="http://schemas.microsoft.com/office/drawing/2014/chart" uri="{C3380CC4-5D6E-409C-BE32-E72D297353CC}">
                    <c16:uniqueId val="{0000000B-F16A-46E3-8364-E6214B5A1C15}"/>
                  </c:ext>
                </c:extLst>
              </c15:ser>
            </c15:filteredLineSeries>
          </c:ext>
        </c:extLst>
      </c:lineChart>
      <c:dateAx>
        <c:axId val="1388952432"/>
        <c:scaling>
          <c:orientation val="minMax"/>
        </c:scaling>
        <c:delete val="0"/>
        <c:axPos val="b"/>
        <c:numFmt formatCode="d\-mmm\-yy_);\(###0\);&quot;-  &quot;;&quot; &quot;@&quot; &quot;"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3088"/>
        <c:crosses val="autoZero"/>
        <c:auto val="1"/>
        <c:lblOffset val="100"/>
        <c:baseTimeUnit val="days"/>
        <c:majorUnit val="3"/>
        <c:majorTimeUnit val="months"/>
      </c:dateAx>
      <c:valAx>
        <c:axId val="1388953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Ticket Sales ($b)</a:t>
                </a:r>
              </a:p>
            </c:rich>
          </c:tx>
          <c:overlay val="0"/>
          <c:spPr>
            <a:noFill/>
            <a:ln>
              <a:noFill/>
            </a:ln>
            <a:effectLst/>
          </c:sp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2432"/>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'PBL OLD'!$CU$6:$CU$7</c:f>
              <c:strCache>
                <c:ptCount val="2"/>
                <c:pt idx="0">
                  <c:v>Actual</c:v>
                </c:pt>
              </c:strCache>
            </c:strRef>
          </c:tx>
          <c:spPr>
            <a:ln w="28575" cap="rnd">
              <a:solidFill>
                <a:schemeClr val="tx2"/>
              </a:solidFill>
              <a:round/>
            </a:ln>
            <a:effectLst/>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OLD'!$CU$8:$CU$60</c:f>
              <c:numCache>
                <c:formatCode>0.000</c:formatCode>
                <c:ptCount val="53"/>
                <c:pt idx="0">
                  <c:v>2.4383432684147156E-2</c:v>
                </c:pt>
                <c:pt idx="1">
                  <c:v>5.7456335077458197E-2</c:v>
                </c:pt>
                <c:pt idx="2">
                  <c:v>8.2897301732709039E-2</c:v>
                </c:pt>
                <c:pt idx="3">
                  <c:v>0.10634933406608696</c:v>
                </c:pt>
                <c:pt idx="4">
                  <c:v>0.13586762292789298</c:v>
                </c:pt>
                <c:pt idx="5">
                  <c:v>0.18374004427397994</c:v>
                </c:pt>
                <c:pt idx="6">
                  <c:v>0.20803473319331103</c:v>
                </c:pt>
                <c:pt idx="7">
                  <c:v>0.23891877923157193</c:v>
                </c:pt>
                <c:pt idx="8">
                  <c:v>0.28713984685163879</c:v>
                </c:pt>
                <c:pt idx="9">
                  <c:v>0.3616614278523077</c:v>
                </c:pt>
                <c:pt idx="10">
                  <c:v>0.392004627321204</c:v>
                </c:pt>
                <c:pt idx="11">
                  <c:v>0.41949779873926418</c:v>
                </c:pt>
                <c:pt idx="12">
                  <c:v>0.46306182742073576</c:v>
                </c:pt>
                <c:pt idx="13">
                  <c:v>0.52060037325672237</c:v>
                </c:pt>
                <c:pt idx="14">
                  <c:v>0.6148648724923077</c:v>
                </c:pt>
                <c:pt idx="15">
                  <c:v>0.83700126369498329</c:v>
                </c:pt>
                <c:pt idx="16">
                  <c:v>1.1825944978628762</c:v>
                </c:pt>
                <c:pt idx="17">
                  <c:v>1.2153577144507022</c:v>
                </c:pt>
                <c:pt idx="18">
                  <c:v>1.2691323901694982</c:v>
                </c:pt>
                <c:pt idx="19">
                  <c:v>1.3310424487488961</c:v>
                </c:pt>
                <c:pt idx="20">
                  <c:v>1.4175102073723076</c:v>
                </c:pt>
                <c:pt idx="21">
                  <c:v>1.4481012105839461</c:v>
                </c:pt>
                <c:pt idx="22">
                  <c:v>1.4946211055890297</c:v>
                </c:pt>
                <c:pt idx="23">
                  <c:v>1.5554005903488961</c:v>
                </c:pt>
                <c:pt idx="24">
                  <c:v>1.6472886013460868</c:v>
                </c:pt>
                <c:pt idx="25">
                  <c:v>1.8141838940449495</c:v>
                </c:pt>
                <c:pt idx="26">
                  <c:v>1.8392503831253511</c:v>
                </c:pt>
                <c:pt idx="27">
                  <c:v>1.866157764302341</c:v>
                </c:pt>
                <c:pt idx="28">
                  <c:v>1.9009749529614712</c:v>
                </c:pt>
                <c:pt idx="29">
                  <c:v>1.9519053104066888</c:v>
                </c:pt>
                <c:pt idx="30">
                  <c:v>2.0244714168671569</c:v>
                </c:pt>
                <c:pt idx="31">
                  <c:v>2.0488217174971233</c:v>
                </c:pt>
                <c:pt idx="32">
                  <c:v>2.0819389554734444</c:v>
                </c:pt>
                <c:pt idx="33">
                  <c:v>2.135068076795986</c:v>
                </c:pt>
                <c:pt idx="34">
                  <c:v>2.2086620296321069</c:v>
                </c:pt>
                <c:pt idx="35">
                  <c:v>2.2340468803692306</c:v>
                </c:pt>
                <c:pt idx="36">
                  <c:v>2.2608009917649499</c:v>
                </c:pt>
                <c:pt idx="37">
                  <c:v>2.2922285879399333</c:v>
                </c:pt>
                <c:pt idx="38">
                  <c:v>2.3232771205685618</c:v>
                </c:pt>
                <c:pt idx="39">
                  <c:v>2.3730794774674249</c:v>
                </c:pt>
                <c:pt idx="40">
                  <c:v>2.4331034888271574</c:v>
                </c:pt>
                <c:pt idx="41">
                  <c:v>2.459481893485485</c:v>
                </c:pt>
                <c:pt idx="42">
                  <c:v>2.4922966782375924</c:v>
                </c:pt>
                <c:pt idx="43">
                  <c:v>2.5430290760305017</c:v>
                </c:pt>
                <c:pt idx="44">
                  <c:v>2.5665048546627425</c:v>
                </c:pt>
                <c:pt idx="45">
                  <c:v>2.5900549864143145</c:v>
                </c:pt>
                <c:pt idx="46">
                  <c:v>2.6316794518334712</c:v>
                </c:pt>
                <c:pt idx="47">
                  <c:v>2.6865530592113069</c:v>
                </c:pt>
                <c:pt idx="48">
                  <c:v>2.7625586865996037</c:v>
                </c:pt>
                <c:pt idx="49">
                  <c:v>2.8807855607703785</c:v>
                </c:pt>
                <c:pt idx="50">
                  <c:v>3.1087288440336671</c:v>
                </c:pt>
                <c:pt idx="51">
                  <c:v>3.1350399566342553</c:v>
                </c:pt>
              </c:numCache>
            </c:numRef>
          </c:val>
          <c:smooth val="0"/>
          <c:extLst>
            <c:ext xmlns:c16="http://schemas.microsoft.com/office/drawing/2014/chart" uri="{C3380CC4-5D6E-409C-BE32-E72D297353CC}">
              <c16:uniqueId val="{00000000-F2F6-4956-AD76-4A33AF319956}"/>
            </c:ext>
          </c:extLst>
        </c:ser>
        <c:ser>
          <c:idx val="2"/>
          <c:order val="5"/>
          <c:tx>
            <c:v>25/50/75th percentile</c:v>
          </c:tx>
          <c:spPr>
            <a:ln w="28575">
              <a:solidFill>
                <a:schemeClr val="bg2">
                  <a:lumMod val="60000"/>
                  <a:lumOff val="40000"/>
                </a:schemeClr>
              </a:solidFill>
              <a:prstDash val="sysDot"/>
            </a:ln>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OLD'!$CZ$8:$CZ$60</c:f>
              <c:numCache>
                <c:formatCode>0.000</c:formatCode>
                <c:ptCount val="53"/>
                <c:pt idx="0">
                  <c:v>5.470863400459542E-2</c:v>
                </c:pt>
                <c:pt idx="1">
                  <c:v>0.10941726800919084</c:v>
                </c:pt>
                <c:pt idx="2">
                  <c:v>0.16412590201378627</c:v>
                </c:pt>
                <c:pt idx="3">
                  <c:v>0.21883453601838168</c:v>
                </c:pt>
                <c:pt idx="4">
                  <c:v>0.27354317002297712</c:v>
                </c:pt>
                <c:pt idx="5">
                  <c:v>0.32825180402757254</c:v>
                </c:pt>
                <c:pt idx="6">
                  <c:v>0.38296043803216795</c:v>
                </c:pt>
                <c:pt idx="7">
                  <c:v>0.43766907203676336</c:v>
                </c:pt>
                <c:pt idx="8">
                  <c:v>0.49237770604135878</c:v>
                </c:pt>
                <c:pt idx="9">
                  <c:v>0.54708634004595424</c:v>
                </c:pt>
                <c:pt idx="10">
                  <c:v>0.60179497405054971</c:v>
                </c:pt>
                <c:pt idx="11">
                  <c:v>0.65650360805514518</c:v>
                </c:pt>
                <c:pt idx="12">
                  <c:v>0.71121224205974065</c:v>
                </c:pt>
                <c:pt idx="13">
                  <c:v>0.76592087606433612</c:v>
                </c:pt>
                <c:pt idx="14">
                  <c:v>0.82062951006893159</c:v>
                </c:pt>
                <c:pt idx="15">
                  <c:v>0.87533814407352706</c:v>
                </c:pt>
                <c:pt idx="16">
                  <c:v>0.93004677807812253</c:v>
                </c:pt>
                <c:pt idx="17">
                  <c:v>0.984755412082718</c:v>
                </c:pt>
                <c:pt idx="18">
                  <c:v>1.0394640460873135</c:v>
                </c:pt>
                <c:pt idx="19">
                  <c:v>1.0941726800919089</c:v>
                </c:pt>
                <c:pt idx="20">
                  <c:v>1.1488813140965044</c:v>
                </c:pt>
                <c:pt idx="21">
                  <c:v>1.2035899481010999</c:v>
                </c:pt>
                <c:pt idx="22">
                  <c:v>1.2582985821056953</c:v>
                </c:pt>
                <c:pt idx="23">
                  <c:v>1.3130072161102908</c:v>
                </c:pt>
                <c:pt idx="24">
                  <c:v>1.3677158501148863</c:v>
                </c:pt>
                <c:pt idx="25">
                  <c:v>1.4224244841194817</c:v>
                </c:pt>
                <c:pt idx="26">
                  <c:v>1.4771331181240772</c:v>
                </c:pt>
                <c:pt idx="27">
                  <c:v>1.5318417521286727</c:v>
                </c:pt>
                <c:pt idx="28">
                  <c:v>1.5865503861332682</c:v>
                </c:pt>
                <c:pt idx="29">
                  <c:v>1.6412590201378636</c:v>
                </c:pt>
                <c:pt idx="30">
                  <c:v>1.6959676541424591</c:v>
                </c:pt>
                <c:pt idx="31">
                  <c:v>1.7506762881470546</c:v>
                </c:pt>
                <c:pt idx="32">
                  <c:v>1.80538492215165</c:v>
                </c:pt>
                <c:pt idx="33">
                  <c:v>1.8600935561562455</c:v>
                </c:pt>
                <c:pt idx="34">
                  <c:v>1.914802190160841</c:v>
                </c:pt>
                <c:pt idx="35">
                  <c:v>1.9695108241654364</c:v>
                </c:pt>
                <c:pt idx="36">
                  <c:v>2.0242194581700317</c:v>
                </c:pt>
                <c:pt idx="37">
                  <c:v>2.0789280921746269</c:v>
                </c:pt>
                <c:pt idx="38">
                  <c:v>2.1336367261792222</c:v>
                </c:pt>
                <c:pt idx="39">
                  <c:v>2.1883453601838174</c:v>
                </c:pt>
                <c:pt idx="40">
                  <c:v>2.2430539941884127</c:v>
                </c:pt>
                <c:pt idx="41">
                  <c:v>2.2977626281930079</c:v>
                </c:pt>
                <c:pt idx="42">
                  <c:v>2.3524712621976032</c:v>
                </c:pt>
                <c:pt idx="43">
                  <c:v>2.4071798962021984</c:v>
                </c:pt>
                <c:pt idx="44">
                  <c:v>2.4618885302067937</c:v>
                </c:pt>
                <c:pt idx="45">
                  <c:v>2.5165971642113889</c:v>
                </c:pt>
                <c:pt idx="46">
                  <c:v>2.5713057982159842</c:v>
                </c:pt>
                <c:pt idx="47">
                  <c:v>2.6260144322205794</c:v>
                </c:pt>
                <c:pt idx="48">
                  <c:v>2.6807230662251746</c:v>
                </c:pt>
                <c:pt idx="49">
                  <c:v>2.7354317002297699</c:v>
                </c:pt>
                <c:pt idx="50">
                  <c:v>2.7901403342343651</c:v>
                </c:pt>
                <c:pt idx="51">
                  <c:v>2.8448489682389604</c:v>
                </c:pt>
              </c:numCache>
            </c:numRef>
          </c:val>
          <c:smooth val="0"/>
          <c:extLst>
            <c:ext xmlns:c16="http://schemas.microsoft.com/office/drawing/2014/chart" uri="{C3380CC4-5D6E-409C-BE32-E72D297353CC}">
              <c16:uniqueId val="{00000001-F2F6-4956-AD76-4A33AF319956}"/>
            </c:ext>
          </c:extLst>
        </c:ser>
        <c:ser>
          <c:idx val="4"/>
          <c:order val="6"/>
          <c:tx>
            <c:strRef>
              <c:f>'PBL OLD'!$DA$6:$DA$7</c:f>
              <c:strCache>
                <c:ptCount val="2"/>
                <c:pt idx="0">
                  <c:v>50th Percentile</c:v>
                </c:pt>
              </c:strCache>
            </c:strRef>
          </c:tx>
          <c:spPr>
            <a:ln w="28575">
              <a:solidFill>
                <a:schemeClr val="bg2">
                  <a:lumMod val="60000"/>
                  <a:lumOff val="40000"/>
                </a:schemeClr>
              </a:solidFill>
              <a:prstDash val="sysDot"/>
            </a:ln>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OLD'!$DA$8:$DA$60</c:f>
              <c:numCache>
                <c:formatCode>0.000</c:formatCode>
                <c:ptCount val="53"/>
                <c:pt idx="0">
                  <c:v>6.0209708872007502E-2</c:v>
                </c:pt>
                <c:pt idx="1">
                  <c:v>0.120419417744015</c:v>
                </c:pt>
                <c:pt idx="2">
                  <c:v>0.18062912661602251</c:v>
                </c:pt>
                <c:pt idx="3">
                  <c:v>0.24083883548803001</c:v>
                </c:pt>
                <c:pt idx="4">
                  <c:v>0.30104854436003753</c:v>
                </c:pt>
                <c:pt idx="5">
                  <c:v>0.36125825323204502</c:v>
                </c:pt>
                <c:pt idx="6">
                  <c:v>0.42146796210405252</c:v>
                </c:pt>
                <c:pt idx="7">
                  <c:v>0.48167767097606001</c:v>
                </c:pt>
                <c:pt idx="8">
                  <c:v>0.54188737984806756</c:v>
                </c:pt>
                <c:pt idx="9">
                  <c:v>0.60209708872007506</c:v>
                </c:pt>
                <c:pt idx="10">
                  <c:v>0.66230679759208255</c:v>
                </c:pt>
                <c:pt idx="11">
                  <c:v>0.72251650646409005</c:v>
                </c:pt>
                <c:pt idx="12">
                  <c:v>0.78272621533609754</c:v>
                </c:pt>
                <c:pt idx="13">
                  <c:v>0.84293592420810504</c:v>
                </c:pt>
                <c:pt idx="14">
                  <c:v>0.90314563308011253</c:v>
                </c:pt>
                <c:pt idx="15">
                  <c:v>0.96335534195212003</c:v>
                </c:pt>
                <c:pt idx="16">
                  <c:v>1.0235650508241276</c:v>
                </c:pt>
                <c:pt idx="17">
                  <c:v>1.0837747596961351</c:v>
                </c:pt>
                <c:pt idx="18">
                  <c:v>1.1439844685681426</c:v>
                </c:pt>
                <c:pt idx="19">
                  <c:v>1.2041941774401501</c:v>
                </c:pt>
                <c:pt idx="20">
                  <c:v>1.2644038863121576</c:v>
                </c:pt>
                <c:pt idx="21">
                  <c:v>1.3246135951841651</c:v>
                </c:pt>
                <c:pt idx="22">
                  <c:v>1.3848233040561726</c:v>
                </c:pt>
                <c:pt idx="23">
                  <c:v>1.4450330129281801</c:v>
                </c:pt>
                <c:pt idx="24">
                  <c:v>1.5052427218001876</c:v>
                </c:pt>
                <c:pt idx="25">
                  <c:v>1.5654524306721951</c:v>
                </c:pt>
                <c:pt idx="26">
                  <c:v>1.6256621395442026</c:v>
                </c:pt>
                <c:pt idx="27">
                  <c:v>1.6858718484162101</c:v>
                </c:pt>
                <c:pt idx="28">
                  <c:v>1.7460815572882176</c:v>
                </c:pt>
                <c:pt idx="29">
                  <c:v>1.8062912661602251</c:v>
                </c:pt>
                <c:pt idx="30">
                  <c:v>1.8665009750322326</c:v>
                </c:pt>
                <c:pt idx="31">
                  <c:v>1.9267106839042401</c:v>
                </c:pt>
                <c:pt idx="32">
                  <c:v>1.9869203927762475</c:v>
                </c:pt>
                <c:pt idx="33">
                  <c:v>2.0471301016482553</c:v>
                </c:pt>
                <c:pt idx="34">
                  <c:v>2.107339810520263</c:v>
                </c:pt>
                <c:pt idx="35">
                  <c:v>2.1675495193922707</c:v>
                </c:pt>
                <c:pt idx="36">
                  <c:v>2.2277592282642784</c:v>
                </c:pt>
                <c:pt idx="37">
                  <c:v>2.2879689371362861</c:v>
                </c:pt>
                <c:pt idx="38">
                  <c:v>2.3481786460082938</c:v>
                </c:pt>
                <c:pt idx="39">
                  <c:v>2.4083883548803016</c:v>
                </c:pt>
                <c:pt idx="40">
                  <c:v>2.4685980637523093</c:v>
                </c:pt>
                <c:pt idx="41">
                  <c:v>2.528807772624317</c:v>
                </c:pt>
                <c:pt idx="42">
                  <c:v>2.5890174814963247</c:v>
                </c:pt>
                <c:pt idx="43">
                  <c:v>2.6492271903683324</c:v>
                </c:pt>
                <c:pt idx="44">
                  <c:v>2.7094368992403401</c:v>
                </c:pt>
                <c:pt idx="45">
                  <c:v>2.7696466081123479</c:v>
                </c:pt>
                <c:pt idx="46">
                  <c:v>2.8298563169843556</c:v>
                </c:pt>
                <c:pt idx="47">
                  <c:v>2.8900660258563633</c:v>
                </c:pt>
                <c:pt idx="48">
                  <c:v>2.950275734728371</c:v>
                </c:pt>
                <c:pt idx="49">
                  <c:v>3.0104854436003787</c:v>
                </c:pt>
                <c:pt idx="50">
                  <c:v>3.0706951524723864</c:v>
                </c:pt>
                <c:pt idx="51">
                  <c:v>3.1309048613443942</c:v>
                </c:pt>
              </c:numCache>
            </c:numRef>
          </c:val>
          <c:smooth val="0"/>
          <c:extLst>
            <c:ext xmlns:c16="http://schemas.microsoft.com/office/drawing/2014/chart" uri="{C3380CC4-5D6E-409C-BE32-E72D297353CC}">
              <c16:uniqueId val="{00000002-F2F6-4956-AD76-4A33AF319956}"/>
            </c:ext>
          </c:extLst>
        </c:ser>
        <c:ser>
          <c:idx val="6"/>
          <c:order val="7"/>
          <c:tx>
            <c:strRef>
              <c:f>'PBL OLD'!$DB$6:$DB$7</c:f>
              <c:strCache>
                <c:ptCount val="2"/>
                <c:pt idx="0">
                  <c:v>75th Percentile</c:v>
                </c:pt>
              </c:strCache>
            </c:strRef>
          </c:tx>
          <c:spPr>
            <a:ln w="28575">
              <a:solidFill>
                <a:schemeClr val="bg2">
                  <a:lumMod val="60000"/>
                  <a:lumOff val="40000"/>
                </a:schemeClr>
              </a:solidFill>
              <a:prstDash val="sysDot"/>
            </a:ln>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OLD'!$DB$8:$DB$60</c:f>
              <c:numCache>
                <c:formatCode>0.000</c:formatCode>
                <c:ptCount val="53"/>
                <c:pt idx="0">
                  <c:v>6.6232533541717833E-2</c:v>
                </c:pt>
                <c:pt idx="1">
                  <c:v>0.13246506708343567</c:v>
                </c:pt>
                <c:pt idx="2">
                  <c:v>0.19869760062515351</c:v>
                </c:pt>
                <c:pt idx="3">
                  <c:v>0.26493013416687133</c:v>
                </c:pt>
                <c:pt idx="4">
                  <c:v>0.33116266770858915</c:v>
                </c:pt>
                <c:pt idx="5">
                  <c:v>0.39739520125030697</c:v>
                </c:pt>
                <c:pt idx="6">
                  <c:v>0.46362773479202479</c:v>
                </c:pt>
                <c:pt idx="7">
                  <c:v>0.52986026833374267</c:v>
                </c:pt>
                <c:pt idx="8">
                  <c:v>0.59609280187546054</c:v>
                </c:pt>
                <c:pt idx="9">
                  <c:v>0.66232533541717842</c:v>
                </c:pt>
                <c:pt idx="10">
                  <c:v>0.72855786895889629</c:v>
                </c:pt>
                <c:pt idx="11">
                  <c:v>0.79479040250061417</c:v>
                </c:pt>
                <c:pt idx="12">
                  <c:v>0.86102293604233204</c:v>
                </c:pt>
                <c:pt idx="13">
                  <c:v>0.92725546958404992</c:v>
                </c:pt>
                <c:pt idx="14">
                  <c:v>0.99348800312576779</c:v>
                </c:pt>
                <c:pt idx="15">
                  <c:v>1.0597205366674856</c:v>
                </c:pt>
                <c:pt idx="16">
                  <c:v>1.1259530702092033</c:v>
                </c:pt>
                <c:pt idx="17">
                  <c:v>1.1921856037509211</c:v>
                </c:pt>
                <c:pt idx="18">
                  <c:v>1.2584181372926388</c:v>
                </c:pt>
                <c:pt idx="19">
                  <c:v>1.3246506708343566</c:v>
                </c:pt>
                <c:pt idx="20">
                  <c:v>1.3908832043760744</c:v>
                </c:pt>
                <c:pt idx="21">
                  <c:v>1.4571157379177921</c:v>
                </c:pt>
                <c:pt idx="22">
                  <c:v>1.5233482714595099</c:v>
                </c:pt>
                <c:pt idx="23">
                  <c:v>1.5895808050012277</c:v>
                </c:pt>
                <c:pt idx="24">
                  <c:v>1.6558133385429454</c:v>
                </c:pt>
                <c:pt idx="25">
                  <c:v>1.7220458720846632</c:v>
                </c:pt>
                <c:pt idx="26">
                  <c:v>1.788278405626381</c:v>
                </c:pt>
                <c:pt idx="27">
                  <c:v>1.8545109391680987</c:v>
                </c:pt>
                <c:pt idx="28">
                  <c:v>1.9207434727098165</c:v>
                </c:pt>
                <c:pt idx="29">
                  <c:v>1.9869760062515343</c:v>
                </c:pt>
                <c:pt idx="30">
                  <c:v>2.053208539793252</c:v>
                </c:pt>
                <c:pt idx="31">
                  <c:v>2.1194410733349698</c:v>
                </c:pt>
                <c:pt idx="32">
                  <c:v>2.1856736068766875</c:v>
                </c:pt>
                <c:pt idx="33">
                  <c:v>2.2519061404184053</c:v>
                </c:pt>
                <c:pt idx="34">
                  <c:v>2.3181386739601231</c:v>
                </c:pt>
                <c:pt idx="35">
                  <c:v>2.3843712075018408</c:v>
                </c:pt>
                <c:pt idx="36">
                  <c:v>2.4506037410435586</c:v>
                </c:pt>
                <c:pt idx="37">
                  <c:v>2.5168362745852764</c:v>
                </c:pt>
                <c:pt idx="38">
                  <c:v>2.5830688081269941</c:v>
                </c:pt>
                <c:pt idx="39">
                  <c:v>2.6493013416687119</c:v>
                </c:pt>
                <c:pt idx="40">
                  <c:v>2.7155338752104297</c:v>
                </c:pt>
                <c:pt idx="41">
                  <c:v>2.7817664087521474</c:v>
                </c:pt>
                <c:pt idx="42">
                  <c:v>2.8479989422938652</c:v>
                </c:pt>
                <c:pt idx="43">
                  <c:v>2.914231475835583</c:v>
                </c:pt>
                <c:pt idx="44">
                  <c:v>2.9804640093773007</c:v>
                </c:pt>
                <c:pt idx="45">
                  <c:v>3.0466965429190185</c:v>
                </c:pt>
                <c:pt idx="46">
                  <c:v>3.1129290764607362</c:v>
                </c:pt>
                <c:pt idx="47">
                  <c:v>3.179161610002454</c:v>
                </c:pt>
                <c:pt idx="48">
                  <c:v>3.2453941435441718</c:v>
                </c:pt>
                <c:pt idx="49">
                  <c:v>3.3116266770858895</c:v>
                </c:pt>
                <c:pt idx="50">
                  <c:v>3.3778592106276073</c:v>
                </c:pt>
                <c:pt idx="51">
                  <c:v>3.4440917441693251</c:v>
                </c:pt>
              </c:numCache>
            </c:numRef>
          </c:val>
          <c:smooth val="0"/>
          <c:extLst xmlns:c15="http://schemas.microsoft.com/office/drawing/2012/chart">
            <c:ext xmlns:c16="http://schemas.microsoft.com/office/drawing/2014/chart" uri="{C3380CC4-5D6E-409C-BE32-E72D297353CC}">
              <c16:uniqueId val="{00000003-F2F6-4956-AD76-4A33AF319956}"/>
            </c:ext>
          </c:extLst>
        </c:ser>
        <c:dLbls>
          <c:showLegendKey val="0"/>
          <c:showVal val="0"/>
          <c:showCatName val="0"/>
          <c:showSerName val="0"/>
          <c:showPercent val="0"/>
          <c:showBubbleSize val="0"/>
        </c:dLbls>
        <c:smooth val="0"/>
        <c:axId val="1388952432"/>
        <c:axId val="1388953088"/>
        <c:extLst>
          <c:ext xmlns:c15="http://schemas.microsoft.com/office/drawing/2012/chart" uri="{02D57815-91ED-43cb-92C2-25804820EDAC}">
            <c15:filteredLineSeries>
              <c15:ser>
                <c:idx val="3"/>
                <c:order val="1"/>
                <c:tx>
                  <c:strRef>
                    <c:extLst>
                      <c:ext uri="{02D57815-91ED-43cb-92C2-25804820EDAC}">
                        <c15:formulaRef>
                          <c15:sqref>'PBL OLD'!$CV$6:$CV$7</c15:sqref>
                        </c15:formulaRef>
                      </c:ext>
                    </c:extLst>
                    <c:strCache>
                      <c:ptCount val="2"/>
                      <c:pt idx="0">
                        <c:v>Min</c:v>
                      </c:pt>
                    </c:strCache>
                  </c:strRef>
                </c:tx>
                <c:marker>
                  <c:symbol val="none"/>
                </c:marker>
                <c:cat>
                  <c:numRef>
                    <c:extLst>
                      <c:ex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c:ext uri="{02D57815-91ED-43cb-92C2-25804820EDAC}">
                        <c15:formulaRef>
                          <c15:sqref>'PBL OLD'!$CV$8:$CV$60</c15:sqref>
                        </c15:formulaRef>
                      </c:ext>
                    </c:extLst>
                    <c:numCache>
                      <c:formatCode>0.000</c:formatCode>
                      <c:ptCount val="53"/>
                      <c:pt idx="0">
                        <c:v>3.7943638869952147E-2</c:v>
                      </c:pt>
                      <c:pt idx="1">
                        <c:v>7.5887277739904294E-2</c:v>
                      </c:pt>
                      <c:pt idx="2">
                        <c:v>0.11383091660985645</c:v>
                      </c:pt>
                      <c:pt idx="3">
                        <c:v>0.15177455547980859</c:v>
                      </c:pt>
                      <c:pt idx="4">
                        <c:v>0.18971819434976073</c:v>
                      </c:pt>
                      <c:pt idx="5">
                        <c:v>0.22766183321971287</c:v>
                      </c:pt>
                      <c:pt idx="6">
                        <c:v>0.26560547208966501</c:v>
                      </c:pt>
                      <c:pt idx="7">
                        <c:v>0.30354911095961717</c:v>
                      </c:pt>
                      <c:pt idx="8">
                        <c:v>0.34149274982956934</c:v>
                      </c:pt>
                      <c:pt idx="9">
                        <c:v>0.37943638869952151</c:v>
                      </c:pt>
                      <c:pt idx="10">
                        <c:v>0.41738002756947368</c:v>
                      </c:pt>
                      <c:pt idx="11">
                        <c:v>0.45532366643942584</c:v>
                      </c:pt>
                      <c:pt idx="12">
                        <c:v>0.49326730530937801</c:v>
                      </c:pt>
                      <c:pt idx="13">
                        <c:v>0.53121094417933012</c:v>
                      </c:pt>
                      <c:pt idx="14">
                        <c:v>0.56915458304928224</c:v>
                      </c:pt>
                      <c:pt idx="15">
                        <c:v>0.60709822191923435</c:v>
                      </c:pt>
                      <c:pt idx="16">
                        <c:v>0.64504186078918646</c:v>
                      </c:pt>
                      <c:pt idx="17">
                        <c:v>0.68298549965913857</c:v>
                      </c:pt>
                      <c:pt idx="18">
                        <c:v>0.72092913852909069</c:v>
                      </c:pt>
                      <c:pt idx="19">
                        <c:v>0.7588727773990428</c:v>
                      </c:pt>
                      <c:pt idx="20">
                        <c:v>0.79681641626899491</c:v>
                      </c:pt>
                      <c:pt idx="21">
                        <c:v>0.83476005513894702</c:v>
                      </c:pt>
                      <c:pt idx="22">
                        <c:v>0.87270369400889913</c:v>
                      </c:pt>
                      <c:pt idx="23">
                        <c:v>0.91064733287885125</c:v>
                      </c:pt>
                      <c:pt idx="24">
                        <c:v>0.94859097174880336</c:v>
                      </c:pt>
                      <c:pt idx="25">
                        <c:v>0.98653461061875547</c:v>
                      </c:pt>
                      <c:pt idx="26">
                        <c:v>1.0244782494887077</c:v>
                      </c:pt>
                      <c:pt idx="27">
                        <c:v>1.0624218883586598</c:v>
                      </c:pt>
                      <c:pt idx="28">
                        <c:v>1.1003655272286119</c:v>
                      </c:pt>
                      <c:pt idx="29">
                        <c:v>1.138309166098564</c:v>
                      </c:pt>
                      <c:pt idx="30">
                        <c:v>1.1762528049685161</c:v>
                      </c:pt>
                      <c:pt idx="31">
                        <c:v>1.2141964438384683</c:v>
                      </c:pt>
                      <c:pt idx="32">
                        <c:v>1.2521400827084204</c:v>
                      </c:pt>
                      <c:pt idx="33">
                        <c:v>1.2900837215783725</c:v>
                      </c:pt>
                      <c:pt idx="34">
                        <c:v>1.3280273604483246</c:v>
                      </c:pt>
                      <c:pt idx="35">
                        <c:v>1.3659709993182767</c:v>
                      </c:pt>
                      <c:pt idx="36">
                        <c:v>1.4039146381882288</c:v>
                      </c:pt>
                      <c:pt idx="37">
                        <c:v>1.4418582770581809</c:v>
                      </c:pt>
                      <c:pt idx="38">
                        <c:v>1.479801915928133</c:v>
                      </c:pt>
                      <c:pt idx="39">
                        <c:v>1.5177455547980852</c:v>
                      </c:pt>
                      <c:pt idx="40">
                        <c:v>1.5556891936680373</c:v>
                      </c:pt>
                      <c:pt idx="41">
                        <c:v>1.5936328325379894</c:v>
                      </c:pt>
                      <c:pt idx="42">
                        <c:v>1.6315764714079415</c:v>
                      </c:pt>
                      <c:pt idx="43">
                        <c:v>1.6695201102778936</c:v>
                      </c:pt>
                      <c:pt idx="44">
                        <c:v>1.7074637491478457</c:v>
                      </c:pt>
                      <c:pt idx="45">
                        <c:v>1.7454073880177978</c:v>
                      </c:pt>
                      <c:pt idx="46">
                        <c:v>1.7833510268877499</c:v>
                      </c:pt>
                      <c:pt idx="47">
                        <c:v>1.821294665757702</c:v>
                      </c:pt>
                      <c:pt idx="48">
                        <c:v>1.8592383046276542</c:v>
                      </c:pt>
                      <c:pt idx="49">
                        <c:v>1.8971819434976063</c:v>
                      </c:pt>
                      <c:pt idx="50">
                        <c:v>1.9351255823675584</c:v>
                      </c:pt>
                      <c:pt idx="51">
                        <c:v>1.9730692212375105</c:v>
                      </c:pt>
                    </c:numCache>
                  </c:numRef>
                </c:val>
                <c:smooth val="0"/>
                <c:extLst>
                  <c:ext xmlns:c16="http://schemas.microsoft.com/office/drawing/2014/chart" uri="{C3380CC4-5D6E-409C-BE32-E72D297353CC}">
                    <c16:uniqueId val="{00000004-F2F6-4956-AD76-4A33AF319956}"/>
                  </c:ext>
                </c:extLst>
              </c15:ser>
            </c15:filteredLineSeries>
            <c15:filteredLineSeries>
              <c15:ser>
                <c:idx val="5"/>
                <c:order val="2"/>
                <c:tx>
                  <c:strRef>
                    <c:extLst xmlns:c15="http://schemas.microsoft.com/office/drawing/2012/chart">
                      <c:ext xmlns:c15="http://schemas.microsoft.com/office/drawing/2012/chart" uri="{02D57815-91ED-43cb-92C2-25804820EDAC}">
                        <c15:formulaRef>
                          <c15:sqref>'PBL OLD'!$CW$6:$CW$7</c15:sqref>
                        </c15:formulaRef>
                      </c:ext>
                    </c:extLst>
                    <c:strCache>
                      <c:ptCount val="2"/>
                      <c:pt idx="0">
                        <c:v>1st Percentile</c:v>
                      </c:pt>
                    </c:strCache>
                  </c:strRef>
                </c:tx>
                <c:spPr>
                  <a:ln w="28575" cap="rnd">
                    <a:solidFill>
                      <a:schemeClr val="accent6"/>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OLD'!$CW$8:$CW$60</c15:sqref>
                        </c15:formulaRef>
                      </c:ext>
                    </c:extLst>
                    <c:numCache>
                      <c:formatCode>0.000</c:formatCode>
                      <c:ptCount val="53"/>
                      <c:pt idx="0">
                        <c:v>4.5436313528305135E-2</c:v>
                      </c:pt>
                      <c:pt idx="1">
                        <c:v>9.087262705661027E-2</c:v>
                      </c:pt>
                      <c:pt idx="2">
                        <c:v>0.13630894058491541</c:v>
                      </c:pt>
                      <c:pt idx="3">
                        <c:v>0.18174525411322054</c:v>
                      </c:pt>
                      <c:pt idx="4">
                        <c:v>0.22718156764152567</c:v>
                      </c:pt>
                      <c:pt idx="5">
                        <c:v>0.27261788116983082</c:v>
                      </c:pt>
                      <c:pt idx="6">
                        <c:v>0.31805419469813595</c:v>
                      </c:pt>
                      <c:pt idx="7">
                        <c:v>0.36349050822644108</c:v>
                      </c:pt>
                      <c:pt idx="8">
                        <c:v>0.40892682175474621</c:v>
                      </c:pt>
                      <c:pt idx="9">
                        <c:v>0.45436313528305133</c:v>
                      </c:pt>
                      <c:pt idx="10">
                        <c:v>0.49979944881135646</c:v>
                      </c:pt>
                      <c:pt idx="11">
                        <c:v>0.54523576233966164</c:v>
                      </c:pt>
                      <c:pt idx="12">
                        <c:v>0.59067207586796677</c:v>
                      </c:pt>
                      <c:pt idx="13">
                        <c:v>0.6361083893962719</c:v>
                      </c:pt>
                      <c:pt idx="14">
                        <c:v>0.68154470292457703</c:v>
                      </c:pt>
                      <c:pt idx="15">
                        <c:v>0.72698101645288216</c:v>
                      </c:pt>
                      <c:pt idx="16">
                        <c:v>0.77241732998118728</c:v>
                      </c:pt>
                      <c:pt idx="17">
                        <c:v>0.81785364350949241</c:v>
                      </c:pt>
                      <c:pt idx="18">
                        <c:v>0.86328995703779754</c:v>
                      </c:pt>
                      <c:pt idx="19">
                        <c:v>0.90872627056610267</c:v>
                      </c:pt>
                      <c:pt idx="20">
                        <c:v>0.9541625840944078</c:v>
                      </c:pt>
                      <c:pt idx="21">
                        <c:v>0.99959889762271292</c:v>
                      </c:pt>
                      <c:pt idx="22">
                        <c:v>1.0450352111510182</c:v>
                      </c:pt>
                      <c:pt idx="23">
                        <c:v>1.0904715246793233</c:v>
                      </c:pt>
                      <c:pt idx="24">
                        <c:v>1.1359078382076284</c:v>
                      </c:pt>
                      <c:pt idx="25">
                        <c:v>1.1813441517359335</c:v>
                      </c:pt>
                      <c:pt idx="26">
                        <c:v>1.2267804652642387</c:v>
                      </c:pt>
                      <c:pt idx="27">
                        <c:v>1.2722167787925438</c:v>
                      </c:pt>
                      <c:pt idx="28">
                        <c:v>1.3176530923208489</c:v>
                      </c:pt>
                      <c:pt idx="29">
                        <c:v>1.3630894058491541</c:v>
                      </c:pt>
                      <c:pt idx="30">
                        <c:v>1.4085257193774592</c:v>
                      </c:pt>
                      <c:pt idx="31">
                        <c:v>1.4539620329057643</c:v>
                      </c:pt>
                      <c:pt idx="32">
                        <c:v>1.4993983464340694</c:v>
                      </c:pt>
                      <c:pt idx="33">
                        <c:v>1.5448346599623746</c:v>
                      </c:pt>
                      <c:pt idx="34">
                        <c:v>1.5902709734906797</c:v>
                      </c:pt>
                      <c:pt idx="35">
                        <c:v>1.6357072870189848</c:v>
                      </c:pt>
                      <c:pt idx="36">
                        <c:v>1.68114360054729</c:v>
                      </c:pt>
                      <c:pt idx="37">
                        <c:v>1.7265799140755951</c:v>
                      </c:pt>
                      <c:pt idx="38">
                        <c:v>1.7720162276039002</c:v>
                      </c:pt>
                      <c:pt idx="39">
                        <c:v>1.8174525411322053</c:v>
                      </c:pt>
                      <c:pt idx="40">
                        <c:v>1.8628888546605105</c:v>
                      </c:pt>
                      <c:pt idx="41">
                        <c:v>1.9083251681888156</c:v>
                      </c:pt>
                      <c:pt idx="42">
                        <c:v>1.9537614817171207</c:v>
                      </c:pt>
                      <c:pt idx="43">
                        <c:v>1.9991977952454258</c:v>
                      </c:pt>
                      <c:pt idx="44">
                        <c:v>2.0446341087737312</c:v>
                      </c:pt>
                      <c:pt idx="45">
                        <c:v>2.0900704223020363</c:v>
                      </c:pt>
                      <c:pt idx="46">
                        <c:v>2.1355067358303415</c:v>
                      </c:pt>
                      <c:pt idx="47">
                        <c:v>2.1809430493586466</c:v>
                      </c:pt>
                      <c:pt idx="48">
                        <c:v>2.2263793628869517</c:v>
                      </c:pt>
                      <c:pt idx="49">
                        <c:v>2.2718156764152568</c:v>
                      </c:pt>
                      <c:pt idx="50">
                        <c:v>2.317251989943562</c:v>
                      </c:pt>
                      <c:pt idx="51">
                        <c:v>2.3626883034718671</c:v>
                      </c:pt>
                    </c:numCache>
                  </c:numRef>
                </c:val>
                <c:smooth val="0"/>
                <c:extLst xmlns:c15="http://schemas.microsoft.com/office/drawing/2012/chart">
                  <c:ext xmlns:c16="http://schemas.microsoft.com/office/drawing/2014/chart" uri="{C3380CC4-5D6E-409C-BE32-E72D297353CC}">
                    <c16:uniqueId val="{00000005-F2F6-4956-AD76-4A33AF319956}"/>
                  </c:ext>
                </c:extLst>
              </c15:ser>
            </c15:filteredLineSeries>
            <c15:filteredLineSeries>
              <c15:ser>
                <c:idx val="7"/>
                <c:order val="3"/>
                <c:tx>
                  <c:strRef>
                    <c:extLst xmlns:c15="http://schemas.microsoft.com/office/drawing/2012/chart">
                      <c:ext xmlns:c15="http://schemas.microsoft.com/office/drawing/2012/chart" uri="{02D57815-91ED-43cb-92C2-25804820EDAC}">
                        <c15:formulaRef>
                          <c15:sqref>'PBL OLD'!$CX$6:$CX$7</c15:sqref>
                        </c15:formulaRef>
                      </c:ext>
                    </c:extLst>
                    <c:strCache>
                      <c:ptCount val="2"/>
                      <c:pt idx="0">
                        <c:v>5th Percentile</c:v>
                      </c:pt>
                    </c:strCache>
                  </c:strRef>
                </c:tx>
                <c:spPr>
                  <a:ln w="28575" cap="rnd">
                    <a:solidFill>
                      <a:schemeClr val="accent6"/>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OLD'!$CX$8:$CX$60</c15:sqref>
                        </c15:formulaRef>
                      </c:ext>
                    </c:extLst>
                    <c:numCache>
                      <c:formatCode>0.000</c:formatCode>
                      <c:ptCount val="53"/>
                      <c:pt idx="0">
                        <c:v>4.8416818848466985E-2</c:v>
                      </c:pt>
                      <c:pt idx="1">
                        <c:v>9.6833637696933969E-2</c:v>
                      </c:pt>
                      <c:pt idx="2">
                        <c:v>0.14525045654540095</c:v>
                      </c:pt>
                      <c:pt idx="3">
                        <c:v>0.19366727539386794</c:v>
                      </c:pt>
                      <c:pt idx="4">
                        <c:v>0.24208409424233493</c:v>
                      </c:pt>
                      <c:pt idx="5">
                        <c:v>0.29050091309080189</c:v>
                      </c:pt>
                      <c:pt idx="6">
                        <c:v>0.33891773193926888</c:v>
                      </c:pt>
                      <c:pt idx="7">
                        <c:v>0.38733455078773588</c:v>
                      </c:pt>
                      <c:pt idx="8">
                        <c:v>0.43575136963620287</c:v>
                      </c:pt>
                      <c:pt idx="9">
                        <c:v>0.48416818848466986</c:v>
                      </c:pt>
                      <c:pt idx="10">
                        <c:v>0.53258500733313685</c:v>
                      </c:pt>
                      <c:pt idx="11">
                        <c:v>0.58100182618160379</c:v>
                      </c:pt>
                      <c:pt idx="12">
                        <c:v>0.62941864503007072</c:v>
                      </c:pt>
                      <c:pt idx="13">
                        <c:v>0.67783546387853766</c:v>
                      </c:pt>
                      <c:pt idx="14">
                        <c:v>0.72625228272700459</c:v>
                      </c:pt>
                      <c:pt idx="15">
                        <c:v>0.77466910157547153</c:v>
                      </c:pt>
                      <c:pt idx="16">
                        <c:v>0.82308592042393847</c:v>
                      </c:pt>
                      <c:pt idx="17">
                        <c:v>0.8715027392724054</c:v>
                      </c:pt>
                      <c:pt idx="18">
                        <c:v>0.91991955812087234</c:v>
                      </c:pt>
                      <c:pt idx="19">
                        <c:v>0.96833637696933927</c:v>
                      </c:pt>
                      <c:pt idx="20">
                        <c:v>1.0167531958178062</c:v>
                      </c:pt>
                      <c:pt idx="21">
                        <c:v>1.0651700146662733</c:v>
                      </c:pt>
                      <c:pt idx="22">
                        <c:v>1.1135868335147403</c:v>
                      </c:pt>
                      <c:pt idx="23">
                        <c:v>1.1620036523632074</c:v>
                      </c:pt>
                      <c:pt idx="24">
                        <c:v>1.2104204712116744</c:v>
                      </c:pt>
                      <c:pt idx="25">
                        <c:v>1.2588372900601414</c:v>
                      </c:pt>
                      <c:pt idx="26">
                        <c:v>1.3072541089086085</c:v>
                      </c:pt>
                      <c:pt idx="27">
                        <c:v>1.3556709277570755</c:v>
                      </c:pt>
                      <c:pt idx="28">
                        <c:v>1.4040877466055426</c:v>
                      </c:pt>
                      <c:pt idx="29">
                        <c:v>1.4525045654540096</c:v>
                      </c:pt>
                      <c:pt idx="30">
                        <c:v>1.5009213843024767</c:v>
                      </c:pt>
                      <c:pt idx="31">
                        <c:v>1.5493382031509437</c:v>
                      </c:pt>
                      <c:pt idx="32">
                        <c:v>1.5977550219994108</c:v>
                      </c:pt>
                      <c:pt idx="33">
                        <c:v>1.6461718408478778</c:v>
                      </c:pt>
                      <c:pt idx="34">
                        <c:v>1.6945886596963449</c:v>
                      </c:pt>
                      <c:pt idx="35">
                        <c:v>1.7430054785448119</c:v>
                      </c:pt>
                      <c:pt idx="36">
                        <c:v>1.791422297393279</c:v>
                      </c:pt>
                      <c:pt idx="37">
                        <c:v>1.839839116241746</c:v>
                      </c:pt>
                      <c:pt idx="38">
                        <c:v>1.8882559350902131</c:v>
                      </c:pt>
                      <c:pt idx="39">
                        <c:v>1.9366727539386801</c:v>
                      </c:pt>
                      <c:pt idx="40">
                        <c:v>1.9850895727871471</c:v>
                      </c:pt>
                      <c:pt idx="41">
                        <c:v>2.0335063916356142</c:v>
                      </c:pt>
                      <c:pt idx="42">
                        <c:v>2.081923210484081</c:v>
                      </c:pt>
                      <c:pt idx="43">
                        <c:v>2.1303400293325478</c:v>
                      </c:pt>
                      <c:pt idx="44">
                        <c:v>2.1787568481810147</c:v>
                      </c:pt>
                      <c:pt idx="45">
                        <c:v>2.2271736670294815</c:v>
                      </c:pt>
                      <c:pt idx="46">
                        <c:v>2.2755904858779483</c:v>
                      </c:pt>
                      <c:pt idx="47">
                        <c:v>2.3240073047264151</c:v>
                      </c:pt>
                      <c:pt idx="48">
                        <c:v>2.372424123574882</c:v>
                      </c:pt>
                      <c:pt idx="49">
                        <c:v>2.4208409424233488</c:v>
                      </c:pt>
                      <c:pt idx="50">
                        <c:v>2.4692577612718156</c:v>
                      </c:pt>
                      <c:pt idx="51">
                        <c:v>2.5176745801202824</c:v>
                      </c:pt>
                    </c:numCache>
                  </c:numRef>
                </c:val>
                <c:smooth val="0"/>
                <c:extLst xmlns:c15="http://schemas.microsoft.com/office/drawing/2012/chart">
                  <c:ext xmlns:c16="http://schemas.microsoft.com/office/drawing/2014/chart" uri="{C3380CC4-5D6E-409C-BE32-E72D297353CC}">
                    <c16:uniqueId val="{00000006-F2F6-4956-AD76-4A33AF319956}"/>
                  </c:ext>
                </c:extLst>
              </c15:ser>
            </c15:filteredLineSeries>
            <c15:filteredLineSeries>
              <c15:ser>
                <c:idx val="1"/>
                <c:order val="4"/>
                <c:tx>
                  <c:strRef>
                    <c:extLst xmlns:c15="http://schemas.microsoft.com/office/drawing/2012/chart">
                      <c:ext xmlns:c15="http://schemas.microsoft.com/office/drawing/2012/chart" uri="{02D57815-91ED-43cb-92C2-25804820EDAC}">
                        <c15:formulaRef>
                          <c15:sqref>'PBL OLD'!$CY$6:$CY$7</c15:sqref>
                        </c15:formulaRef>
                      </c:ext>
                    </c:extLst>
                    <c:strCache>
                      <c:ptCount val="2"/>
                      <c:pt idx="0">
                        <c:v>10th Percentile</c:v>
                      </c:pt>
                    </c:strCache>
                  </c:strRef>
                </c:tx>
                <c:spPr>
                  <a:ln w="28575" cap="rnd" cmpd="sng">
                    <a:solidFill>
                      <a:schemeClr val="accent2"/>
                    </a:solidFill>
                    <a:prstDash val="sysDot"/>
                    <a:round/>
                    <a:headEnd type="none"/>
                  </a:ln>
                  <a:effectLst/>
                </c:spPr>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OLD'!$CY$8:$CY$60</c15:sqref>
                        </c15:formulaRef>
                      </c:ext>
                    </c:extLst>
                    <c:numCache>
                      <c:formatCode>0.000</c:formatCode>
                      <c:ptCount val="53"/>
                      <c:pt idx="0">
                        <c:v>5.0502007292025322E-2</c:v>
                      </c:pt>
                      <c:pt idx="1">
                        <c:v>0.10100401458405064</c:v>
                      </c:pt>
                      <c:pt idx="2">
                        <c:v>0.15150602187607598</c:v>
                      </c:pt>
                      <c:pt idx="3">
                        <c:v>0.20200802916810129</c:v>
                      </c:pt>
                      <c:pt idx="4">
                        <c:v>0.2525100364601266</c:v>
                      </c:pt>
                      <c:pt idx="5">
                        <c:v>0.30301204375215191</c:v>
                      </c:pt>
                      <c:pt idx="6">
                        <c:v>0.35351405104417721</c:v>
                      </c:pt>
                      <c:pt idx="7">
                        <c:v>0.40401605833620252</c:v>
                      </c:pt>
                      <c:pt idx="8">
                        <c:v>0.45451806562822783</c:v>
                      </c:pt>
                      <c:pt idx="9">
                        <c:v>0.50502007292025319</c:v>
                      </c:pt>
                      <c:pt idx="10">
                        <c:v>0.55552208021227856</c:v>
                      </c:pt>
                      <c:pt idx="11">
                        <c:v>0.60602408750430392</c:v>
                      </c:pt>
                      <c:pt idx="12">
                        <c:v>0.65652609479632928</c:v>
                      </c:pt>
                      <c:pt idx="13">
                        <c:v>0.70702810208835465</c:v>
                      </c:pt>
                      <c:pt idx="14">
                        <c:v>0.75753010938038001</c:v>
                      </c:pt>
                      <c:pt idx="15">
                        <c:v>0.80803211667240538</c:v>
                      </c:pt>
                      <c:pt idx="16">
                        <c:v>0.85853412396443074</c:v>
                      </c:pt>
                      <c:pt idx="17">
                        <c:v>0.9090361312564561</c:v>
                      </c:pt>
                      <c:pt idx="18">
                        <c:v>0.95953813854848147</c:v>
                      </c:pt>
                      <c:pt idx="19">
                        <c:v>1.0100401458405068</c:v>
                      </c:pt>
                      <c:pt idx="20">
                        <c:v>1.0605421531325321</c:v>
                      </c:pt>
                      <c:pt idx="21">
                        <c:v>1.1110441604245573</c:v>
                      </c:pt>
                      <c:pt idx="22">
                        <c:v>1.1615461677165826</c:v>
                      </c:pt>
                      <c:pt idx="23">
                        <c:v>1.2120481750086078</c:v>
                      </c:pt>
                      <c:pt idx="24">
                        <c:v>1.2625501823006331</c:v>
                      </c:pt>
                      <c:pt idx="25">
                        <c:v>1.3130521895926583</c:v>
                      </c:pt>
                      <c:pt idx="26">
                        <c:v>1.3635541968846836</c:v>
                      </c:pt>
                      <c:pt idx="27">
                        <c:v>1.4140562041767089</c:v>
                      </c:pt>
                      <c:pt idx="28">
                        <c:v>1.4645582114687341</c:v>
                      </c:pt>
                      <c:pt idx="29">
                        <c:v>1.5150602187607594</c:v>
                      </c:pt>
                      <c:pt idx="30">
                        <c:v>1.5655622260527846</c:v>
                      </c:pt>
                      <c:pt idx="31">
                        <c:v>1.6160642333448099</c:v>
                      </c:pt>
                      <c:pt idx="32">
                        <c:v>1.6665662406368351</c:v>
                      </c:pt>
                      <c:pt idx="33">
                        <c:v>1.7170682479288604</c:v>
                      </c:pt>
                      <c:pt idx="34">
                        <c:v>1.7675702552208856</c:v>
                      </c:pt>
                      <c:pt idx="35">
                        <c:v>1.8180722625129109</c:v>
                      </c:pt>
                      <c:pt idx="36">
                        <c:v>1.8685742698049361</c:v>
                      </c:pt>
                      <c:pt idx="37">
                        <c:v>1.9190762770969614</c:v>
                      </c:pt>
                      <c:pt idx="38">
                        <c:v>1.9695782843889866</c:v>
                      </c:pt>
                      <c:pt idx="39">
                        <c:v>2.0200802916810119</c:v>
                      </c:pt>
                      <c:pt idx="40">
                        <c:v>2.0705822989730374</c:v>
                      </c:pt>
                      <c:pt idx="41">
                        <c:v>2.1210843062650628</c:v>
                      </c:pt>
                      <c:pt idx="42">
                        <c:v>2.1715863135570883</c:v>
                      </c:pt>
                      <c:pt idx="43">
                        <c:v>2.2220883208491138</c:v>
                      </c:pt>
                      <c:pt idx="44">
                        <c:v>2.2725903281411393</c:v>
                      </c:pt>
                      <c:pt idx="45">
                        <c:v>2.3230923354331647</c:v>
                      </c:pt>
                      <c:pt idx="46">
                        <c:v>2.3735943427251902</c:v>
                      </c:pt>
                      <c:pt idx="47">
                        <c:v>2.4240963500172157</c:v>
                      </c:pt>
                      <c:pt idx="48">
                        <c:v>2.4745983573092412</c:v>
                      </c:pt>
                      <c:pt idx="49">
                        <c:v>2.5251003646012666</c:v>
                      </c:pt>
                      <c:pt idx="50">
                        <c:v>2.5756023718932921</c:v>
                      </c:pt>
                      <c:pt idx="51">
                        <c:v>2.6261043791853176</c:v>
                      </c:pt>
                    </c:numCache>
                  </c:numRef>
                </c:val>
                <c:smooth val="0"/>
                <c:extLst xmlns:c15="http://schemas.microsoft.com/office/drawing/2012/chart">
                  <c:ext xmlns:c16="http://schemas.microsoft.com/office/drawing/2014/chart" uri="{C3380CC4-5D6E-409C-BE32-E72D297353CC}">
                    <c16:uniqueId val="{00000007-F2F6-4956-AD76-4A33AF319956}"/>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'PBL OLD'!$DC$6:$DC$7</c15:sqref>
                        </c15:formulaRef>
                      </c:ext>
                    </c:extLst>
                    <c:strCache>
                      <c:ptCount val="2"/>
                      <c:pt idx="0">
                        <c:v>90th Percentile</c:v>
                      </c:pt>
                    </c:strCache>
                  </c:strRef>
                </c:tx>
                <c:spPr>
                  <a:ln w="28575">
                    <a:solidFill>
                      <a:schemeClr val="accent1"/>
                    </a:solidFill>
                    <a:prstDash val="sysDot"/>
                  </a:ln>
                </c:spPr>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OLD'!$DC$8:$DC$60</c15:sqref>
                        </c15:formulaRef>
                      </c:ext>
                    </c:extLst>
                    <c:numCache>
                      <c:formatCode>0.000</c:formatCode>
                      <c:ptCount val="53"/>
                      <c:pt idx="0">
                        <c:v>7.261484324723147E-2</c:v>
                      </c:pt>
                      <c:pt idx="1">
                        <c:v>0.14522968649446294</c:v>
                      </c:pt>
                      <c:pt idx="2">
                        <c:v>0.21784452974169441</c:v>
                      </c:pt>
                      <c:pt idx="3">
                        <c:v>0.29045937298892588</c:v>
                      </c:pt>
                      <c:pt idx="4">
                        <c:v>0.36307421623615732</c:v>
                      </c:pt>
                      <c:pt idx="5">
                        <c:v>0.43568905948338876</c:v>
                      </c:pt>
                      <c:pt idx="6">
                        <c:v>0.50830390273062021</c:v>
                      </c:pt>
                      <c:pt idx="7">
                        <c:v>0.58091874597785165</c:v>
                      </c:pt>
                      <c:pt idx="8">
                        <c:v>0.65353358922508309</c:v>
                      </c:pt>
                      <c:pt idx="9">
                        <c:v>0.72614843247231453</c:v>
                      </c:pt>
                      <c:pt idx="10">
                        <c:v>0.79876327571954597</c:v>
                      </c:pt>
                      <c:pt idx="11">
                        <c:v>0.87137811896677742</c:v>
                      </c:pt>
                      <c:pt idx="12">
                        <c:v>0.94399296221400886</c:v>
                      </c:pt>
                      <c:pt idx="13">
                        <c:v>1.0166078054612404</c:v>
                      </c:pt>
                      <c:pt idx="14">
                        <c:v>1.089222648708472</c:v>
                      </c:pt>
                      <c:pt idx="15">
                        <c:v>1.1618374919557035</c:v>
                      </c:pt>
                      <c:pt idx="16">
                        <c:v>1.2344523352029351</c:v>
                      </c:pt>
                      <c:pt idx="17">
                        <c:v>1.3070671784501666</c:v>
                      </c:pt>
                      <c:pt idx="18">
                        <c:v>1.3796820216973982</c:v>
                      </c:pt>
                      <c:pt idx="19">
                        <c:v>1.4522968649446297</c:v>
                      </c:pt>
                      <c:pt idx="20">
                        <c:v>1.5249117081918613</c:v>
                      </c:pt>
                      <c:pt idx="21">
                        <c:v>1.5975265514390928</c:v>
                      </c:pt>
                      <c:pt idx="22">
                        <c:v>1.6701413946863244</c:v>
                      </c:pt>
                      <c:pt idx="23">
                        <c:v>1.7427562379335559</c:v>
                      </c:pt>
                      <c:pt idx="24">
                        <c:v>1.8153710811807875</c:v>
                      </c:pt>
                      <c:pt idx="25">
                        <c:v>1.887985924428019</c:v>
                      </c:pt>
                      <c:pt idx="26">
                        <c:v>1.9606007676752506</c:v>
                      </c:pt>
                      <c:pt idx="27">
                        <c:v>2.0332156109224822</c:v>
                      </c:pt>
                      <c:pt idx="28">
                        <c:v>2.1058304541697135</c:v>
                      </c:pt>
                      <c:pt idx="29">
                        <c:v>2.1784452974169448</c:v>
                      </c:pt>
                      <c:pt idx="30">
                        <c:v>2.2510601406641761</c:v>
                      </c:pt>
                      <c:pt idx="31">
                        <c:v>2.3236749839114075</c:v>
                      </c:pt>
                      <c:pt idx="32">
                        <c:v>2.3962898271586388</c:v>
                      </c:pt>
                      <c:pt idx="33">
                        <c:v>2.4689046704058701</c:v>
                      </c:pt>
                      <c:pt idx="34">
                        <c:v>2.5415195136531015</c:v>
                      </c:pt>
                      <c:pt idx="35">
                        <c:v>2.6141343569003328</c:v>
                      </c:pt>
                      <c:pt idx="36">
                        <c:v>2.6867492001475641</c:v>
                      </c:pt>
                      <c:pt idx="37">
                        <c:v>2.7593640433947955</c:v>
                      </c:pt>
                      <c:pt idx="38">
                        <c:v>2.8319788866420268</c:v>
                      </c:pt>
                      <c:pt idx="39">
                        <c:v>2.9045937298892581</c:v>
                      </c:pt>
                      <c:pt idx="40">
                        <c:v>2.9772085731364895</c:v>
                      </c:pt>
                      <c:pt idx="41">
                        <c:v>3.0498234163837208</c:v>
                      </c:pt>
                      <c:pt idx="42">
                        <c:v>3.1224382596309521</c:v>
                      </c:pt>
                      <c:pt idx="43">
                        <c:v>3.1950531028781834</c:v>
                      </c:pt>
                      <c:pt idx="44">
                        <c:v>3.2676679461254148</c:v>
                      </c:pt>
                      <c:pt idx="45">
                        <c:v>3.3402827893726461</c:v>
                      </c:pt>
                      <c:pt idx="46">
                        <c:v>3.4128976326198774</c:v>
                      </c:pt>
                      <c:pt idx="47">
                        <c:v>3.4855124758671088</c:v>
                      </c:pt>
                      <c:pt idx="48">
                        <c:v>3.5581273191143401</c:v>
                      </c:pt>
                      <c:pt idx="49">
                        <c:v>3.6307421623615714</c:v>
                      </c:pt>
                      <c:pt idx="50">
                        <c:v>3.7033570056088028</c:v>
                      </c:pt>
                      <c:pt idx="51">
                        <c:v>3.7759718488560341</c:v>
                      </c:pt>
                    </c:numCache>
                  </c:numRef>
                </c:val>
                <c:smooth val="0"/>
                <c:extLst xmlns:c15="http://schemas.microsoft.com/office/drawing/2012/chart">
                  <c:ext xmlns:c16="http://schemas.microsoft.com/office/drawing/2014/chart" uri="{C3380CC4-5D6E-409C-BE32-E72D297353CC}">
                    <c16:uniqueId val="{00000008-F2F6-4956-AD76-4A33AF319956}"/>
                  </c:ext>
                </c:extLst>
              </c15:ser>
            </c15:filteredLineSeries>
            <c15:filteredLineSeries>
              <c15:ser>
                <c:idx val="9"/>
                <c:order val="9"/>
                <c:tx>
                  <c:strRef>
                    <c:extLst xmlns:c15="http://schemas.microsoft.com/office/drawing/2012/chart">
                      <c:ext xmlns:c15="http://schemas.microsoft.com/office/drawing/2012/chart" uri="{02D57815-91ED-43cb-92C2-25804820EDAC}">
                        <c15:formulaRef>
                          <c15:sqref>'PBL OLD'!$DD$6:$DD$7</c15:sqref>
                        </c15:formulaRef>
                      </c:ext>
                    </c:extLst>
                    <c:strCache>
                      <c:ptCount val="2"/>
                      <c:pt idx="0">
                        <c:v>95th Percentile</c:v>
                      </c:pt>
                    </c:strCache>
                  </c:strRef>
                </c:tx>
                <c:spPr>
                  <a:ln w="28575">
                    <a:solidFill>
                      <a:schemeClr val="accent1"/>
                    </a:solidFill>
                    <a:prstDash val="sysDot"/>
                  </a:ln>
                </c:spPr>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OLD'!$DD$8:$DD$60</c15:sqref>
                        </c15:formulaRef>
                      </c:ext>
                    </c:extLst>
                    <c:numCache>
                      <c:formatCode>0.000</c:formatCode>
                      <c:ptCount val="53"/>
                      <c:pt idx="0">
                        <c:v>7.643445292523153E-2</c:v>
                      </c:pt>
                      <c:pt idx="1">
                        <c:v>0.15286890585046306</c:v>
                      </c:pt>
                      <c:pt idx="2">
                        <c:v>0.22930335877569458</c:v>
                      </c:pt>
                      <c:pt idx="3">
                        <c:v>0.30573781170092612</c:v>
                      </c:pt>
                      <c:pt idx="4">
                        <c:v>0.38217226462615767</c:v>
                      </c:pt>
                      <c:pt idx="5">
                        <c:v>0.45860671755138921</c:v>
                      </c:pt>
                      <c:pt idx="6">
                        <c:v>0.5350411704766207</c:v>
                      </c:pt>
                      <c:pt idx="7">
                        <c:v>0.61147562340185224</c:v>
                      </c:pt>
                      <c:pt idx="8">
                        <c:v>0.68791007632708379</c:v>
                      </c:pt>
                      <c:pt idx="9">
                        <c:v>0.76434452925231533</c:v>
                      </c:pt>
                      <c:pt idx="10">
                        <c:v>0.84077898217754687</c:v>
                      </c:pt>
                      <c:pt idx="11">
                        <c:v>0.91721343510277842</c:v>
                      </c:pt>
                      <c:pt idx="12">
                        <c:v>0.99364788802800996</c:v>
                      </c:pt>
                      <c:pt idx="13">
                        <c:v>1.0700823409532414</c:v>
                      </c:pt>
                      <c:pt idx="14">
                        <c:v>1.1465167938784728</c:v>
                      </c:pt>
                      <c:pt idx="15">
                        <c:v>1.2229512468037043</c:v>
                      </c:pt>
                      <c:pt idx="16">
                        <c:v>1.2993856997289357</c:v>
                      </c:pt>
                      <c:pt idx="17">
                        <c:v>1.3758201526541671</c:v>
                      </c:pt>
                      <c:pt idx="18">
                        <c:v>1.4522546055793986</c:v>
                      </c:pt>
                      <c:pt idx="19">
                        <c:v>1.52868905850463</c:v>
                      </c:pt>
                      <c:pt idx="20">
                        <c:v>1.6051235114298614</c:v>
                      </c:pt>
                      <c:pt idx="21">
                        <c:v>1.6815579643550929</c:v>
                      </c:pt>
                      <c:pt idx="22">
                        <c:v>1.7579924172803243</c:v>
                      </c:pt>
                      <c:pt idx="23">
                        <c:v>1.8344268702055557</c:v>
                      </c:pt>
                      <c:pt idx="24">
                        <c:v>1.9108613231307872</c:v>
                      </c:pt>
                      <c:pt idx="25">
                        <c:v>1.9872957760560186</c:v>
                      </c:pt>
                      <c:pt idx="26">
                        <c:v>2.06373022898125</c:v>
                      </c:pt>
                      <c:pt idx="27">
                        <c:v>2.1401646819064815</c:v>
                      </c:pt>
                      <c:pt idx="28">
                        <c:v>2.2165991348317129</c:v>
                      </c:pt>
                      <c:pt idx="29">
                        <c:v>2.2930335877569443</c:v>
                      </c:pt>
                      <c:pt idx="30">
                        <c:v>2.3694680406821758</c:v>
                      </c:pt>
                      <c:pt idx="31">
                        <c:v>2.4459024936074072</c:v>
                      </c:pt>
                      <c:pt idx="32">
                        <c:v>2.5223369465326386</c:v>
                      </c:pt>
                      <c:pt idx="33">
                        <c:v>2.5987713994578701</c:v>
                      </c:pt>
                      <c:pt idx="34">
                        <c:v>2.6752058523831015</c:v>
                      </c:pt>
                      <c:pt idx="35">
                        <c:v>2.7516403053083329</c:v>
                      </c:pt>
                      <c:pt idx="36">
                        <c:v>2.8280747582335644</c:v>
                      </c:pt>
                      <c:pt idx="37">
                        <c:v>2.9045092111587958</c:v>
                      </c:pt>
                      <c:pt idx="38">
                        <c:v>2.9809436640840272</c:v>
                      </c:pt>
                      <c:pt idx="39">
                        <c:v>3.0573781170092587</c:v>
                      </c:pt>
                      <c:pt idx="40">
                        <c:v>3.1338125699344901</c:v>
                      </c:pt>
                      <c:pt idx="41">
                        <c:v>3.2102470228597215</c:v>
                      </c:pt>
                      <c:pt idx="42">
                        <c:v>3.286681475784953</c:v>
                      </c:pt>
                      <c:pt idx="43">
                        <c:v>3.3631159287101844</c:v>
                      </c:pt>
                      <c:pt idx="44">
                        <c:v>3.4395503816354158</c:v>
                      </c:pt>
                      <c:pt idx="45">
                        <c:v>3.5159848345606473</c:v>
                      </c:pt>
                      <c:pt idx="46">
                        <c:v>3.5924192874858787</c:v>
                      </c:pt>
                      <c:pt idx="47">
                        <c:v>3.6688537404111101</c:v>
                      </c:pt>
                      <c:pt idx="48">
                        <c:v>3.7452881933363416</c:v>
                      </c:pt>
                      <c:pt idx="49">
                        <c:v>3.821722646261573</c:v>
                      </c:pt>
                      <c:pt idx="50">
                        <c:v>3.8981570991868044</c:v>
                      </c:pt>
                      <c:pt idx="51">
                        <c:v>3.9745915521120359</c:v>
                      </c:pt>
                    </c:numCache>
                  </c:numRef>
                </c:val>
                <c:smooth val="0"/>
                <c:extLst xmlns:c15="http://schemas.microsoft.com/office/drawing/2012/chart">
                  <c:ext xmlns:c16="http://schemas.microsoft.com/office/drawing/2014/chart" uri="{C3380CC4-5D6E-409C-BE32-E72D297353CC}">
                    <c16:uniqueId val="{00000009-F2F6-4956-AD76-4A33AF319956}"/>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'PBL OLD'!$DE$6:$DE$7</c15:sqref>
                        </c15:formulaRef>
                      </c:ext>
                    </c:extLst>
                    <c:strCache>
                      <c:ptCount val="2"/>
                      <c:pt idx="0">
                        <c:v>99th Percentile</c:v>
                      </c:pt>
                    </c:strCache>
                  </c:strRef>
                </c:tx>
                <c:spPr>
                  <a:ln w="28575">
                    <a:solidFill>
                      <a:schemeClr val="accent1"/>
                    </a:solidFill>
                    <a:prstDash val="sysDot"/>
                  </a:ln>
                </c:spPr>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OLD'!$DE$8:$DE$60</c15:sqref>
                        </c15:formulaRef>
                      </c:ext>
                    </c:extLst>
                    <c:numCache>
                      <c:formatCode>0.000</c:formatCode>
                      <c:ptCount val="53"/>
                      <c:pt idx="0">
                        <c:v>8.472863847550996E-2</c:v>
                      </c:pt>
                      <c:pt idx="1">
                        <c:v>0.16945727695101992</c:v>
                      </c:pt>
                      <c:pt idx="2">
                        <c:v>0.25418591542652991</c:v>
                      </c:pt>
                      <c:pt idx="3">
                        <c:v>0.33891455390203984</c:v>
                      </c:pt>
                      <c:pt idx="4">
                        <c:v>0.42364319237754977</c:v>
                      </c:pt>
                      <c:pt idx="5">
                        <c:v>0.5083718308530597</c:v>
                      </c:pt>
                      <c:pt idx="6">
                        <c:v>0.59310046932856963</c:v>
                      </c:pt>
                      <c:pt idx="7">
                        <c:v>0.67782910780407957</c:v>
                      </c:pt>
                      <c:pt idx="8">
                        <c:v>0.7625577462795895</c:v>
                      </c:pt>
                      <c:pt idx="9">
                        <c:v>0.84728638475509943</c:v>
                      </c:pt>
                      <c:pt idx="10">
                        <c:v>0.93201502323060936</c:v>
                      </c:pt>
                      <c:pt idx="11">
                        <c:v>1.0167436617061194</c:v>
                      </c:pt>
                      <c:pt idx="12">
                        <c:v>1.1014723001816293</c:v>
                      </c:pt>
                      <c:pt idx="13">
                        <c:v>1.1862009386571393</c:v>
                      </c:pt>
                      <c:pt idx="14">
                        <c:v>1.2709295771326492</c:v>
                      </c:pt>
                      <c:pt idx="15">
                        <c:v>1.3556582156081591</c:v>
                      </c:pt>
                      <c:pt idx="16">
                        <c:v>1.4403868540836691</c:v>
                      </c:pt>
                      <c:pt idx="17">
                        <c:v>1.525115492559179</c:v>
                      </c:pt>
                      <c:pt idx="18">
                        <c:v>1.6098441310346889</c:v>
                      </c:pt>
                      <c:pt idx="19">
                        <c:v>1.6945727695101989</c:v>
                      </c:pt>
                      <c:pt idx="20">
                        <c:v>1.7793014079857088</c:v>
                      </c:pt>
                      <c:pt idx="21">
                        <c:v>1.8640300464612187</c:v>
                      </c:pt>
                      <c:pt idx="22">
                        <c:v>1.9487586849367287</c:v>
                      </c:pt>
                      <c:pt idx="23">
                        <c:v>2.0334873234122388</c:v>
                      </c:pt>
                      <c:pt idx="24">
                        <c:v>2.1182159618877487</c:v>
                      </c:pt>
                      <c:pt idx="25">
                        <c:v>2.2029446003632587</c:v>
                      </c:pt>
                      <c:pt idx="26">
                        <c:v>2.2876732388387686</c:v>
                      </c:pt>
                      <c:pt idx="27">
                        <c:v>2.3724018773142785</c:v>
                      </c:pt>
                      <c:pt idx="28">
                        <c:v>2.4571305157897885</c:v>
                      </c:pt>
                      <c:pt idx="29">
                        <c:v>2.5418591542652984</c:v>
                      </c:pt>
                      <c:pt idx="30">
                        <c:v>2.6265877927408083</c:v>
                      </c:pt>
                      <c:pt idx="31">
                        <c:v>2.7113164312163183</c:v>
                      </c:pt>
                      <c:pt idx="32">
                        <c:v>2.7960450696918282</c:v>
                      </c:pt>
                      <c:pt idx="33">
                        <c:v>2.8807737081673381</c:v>
                      </c:pt>
                      <c:pt idx="34">
                        <c:v>2.9655023466428481</c:v>
                      </c:pt>
                      <c:pt idx="35">
                        <c:v>3.050230985118358</c:v>
                      </c:pt>
                      <c:pt idx="36">
                        <c:v>3.1349596235938679</c:v>
                      </c:pt>
                      <c:pt idx="37">
                        <c:v>3.2196882620693779</c:v>
                      </c:pt>
                      <c:pt idx="38">
                        <c:v>3.3044169005448878</c:v>
                      </c:pt>
                      <c:pt idx="39">
                        <c:v>3.3891455390203977</c:v>
                      </c:pt>
                      <c:pt idx="40">
                        <c:v>3.4738741774959077</c:v>
                      </c:pt>
                      <c:pt idx="41">
                        <c:v>3.5586028159714176</c:v>
                      </c:pt>
                      <c:pt idx="42">
                        <c:v>3.6433314544469275</c:v>
                      </c:pt>
                      <c:pt idx="43">
                        <c:v>3.7280600929224375</c:v>
                      </c:pt>
                      <c:pt idx="44">
                        <c:v>3.8127887313979474</c:v>
                      </c:pt>
                      <c:pt idx="45">
                        <c:v>3.8975173698734573</c:v>
                      </c:pt>
                      <c:pt idx="46">
                        <c:v>3.9822460083489672</c:v>
                      </c:pt>
                      <c:pt idx="47">
                        <c:v>4.0669746468244776</c:v>
                      </c:pt>
                      <c:pt idx="48">
                        <c:v>4.1517032852999876</c:v>
                      </c:pt>
                      <c:pt idx="49">
                        <c:v>4.2364319237754975</c:v>
                      </c:pt>
                      <c:pt idx="50">
                        <c:v>4.3211605622510074</c:v>
                      </c:pt>
                      <c:pt idx="51">
                        <c:v>4.4058892007265174</c:v>
                      </c:pt>
                    </c:numCache>
                  </c:numRef>
                </c:val>
                <c:smooth val="0"/>
                <c:extLst xmlns:c15="http://schemas.microsoft.com/office/drawing/2012/chart">
                  <c:ext xmlns:c16="http://schemas.microsoft.com/office/drawing/2014/chart" uri="{C3380CC4-5D6E-409C-BE32-E72D297353CC}">
                    <c16:uniqueId val="{0000000A-F2F6-4956-AD76-4A33AF319956}"/>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'PBL OLD'!$DF$6:$DF$7</c15:sqref>
                        </c15:formulaRef>
                      </c:ext>
                    </c:extLst>
                    <c:strCache>
                      <c:ptCount val="2"/>
                      <c:pt idx="0">
                        <c:v>Max</c:v>
                      </c:pt>
                    </c:strCache>
                  </c:strRef>
                </c:tx>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OLD'!$DF$8:$DF$60</c15:sqref>
                        </c15:formulaRef>
                      </c:ext>
                    </c:extLst>
                    <c:numCache>
                      <c:formatCode>0.000</c:formatCode>
                      <c:ptCount val="53"/>
                      <c:pt idx="0">
                        <c:v>0.10288241710741779</c:v>
                      </c:pt>
                      <c:pt idx="1">
                        <c:v>0.20576483421483557</c:v>
                      </c:pt>
                      <c:pt idx="2">
                        <c:v>0.30864725132225335</c:v>
                      </c:pt>
                      <c:pt idx="3">
                        <c:v>0.41152966842967115</c:v>
                      </c:pt>
                      <c:pt idx="4">
                        <c:v>0.51441208553708895</c:v>
                      </c:pt>
                      <c:pt idx="5">
                        <c:v>0.61729450264450669</c:v>
                      </c:pt>
                      <c:pt idx="6">
                        <c:v>0.72017691975192444</c:v>
                      </c:pt>
                      <c:pt idx="7">
                        <c:v>0.82305933685934218</c:v>
                      </c:pt>
                      <c:pt idx="8">
                        <c:v>0.92594175396675993</c:v>
                      </c:pt>
                      <c:pt idx="9">
                        <c:v>1.0288241710741777</c:v>
                      </c:pt>
                      <c:pt idx="10">
                        <c:v>1.1317065881815955</c:v>
                      </c:pt>
                      <c:pt idx="11">
                        <c:v>1.2345890052890134</c:v>
                      </c:pt>
                      <c:pt idx="12">
                        <c:v>1.3374714223964312</c:v>
                      </c:pt>
                      <c:pt idx="13">
                        <c:v>1.4403538395038491</c:v>
                      </c:pt>
                      <c:pt idx="14">
                        <c:v>1.543236256611267</c:v>
                      </c:pt>
                      <c:pt idx="15">
                        <c:v>1.6461186737186848</c:v>
                      </c:pt>
                      <c:pt idx="16">
                        <c:v>1.7490010908261027</c:v>
                      </c:pt>
                      <c:pt idx="17">
                        <c:v>1.8518835079335205</c:v>
                      </c:pt>
                      <c:pt idx="18">
                        <c:v>1.9547659250409384</c:v>
                      </c:pt>
                      <c:pt idx="19">
                        <c:v>2.0576483421483562</c:v>
                      </c:pt>
                      <c:pt idx="20">
                        <c:v>2.1605307592557739</c:v>
                      </c:pt>
                      <c:pt idx="21">
                        <c:v>2.2634131763631915</c:v>
                      </c:pt>
                      <c:pt idx="22">
                        <c:v>2.3662955934706091</c:v>
                      </c:pt>
                      <c:pt idx="23">
                        <c:v>2.4691780105780268</c:v>
                      </c:pt>
                      <c:pt idx="24">
                        <c:v>2.5720604276854444</c:v>
                      </c:pt>
                      <c:pt idx="25">
                        <c:v>2.674942844792862</c:v>
                      </c:pt>
                      <c:pt idx="26">
                        <c:v>2.7778252619002797</c:v>
                      </c:pt>
                      <c:pt idx="27">
                        <c:v>2.8807076790076973</c:v>
                      </c:pt>
                      <c:pt idx="28">
                        <c:v>2.9835900961151149</c:v>
                      </c:pt>
                      <c:pt idx="29">
                        <c:v>3.0864725132225326</c:v>
                      </c:pt>
                      <c:pt idx="30">
                        <c:v>3.1893549303299502</c:v>
                      </c:pt>
                      <c:pt idx="31">
                        <c:v>3.2922373474373678</c:v>
                      </c:pt>
                      <c:pt idx="32">
                        <c:v>3.3951197645447855</c:v>
                      </c:pt>
                      <c:pt idx="33">
                        <c:v>3.4980021816522031</c:v>
                      </c:pt>
                      <c:pt idx="34">
                        <c:v>3.6008845987596207</c:v>
                      </c:pt>
                      <c:pt idx="35">
                        <c:v>3.7037670158670384</c:v>
                      </c:pt>
                      <c:pt idx="36">
                        <c:v>3.806649432974456</c:v>
                      </c:pt>
                      <c:pt idx="37">
                        <c:v>3.9095318500818736</c:v>
                      </c:pt>
                      <c:pt idx="38">
                        <c:v>4.0124142671892917</c:v>
                      </c:pt>
                      <c:pt idx="39">
                        <c:v>4.1152966842967098</c:v>
                      </c:pt>
                      <c:pt idx="40">
                        <c:v>4.2181791014041279</c:v>
                      </c:pt>
                      <c:pt idx="41">
                        <c:v>4.321061518511546</c:v>
                      </c:pt>
                      <c:pt idx="42">
                        <c:v>4.423943935618964</c:v>
                      </c:pt>
                      <c:pt idx="43">
                        <c:v>4.5268263527263821</c:v>
                      </c:pt>
                      <c:pt idx="44">
                        <c:v>4.6297087698338002</c:v>
                      </c:pt>
                      <c:pt idx="45">
                        <c:v>4.7325911869412183</c:v>
                      </c:pt>
                      <c:pt idx="46">
                        <c:v>4.8354736040486364</c:v>
                      </c:pt>
                      <c:pt idx="47">
                        <c:v>4.9383560211560544</c:v>
                      </c:pt>
                      <c:pt idx="48">
                        <c:v>5.0412384382634725</c:v>
                      </c:pt>
                      <c:pt idx="49">
                        <c:v>5.1441208553708906</c:v>
                      </c:pt>
                      <c:pt idx="50">
                        <c:v>5.2470032724783087</c:v>
                      </c:pt>
                      <c:pt idx="51">
                        <c:v>5.3498856895857267</c:v>
                      </c:pt>
                    </c:numCache>
                  </c:numRef>
                </c:val>
                <c:smooth val="0"/>
                <c:extLst xmlns:c15="http://schemas.microsoft.com/office/drawing/2012/chart">
                  <c:ext xmlns:c16="http://schemas.microsoft.com/office/drawing/2014/chart" uri="{C3380CC4-5D6E-409C-BE32-E72D297353CC}">
                    <c16:uniqueId val="{0000000B-F2F6-4956-AD76-4A33AF319956}"/>
                  </c:ext>
                </c:extLst>
              </c15:ser>
            </c15:filteredLineSeries>
          </c:ext>
        </c:extLst>
      </c:lineChart>
      <c:dateAx>
        <c:axId val="1388952432"/>
        <c:scaling>
          <c:orientation val="minMax"/>
        </c:scaling>
        <c:delete val="0"/>
        <c:axPos val="b"/>
        <c:numFmt formatCode="mmm\-yy_);\(###0\);&quot;-  &quot;;&quot; &quot;@&quot; &quot;" sourceLinked="0"/>
        <c:majorTickMark val="none"/>
        <c:minorTickMark val="none"/>
        <c:tickLblPos val="nextTo"/>
        <c:spPr>
          <a:noFill/>
          <a:ln w="9525" cap="flat" cmpd="sng" algn="ctr">
            <a:noFill/>
            <a:round/>
          </a:ln>
          <a:effectLst/>
        </c:spPr>
        <c:txPr>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3088"/>
        <c:crosses val="autoZero"/>
        <c:auto val="1"/>
        <c:lblOffset val="100"/>
        <c:baseTimeUnit val="days"/>
        <c:majorUnit val="1"/>
        <c:majorTimeUnit val="months"/>
      </c:dateAx>
      <c:valAx>
        <c:axId val="13889530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2432"/>
        <c:crosses val="autoZero"/>
        <c:crossBetween val="between"/>
      </c:valAx>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orientation="portrait"/>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'PBL OLD'!$CU$6:$CU$7</c:f>
              <c:strCache>
                <c:ptCount val="2"/>
                <c:pt idx="0">
                  <c:v>Actual</c:v>
                </c:pt>
              </c:strCache>
            </c:strRef>
          </c:tx>
          <c:spPr>
            <a:ln w="28575" cap="rnd">
              <a:solidFill>
                <a:schemeClr val="tx2"/>
              </a:solidFill>
              <a:round/>
            </a:ln>
            <a:effectLst/>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OLD'!$CU$8:$CU$60</c:f>
              <c:numCache>
                <c:formatCode>0.000</c:formatCode>
                <c:ptCount val="53"/>
                <c:pt idx="0">
                  <c:v>2.4383432684147156E-2</c:v>
                </c:pt>
                <c:pt idx="1">
                  <c:v>5.7456335077458197E-2</c:v>
                </c:pt>
                <c:pt idx="2">
                  <c:v>8.2897301732709039E-2</c:v>
                </c:pt>
                <c:pt idx="3">
                  <c:v>0.10634933406608696</c:v>
                </c:pt>
                <c:pt idx="4">
                  <c:v>0.13586762292789298</c:v>
                </c:pt>
                <c:pt idx="5">
                  <c:v>0.18374004427397994</c:v>
                </c:pt>
                <c:pt idx="6">
                  <c:v>0.20803473319331103</c:v>
                </c:pt>
                <c:pt idx="7">
                  <c:v>0.23891877923157193</c:v>
                </c:pt>
                <c:pt idx="8">
                  <c:v>0.28713984685163879</c:v>
                </c:pt>
                <c:pt idx="9">
                  <c:v>0.3616614278523077</c:v>
                </c:pt>
                <c:pt idx="10">
                  <c:v>0.392004627321204</c:v>
                </c:pt>
                <c:pt idx="11">
                  <c:v>0.41949779873926418</c:v>
                </c:pt>
                <c:pt idx="12">
                  <c:v>0.46306182742073576</c:v>
                </c:pt>
                <c:pt idx="13">
                  <c:v>0.52060037325672237</c:v>
                </c:pt>
                <c:pt idx="14">
                  <c:v>0.6148648724923077</c:v>
                </c:pt>
                <c:pt idx="15">
                  <c:v>0.83700126369498329</c:v>
                </c:pt>
                <c:pt idx="16">
                  <c:v>1.1825944978628762</c:v>
                </c:pt>
                <c:pt idx="17">
                  <c:v>1.2153577144507022</c:v>
                </c:pt>
                <c:pt idx="18">
                  <c:v>1.2691323901694982</c:v>
                </c:pt>
                <c:pt idx="19">
                  <c:v>1.3310424487488961</c:v>
                </c:pt>
                <c:pt idx="20">
                  <c:v>1.4175102073723076</c:v>
                </c:pt>
                <c:pt idx="21">
                  <c:v>1.4481012105839461</c:v>
                </c:pt>
                <c:pt idx="22">
                  <c:v>1.4946211055890297</c:v>
                </c:pt>
                <c:pt idx="23">
                  <c:v>1.5554005903488961</c:v>
                </c:pt>
                <c:pt idx="24">
                  <c:v>1.6472886013460868</c:v>
                </c:pt>
                <c:pt idx="25">
                  <c:v>1.8141838940449495</c:v>
                </c:pt>
                <c:pt idx="26">
                  <c:v>1.8392503831253511</c:v>
                </c:pt>
                <c:pt idx="27">
                  <c:v>1.866157764302341</c:v>
                </c:pt>
                <c:pt idx="28">
                  <c:v>1.9009749529614712</c:v>
                </c:pt>
                <c:pt idx="29">
                  <c:v>1.9519053104066888</c:v>
                </c:pt>
                <c:pt idx="30">
                  <c:v>2.0244714168671569</c:v>
                </c:pt>
                <c:pt idx="31">
                  <c:v>2.0488217174971233</c:v>
                </c:pt>
                <c:pt idx="32">
                  <c:v>2.0819389554734444</c:v>
                </c:pt>
                <c:pt idx="33">
                  <c:v>2.135068076795986</c:v>
                </c:pt>
                <c:pt idx="34">
                  <c:v>2.2086620296321069</c:v>
                </c:pt>
                <c:pt idx="35">
                  <c:v>2.2340468803692306</c:v>
                </c:pt>
                <c:pt idx="36">
                  <c:v>2.2608009917649499</c:v>
                </c:pt>
                <c:pt idx="37">
                  <c:v>2.2922285879399333</c:v>
                </c:pt>
                <c:pt idx="38">
                  <c:v>2.3232771205685618</c:v>
                </c:pt>
                <c:pt idx="39">
                  <c:v>2.3730794774674249</c:v>
                </c:pt>
                <c:pt idx="40">
                  <c:v>2.4331034888271574</c:v>
                </c:pt>
                <c:pt idx="41">
                  <c:v>2.459481893485485</c:v>
                </c:pt>
                <c:pt idx="42">
                  <c:v>2.4922966782375924</c:v>
                </c:pt>
                <c:pt idx="43">
                  <c:v>2.5430290760305017</c:v>
                </c:pt>
                <c:pt idx="44">
                  <c:v>2.5665048546627425</c:v>
                </c:pt>
                <c:pt idx="45">
                  <c:v>2.5900549864143145</c:v>
                </c:pt>
                <c:pt idx="46">
                  <c:v>2.6316794518334712</c:v>
                </c:pt>
                <c:pt idx="47">
                  <c:v>2.6865530592113069</c:v>
                </c:pt>
                <c:pt idx="48">
                  <c:v>2.7625586865996037</c:v>
                </c:pt>
                <c:pt idx="49">
                  <c:v>2.8807855607703785</c:v>
                </c:pt>
                <c:pt idx="50">
                  <c:v>3.1087288440336671</c:v>
                </c:pt>
                <c:pt idx="51">
                  <c:v>3.1350399566342553</c:v>
                </c:pt>
              </c:numCache>
            </c:numRef>
          </c:val>
          <c:smooth val="0"/>
          <c:extLst>
            <c:ext xmlns:c16="http://schemas.microsoft.com/office/drawing/2014/chart" uri="{C3380CC4-5D6E-409C-BE32-E72D297353CC}">
              <c16:uniqueId val="{00000000-7B7A-4708-B9B0-C60FAE8CAAF6}"/>
            </c:ext>
          </c:extLst>
        </c:ser>
        <c:ser>
          <c:idx val="7"/>
          <c:order val="3"/>
          <c:tx>
            <c:strRef>
              <c:f>'PBL OLD'!$CX$6:$CX$7</c:f>
              <c:strCache>
                <c:ptCount val="2"/>
                <c:pt idx="0">
                  <c:v>5th Percentile</c:v>
                </c:pt>
              </c:strCache>
            </c:strRef>
          </c:tx>
          <c:spPr>
            <a:ln w="28575" cap="rnd">
              <a:solidFill>
                <a:schemeClr val="bg2"/>
              </a:solidFill>
              <a:prstDash val="sysDot"/>
              <a:round/>
            </a:ln>
            <a:effectLst/>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OLD'!$CX$8:$CX$60</c:f>
              <c:numCache>
                <c:formatCode>0.000</c:formatCode>
                <c:ptCount val="53"/>
                <c:pt idx="0">
                  <c:v>4.8416818848466985E-2</c:v>
                </c:pt>
                <c:pt idx="1">
                  <c:v>9.6833637696933969E-2</c:v>
                </c:pt>
                <c:pt idx="2">
                  <c:v>0.14525045654540095</c:v>
                </c:pt>
                <c:pt idx="3">
                  <c:v>0.19366727539386794</c:v>
                </c:pt>
                <c:pt idx="4">
                  <c:v>0.24208409424233493</c:v>
                </c:pt>
                <c:pt idx="5">
                  <c:v>0.29050091309080189</c:v>
                </c:pt>
                <c:pt idx="6">
                  <c:v>0.33891773193926888</c:v>
                </c:pt>
                <c:pt idx="7">
                  <c:v>0.38733455078773588</c:v>
                </c:pt>
                <c:pt idx="8">
                  <c:v>0.43575136963620287</c:v>
                </c:pt>
                <c:pt idx="9">
                  <c:v>0.48416818848466986</c:v>
                </c:pt>
                <c:pt idx="10">
                  <c:v>0.53258500733313685</c:v>
                </c:pt>
                <c:pt idx="11">
                  <c:v>0.58100182618160379</c:v>
                </c:pt>
                <c:pt idx="12">
                  <c:v>0.62941864503007072</c:v>
                </c:pt>
                <c:pt idx="13">
                  <c:v>0.67783546387853766</c:v>
                </c:pt>
                <c:pt idx="14">
                  <c:v>0.72625228272700459</c:v>
                </c:pt>
                <c:pt idx="15">
                  <c:v>0.77466910157547153</c:v>
                </c:pt>
                <c:pt idx="16">
                  <c:v>0.82308592042393847</c:v>
                </c:pt>
                <c:pt idx="17">
                  <c:v>0.8715027392724054</c:v>
                </c:pt>
                <c:pt idx="18">
                  <c:v>0.91991955812087234</c:v>
                </c:pt>
                <c:pt idx="19">
                  <c:v>0.96833637696933927</c:v>
                </c:pt>
                <c:pt idx="20">
                  <c:v>1.0167531958178062</c:v>
                </c:pt>
                <c:pt idx="21">
                  <c:v>1.0651700146662733</c:v>
                </c:pt>
                <c:pt idx="22">
                  <c:v>1.1135868335147403</c:v>
                </c:pt>
                <c:pt idx="23">
                  <c:v>1.1620036523632074</c:v>
                </c:pt>
                <c:pt idx="24">
                  <c:v>1.2104204712116744</c:v>
                </c:pt>
                <c:pt idx="25">
                  <c:v>1.2588372900601414</c:v>
                </c:pt>
                <c:pt idx="26">
                  <c:v>1.3072541089086085</c:v>
                </c:pt>
                <c:pt idx="27">
                  <c:v>1.3556709277570755</c:v>
                </c:pt>
                <c:pt idx="28">
                  <c:v>1.4040877466055426</c:v>
                </c:pt>
                <c:pt idx="29">
                  <c:v>1.4525045654540096</c:v>
                </c:pt>
                <c:pt idx="30">
                  <c:v>1.5009213843024767</c:v>
                </c:pt>
                <c:pt idx="31">
                  <c:v>1.5493382031509437</c:v>
                </c:pt>
                <c:pt idx="32">
                  <c:v>1.5977550219994108</c:v>
                </c:pt>
                <c:pt idx="33">
                  <c:v>1.6461718408478778</c:v>
                </c:pt>
                <c:pt idx="34">
                  <c:v>1.6945886596963449</c:v>
                </c:pt>
                <c:pt idx="35">
                  <c:v>1.7430054785448119</c:v>
                </c:pt>
                <c:pt idx="36">
                  <c:v>1.791422297393279</c:v>
                </c:pt>
                <c:pt idx="37">
                  <c:v>1.839839116241746</c:v>
                </c:pt>
                <c:pt idx="38">
                  <c:v>1.8882559350902131</c:v>
                </c:pt>
                <c:pt idx="39">
                  <c:v>1.9366727539386801</c:v>
                </c:pt>
                <c:pt idx="40">
                  <c:v>1.9850895727871471</c:v>
                </c:pt>
                <c:pt idx="41">
                  <c:v>2.0335063916356142</c:v>
                </c:pt>
                <c:pt idx="42">
                  <c:v>2.081923210484081</c:v>
                </c:pt>
                <c:pt idx="43">
                  <c:v>2.1303400293325478</c:v>
                </c:pt>
                <c:pt idx="44">
                  <c:v>2.1787568481810147</c:v>
                </c:pt>
                <c:pt idx="45">
                  <c:v>2.2271736670294815</c:v>
                </c:pt>
                <c:pt idx="46">
                  <c:v>2.2755904858779483</c:v>
                </c:pt>
                <c:pt idx="47">
                  <c:v>2.3240073047264151</c:v>
                </c:pt>
                <c:pt idx="48">
                  <c:v>2.372424123574882</c:v>
                </c:pt>
                <c:pt idx="49">
                  <c:v>2.4208409424233488</c:v>
                </c:pt>
                <c:pt idx="50">
                  <c:v>2.4692577612718156</c:v>
                </c:pt>
                <c:pt idx="51">
                  <c:v>2.5176745801202824</c:v>
                </c:pt>
              </c:numCache>
            </c:numRef>
          </c:val>
          <c:smooth val="0"/>
          <c:extLst xmlns:c15="http://schemas.microsoft.com/office/drawing/2012/chart">
            <c:ext xmlns:c16="http://schemas.microsoft.com/office/drawing/2014/chart" uri="{C3380CC4-5D6E-409C-BE32-E72D297353CC}">
              <c16:uniqueId val="{00000001-7B7A-4708-B9B0-C60FAE8CAAF6}"/>
            </c:ext>
          </c:extLst>
        </c:ser>
        <c:ser>
          <c:idx val="2"/>
          <c:order val="5"/>
          <c:tx>
            <c:v>5/25/50/75/95th percentile</c:v>
          </c:tx>
          <c:spPr>
            <a:ln w="28575">
              <a:solidFill>
                <a:schemeClr val="bg2"/>
              </a:solidFill>
              <a:prstDash val="sysDot"/>
            </a:ln>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OLD'!$CZ$8:$CZ$60</c:f>
              <c:numCache>
                <c:formatCode>0.000</c:formatCode>
                <c:ptCount val="53"/>
                <c:pt idx="0">
                  <c:v>5.470863400459542E-2</c:v>
                </c:pt>
                <c:pt idx="1">
                  <c:v>0.10941726800919084</c:v>
                </c:pt>
                <c:pt idx="2">
                  <c:v>0.16412590201378627</c:v>
                </c:pt>
                <c:pt idx="3">
                  <c:v>0.21883453601838168</c:v>
                </c:pt>
                <c:pt idx="4">
                  <c:v>0.27354317002297712</c:v>
                </c:pt>
                <c:pt idx="5">
                  <c:v>0.32825180402757254</c:v>
                </c:pt>
                <c:pt idx="6">
                  <c:v>0.38296043803216795</c:v>
                </c:pt>
                <c:pt idx="7">
                  <c:v>0.43766907203676336</c:v>
                </c:pt>
                <c:pt idx="8">
                  <c:v>0.49237770604135878</c:v>
                </c:pt>
                <c:pt idx="9">
                  <c:v>0.54708634004595424</c:v>
                </c:pt>
                <c:pt idx="10">
                  <c:v>0.60179497405054971</c:v>
                </c:pt>
                <c:pt idx="11">
                  <c:v>0.65650360805514518</c:v>
                </c:pt>
                <c:pt idx="12">
                  <c:v>0.71121224205974065</c:v>
                </c:pt>
                <c:pt idx="13">
                  <c:v>0.76592087606433612</c:v>
                </c:pt>
                <c:pt idx="14">
                  <c:v>0.82062951006893159</c:v>
                </c:pt>
                <c:pt idx="15">
                  <c:v>0.87533814407352706</c:v>
                </c:pt>
                <c:pt idx="16">
                  <c:v>0.93004677807812253</c:v>
                </c:pt>
                <c:pt idx="17">
                  <c:v>0.984755412082718</c:v>
                </c:pt>
                <c:pt idx="18">
                  <c:v>1.0394640460873135</c:v>
                </c:pt>
                <c:pt idx="19">
                  <c:v>1.0941726800919089</c:v>
                </c:pt>
                <c:pt idx="20">
                  <c:v>1.1488813140965044</c:v>
                </c:pt>
                <c:pt idx="21">
                  <c:v>1.2035899481010999</c:v>
                </c:pt>
                <c:pt idx="22">
                  <c:v>1.2582985821056953</c:v>
                </c:pt>
                <c:pt idx="23">
                  <c:v>1.3130072161102908</c:v>
                </c:pt>
                <c:pt idx="24">
                  <c:v>1.3677158501148863</c:v>
                </c:pt>
                <c:pt idx="25">
                  <c:v>1.4224244841194817</c:v>
                </c:pt>
                <c:pt idx="26">
                  <c:v>1.4771331181240772</c:v>
                </c:pt>
                <c:pt idx="27">
                  <c:v>1.5318417521286727</c:v>
                </c:pt>
                <c:pt idx="28">
                  <c:v>1.5865503861332682</c:v>
                </c:pt>
                <c:pt idx="29">
                  <c:v>1.6412590201378636</c:v>
                </c:pt>
                <c:pt idx="30">
                  <c:v>1.6959676541424591</c:v>
                </c:pt>
                <c:pt idx="31">
                  <c:v>1.7506762881470546</c:v>
                </c:pt>
                <c:pt idx="32">
                  <c:v>1.80538492215165</c:v>
                </c:pt>
                <c:pt idx="33">
                  <c:v>1.8600935561562455</c:v>
                </c:pt>
                <c:pt idx="34">
                  <c:v>1.914802190160841</c:v>
                </c:pt>
                <c:pt idx="35">
                  <c:v>1.9695108241654364</c:v>
                </c:pt>
                <c:pt idx="36">
                  <c:v>2.0242194581700317</c:v>
                </c:pt>
                <c:pt idx="37">
                  <c:v>2.0789280921746269</c:v>
                </c:pt>
                <c:pt idx="38">
                  <c:v>2.1336367261792222</c:v>
                </c:pt>
                <c:pt idx="39">
                  <c:v>2.1883453601838174</c:v>
                </c:pt>
                <c:pt idx="40">
                  <c:v>2.2430539941884127</c:v>
                </c:pt>
                <c:pt idx="41">
                  <c:v>2.2977626281930079</c:v>
                </c:pt>
                <c:pt idx="42">
                  <c:v>2.3524712621976032</c:v>
                </c:pt>
                <c:pt idx="43">
                  <c:v>2.4071798962021984</c:v>
                </c:pt>
                <c:pt idx="44">
                  <c:v>2.4618885302067937</c:v>
                </c:pt>
                <c:pt idx="45">
                  <c:v>2.5165971642113889</c:v>
                </c:pt>
                <c:pt idx="46">
                  <c:v>2.5713057982159842</c:v>
                </c:pt>
                <c:pt idx="47">
                  <c:v>2.6260144322205794</c:v>
                </c:pt>
                <c:pt idx="48">
                  <c:v>2.6807230662251746</c:v>
                </c:pt>
                <c:pt idx="49">
                  <c:v>2.7354317002297699</c:v>
                </c:pt>
                <c:pt idx="50">
                  <c:v>2.7901403342343651</c:v>
                </c:pt>
                <c:pt idx="51">
                  <c:v>2.8448489682389604</c:v>
                </c:pt>
              </c:numCache>
            </c:numRef>
          </c:val>
          <c:smooth val="0"/>
          <c:extLst>
            <c:ext xmlns:c16="http://schemas.microsoft.com/office/drawing/2014/chart" uri="{C3380CC4-5D6E-409C-BE32-E72D297353CC}">
              <c16:uniqueId val="{00000002-7B7A-4708-B9B0-C60FAE8CAAF6}"/>
            </c:ext>
          </c:extLst>
        </c:ser>
        <c:ser>
          <c:idx val="4"/>
          <c:order val="6"/>
          <c:tx>
            <c:strRef>
              <c:f>'PBL OLD'!$DA$6:$DA$7</c:f>
              <c:strCache>
                <c:ptCount val="2"/>
                <c:pt idx="0">
                  <c:v>50th Percentile</c:v>
                </c:pt>
              </c:strCache>
            </c:strRef>
          </c:tx>
          <c:spPr>
            <a:ln w="28575">
              <a:solidFill>
                <a:schemeClr val="bg2"/>
              </a:solidFill>
              <a:prstDash val="sysDot"/>
            </a:ln>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OLD'!$DA$8:$DA$60</c:f>
              <c:numCache>
                <c:formatCode>0.000</c:formatCode>
                <c:ptCount val="53"/>
                <c:pt idx="0">
                  <c:v>6.0209708872007502E-2</c:v>
                </c:pt>
                <c:pt idx="1">
                  <c:v>0.120419417744015</c:v>
                </c:pt>
                <c:pt idx="2">
                  <c:v>0.18062912661602251</c:v>
                </c:pt>
                <c:pt idx="3">
                  <c:v>0.24083883548803001</c:v>
                </c:pt>
                <c:pt idx="4">
                  <c:v>0.30104854436003753</c:v>
                </c:pt>
                <c:pt idx="5">
                  <c:v>0.36125825323204502</c:v>
                </c:pt>
                <c:pt idx="6">
                  <c:v>0.42146796210405252</c:v>
                </c:pt>
                <c:pt idx="7">
                  <c:v>0.48167767097606001</c:v>
                </c:pt>
                <c:pt idx="8">
                  <c:v>0.54188737984806756</c:v>
                </c:pt>
                <c:pt idx="9">
                  <c:v>0.60209708872007506</c:v>
                </c:pt>
                <c:pt idx="10">
                  <c:v>0.66230679759208255</c:v>
                </c:pt>
                <c:pt idx="11">
                  <c:v>0.72251650646409005</c:v>
                </c:pt>
                <c:pt idx="12">
                  <c:v>0.78272621533609754</c:v>
                </c:pt>
                <c:pt idx="13">
                  <c:v>0.84293592420810504</c:v>
                </c:pt>
                <c:pt idx="14">
                  <c:v>0.90314563308011253</c:v>
                </c:pt>
                <c:pt idx="15">
                  <c:v>0.96335534195212003</c:v>
                </c:pt>
                <c:pt idx="16">
                  <c:v>1.0235650508241276</c:v>
                </c:pt>
                <c:pt idx="17">
                  <c:v>1.0837747596961351</c:v>
                </c:pt>
                <c:pt idx="18">
                  <c:v>1.1439844685681426</c:v>
                </c:pt>
                <c:pt idx="19">
                  <c:v>1.2041941774401501</c:v>
                </c:pt>
                <c:pt idx="20">
                  <c:v>1.2644038863121576</c:v>
                </c:pt>
                <c:pt idx="21">
                  <c:v>1.3246135951841651</c:v>
                </c:pt>
                <c:pt idx="22">
                  <c:v>1.3848233040561726</c:v>
                </c:pt>
                <c:pt idx="23">
                  <c:v>1.4450330129281801</c:v>
                </c:pt>
                <c:pt idx="24">
                  <c:v>1.5052427218001876</c:v>
                </c:pt>
                <c:pt idx="25">
                  <c:v>1.5654524306721951</c:v>
                </c:pt>
                <c:pt idx="26">
                  <c:v>1.6256621395442026</c:v>
                </c:pt>
                <c:pt idx="27">
                  <c:v>1.6858718484162101</c:v>
                </c:pt>
                <c:pt idx="28">
                  <c:v>1.7460815572882176</c:v>
                </c:pt>
                <c:pt idx="29">
                  <c:v>1.8062912661602251</c:v>
                </c:pt>
                <c:pt idx="30">
                  <c:v>1.8665009750322326</c:v>
                </c:pt>
                <c:pt idx="31">
                  <c:v>1.9267106839042401</c:v>
                </c:pt>
                <c:pt idx="32">
                  <c:v>1.9869203927762475</c:v>
                </c:pt>
                <c:pt idx="33">
                  <c:v>2.0471301016482553</c:v>
                </c:pt>
                <c:pt idx="34">
                  <c:v>2.107339810520263</c:v>
                </c:pt>
                <c:pt idx="35">
                  <c:v>2.1675495193922707</c:v>
                </c:pt>
                <c:pt idx="36">
                  <c:v>2.2277592282642784</c:v>
                </c:pt>
                <c:pt idx="37">
                  <c:v>2.2879689371362861</c:v>
                </c:pt>
                <c:pt idx="38">
                  <c:v>2.3481786460082938</c:v>
                </c:pt>
                <c:pt idx="39">
                  <c:v>2.4083883548803016</c:v>
                </c:pt>
                <c:pt idx="40">
                  <c:v>2.4685980637523093</c:v>
                </c:pt>
                <c:pt idx="41">
                  <c:v>2.528807772624317</c:v>
                </c:pt>
                <c:pt idx="42">
                  <c:v>2.5890174814963247</c:v>
                </c:pt>
                <c:pt idx="43">
                  <c:v>2.6492271903683324</c:v>
                </c:pt>
                <c:pt idx="44">
                  <c:v>2.7094368992403401</c:v>
                </c:pt>
                <c:pt idx="45">
                  <c:v>2.7696466081123479</c:v>
                </c:pt>
                <c:pt idx="46">
                  <c:v>2.8298563169843556</c:v>
                </c:pt>
                <c:pt idx="47">
                  <c:v>2.8900660258563633</c:v>
                </c:pt>
                <c:pt idx="48">
                  <c:v>2.950275734728371</c:v>
                </c:pt>
                <c:pt idx="49">
                  <c:v>3.0104854436003787</c:v>
                </c:pt>
                <c:pt idx="50">
                  <c:v>3.0706951524723864</c:v>
                </c:pt>
                <c:pt idx="51">
                  <c:v>3.1309048613443942</c:v>
                </c:pt>
              </c:numCache>
            </c:numRef>
          </c:val>
          <c:smooth val="0"/>
          <c:extLst>
            <c:ext xmlns:c16="http://schemas.microsoft.com/office/drawing/2014/chart" uri="{C3380CC4-5D6E-409C-BE32-E72D297353CC}">
              <c16:uniqueId val="{00000003-7B7A-4708-B9B0-C60FAE8CAAF6}"/>
            </c:ext>
          </c:extLst>
        </c:ser>
        <c:ser>
          <c:idx val="6"/>
          <c:order val="7"/>
          <c:tx>
            <c:strRef>
              <c:f>'PBL OLD'!$DB$6:$DB$7</c:f>
              <c:strCache>
                <c:ptCount val="2"/>
                <c:pt idx="0">
                  <c:v>75th Percentile</c:v>
                </c:pt>
              </c:strCache>
            </c:strRef>
          </c:tx>
          <c:spPr>
            <a:ln w="28575">
              <a:solidFill>
                <a:schemeClr val="bg2"/>
              </a:solidFill>
              <a:prstDash val="sysDot"/>
            </a:ln>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OLD'!$DB$8:$DB$60</c:f>
              <c:numCache>
                <c:formatCode>0.000</c:formatCode>
                <c:ptCount val="53"/>
                <c:pt idx="0">
                  <c:v>6.6232533541717833E-2</c:v>
                </c:pt>
                <c:pt idx="1">
                  <c:v>0.13246506708343567</c:v>
                </c:pt>
                <c:pt idx="2">
                  <c:v>0.19869760062515351</c:v>
                </c:pt>
                <c:pt idx="3">
                  <c:v>0.26493013416687133</c:v>
                </c:pt>
                <c:pt idx="4">
                  <c:v>0.33116266770858915</c:v>
                </c:pt>
                <c:pt idx="5">
                  <c:v>0.39739520125030697</c:v>
                </c:pt>
                <c:pt idx="6">
                  <c:v>0.46362773479202479</c:v>
                </c:pt>
                <c:pt idx="7">
                  <c:v>0.52986026833374267</c:v>
                </c:pt>
                <c:pt idx="8">
                  <c:v>0.59609280187546054</c:v>
                </c:pt>
                <c:pt idx="9">
                  <c:v>0.66232533541717842</c:v>
                </c:pt>
                <c:pt idx="10">
                  <c:v>0.72855786895889629</c:v>
                </c:pt>
                <c:pt idx="11">
                  <c:v>0.79479040250061417</c:v>
                </c:pt>
                <c:pt idx="12">
                  <c:v>0.86102293604233204</c:v>
                </c:pt>
                <c:pt idx="13">
                  <c:v>0.92725546958404992</c:v>
                </c:pt>
                <c:pt idx="14">
                  <c:v>0.99348800312576779</c:v>
                </c:pt>
                <c:pt idx="15">
                  <c:v>1.0597205366674856</c:v>
                </c:pt>
                <c:pt idx="16">
                  <c:v>1.1259530702092033</c:v>
                </c:pt>
                <c:pt idx="17">
                  <c:v>1.1921856037509211</c:v>
                </c:pt>
                <c:pt idx="18">
                  <c:v>1.2584181372926388</c:v>
                </c:pt>
                <c:pt idx="19">
                  <c:v>1.3246506708343566</c:v>
                </c:pt>
                <c:pt idx="20">
                  <c:v>1.3908832043760744</c:v>
                </c:pt>
                <c:pt idx="21">
                  <c:v>1.4571157379177921</c:v>
                </c:pt>
                <c:pt idx="22">
                  <c:v>1.5233482714595099</c:v>
                </c:pt>
                <c:pt idx="23">
                  <c:v>1.5895808050012277</c:v>
                </c:pt>
                <c:pt idx="24">
                  <c:v>1.6558133385429454</c:v>
                </c:pt>
                <c:pt idx="25">
                  <c:v>1.7220458720846632</c:v>
                </c:pt>
                <c:pt idx="26">
                  <c:v>1.788278405626381</c:v>
                </c:pt>
                <c:pt idx="27">
                  <c:v>1.8545109391680987</c:v>
                </c:pt>
                <c:pt idx="28">
                  <c:v>1.9207434727098165</c:v>
                </c:pt>
                <c:pt idx="29">
                  <c:v>1.9869760062515343</c:v>
                </c:pt>
                <c:pt idx="30">
                  <c:v>2.053208539793252</c:v>
                </c:pt>
                <c:pt idx="31">
                  <c:v>2.1194410733349698</c:v>
                </c:pt>
                <c:pt idx="32">
                  <c:v>2.1856736068766875</c:v>
                </c:pt>
                <c:pt idx="33">
                  <c:v>2.2519061404184053</c:v>
                </c:pt>
                <c:pt idx="34">
                  <c:v>2.3181386739601231</c:v>
                </c:pt>
                <c:pt idx="35">
                  <c:v>2.3843712075018408</c:v>
                </c:pt>
                <c:pt idx="36">
                  <c:v>2.4506037410435586</c:v>
                </c:pt>
                <c:pt idx="37">
                  <c:v>2.5168362745852764</c:v>
                </c:pt>
                <c:pt idx="38">
                  <c:v>2.5830688081269941</c:v>
                </c:pt>
                <c:pt idx="39">
                  <c:v>2.6493013416687119</c:v>
                </c:pt>
                <c:pt idx="40">
                  <c:v>2.7155338752104297</c:v>
                </c:pt>
                <c:pt idx="41">
                  <c:v>2.7817664087521474</c:v>
                </c:pt>
                <c:pt idx="42">
                  <c:v>2.8479989422938652</c:v>
                </c:pt>
                <c:pt idx="43">
                  <c:v>2.914231475835583</c:v>
                </c:pt>
                <c:pt idx="44">
                  <c:v>2.9804640093773007</c:v>
                </c:pt>
                <c:pt idx="45">
                  <c:v>3.0466965429190185</c:v>
                </c:pt>
                <c:pt idx="46">
                  <c:v>3.1129290764607362</c:v>
                </c:pt>
                <c:pt idx="47">
                  <c:v>3.179161610002454</c:v>
                </c:pt>
                <c:pt idx="48">
                  <c:v>3.2453941435441718</c:v>
                </c:pt>
                <c:pt idx="49">
                  <c:v>3.3116266770858895</c:v>
                </c:pt>
                <c:pt idx="50">
                  <c:v>3.3778592106276073</c:v>
                </c:pt>
                <c:pt idx="51">
                  <c:v>3.4440917441693251</c:v>
                </c:pt>
              </c:numCache>
            </c:numRef>
          </c:val>
          <c:smooth val="0"/>
          <c:extLst xmlns:c15="http://schemas.microsoft.com/office/drawing/2012/chart">
            <c:ext xmlns:c16="http://schemas.microsoft.com/office/drawing/2014/chart" uri="{C3380CC4-5D6E-409C-BE32-E72D297353CC}">
              <c16:uniqueId val="{00000004-7B7A-4708-B9B0-C60FAE8CAAF6}"/>
            </c:ext>
          </c:extLst>
        </c:ser>
        <c:ser>
          <c:idx val="9"/>
          <c:order val="9"/>
          <c:tx>
            <c:strRef>
              <c:f>'PBL OLD'!$DD$6:$DD$7</c:f>
              <c:strCache>
                <c:ptCount val="2"/>
                <c:pt idx="0">
                  <c:v>95th Percentile</c:v>
                </c:pt>
              </c:strCache>
            </c:strRef>
          </c:tx>
          <c:spPr>
            <a:ln w="28575">
              <a:solidFill>
                <a:schemeClr val="bg2"/>
              </a:solidFill>
              <a:prstDash val="sysDot"/>
            </a:ln>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OLD'!$DD$8:$DD$60</c:f>
              <c:numCache>
                <c:formatCode>0.000</c:formatCode>
                <c:ptCount val="53"/>
                <c:pt idx="0">
                  <c:v>7.643445292523153E-2</c:v>
                </c:pt>
                <c:pt idx="1">
                  <c:v>0.15286890585046306</c:v>
                </c:pt>
                <c:pt idx="2">
                  <c:v>0.22930335877569458</c:v>
                </c:pt>
                <c:pt idx="3">
                  <c:v>0.30573781170092612</c:v>
                </c:pt>
                <c:pt idx="4">
                  <c:v>0.38217226462615767</c:v>
                </c:pt>
                <c:pt idx="5">
                  <c:v>0.45860671755138921</c:v>
                </c:pt>
                <c:pt idx="6">
                  <c:v>0.5350411704766207</c:v>
                </c:pt>
                <c:pt idx="7">
                  <c:v>0.61147562340185224</c:v>
                </c:pt>
                <c:pt idx="8">
                  <c:v>0.68791007632708379</c:v>
                </c:pt>
                <c:pt idx="9">
                  <c:v>0.76434452925231533</c:v>
                </c:pt>
                <c:pt idx="10">
                  <c:v>0.84077898217754687</c:v>
                </c:pt>
                <c:pt idx="11">
                  <c:v>0.91721343510277842</c:v>
                </c:pt>
                <c:pt idx="12">
                  <c:v>0.99364788802800996</c:v>
                </c:pt>
                <c:pt idx="13">
                  <c:v>1.0700823409532414</c:v>
                </c:pt>
                <c:pt idx="14">
                  <c:v>1.1465167938784728</c:v>
                </c:pt>
                <c:pt idx="15">
                  <c:v>1.2229512468037043</c:v>
                </c:pt>
                <c:pt idx="16">
                  <c:v>1.2993856997289357</c:v>
                </c:pt>
                <c:pt idx="17">
                  <c:v>1.3758201526541671</c:v>
                </c:pt>
                <c:pt idx="18">
                  <c:v>1.4522546055793986</c:v>
                </c:pt>
                <c:pt idx="19">
                  <c:v>1.52868905850463</c:v>
                </c:pt>
                <c:pt idx="20">
                  <c:v>1.6051235114298614</c:v>
                </c:pt>
                <c:pt idx="21">
                  <c:v>1.6815579643550929</c:v>
                </c:pt>
                <c:pt idx="22">
                  <c:v>1.7579924172803243</c:v>
                </c:pt>
                <c:pt idx="23">
                  <c:v>1.8344268702055557</c:v>
                </c:pt>
                <c:pt idx="24">
                  <c:v>1.9108613231307872</c:v>
                </c:pt>
                <c:pt idx="25">
                  <c:v>1.9872957760560186</c:v>
                </c:pt>
                <c:pt idx="26">
                  <c:v>2.06373022898125</c:v>
                </c:pt>
                <c:pt idx="27">
                  <c:v>2.1401646819064815</c:v>
                </c:pt>
                <c:pt idx="28">
                  <c:v>2.2165991348317129</c:v>
                </c:pt>
                <c:pt idx="29">
                  <c:v>2.2930335877569443</c:v>
                </c:pt>
                <c:pt idx="30">
                  <c:v>2.3694680406821758</c:v>
                </c:pt>
                <c:pt idx="31">
                  <c:v>2.4459024936074072</c:v>
                </c:pt>
                <c:pt idx="32">
                  <c:v>2.5223369465326386</c:v>
                </c:pt>
                <c:pt idx="33">
                  <c:v>2.5987713994578701</c:v>
                </c:pt>
                <c:pt idx="34">
                  <c:v>2.6752058523831015</c:v>
                </c:pt>
                <c:pt idx="35">
                  <c:v>2.7516403053083329</c:v>
                </c:pt>
                <c:pt idx="36">
                  <c:v>2.8280747582335644</c:v>
                </c:pt>
                <c:pt idx="37">
                  <c:v>2.9045092111587958</c:v>
                </c:pt>
                <c:pt idx="38">
                  <c:v>2.9809436640840272</c:v>
                </c:pt>
                <c:pt idx="39">
                  <c:v>3.0573781170092587</c:v>
                </c:pt>
                <c:pt idx="40">
                  <c:v>3.1338125699344901</c:v>
                </c:pt>
                <c:pt idx="41">
                  <c:v>3.2102470228597215</c:v>
                </c:pt>
                <c:pt idx="42">
                  <c:v>3.286681475784953</c:v>
                </c:pt>
                <c:pt idx="43">
                  <c:v>3.3631159287101844</c:v>
                </c:pt>
                <c:pt idx="44">
                  <c:v>3.4395503816354158</c:v>
                </c:pt>
                <c:pt idx="45">
                  <c:v>3.5159848345606473</c:v>
                </c:pt>
                <c:pt idx="46">
                  <c:v>3.5924192874858787</c:v>
                </c:pt>
                <c:pt idx="47">
                  <c:v>3.6688537404111101</c:v>
                </c:pt>
                <c:pt idx="48">
                  <c:v>3.7452881933363416</c:v>
                </c:pt>
                <c:pt idx="49">
                  <c:v>3.821722646261573</c:v>
                </c:pt>
                <c:pt idx="50">
                  <c:v>3.8981570991868044</c:v>
                </c:pt>
                <c:pt idx="51">
                  <c:v>3.9745915521120359</c:v>
                </c:pt>
              </c:numCache>
            </c:numRef>
          </c:val>
          <c:smooth val="0"/>
          <c:extLst xmlns:c15="http://schemas.microsoft.com/office/drawing/2012/chart">
            <c:ext xmlns:c16="http://schemas.microsoft.com/office/drawing/2014/chart" uri="{C3380CC4-5D6E-409C-BE32-E72D297353CC}">
              <c16:uniqueId val="{00000005-7B7A-4708-B9B0-C60FAE8CAAF6}"/>
            </c:ext>
          </c:extLst>
        </c:ser>
        <c:dLbls>
          <c:showLegendKey val="0"/>
          <c:showVal val="0"/>
          <c:showCatName val="0"/>
          <c:showSerName val="0"/>
          <c:showPercent val="0"/>
          <c:showBubbleSize val="0"/>
        </c:dLbls>
        <c:smooth val="0"/>
        <c:axId val="1388952432"/>
        <c:axId val="1388953088"/>
        <c:extLst>
          <c:ext xmlns:c15="http://schemas.microsoft.com/office/drawing/2012/chart" uri="{02D57815-91ED-43cb-92C2-25804820EDAC}">
            <c15:filteredLineSeries>
              <c15:ser>
                <c:idx val="3"/>
                <c:order val="1"/>
                <c:tx>
                  <c:strRef>
                    <c:extLst>
                      <c:ext uri="{02D57815-91ED-43cb-92C2-25804820EDAC}">
                        <c15:formulaRef>
                          <c15:sqref>'PBL OLD'!$CV$6:$CV$7</c15:sqref>
                        </c15:formulaRef>
                      </c:ext>
                    </c:extLst>
                    <c:strCache>
                      <c:ptCount val="2"/>
                      <c:pt idx="0">
                        <c:v>Min</c:v>
                      </c:pt>
                    </c:strCache>
                  </c:strRef>
                </c:tx>
                <c:marker>
                  <c:symbol val="none"/>
                </c:marker>
                <c:cat>
                  <c:numRef>
                    <c:extLst>
                      <c:ex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c:ext uri="{02D57815-91ED-43cb-92C2-25804820EDAC}">
                        <c15:formulaRef>
                          <c15:sqref>'PBL OLD'!$CV$8:$CV$60</c15:sqref>
                        </c15:formulaRef>
                      </c:ext>
                    </c:extLst>
                    <c:numCache>
                      <c:formatCode>0.000</c:formatCode>
                      <c:ptCount val="53"/>
                      <c:pt idx="0">
                        <c:v>3.7943638869952147E-2</c:v>
                      </c:pt>
                      <c:pt idx="1">
                        <c:v>7.5887277739904294E-2</c:v>
                      </c:pt>
                      <c:pt idx="2">
                        <c:v>0.11383091660985645</c:v>
                      </c:pt>
                      <c:pt idx="3">
                        <c:v>0.15177455547980859</c:v>
                      </c:pt>
                      <c:pt idx="4">
                        <c:v>0.18971819434976073</c:v>
                      </c:pt>
                      <c:pt idx="5">
                        <c:v>0.22766183321971287</c:v>
                      </c:pt>
                      <c:pt idx="6">
                        <c:v>0.26560547208966501</c:v>
                      </c:pt>
                      <c:pt idx="7">
                        <c:v>0.30354911095961717</c:v>
                      </c:pt>
                      <c:pt idx="8">
                        <c:v>0.34149274982956934</c:v>
                      </c:pt>
                      <c:pt idx="9">
                        <c:v>0.37943638869952151</c:v>
                      </c:pt>
                      <c:pt idx="10">
                        <c:v>0.41738002756947368</c:v>
                      </c:pt>
                      <c:pt idx="11">
                        <c:v>0.45532366643942584</c:v>
                      </c:pt>
                      <c:pt idx="12">
                        <c:v>0.49326730530937801</c:v>
                      </c:pt>
                      <c:pt idx="13">
                        <c:v>0.53121094417933012</c:v>
                      </c:pt>
                      <c:pt idx="14">
                        <c:v>0.56915458304928224</c:v>
                      </c:pt>
                      <c:pt idx="15">
                        <c:v>0.60709822191923435</c:v>
                      </c:pt>
                      <c:pt idx="16">
                        <c:v>0.64504186078918646</c:v>
                      </c:pt>
                      <c:pt idx="17">
                        <c:v>0.68298549965913857</c:v>
                      </c:pt>
                      <c:pt idx="18">
                        <c:v>0.72092913852909069</c:v>
                      </c:pt>
                      <c:pt idx="19">
                        <c:v>0.7588727773990428</c:v>
                      </c:pt>
                      <c:pt idx="20">
                        <c:v>0.79681641626899491</c:v>
                      </c:pt>
                      <c:pt idx="21">
                        <c:v>0.83476005513894702</c:v>
                      </c:pt>
                      <c:pt idx="22">
                        <c:v>0.87270369400889913</c:v>
                      </c:pt>
                      <c:pt idx="23">
                        <c:v>0.91064733287885125</c:v>
                      </c:pt>
                      <c:pt idx="24">
                        <c:v>0.94859097174880336</c:v>
                      </c:pt>
                      <c:pt idx="25">
                        <c:v>0.98653461061875547</c:v>
                      </c:pt>
                      <c:pt idx="26">
                        <c:v>1.0244782494887077</c:v>
                      </c:pt>
                      <c:pt idx="27">
                        <c:v>1.0624218883586598</c:v>
                      </c:pt>
                      <c:pt idx="28">
                        <c:v>1.1003655272286119</c:v>
                      </c:pt>
                      <c:pt idx="29">
                        <c:v>1.138309166098564</c:v>
                      </c:pt>
                      <c:pt idx="30">
                        <c:v>1.1762528049685161</c:v>
                      </c:pt>
                      <c:pt idx="31">
                        <c:v>1.2141964438384683</c:v>
                      </c:pt>
                      <c:pt idx="32">
                        <c:v>1.2521400827084204</c:v>
                      </c:pt>
                      <c:pt idx="33">
                        <c:v>1.2900837215783725</c:v>
                      </c:pt>
                      <c:pt idx="34">
                        <c:v>1.3280273604483246</c:v>
                      </c:pt>
                      <c:pt idx="35">
                        <c:v>1.3659709993182767</c:v>
                      </c:pt>
                      <c:pt idx="36">
                        <c:v>1.4039146381882288</c:v>
                      </c:pt>
                      <c:pt idx="37">
                        <c:v>1.4418582770581809</c:v>
                      </c:pt>
                      <c:pt idx="38">
                        <c:v>1.479801915928133</c:v>
                      </c:pt>
                      <c:pt idx="39">
                        <c:v>1.5177455547980852</c:v>
                      </c:pt>
                      <c:pt idx="40">
                        <c:v>1.5556891936680373</c:v>
                      </c:pt>
                      <c:pt idx="41">
                        <c:v>1.5936328325379894</c:v>
                      </c:pt>
                      <c:pt idx="42">
                        <c:v>1.6315764714079415</c:v>
                      </c:pt>
                      <c:pt idx="43">
                        <c:v>1.6695201102778936</c:v>
                      </c:pt>
                      <c:pt idx="44">
                        <c:v>1.7074637491478457</c:v>
                      </c:pt>
                      <c:pt idx="45">
                        <c:v>1.7454073880177978</c:v>
                      </c:pt>
                      <c:pt idx="46">
                        <c:v>1.7833510268877499</c:v>
                      </c:pt>
                      <c:pt idx="47">
                        <c:v>1.821294665757702</c:v>
                      </c:pt>
                      <c:pt idx="48">
                        <c:v>1.8592383046276542</c:v>
                      </c:pt>
                      <c:pt idx="49">
                        <c:v>1.8971819434976063</c:v>
                      </c:pt>
                      <c:pt idx="50">
                        <c:v>1.9351255823675584</c:v>
                      </c:pt>
                      <c:pt idx="51">
                        <c:v>1.9730692212375105</c:v>
                      </c:pt>
                    </c:numCache>
                  </c:numRef>
                </c:val>
                <c:smooth val="0"/>
                <c:extLst>
                  <c:ext xmlns:c16="http://schemas.microsoft.com/office/drawing/2014/chart" uri="{C3380CC4-5D6E-409C-BE32-E72D297353CC}">
                    <c16:uniqueId val="{00000006-7B7A-4708-B9B0-C60FAE8CAAF6}"/>
                  </c:ext>
                </c:extLst>
              </c15:ser>
            </c15:filteredLineSeries>
            <c15:filteredLineSeries>
              <c15:ser>
                <c:idx val="5"/>
                <c:order val="2"/>
                <c:tx>
                  <c:strRef>
                    <c:extLst xmlns:c15="http://schemas.microsoft.com/office/drawing/2012/chart">
                      <c:ext xmlns:c15="http://schemas.microsoft.com/office/drawing/2012/chart" uri="{02D57815-91ED-43cb-92C2-25804820EDAC}">
                        <c15:formulaRef>
                          <c15:sqref>'PBL OLD'!$CW$6:$CW$7</c15:sqref>
                        </c15:formulaRef>
                      </c:ext>
                    </c:extLst>
                    <c:strCache>
                      <c:ptCount val="2"/>
                      <c:pt idx="0">
                        <c:v>1st Percentile</c:v>
                      </c:pt>
                    </c:strCache>
                  </c:strRef>
                </c:tx>
                <c:spPr>
                  <a:ln w="28575" cap="rnd">
                    <a:solidFill>
                      <a:schemeClr val="accent6"/>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OLD'!$CW$8:$CW$60</c15:sqref>
                        </c15:formulaRef>
                      </c:ext>
                    </c:extLst>
                    <c:numCache>
                      <c:formatCode>0.000</c:formatCode>
                      <c:ptCount val="53"/>
                      <c:pt idx="0">
                        <c:v>4.5436313528305135E-2</c:v>
                      </c:pt>
                      <c:pt idx="1">
                        <c:v>9.087262705661027E-2</c:v>
                      </c:pt>
                      <c:pt idx="2">
                        <c:v>0.13630894058491541</c:v>
                      </c:pt>
                      <c:pt idx="3">
                        <c:v>0.18174525411322054</c:v>
                      </c:pt>
                      <c:pt idx="4">
                        <c:v>0.22718156764152567</c:v>
                      </c:pt>
                      <c:pt idx="5">
                        <c:v>0.27261788116983082</c:v>
                      </c:pt>
                      <c:pt idx="6">
                        <c:v>0.31805419469813595</c:v>
                      </c:pt>
                      <c:pt idx="7">
                        <c:v>0.36349050822644108</c:v>
                      </c:pt>
                      <c:pt idx="8">
                        <c:v>0.40892682175474621</c:v>
                      </c:pt>
                      <c:pt idx="9">
                        <c:v>0.45436313528305133</c:v>
                      </c:pt>
                      <c:pt idx="10">
                        <c:v>0.49979944881135646</c:v>
                      </c:pt>
                      <c:pt idx="11">
                        <c:v>0.54523576233966164</c:v>
                      </c:pt>
                      <c:pt idx="12">
                        <c:v>0.59067207586796677</c:v>
                      </c:pt>
                      <c:pt idx="13">
                        <c:v>0.6361083893962719</c:v>
                      </c:pt>
                      <c:pt idx="14">
                        <c:v>0.68154470292457703</c:v>
                      </c:pt>
                      <c:pt idx="15">
                        <c:v>0.72698101645288216</c:v>
                      </c:pt>
                      <c:pt idx="16">
                        <c:v>0.77241732998118728</c:v>
                      </c:pt>
                      <c:pt idx="17">
                        <c:v>0.81785364350949241</c:v>
                      </c:pt>
                      <c:pt idx="18">
                        <c:v>0.86328995703779754</c:v>
                      </c:pt>
                      <c:pt idx="19">
                        <c:v>0.90872627056610267</c:v>
                      </c:pt>
                      <c:pt idx="20">
                        <c:v>0.9541625840944078</c:v>
                      </c:pt>
                      <c:pt idx="21">
                        <c:v>0.99959889762271292</c:v>
                      </c:pt>
                      <c:pt idx="22">
                        <c:v>1.0450352111510182</c:v>
                      </c:pt>
                      <c:pt idx="23">
                        <c:v>1.0904715246793233</c:v>
                      </c:pt>
                      <c:pt idx="24">
                        <c:v>1.1359078382076284</c:v>
                      </c:pt>
                      <c:pt idx="25">
                        <c:v>1.1813441517359335</c:v>
                      </c:pt>
                      <c:pt idx="26">
                        <c:v>1.2267804652642387</c:v>
                      </c:pt>
                      <c:pt idx="27">
                        <c:v>1.2722167787925438</c:v>
                      </c:pt>
                      <c:pt idx="28">
                        <c:v>1.3176530923208489</c:v>
                      </c:pt>
                      <c:pt idx="29">
                        <c:v>1.3630894058491541</c:v>
                      </c:pt>
                      <c:pt idx="30">
                        <c:v>1.4085257193774592</c:v>
                      </c:pt>
                      <c:pt idx="31">
                        <c:v>1.4539620329057643</c:v>
                      </c:pt>
                      <c:pt idx="32">
                        <c:v>1.4993983464340694</c:v>
                      </c:pt>
                      <c:pt idx="33">
                        <c:v>1.5448346599623746</c:v>
                      </c:pt>
                      <c:pt idx="34">
                        <c:v>1.5902709734906797</c:v>
                      </c:pt>
                      <c:pt idx="35">
                        <c:v>1.6357072870189848</c:v>
                      </c:pt>
                      <c:pt idx="36">
                        <c:v>1.68114360054729</c:v>
                      </c:pt>
                      <c:pt idx="37">
                        <c:v>1.7265799140755951</c:v>
                      </c:pt>
                      <c:pt idx="38">
                        <c:v>1.7720162276039002</c:v>
                      </c:pt>
                      <c:pt idx="39">
                        <c:v>1.8174525411322053</c:v>
                      </c:pt>
                      <c:pt idx="40">
                        <c:v>1.8628888546605105</c:v>
                      </c:pt>
                      <c:pt idx="41">
                        <c:v>1.9083251681888156</c:v>
                      </c:pt>
                      <c:pt idx="42">
                        <c:v>1.9537614817171207</c:v>
                      </c:pt>
                      <c:pt idx="43">
                        <c:v>1.9991977952454258</c:v>
                      </c:pt>
                      <c:pt idx="44">
                        <c:v>2.0446341087737312</c:v>
                      </c:pt>
                      <c:pt idx="45">
                        <c:v>2.0900704223020363</c:v>
                      </c:pt>
                      <c:pt idx="46">
                        <c:v>2.1355067358303415</c:v>
                      </c:pt>
                      <c:pt idx="47">
                        <c:v>2.1809430493586466</c:v>
                      </c:pt>
                      <c:pt idx="48">
                        <c:v>2.2263793628869517</c:v>
                      </c:pt>
                      <c:pt idx="49">
                        <c:v>2.2718156764152568</c:v>
                      </c:pt>
                      <c:pt idx="50">
                        <c:v>2.317251989943562</c:v>
                      </c:pt>
                      <c:pt idx="51">
                        <c:v>2.3626883034718671</c:v>
                      </c:pt>
                    </c:numCache>
                  </c:numRef>
                </c:val>
                <c:smooth val="0"/>
                <c:extLst xmlns:c15="http://schemas.microsoft.com/office/drawing/2012/chart">
                  <c:ext xmlns:c16="http://schemas.microsoft.com/office/drawing/2014/chart" uri="{C3380CC4-5D6E-409C-BE32-E72D297353CC}">
                    <c16:uniqueId val="{00000007-7B7A-4708-B9B0-C60FAE8CAAF6}"/>
                  </c:ext>
                </c:extLst>
              </c15:ser>
            </c15:filteredLineSeries>
            <c15:filteredLineSeries>
              <c15:ser>
                <c:idx val="1"/>
                <c:order val="4"/>
                <c:tx>
                  <c:strRef>
                    <c:extLst xmlns:c15="http://schemas.microsoft.com/office/drawing/2012/chart">
                      <c:ext xmlns:c15="http://schemas.microsoft.com/office/drawing/2012/chart" uri="{02D57815-91ED-43cb-92C2-25804820EDAC}">
                        <c15:formulaRef>
                          <c15:sqref>'PBL OLD'!$CY$6:$CY$7</c15:sqref>
                        </c15:formulaRef>
                      </c:ext>
                    </c:extLst>
                    <c:strCache>
                      <c:ptCount val="2"/>
                      <c:pt idx="0">
                        <c:v>10th Percentile</c:v>
                      </c:pt>
                    </c:strCache>
                  </c:strRef>
                </c:tx>
                <c:spPr>
                  <a:ln w="28575" cap="rnd" cmpd="sng">
                    <a:solidFill>
                      <a:schemeClr val="accent2"/>
                    </a:solidFill>
                    <a:prstDash val="sysDot"/>
                    <a:round/>
                    <a:headEnd type="none"/>
                  </a:ln>
                  <a:effectLst/>
                </c:spPr>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OLD'!$CY$8:$CY$60</c15:sqref>
                        </c15:formulaRef>
                      </c:ext>
                    </c:extLst>
                    <c:numCache>
                      <c:formatCode>0.000</c:formatCode>
                      <c:ptCount val="53"/>
                      <c:pt idx="0">
                        <c:v>5.0502007292025322E-2</c:v>
                      </c:pt>
                      <c:pt idx="1">
                        <c:v>0.10100401458405064</c:v>
                      </c:pt>
                      <c:pt idx="2">
                        <c:v>0.15150602187607598</c:v>
                      </c:pt>
                      <c:pt idx="3">
                        <c:v>0.20200802916810129</c:v>
                      </c:pt>
                      <c:pt idx="4">
                        <c:v>0.2525100364601266</c:v>
                      </c:pt>
                      <c:pt idx="5">
                        <c:v>0.30301204375215191</c:v>
                      </c:pt>
                      <c:pt idx="6">
                        <c:v>0.35351405104417721</c:v>
                      </c:pt>
                      <c:pt idx="7">
                        <c:v>0.40401605833620252</c:v>
                      </c:pt>
                      <c:pt idx="8">
                        <c:v>0.45451806562822783</c:v>
                      </c:pt>
                      <c:pt idx="9">
                        <c:v>0.50502007292025319</c:v>
                      </c:pt>
                      <c:pt idx="10">
                        <c:v>0.55552208021227856</c:v>
                      </c:pt>
                      <c:pt idx="11">
                        <c:v>0.60602408750430392</c:v>
                      </c:pt>
                      <c:pt idx="12">
                        <c:v>0.65652609479632928</c:v>
                      </c:pt>
                      <c:pt idx="13">
                        <c:v>0.70702810208835465</c:v>
                      </c:pt>
                      <c:pt idx="14">
                        <c:v>0.75753010938038001</c:v>
                      </c:pt>
                      <c:pt idx="15">
                        <c:v>0.80803211667240538</c:v>
                      </c:pt>
                      <c:pt idx="16">
                        <c:v>0.85853412396443074</c:v>
                      </c:pt>
                      <c:pt idx="17">
                        <c:v>0.9090361312564561</c:v>
                      </c:pt>
                      <c:pt idx="18">
                        <c:v>0.95953813854848147</c:v>
                      </c:pt>
                      <c:pt idx="19">
                        <c:v>1.0100401458405068</c:v>
                      </c:pt>
                      <c:pt idx="20">
                        <c:v>1.0605421531325321</c:v>
                      </c:pt>
                      <c:pt idx="21">
                        <c:v>1.1110441604245573</c:v>
                      </c:pt>
                      <c:pt idx="22">
                        <c:v>1.1615461677165826</c:v>
                      </c:pt>
                      <c:pt idx="23">
                        <c:v>1.2120481750086078</c:v>
                      </c:pt>
                      <c:pt idx="24">
                        <c:v>1.2625501823006331</c:v>
                      </c:pt>
                      <c:pt idx="25">
                        <c:v>1.3130521895926583</c:v>
                      </c:pt>
                      <c:pt idx="26">
                        <c:v>1.3635541968846836</c:v>
                      </c:pt>
                      <c:pt idx="27">
                        <c:v>1.4140562041767089</c:v>
                      </c:pt>
                      <c:pt idx="28">
                        <c:v>1.4645582114687341</c:v>
                      </c:pt>
                      <c:pt idx="29">
                        <c:v>1.5150602187607594</c:v>
                      </c:pt>
                      <c:pt idx="30">
                        <c:v>1.5655622260527846</c:v>
                      </c:pt>
                      <c:pt idx="31">
                        <c:v>1.6160642333448099</c:v>
                      </c:pt>
                      <c:pt idx="32">
                        <c:v>1.6665662406368351</c:v>
                      </c:pt>
                      <c:pt idx="33">
                        <c:v>1.7170682479288604</c:v>
                      </c:pt>
                      <c:pt idx="34">
                        <c:v>1.7675702552208856</c:v>
                      </c:pt>
                      <c:pt idx="35">
                        <c:v>1.8180722625129109</c:v>
                      </c:pt>
                      <c:pt idx="36">
                        <c:v>1.8685742698049361</c:v>
                      </c:pt>
                      <c:pt idx="37">
                        <c:v>1.9190762770969614</c:v>
                      </c:pt>
                      <c:pt idx="38">
                        <c:v>1.9695782843889866</c:v>
                      </c:pt>
                      <c:pt idx="39">
                        <c:v>2.0200802916810119</c:v>
                      </c:pt>
                      <c:pt idx="40">
                        <c:v>2.0705822989730374</c:v>
                      </c:pt>
                      <c:pt idx="41">
                        <c:v>2.1210843062650628</c:v>
                      </c:pt>
                      <c:pt idx="42">
                        <c:v>2.1715863135570883</c:v>
                      </c:pt>
                      <c:pt idx="43">
                        <c:v>2.2220883208491138</c:v>
                      </c:pt>
                      <c:pt idx="44">
                        <c:v>2.2725903281411393</c:v>
                      </c:pt>
                      <c:pt idx="45">
                        <c:v>2.3230923354331647</c:v>
                      </c:pt>
                      <c:pt idx="46">
                        <c:v>2.3735943427251902</c:v>
                      </c:pt>
                      <c:pt idx="47">
                        <c:v>2.4240963500172157</c:v>
                      </c:pt>
                      <c:pt idx="48">
                        <c:v>2.4745983573092412</c:v>
                      </c:pt>
                      <c:pt idx="49">
                        <c:v>2.5251003646012666</c:v>
                      </c:pt>
                      <c:pt idx="50">
                        <c:v>2.5756023718932921</c:v>
                      </c:pt>
                      <c:pt idx="51">
                        <c:v>2.6261043791853176</c:v>
                      </c:pt>
                    </c:numCache>
                  </c:numRef>
                </c:val>
                <c:smooth val="0"/>
                <c:extLst xmlns:c15="http://schemas.microsoft.com/office/drawing/2012/chart">
                  <c:ext xmlns:c16="http://schemas.microsoft.com/office/drawing/2014/chart" uri="{C3380CC4-5D6E-409C-BE32-E72D297353CC}">
                    <c16:uniqueId val="{00000008-7B7A-4708-B9B0-C60FAE8CAAF6}"/>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'PBL OLD'!$DC$6:$DC$7</c15:sqref>
                        </c15:formulaRef>
                      </c:ext>
                    </c:extLst>
                    <c:strCache>
                      <c:ptCount val="2"/>
                      <c:pt idx="0">
                        <c:v>90th Percentile</c:v>
                      </c:pt>
                    </c:strCache>
                  </c:strRef>
                </c:tx>
                <c:spPr>
                  <a:ln w="28575">
                    <a:solidFill>
                      <a:schemeClr val="accent1"/>
                    </a:solidFill>
                    <a:prstDash val="sysDot"/>
                  </a:ln>
                </c:spPr>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OLD'!$DC$8:$DC$60</c15:sqref>
                        </c15:formulaRef>
                      </c:ext>
                    </c:extLst>
                    <c:numCache>
                      <c:formatCode>0.000</c:formatCode>
                      <c:ptCount val="53"/>
                      <c:pt idx="0">
                        <c:v>7.261484324723147E-2</c:v>
                      </c:pt>
                      <c:pt idx="1">
                        <c:v>0.14522968649446294</c:v>
                      </c:pt>
                      <c:pt idx="2">
                        <c:v>0.21784452974169441</c:v>
                      </c:pt>
                      <c:pt idx="3">
                        <c:v>0.29045937298892588</c:v>
                      </c:pt>
                      <c:pt idx="4">
                        <c:v>0.36307421623615732</c:v>
                      </c:pt>
                      <c:pt idx="5">
                        <c:v>0.43568905948338876</c:v>
                      </c:pt>
                      <c:pt idx="6">
                        <c:v>0.50830390273062021</c:v>
                      </c:pt>
                      <c:pt idx="7">
                        <c:v>0.58091874597785165</c:v>
                      </c:pt>
                      <c:pt idx="8">
                        <c:v>0.65353358922508309</c:v>
                      </c:pt>
                      <c:pt idx="9">
                        <c:v>0.72614843247231453</c:v>
                      </c:pt>
                      <c:pt idx="10">
                        <c:v>0.79876327571954597</c:v>
                      </c:pt>
                      <c:pt idx="11">
                        <c:v>0.87137811896677742</c:v>
                      </c:pt>
                      <c:pt idx="12">
                        <c:v>0.94399296221400886</c:v>
                      </c:pt>
                      <c:pt idx="13">
                        <c:v>1.0166078054612404</c:v>
                      </c:pt>
                      <c:pt idx="14">
                        <c:v>1.089222648708472</c:v>
                      </c:pt>
                      <c:pt idx="15">
                        <c:v>1.1618374919557035</c:v>
                      </c:pt>
                      <c:pt idx="16">
                        <c:v>1.2344523352029351</c:v>
                      </c:pt>
                      <c:pt idx="17">
                        <c:v>1.3070671784501666</c:v>
                      </c:pt>
                      <c:pt idx="18">
                        <c:v>1.3796820216973982</c:v>
                      </c:pt>
                      <c:pt idx="19">
                        <c:v>1.4522968649446297</c:v>
                      </c:pt>
                      <c:pt idx="20">
                        <c:v>1.5249117081918613</c:v>
                      </c:pt>
                      <c:pt idx="21">
                        <c:v>1.5975265514390928</c:v>
                      </c:pt>
                      <c:pt idx="22">
                        <c:v>1.6701413946863244</c:v>
                      </c:pt>
                      <c:pt idx="23">
                        <c:v>1.7427562379335559</c:v>
                      </c:pt>
                      <c:pt idx="24">
                        <c:v>1.8153710811807875</c:v>
                      </c:pt>
                      <c:pt idx="25">
                        <c:v>1.887985924428019</c:v>
                      </c:pt>
                      <c:pt idx="26">
                        <c:v>1.9606007676752506</c:v>
                      </c:pt>
                      <c:pt idx="27">
                        <c:v>2.0332156109224822</c:v>
                      </c:pt>
                      <c:pt idx="28">
                        <c:v>2.1058304541697135</c:v>
                      </c:pt>
                      <c:pt idx="29">
                        <c:v>2.1784452974169448</c:v>
                      </c:pt>
                      <c:pt idx="30">
                        <c:v>2.2510601406641761</c:v>
                      </c:pt>
                      <c:pt idx="31">
                        <c:v>2.3236749839114075</c:v>
                      </c:pt>
                      <c:pt idx="32">
                        <c:v>2.3962898271586388</c:v>
                      </c:pt>
                      <c:pt idx="33">
                        <c:v>2.4689046704058701</c:v>
                      </c:pt>
                      <c:pt idx="34">
                        <c:v>2.5415195136531015</c:v>
                      </c:pt>
                      <c:pt idx="35">
                        <c:v>2.6141343569003328</c:v>
                      </c:pt>
                      <c:pt idx="36">
                        <c:v>2.6867492001475641</c:v>
                      </c:pt>
                      <c:pt idx="37">
                        <c:v>2.7593640433947955</c:v>
                      </c:pt>
                      <c:pt idx="38">
                        <c:v>2.8319788866420268</c:v>
                      </c:pt>
                      <c:pt idx="39">
                        <c:v>2.9045937298892581</c:v>
                      </c:pt>
                      <c:pt idx="40">
                        <c:v>2.9772085731364895</c:v>
                      </c:pt>
                      <c:pt idx="41">
                        <c:v>3.0498234163837208</c:v>
                      </c:pt>
                      <c:pt idx="42">
                        <c:v>3.1224382596309521</c:v>
                      </c:pt>
                      <c:pt idx="43">
                        <c:v>3.1950531028781834</c:v>
                      </c:pt>
                      <c:pt idx="44">
                        <c:v>3.2676679461254148</c:v>
                      </c:pt>
                      <c:pt idx="45">
                        <c:v>3.3402827893726461</c:v>
                      </c:pt>
                      <c:pt idx="46">
                        <c:v>3.4128976326198774</c:v>
                      </c:pt>
                      <c:pt idx="47">
                        <c:v>3.4855124758671088</c:v>
                      </c:pt>
                      <c:pt idx="48">
                        <c:v>3.5581273191143401</c:v>
                      </c:pt>
                      <c:pt idx="49">
                        <c:v>3.6307421623615714</c:v>
                      </c:pt>
                      <c:pt idx="50">
                        <c:v>3.7033570056088028</c:v>
                      </c:pt>
                      <c:pt idx="51">
                        <c:v>3.7759718488560341</c:v>
                      </c:pt>
                    </c:numCache>
                  </c:numRef>
                </c:val>
                <c:smooth val="0"/>
                <c:extLst xmlns:c15="http://schemas.microsoft.com/office/drawing/2012/chart">
                  <c:ext xmlns:c16="http://schemas.microsoft.com/office/drawing/2014/chart" uri="{C3380CC4-5D6E-409C-BE32-E72D297353CC}">
                    <c16:uniqueId val="{00000009-7B7A-4708-B9B0-C60FAE8CAAF6}"/>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'PBL OLD'!$DE$6:$DE$7</c15:sqref>
                        </c15:formulaRef>
                      </c:ext>
                    </c:extLst>
                    <c:strCache>
                      <c:ptCount val="2"/>
                      <c:pt idx="0">
                        <c:v>99th Percentile</c:v>
                      </c:pt>
                    </c:strCache>
                  </c:strRef>
                </c:tx>
                <c:spPr>
                  <a:ln w="28575">
                    <a:solidFill>
                      <a:schemeClr val="accent1"/>
                    </a:solidFill>
                    <a:prstDash val="sysDot"/>
                  </a:ln>
                </c:spPr>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OLD'!$DE$8:$DE$60</c15:sqref>
                        </c15:formulaRef>
                      </c:ext>
                    </c:extLst>
                    <c:numCache>
                      <c:formatCode>0.000</c:formatCode>
                      <c:ptCount val="53"/>
                      <c:pt idx="0">
                        <c:v>8.472863847550996E-2</c:v>
                      </c:pt>
                      <c:pt idx="1">
                        <c:v>0.16945727695101992</c:v>
                      </c:pt>
                      <c:pt idx="2">
                        <c:v>0.25418591542652991</c:v>
                      </c:pt>
                      <c:pt idx="3">
                        <c:v>0.33891455390203984</c:v>
                      </c:pt>
                      <c:pt idx="4">
                        <c:v>0.42364319237754977</c:v>
                      </c:pt>
                      <c:pt idx="5">
                        <c:v>0.5083718308530597</c:v>
                      </c:pt>
                      <c:pt idx="6">
                        <c:v>0.59310046932856963</c:v>
                      </c:pt>
                      <c:pt idx="7">
                        <c:v>0.67782910780407957</c:v>
                      </c:pt>
                      <c:pt idx="8">
                        <c:v>0.7625577462795895</c:v>
                      </c:pt>
                      <c:pt idx="9">
                        <c:v>0.84728638475509943</c:v>
                      </c:pt>
                      <c:pt idx="10">
                        <c:v>0.93201502323060936</c:v>
                      </c:pt>
                      <c:pt idx="11">
                        <c:v>1.0167436617061194</c:v>
                      </c:pt>
                      <c:pt idx="12">
                        <c:v>1.1014723001816293</c:v>
                      </c:pt>
                      <c:pt idx="13">
                        <c:v>1.1862009386571393</c:v>
                      </c:pt>
                      <c:pt idx="14">
                        <c:v>1.2709295771326492</c:v>
                      </c:pt>
                      <c:pt idx="15">
                        <c:v>1.3556582156081591</c:v>
                      </c:pt>
                      <c:pt idx="16">
                        <c:v>1.4403868540836691</c:v>
                      </c:pt>
                      <c:pt idx="17">
                        <c:v>1.525115492559179</c:v>
                      </c:pt>
                      <c:pt idx="18">
                        <c:v>1.6098441310346889</c:v>
                      </c:pt>
                      <c:pt idx="19">
                        <c:v>1.6945727695101989</c:v>
                      </c:pt>
                      <c:pt idx="20">
                        <c:v>1.7793014079857088</c:v>
                      </c:pt>
                      <c:pt idx="21">
                        <c:v>1.8640300464612187</c:v>
                      </c:pt>
                      <c:pt idx="22">
                        <c:v>1.9487586849367287</c:v>
                      </c:pt>
                      <c:pt idx="23">
                        <c:v>2.0334873234122388</c:v>
                      </c:pt>
                      <c:pt idx="24">
                        <c:v>2.1182159618877487</c:v>
                      </c:pt>
                      <c:pt idx="25">
                        <c:v>2.2029446003632587</c:v>
                      </c:pt>
                      <c:pt idx="26">
                        <c:v>2.2876732388387686</c:v>
                      </c:pt>
                      <c:pt idx="27">
                        <c:v>2.3724018773142785</c:v>
                      </c:pt>
                      <c:pt idx="28">
                        <c:v>2.4571305157897885</c:v>
                      </c:pt>
                      <c:pt idx="29">
                        <c:v>2.5418591542652984</c:v>
                      </c:pt>
                      <c:pt idx="30">
                        <c:v>2.6265877927408083</c:v>
                      </c:pt>
                      <c:pt idx="31">
                        <c:v>2.7113164312163183</c:v>
                      </c:pt>
                      <c:pt idx="32">
                        <c:v>2.7960450696918282</c:v>
                      </c:pt>
                      <c:pt idx="33">
                        <c:v>2.8807737081673381</c:v>
                      </c:pt>
                      <c:pt idx="34">
                        <c:v>2.9655023466428481</c:v>
                      </c:pt>
                      <c:pt idx="35">
                        <c:v>3.050230985118358</c:v>
                      </c:pt>
                      <c:pt idx="36">
                        <c:v>3.1349596235938679</c:v>
                      </c:pt>
                      <c:pt idx="37">
                        <c:v>3.2196882620693779</c:v>
                      </c:pt>
                      <c:pt idx="38">
                        <c:v>3.3044169005448878</c:v>
                      </c:pt>
                      <c:pt idx="39">
                        <c:v>3.3891455390203977</c:v>
                      </c:pt>
                      <c:pt idx="40">
                        <c:v>3.4738741774959077</c:v>
                      </c:pt>
                      <c:pt idx="41">
                        <c:v>3.5586028159714176</c:v>
                      </c:pt>
                      <c:pt idx="42">
                        <c:v>3.6433314544469275</c:v>
                      </c:pt>
                      <c:pt idx="43">
                        <c:v>3.7280600929224375</c:v>
                      </c:pt>
                      <c:pt idx="44">
                        <c:v>3.8127887313979474</c:v>
                      </c:pt>
                      <c:pt idx="45">
                        <c:v>3.8975173698734573</c:v>
                      </c:pt>
                      <c:pt idx="46">
                        <c:v>3.9822460083489672</c:v>
                      </c:pt>
                      <c:pt idx="47">
                        <c:v>4.0669746468244776</c:v>
                      </c:pt>
                      <c:pt idx="48">
                        <c:v>4.1517032852999876</c:v>
                      </c:pt>
                      <c:pt idx="49">
                        <c:v>4.2364319237754975</c:v>
                      </c:pt>
                      <c:pt idx="50">
                        <c:v>4.3211605622510074</c:v>
                      </c:pt>
                      <c:pt idx="51">
                        <c:v>4.4058892007265174</c:v>
                      </c:pt>
                    </c:numCache>
                  </c:numRef>
                </c:val>
                <c:smooth val="0"/>
                <c:extLst xmlns:c15="http://schemas.microsoft.com/office/drawing/2012/chart">
                  <c:ext xmlns:c16="http://schemas.microsoft.com/office/drawing/2014/chart" uri="{C3380CC4-5D6E-409C-BE32-E72D297353CC}">
                    <c16:uniqueId val="{0000000A-7B7A-4708-B9B0-C60FAE8CAAF6}"/>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'PBL OLD'!$DF$6:$DF$7</c15:sqref>
                        </c15:formulaRef>
                      </c:ext>
                    </c:extLst>
                    <c:strCache>
                      <c:ptCount val="2"/>
                      <c:pt idx="0">
                        <c:v>Max</c:v>
                      </c:pt>
                    </c:strCache>
                  </c:strRef>
                </c:tx>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OLD'!$DF$8:$DF$60</c15:sqref>
                        </c15:formulaRef>
                      </c:ext>
                    </c:extLst>
                    <c:numCache>
                      <c:formatCode>0.000</c:formatCode>
                      <c:ptCount val="53"/>
                      <c:pt idx="0">
                        <c:v>0.10288241710741779</c:v>
                      </c:pt>
                      <c:pt idx="1">
                        <c:v>0.20576483421483557</c:v>
                      </c:pt>
                      <c:pt idx="2">
                        <c:v>0.30864725132225335</c:v>
                      </c:pt>
                      <c:pt idx="3">
                        <c:v>0.41152966842967115</c:v>
                      </c:pt>
                      <c:pt idx="4">
                        <c:v>0.51441208553708895</c:v>
                      </c:pt>
                      <c:pt idx="5">
                        <c:v>0.61729450264450669</c:v>
                      </c:pt>
                      <c:pt idx="6">
                        <c:v>0.72017691975192444</c:v>
                      </c:pt>
                      <c:pt idx="7">
                        <c:v>0.82305933685934218</c:v>
                      </c:pt>
                      <c:pt idx="8">
                        <c:v>0.92594175396675993</c:v>
                      </c:pt>
                      <c:pt idx="9">
                        <c:v>1.0288241710741777</c:v>
                      </c:pt>
                      <c:pt idx="10">
                        <c:v>1.1317065881815955</c:v>
                      </c:pt>
                      <c:pt idx="11">
                        <c:v>1.2345890052890134</c:v>
                      </c:pt>
                      <c:pt idx="12">
                        <c:v>1.3374714223964312</c:v>
                      </c:pt>
                      <c:pt idx="13">
                        <c:v>1.4403538395038491</c:v>
                      </c:pt>
                      <c:pt idx="14">
                        <c:v>1.543236256611267</c:v>
                      </c:pt>
                      <c:pt idx="15">
                        <c:v>1.6461186737186848</c:v>
                      </c:pt>
                      <c:pt idx="16">
                        <c:v>1.7490010908261027</c:v>
                      </c:pt>
                      <c:pt idx="17">
                        <c:v>1.8518835079335205</c:v>
                      </c:pt>
                      <c:pt idx="18">
                        <c:v>1.9547659250409384</c:v>
                      </c:pt>
                      <c:pt idx="19">
                        <c:v>2.0576483421483562</c:v>
                      </c:pt>
                      <c:pt idx="20">
                        <c:v>2.1605307592557739</c:v>
                      </c:pt>
                      <c:pt idx="21">
                        <c:v>2.2634131763631915</c:v>
                      </c:pt>
                      <c:pt idx="22">
                        <c:v>2.3662955934706091</c:v>
                      </c:pt>
                      <c:pt idx="23">
                        <c:v>2.4691780105780268</c:v>
                      </c:pt>
                      <c:pt idx="24">
                        <c:v>2.5720604276854444</c:v>
                      </c:pt>
                      <c:pt idx="25">
                        <c:v>2.674942844792862</c:v>
                      </c:pt>
                      <c:pt idx="26">
                        <c:v>2.7778252619002797</c:v>
                      </c:pt>
                      <c:pt idx="27">
                        <c:v>2.8807076790076973</c:v>
                      </c:pt>
                      <c:pt idx="28">
                        <c:v>2.9835900961151149</c:v>
                      </c:pt>
                      <c:pt idx="29">
                        <c:v>3.0864725132225326</c:v>
                      </c:pt>
                      <c:pt idx="30">
                        <c:v>3.1893549303299502</c:v>
                      </c:pt>
                      <c:pt idx="31">
                        <c:v>3.2922373474373678</c:v>
                      </c:pt>
                      <c:pt idx="32">
                        <c:v>3.3951197645447855</c:v>
                      </c:pt>
                      <c:pt idx="33">
                        <c:v>3.4980021816522031</c:v>
                      </c:pt>
                      <c:pt idx="34">
                        <c:v>3.6008845987596207</c:v>
                      </c:pt>
                      <c:pt idx="35">
                        <c:v>3.7037670158670384</c:v>
                      </c:pt>
                      <c:pt idx="36">
                        <c:v>3.806649432974456</c:v>
                      </c:pt>
                      <c:pt idx="37">
                        <c:v>3.9095318500818736</c:v>
                      </c:pt>
                      <c:pt idx="38">
                        <c:v>4.0124142671892917</c:v>
                      </c:pt>
                      <c:pt idx="39">
                        <c:v>4.1152966842967098</c:v>
                      </c:pt>
                      <c:pt idx="40">
                        <c:v>4.2181791014041279</c:v>
                      </c:pt>
                      <c:pt idx="41">
                        <c:v>4.321061518511546</c:v>
                      </c:pt>
                      <c:pt idx="42">
                        <c:v>4.423943935618964</c:v>
                      </c:pt>
                      <c:pt idx="43">
                        <c:v>4.5268263527263821</c:v>
                      </c:pt>
                      <c:pt idx="44">
                        <c:v>4.6297087698338002</c:v>
                      </c:pt>
                      <c:pt idx="45">
                        <c:v>4.7325911869412183</c:v>
                      </c:pt>
                      <c:pt idx="46">
                        <c:v>4.8354736040486364</c:v>
                      </c:pt>
                      <c:pt idx="47">
                        <c:v>4.9383560211560544</c:v>
                      </c:pt>
                      <c:pt idx="48">
                        <c:v>5.0412384382634725</c:v>
                      </c:pt>
                      <c:pt idx="49">
                        <c:v>5.1441208553708906</c:v>
                      </c:pt>
                      <c:pt idx="50">
                        <c:v>5.2470032724783087</c:v>
                      </c:pt>
                      <c:pt idx="51">
                        <c:v>5.3498856895857267</c:v>
                      </c:pt>
                    </c:numCache>
                  </c:numRef>
                </c:val>
                <c:smooth val="0"/>
                <c:extLst xmlns:c15="http://schemas.microsoft.com/office/drawing/2012/chart">
                  <c:ext xmlns:c16="http://schemas.microsoft.com/office/drawing/2014/chart" uri="{C3380CC4-5D6E-409C-BE32-E72D297353CC}">
                    <c16:uniqueId val="{0000000B-7B7A-4708-B9B0-C60FAE8CAAF6}"/>
                  </c:ext>
                </c:extLst>
              </c15:ser>
            </c15:filteredLineSeries>
          </c:ext>
        </c:extLst>
      </c:lineChart>
      <c:dateAx>
        <c:axId val="1388952432"/>
        <c:scaling>
          <c:orientation val="minMax"/>
        </c:scaling>
        <c:delete val="0"/>
        <c:axPos val="b"/>
        <c:numFmt formatCode="mmm\-yy_);\(###0\);&quot;-  &quot;;&quot; &quot;@&quot; &quot;" sourceLinked="0"/>
        <c:majorTickMark val="none"/>
        <c:minorTickMark val="none"/>
        <c:tickLblPos val="nextTo"/>
        <c:spPr>
          <a:noFill/>
          <a:ln w="9525" cap="flat" cmpd="sng" algn="ctr">
            <a:noFill/>
            <a:round/>
          </a:ln>
          <a:effectLst/>
        </c:spPr>
        <c:txPr>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3088"/>
        <c:crosses val="autoZero"/>
        <c:auto val="1"/>
        <c:lblOffset val="100"/>
        <c:baseTimeUnit val="days"/>
        <c:majorUnit val="1"/>
        <c:majorTimeUnit val="months"/>
      </c:dateAx>
      <c:valAx>
        <c:axId val="13889530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2432"/>
        <c:crosses val="autoZero"/>
        <c:crossBetween val="between"/>
      </c:valAx>
    </c:plotArea>
    <c:legend>
      <c:legendPos val="b"/>
      <c:legendEntry>
        <c:idx val="1"/>
        <c:delete val="1"/>
      </c:legendEntry>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orientation="portrait"/>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dLbls>
          <c:showLegendKey val="0"/>
          <c:showVal val="0"/>
          <c:showCatName val="0"/>
          <c:showSerName val="0"/>
          <c:showPercent val="0"/>
          <c:showBubbleSize val="0"/>
        </c:dLbls>
        <c:axId val="1388952432"/>
        <c:axId val="1388953088"/>
        <c:extLst>
          <c:ext xmlns:c15="http://schemas.microsoft.com/office/drawing/2012/chart" uri="{02D57815-91ED-43cb-92C2-25804820EDAC}">
            <c15:filteredAreaSeries>
              <c15:ser>
                <c:idx val="12"/>
                <c:order val="13"/>
                <c:tx>
                  <c:v>Normal Sequence</c:v>
                </c:tx>
                <c:spPr>
                  <a:solidFill>
                    <a:srgbClr val="FFFFCC"/>
                  </a:solidFill>
                </c:spPr>
                <c:val>
                  <c:numRef>
                    <c:extLst>
                      <c:ext uri="{02D57815-91ED-43cb-92C2-25804820EDAC}">
                        <c15:formulaRef>
                          <c15:sqref>'PBL OLD'!$HS$8:$HS$33</c15:sqref>
                        </c15:formulaRef>
                      </c:ext>
                    </c:extLst>
                    <c:numCache>
                      <c:formatCode>General</c:formatCode>
                      <c:ptCount val="26"/>
                      <c:pt idx="0">
                        <c:v>4</c:v>
                      </c:pt>
                      <c:pt idx="1">
                        <c:v>4</c:v>
                      </c:pt>
                      <c:pt idx="2">
                        <c:v>4</c:v>
                      </c:pt>
                      <c:pt idx="3">
                        <c:v>4</c:v>
                      </c:pt>
                      <c:pt idx="4">
                        <c:v>4</c:v>
                      </c:pt>
                      <c:pt idx="5">
                        <c:v>4</c:v>
                      </c:pt>
                      <c:pt idx="6">
                        <c:v>4</c:v>
                      </c:pt>
                      <c:pt idx="7">
                        <c:v>4</c:v>
                      </c:pt>
                      <c:pt idx="8">
                        <c:v>4</c:v>
                      </c:pt>
                      <c:pt idx="9">
                        <c:v>4</c:v>
                      </c:pt>
                      <c:pt idx="10">
                        <c:v>4</c:v>
                      </c:pt>
                    </c:numCache>
                  </c:numRef>
                </c:val>
                <c:extLst>
                  <c:ext xmlns:c16="http://schemas.microsoft.com/office/drawing/2014/chart" uri="{C3380CC4-5D6E-409C-BE32-E72D297353CC}">
                    <c16:uniqueId val="{0000000D-4007-40F8-AAB5-CC1620C5FFD6}"/>
                  </c:ext>
                </c:extLst>
              </c15:ser>
            </c15:filteredAreaSeries>
            <c15:filteredAreaSeries>
              <c15:ser>
                <c:idx val="13"/>
                <c:order val="14"/>
                <c:tx>
                  <c:v>Accelerated Sequence</c:v>
                </c:tx>
                <c:spPr>
                  <a:solidFill>
                    <a:schemeClr val="accent5">
                      <a:lumMod val="20000"/>
                      <a:lumOff val="80000"/>
                    </a:schemeClr>
                  </a:solidFill>
                </c:spPr>
                <c:val>
                  <c:numRef>
                    <c:extLst xmlns:c15="http://schemas.microsoft.com/office/drawing/2012/chart">
                      <c:ext xmlns:c15="http://schemas.microsoft.com/office/drawing/2012/chart" uri="{02D57815-91ED-43cb-92C2-25804820EDAC}">
                        <c15:formulaRef>
                          <c15:sqref>'PBL OLD'!$HT$8:$HT$33</c15:sqref>
                        </c15:formulaRef>
                      </c:ext>
                    </c:extLst>
                    <c:numCache>
                      <c:formatCode>General</c:formatCode>
                      <c:ptCount val="26"/>
                      <c:pt idx="10">
                        <c:v>4</c:v>
                      </c:pt>
                      <c:pt idx="11">
                        <c:v>4</c:v>
                      </c:pt>
                      <c:pt idx="12">
                        <c:v>4</c:v>
                      </c:pt>
                      <c:pt idx="13">
                        <c:v>4</c:v>
                      </c:pt>
                      <c:pt idx="14">
                        <c:v>4</c:v>
                      </c:pt>
                      <c:pt idx="15">
                        <c:v>4</c:v>
                      </c:pt>
                      <c:pt idx="16">
                        <c:v>4</c:v>
                      </c:pt>
                      <c:pt idx="17">
                        <c:v>4</c:v>
                      </c:pt>
                      <c:pt idx="18">
                        <c:v>4</c:v>
                      </c:pt>
                      <c:pt idx="19">
                        <c:v>4</c:v>
                      </c:pt>
                      <c:pt idx="20">
                        <c:v>4</c:v>
                      </c:pt>
                      <c:pt idx="21">
                        <c:v>4</c:v>
                      </c:pt>
                      <c:pt idx="22">
                        <c:v>4</c:v>
                      </c:pt>
                      <c:pt idx="23">
                        <c:v>4</c:v>
                      </c:pt>
                      <c:pt idx="24">
                        <c:v>4</c:v>
                      </c:pt>
                      <c:pt idx="25">
                        <c:v>4</c:v>
                      </c:pt>
                    </c:numCache>
                  </c:numRef>
                </c:val>
                <c:extLst xmlns:c15="http://schemas.microsoft.com/office/drawing/2012/chart">
                  <c:ext xmlns:c16="http://schemas.microsoft.com/office/drawing/2014/chart" uri="{C3380CC4-5D6E-409C-BE32-E72D297353CC}">
                    <c16:uniqueId val="{0000000E-4007-40F8-AAB5-CC1620C5FFD6}"/>
                  </c:ext>
                </c:extLst>
              </c15:ser>
            </c15:filteredAreaSeries>
          </c:ext>
        </c:extLst>
      </c:areaChart>
      <c:lineChart>
        <c:grouping val="standard"/>
        <c:varyColors val="0"/>
        <c:ser>
          <c:idx val="0"/>
          <c:order val="0"/>
          <c:tx>
            <c:v>Actual - Normal Sequence</c:v>
          </c:tx>
          <c:spPr>
            <a:ln>
              <a:solidFill>
                <a:schemeClr val="accent1"/>
              </a:solidFill>
            </a:ln>
          </c:spPr>
          <c:marker>
            <c:symbol val="none"/>
          </c:marker>
          <c:cat>
            <c:numRef>
              <c:f>'PBL OLD'!$HA$8:$HA$33</c:f>
              <c:numCache>
                <c:formatCode>d\-mmm\-yy_);\(###0\);"-  ";" "@" "</c:formatCode>
                <c:ptCount val="26"/>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numCache>
            </c:numRef>
          </c:cat>
          <c:val>
            <c:numRef>
              <c:f>'PBL OLD'!$HB$8:$HB$33</c:f>
              <c:numCache>
                <c:formatCode>0.000</c:formatCode>
                <c:ptCount val="26"/>
                <c:pt idx="0">
                  <c:v>2.4383432684147156E-2</c:v>
                </c:pt>
                <c:pt idx="1">
                  <c:v>5.7456335077458197E-2</c:v>
                </c:pt>
                <c:pt idx="2">
                  <c:v>8.2897301732709039E-2</c:v>
                </c:pt>
                <c:pt idx="3">
                  <c:v>0.10634933406608696</c:v>
                </c:pt>
                <c:pt idx="4">
                  <c:v>0.13586762292789298</c:v>
                </c:pt>
                <c:pt idx="5">
                  <c:v>0.18374004427397994</c:v>
                </c:pt>
                <c:pt idx="6">
                  <c:v>0.20803473319331103</c:v>
                </c:pt>
                <c:pt idx="7">
                  <c:v>0.23891877923157193</c:v>
                </c:pt>
                <c:pt idx="8">
                  <c:v>0.28713984685163879</c:v>
                </c:pt>
                <c:pt idx="9">
                  <c:v>0.3616614278523077</c:v>
                </c:pt>
              </c:numCache>
            </c:numRef>
          </c:val>
          <c:smooth val="0"/>
          <c:extLst>
            <c:ext xmlns:c16="http://schemas.microsoft.com/office/drawing/2014/chart" uri="{C3380CC4-5D6E-409C-BE32-E72D297353CC}">
              <c16:uniqueId val="{00000000-4007-40F8-AAB5-CC1620C5FFD6}"/>
            </c:ext>
          </c:extLst>
        </c:ser>
        <c:ser>
          <c:idx val="14"/>
          <c:order val="1"/>
          <c:tx>
            <c:v>Actual - Accelerated Sequence</c:v>
          </c:tx>
          <c:spPr>
            <a:ln>
              <a:solidFill>
                <a:schemeClr val="tx2"/>
              </a:solidFill>
            </a:ln>
          </c:spPr>
          <c:marker>
            <c:symbol val="none"/>
          </c:marker>
          <c:val>
            <c:numRef>
              <c:f>'PBL OLD'!$HC$8:$HC$33</c:f>
              <c:numCache>
                <c:formatCode>0.000</c:formatCode>
                <c:ptCount val="26"/>
                <c:pt idx="9">
                  <c:v>0.3616614278523077</c:v>
                </c:pt>
                <c:pt idx="10">
                  <c:v>0.392004627321204</c:v>
                </c:pt>
                <c:pt idx="11">
                  <c:v>0.41949779873926418</c:v>
                </c:pt>
                <c:pt idx="12">
                  <c:v>0.46306182742073576</c:v>
                </c:pt>
                <c:pt idx="13">
                  <c:v>0.52060037325672237</c:v>
                </c:pt>
                <c:pt idx="14">
                  <c:v>0.6148648724923077</c:v>
                </c:pt>
                <c:pt idx="15">
                  <c:v>0.83700126369498329</c:v>
                </c:pt>
                <c:pt idx="16">
                  <c:v>1.1825944978628762</c:v>
                </c:pt>
                <c:pt idx="17">
                  <c:v>1.2153577144507022</c:v>
                </c:pt>
                <c:pt idx="18">
                  <c:v>1.2691323901694982</c:v>
                </c:pt>
                <c:pt idx="19">
                  <c:v>1.3310424487488961</c:v>
                </c:pt>
                <c:pt idx="20">
                  <c:v>1.4175102073723076</c:v>
                </c:pt>
                <c:pt idx="21">
                  <c:v>1.4481012105839461</c:v>
                </c:pt>
                <c:pt idx="22">
                  <c:v>1.4946211055890297</c:v>
                </c:pt>
                <c:pt idx="23">
                  <c:v>1.5554005903488961</c:v>
                </c:pt>
                <c:pt idx="24">
                  <c:v>1.6472886013460868</c:v>
                </c:pt>
                <c:pt idx="25">
                  <c:v>1.8141838940449495</c:v>
                </c:pt>
              </c:numCache>
            </c:numRef>
          </c:val>
          <c:smooth val="0"/>
          <c:extLst>
            <c:ext xmlns:c16="http://schemas.microsoft.com/office/drawing/2014/chart" uri="{C3380CC4-5D6E-409C-BE32-E72D297353CC}">
              <c16:uniqueId val="{00000001-4007-40F8-AAB5-CC1620C5FFD6}"/>
            </c:ext>
          </c:extLst>
        </c:ser>
        <c:ser>
          <c:idx val="7"/>
          <c:order val="4"/>
          <c:tx>
            <c:strRef>
              <c:f>'PBL OLD'!$HF$6:$HF$7</c:f>
              <c:strCache>
                <c:ptCount val="2"/>
                <c:pt idx="0">
                  <c:v>5th Percentile</c:v>
                </c:pt>
              </c:strCache>
            </c:strRef>
          </c:tx>
          <c:spPr>
            <a:ln w="25400">
              <a:solidFill>
                <a:schemeClr val="bg2"/>
              </a:solidFill>
              <a:prstDash val="sysDot"/>
            </a:ln>
          </c:spPr>
          <c:marker>
            <c:symbol val="none"/>
          </c:marker>
          <c:cat>
            <c:numRef>
              <c:f>'PBL OLD'!$HA$8:$HA$33</c:f>
              <c:numCache>
                <c:formatCode>d\-mmm\-yy_);\(###0\);"-  ";" "@" "</c:formatCode>
                <c:ptCount val="26"/>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numCache>
            </c:numRef>
          </c:cat>
          <c:val>
            <c:numRef>
              <c:f>'PBL OLD'!$HF$8:$HF$33</c:f>
              <c:numCache>
                <c:formatCode>0.000</c:formatCode>
                <c:ptCount val="26"/>
                <c:pt idx="9">
                  <c:v>0.3616614278523077</c:v>
                </c:pt>
                <c:pt idx="10">
                  <c:v>0.40693820624009647</c:v>
                </c:pt>
                <c:pt idx="11">
                  <c:v>0.45221498462788523</c:v>
                </c:pt>
                <c:pt idx="12">
                  <c:v>0.49749176301567399</c:v>
                </c:pt>
                <c:pt idx="13">
                  <c:v>0.54276854140346276</c:v>
                </c:pt>
                <c:pt idx="14">
                  <c:v>0.58804531979125152</c:v>
                </c:pt>
                <c:pt idx="15">
                  <c:v>0.63332209817904028</c:v>
                </c:pt>
                <c:pt idx="16">
                  <c:v>0.67859887656682905</c:v>
                </c:pt>
                <c:pt idx="17">
                  <c:v>0.72387565495461781</c:v>
                </c:pt>
                <c:pt idx="18">
                  <c:v>0.76915243334240657</c:v>
                </c:pt>
                <c:pt idx="19">
                  <c:v>0.81442921173019533</c:v>
                </c:pt>
                <c:pt idx="20">
                  <c:v>0.8597059901179841</c:v>
                </c:pt>
                <c:pt idx="21">
                  <c:v>0.90498276850577286</c:v>
                </c:pt>
                <c:pt idx="22">
                  <c:v>0.95025954689356162</c:v>
                </c:pt>
                <c:pt idx="23">
                  <c:v>0.99553632528135039</c:v>
                </c:pt>
                <c:pt idx="24">
                  <c:v>1.040813103669139</c:v>
                </c:pt>
                <c:pt idx="25">
                  <c:v>1.0860898820569278</c:v>
                </c:pt>
              </c:numCache>
            </c:numRef>
          </c:val>
          <c:smooth val="0"/>
          <c:extLst xmlns:c15="http://schemas.microsoft.com/office/drawing/2012/chart">
            <c:ext xmlns:c16="http://schemas.microsoft.com/office/drawing/2014/chart" uri="{C3380CC4-5D6E-409C-BE32-E72D297353CC}">
              <c16:uniqueId val="{00000002-4007-40F8-AAB5-CC1620C5FFD6}"/>
            </c:ext>
          </c:extLst>
        </c:ser>
        <c:ser>
          <c:idx val="2"/>
          <c:order val="6"/>
          <c:tx>
            <c:v>5/25/50/75/95th percentile</c:v>
          </c:tx>
          <c:spPr>
            <a:ln w="25400">
              <a:solidFill>
                <a:schemeClr val="bg2"/>
              </a:solidFill>
              <a:prstDash val="sysDot"/>
            </a:ln>
          </c:spPr>
          <c:marker>
            <c:symbol val="none"/>
          </c:marker>
          <c:cat>
            <c:numRef>
              <c:f>'PBL OLD'!$HA$8:$HA$33</c:f>
              <c:numCache>
                <c:formatCode>d\-mmm\-yy_);\(###0\);"-  ";" "@" "</c:formatCode>
                <c:ptCount val="26"/>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numCache>
            </c:numRef>
          </c:cat>
          <c:val>
            <c:numRef>
              <c:f>'PBL OLD'!$HH$8:$HH$33</c:f>
              <c:numCache>
                <c:formatCode>0.000</c:formatCode>
                <c:ptCount val="26"/>
                <c:pt idx="9">
                  <c:v>0.3616614278523077</c:v>
                </c:pt>
                <c:pt idx="10">
                  <c:v>0.41569927076423147</c:v>
                </c:pt>
                <c:pt idx="11">
                  <c:v>0.46973711367615523</c:v>
                </c:pt>
                <c:pt idx="12">
                  <c:v>0.52377495658807893</c:v>
                </c:pt>
                <c:pt idx="13">
                  <c:v>0.57781279950000264</c:v>
                </c:pt>
                <c:pt idx="14">
                  <c:v>0.63185064241192634</c:v>
                </c:pt>
                <c:pt idx="15">
                  <c:v>0.68588848532385005</c:v>
                </c:pt>
                <c:pt idx="16">
                  <c:v>0.73992632823577376</c:v>
                </c:pt>
                <c:pt idx="17">
                  <c:v>0.79396417114769746</c:v>
                </c:pt>
                <c:pt idx="18">
                  <c:v>0.84800201405962117</c:v>
                </c:pt>
                <c:pt idx="19">
                  <c:v>0.90203985697154487</c:v>
                </c:pt>
                <c:pt idx="20">
                  <c:v>0.95607769988346858</c:v>
                </c:pt>
                <c:pt idx="21">
                  <c:v>1.0101155427953923</c:v>
                </c:pt>
                <c:pt idx="22">
                  <c:v>1.064153385707316</c:v>
                </c:pt>
                <c:pt idx="23">
                  <c:v>1.1181912286192397</c:v>
                </c:pt>
                <c:pt idx="24">
                  <c:v>1.1722290715311634</c:v>
                </c:pt>
                <c:pt idx="25">
                  <c:v>1.2262669144430871</c:v>
                </c:pt>
              </c:numCache>
            </c:numRef>
          </c:val>
          <c:smooth val="0"/>
          <c:extLst>
            <c:ext xmlns:c16="http://schemas.microsoft.com/office/drawing/2014/chart" uri="{C3380CC4-5D6E-409C-BE32-E72D297353CC}">
              <c16:uniqueId val="{00000003-4007-40F8-AAB5-CC1620C5FFD6}"/>
            </c:ext>
          </c:extLst>
        </c:ser>
        <c:ser>
          <c:idx val="4"/>
          <c:order val="7"/>
          <c:tx>
            <c:strRef>
              <c:f>'PBL OLD'!$HI$6:$HI$7</c:f>
              <c:strCache>
                <c:ptCount val="2"/>
                <c:pt idx="0">
                  <c:v>50th Percentile</c:v>
                </c:pt>
              </c:strCache>
            </c:strRef>
          </c:tx>
          <c:spPr>
            <a:ln w="25400">
              <a:solidFill>
                <a:schemeClr val="bg2"/>
              </a:solidFill>
              <a:prstDash val="sysDot"/>
            </a:ln>
          </c:spPr>
          <c:marker>
            <c:symbol val="none"/>
          </c:marker>
          <c:cat>
            <c:numRef>
              <c:f>'PBL OLD'!$HA$8:$HA$33</c:f>
              <c:numCache>
                <c:formatCode>d\-mmm\-yy_);\(###0\);"-  ";" "@" "</c:formatCode>
                <c:ptCount val="26"/>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numCache>
            </c:numRef>
          </c:cat>
          <c:val>
            <c:numRef>
              <c:f>'PBL OLD'!$HI$8:$HI$33</c:f>
              <c:numCache>
                <c:formatCode>0.000</c:formatCode>
                <c:ptCount val="26"/>
                <c:pt idx="9">
                  <c:v>0.3616614278523077</c:v>
                </c:pt>
                <c:pt idx="10">
                  <c:v>0.42229315291781272</c:v>
                </c:pt>
                <c:pt idx="11">
                  <c:v>0.48292487798331774</c:v>
                </c:pt>
                <c:pt idx="12">
                  <c:v>0.5435566030488227</c:v>
                </c:pt>
                <c:pt idx="13">
                  <c:v>0.60418832811432766</c:v>
                </c:pt>
                <c:pt idx="14">
                  <c:v>0.66482005317983262</c:v>
                </c:pt>
                <c:pt idx="15">
                  <c:v>0.72545177824533758</c:v>
                </c:pt>
                <c:pt idx="16">
                  <c:v>0.78608350331084254</c:v>
                </c:pt>
                <c:pt idx="17">
                  <c:v>0.8467152283763475</c:v>
                </c:pt>
                <c:pt idx="18">
                  <c:v>0.90734695344185246</c:v>
                </c:pt>
                <c:pt idx="19">
                  <c:v>0.96797867850735742</c:v>
                </c:pt>
                <c:pt idx="20">
                  <c:v>1.0286104035728625</c:v>
                </c:pt>
                <c:pt idx="21">
                  <c:v>1.0892421286383676</c:v>
                </c:pt>
                <c:pt idx="22">
                  <c:v>1.1498738537038726</c:v>
                </c:pt>
                <c:pt idx="23">
                  <c:v>1.2105055787693777</c:v>
                </c:pt>
                <c:pt idx="24">
                  <c:v>1.2711373038348828</c:v>
                </c:pt>
                <c:pt idx="25">
                  <c:v>1.3317690289003878</c:v>
                </c:pt>
              </c:numCache>
            </c:numRef>
          </c:val>
          <c:smooth val="0"/>
          <c:extLst>
            <c:ext xmlns:c16="http://schemas.microsoft.com/office/drawing/2014/chart" uri="{C3380CC4-5D6E-409C-BE32-E72D297353CC}">
              <c16:uniqueId val="{00000004-4007-40F8-AAB5-CC1620C5FFD6}"/>
            </c:ext>
          </c:extLst>
        </c:ser>
        <c:ser>
          <c:idx val="6"/>
          <c:order val="8"/>
          <c:tx>
            <c:strRef>
              <c:f>'PBL OLD'!$HJ$6:$HJ$7</c:f>
              <c:strCache>
                <c:ptCount val="2"/>
                <c:pt idx="0">
                  <c:v>75th Percentile</c:v>
                </c:pt>
              </c:strCache>
            </c:strRef>
          </c:tx>
          <c:spPr>
            <a:ln w="25400">
              <a:solidFill>
                <a:schemeClr val="bg2"/>
              </a:solidFill>
              <a:prstDash val="sysDot"/>
            </a:ln>
          </c:spPr>
          <c:marker>
            <c:symbol val="none"/>
          </c:marker>
          <c:cat>
            <c:numRef>
              <c:f>'PBL OLD'!$HA$8:$HA$33</c:f>
              <c:numCache>
                <c:formatCode>d\-mmm\-yy_);\(###0\);"-  ";" "@" "</c:formatCode>
                <c:ptCount val="26"/>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numCache>
            </c:numRef>
          </c:cat>
          <c:val>
            <c:numRef>
              <c:f>'PBL OLD'!$HJ$8:$HJ$33</c:f>
              <c:numCache>
                <c:formatCode>0.000</c:formatCode>
                <c:ptCount val="26"/>
                <c:pt idx="9">
                  <c:v>0.3616614278523077</c:v>
                </c:pt>
                <c:pt idx="10">
                  <c:v>0.43726896691388151</c:v>
                </c:pt>
                <c:pt idx="11">
                  <c:v>0.51287650597545531</c:v>
                </c:pt>
                <c:pt idx="12">
                  <c:v>0.58848404503702911</c:v>
                </c:pt>
                <c:pt idx="13">
                  <c:v>0.66409158409860292</c:v>
                </c:pt>
                <c:pt idx="14">
                  <c:v>0.73969912316017672</c:v>
                </c:pt>
                <c:pt idx="15">
                  <c:v>0.81530666222175052</c:v>
                </c:pt>
                <c:pt idx="16">
                  <c:v>0.89091420128332433</c:v>
                </c:pt>
                <c:pt idx="17">
                  <c:v>0.96652174034489813</c:v>
                </c:pt>
                <c:pt idx="18">
                  <c:v>1.0421292794064718</c:v>
                </c:pt>
                <c:pt idx="19">
                  <c:v>1.1177368184680456</c:v>
                </c:pt>
                <c:pt idx="20">
                  <c:v>1.1933443575296194</c:v>
                </c:pt>
                <c:pt idx="21">
                  <c:v>1.2689518965911932</c:v>
                </c:pt>
                <c:pt idx="22">
                  <c:v>1.344559435652767</c:v>
                </c:pt>
                <c:pt idx="23">
                  <c:v>1.4201669747143408</c:v>
                </c:pt>
                <c:pt idx="24">
                  <c:v>1.4957745137759146</c:v>
                </c:pt>
                <c:pt idx="25">
                  <c:v>1.5713820528374884</c:v>
                </c:pt>
              </c:numCache>
            </c:numRef>
          </c:val>
          <c:smooth val="0"/>
          <c:extLst xmlns:c15="http://schemas.microsoft.com/office/drawing/2012/chart">
            <c:ext xmlns:c16="http://schemas.microsoft.com/office/drawing/2014/chart" uri="{C3380CC4-5D6E-409C-BE32-E72D297353CC}">
              <c16:uniqueId val="{00000005-4007-40F8-AAB5-CC1620C5FFD6}"/>
            </c:ext>
          </c:extLst>
        </c:ser>
        <c:ser>
          <c:idx val="9"/>
          <c:order val="10"/>
          <c:tx>
            <c:strRef>
              <c:f>'PBL OLD'!$HL$6:$HL$7</c:f>
              <c:strCache>
                <c:ptCount val="2"/>
                <c:pt idx="0">
                  <c:v>95th Percentile</c:v>
                </c:pt>
              </c:strCache>
            </c:strRef>
          </c:tx>
          <c:spPr>
            <a:ln w="25400">
              <a:solidFill>
                <a:schemeClr val="bg2"/>
              </a:solidFill>
              <a:prstDash val="sysDot"/>
            </a:ln>
          </c:spPr>
          <c:marker>
            <c:symbol val="none"/>
          </c:marker>
          <c:cat>
            <c:numRef>
              <c:f>'PBL OLD'!$HA$8:$HA$33</c:f>
              <c:numCache>
                <c:formatCode>d\-mmm\-yy_);\(###0\);"-  ";" "@" "</c:formatCode>
                <c:ptCount val="26"/>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numCache>
            </c:numRef>
          </c:cat>
          <c:val>
            <c:numRef>
              <c:f>'PBL OLD'!$HL$8:$HL$33</c:f>
              <c:numCache>
                <c:formatCode>0.000</c:formatCode>
                <c:ptCount val="26"/>
                <c:pt idx="9">
                  <c:v>0.3616614278523077</c:v>
                </c:pt>
                <c:pt idx="10">
                  <c:v>0.45811002586442023</c:v>
                </c:pt>
                <c:pt idx="11">
                  <c:v>0.55455862387653276</c:v>
                </c:pt>
                <c:pt idx="12">
                  <c:v>0.65100722188864535</c:v>
                </c:pt>
                <c:pt idx="13">
                  <c:v>0.74745581990075793</c:v>
                </c:pt>
                <c:pt idx="14">
                  <c:v>0.84390441791287052</c:v>
                </c:pt>
                <c:pt idx="15">
                  <c:v>0.9403530159249831</c:v>
                </c:pt>
                <c:pt idx="16">
                  <c:v>1.0368016139370957</c:v>
                </c:pt>
                <c:pt idx="17">
                  <c:v>1.1332502119492083</c:v>
                </c:pt>
                <c:pt idx="18">
                  <c:v>1.2296988099613209</c:v>
                </c:pt>
                <c:pt idx="19">
                  <c:v>1.3261474079734334</c:v>
                </c:pt>
                <c:pt idx="20">
                  <c:v>1.422596005985546</c:v>
                </c:pt>
                <c:pt idx="21">
                  <c:v>1.5190446039976586</c:v>
                </c:pt>
                <c:pt idx="22">
                  <c:v>1.6154932020097712</c:v>
                </c:pt>
                <c:pt idx="23">
                  <c:v>1.7119418000218838</c:v>
                </c:pt>
                <c:pt idx="24">
                  <c:v>1.8083903980339964</c:v>
                </c:pt>
                <c:pt idx="25">
                  <c:v>1.904838996046109</c:v>
                </c:pt>
              </c:numCache>
            </c:numRef>
          </c:val>
          <c:smooth val="0"/>
          <c:extLst xmlns:c15="http://schemas.microsoft.com/office/drawing/2012/chart">
            <c:ext xmlns:c16="http://schemas.microsoft.com/office/drawing/2014/chart" uri="{C3380CC4-5D6E-409C-BE32-E72D297353CC}">
              <c16:uniqueId val="{00000006-4007-40F8-AAB5-CC1620C5FFD6}"/>
            </c:ext>
          </c:extLst>
        </c:ser>
        <c:dLbls>
          <c:showLegendKey val="0"/>
          <c:showVal val="0"/>
          <c:showCatName val="0"/>
          <c:showSerName val="0"/>
          <c:showPercent val="0"/>
          <c:showBubbleSize val="0"/>
        </c:dLbls>
        <c:marker val="1"/>
        <c:smooth val="0"/>
        <c:axId val="1388952432"/>
        <c:axId val="1388953088"/>
        <c:extLst>
          <c:ext xmlns:c15="http://schemas.microsoft.com/office/drawing/2012/chart" uri="{02D57815-91ED-43cb-92C2-25804820EDAC}">
            <c15:filteredLineSeries>
              <c15:ser>
                <c:idx val="3"/>
                <c:order val="2"/>
                <c:tx>
                  <c:strRef>
                    <c:extLst>
                      <c:ext uri="{02D57815-91ED-43cb-92C2-25804820EDAC}">
                        <c15:formulaRef>
                          <c15:sqref>'PBL OLD'!$CV$6:$CV$7</c15:sqref>
                        </c15:formulaRef>
                      </c:ext>
                    </c:extLst>
                    <c:strCache>
                      <c:ptCount val="2"/>
                      <c:pt idx="0">
                        <c:v>Min</c:v>
                      </c:pt>
                    </c:strCache>
                  </c:strRef>
                </c:tx>
                <c:cat>
                  <c:numRef>
                    <c:extLst>
                      <c:ext uri="{02D57815-91ED-43cb-92C2-25804820EDAC}">
                        <c15:formulaRef>
                          <c15:sqref>'PBL OLD'!$HA$8:$HA$33</c15:sqref>
                        </c15:formulaRef>
                      </c:ext>
                    </c:extLst>
                    <c:numCache>
                      <c:formatCode>d\-mmm\-yy_);\(###0\);"-  ";" "@" "</c:formatCode>
                      <c:ptCount val="26"/>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numCache>
                  </c:numRef>
                </c:cat>
                <c:val>
                  <c:numRef>
                    <c:extLst>
                      <c:ext uri="{02D57815-91ED-43cb-92C2-25804820EDAC}">
                        <c15:formulaRef>
                          <c15:sqref>'PBL OLD'!$CV$8:$CV$60</c15:sqref>
                        </c15:formulaRef>
                      </c:ext>
                    </c:extLst>
                    <c:numCache>
                      <c:formatCode>0.000</c:formatCode>
                      <c:ptCount val="53"/>
                      <c:pt idx="0">
                        <c:v>3.7943638869952147E-2</c:v>
                      </c:pt>
                      <c:pt idx="1">
                        <c:v>7.5887277739904294E-2</c:v>
                      </c:pt>
                      <c:pt idx="2">
                        <c:v>0.11383091660985645</c:v>
                      </c:pt>
                      <c:pt idx="3">
                        <c:v>0.15177455547980859</c:v>
                      </c:pt>
                      <c:pt idx="4">
                        <c:v>0.18971819434976073</c:v>
                      </c:pt>
                      <c:pt idx="5">
                        <c:v>0.22766183321971287</c:v>
                      </c:pt>
                      <c:pt idx="6">
                        <c:v>0.26560547208966501</c:v>
                      </c:pt>
                      <c:pt idx="7">
                        <c:v>0.30354911095961717</c:v>
                      </c:pt>
                      <c:pt idx="8">
                        <c:v>0.34149274982956934</c:v>
                      </c:pt>
                      <c:pt idx="9">
                        <c:v>0.37943638869952151</c:v>
                      </c:pt>
                      <c:pt idx="10">
                        <c:v>0.41738002756947368</c:v>
                      </c:pt>
                      <c:pt idx="11">
                        <c:v>0.45532366643942584</c:v>
                      </c:pt>
                      <c:pt idx="12">
                        <c:v>0.49326730530937801</c:v>
                      </c:pt>
                      <c:pt idx="13">
                        <c:v>0.53121094417933012</c:v>
                      </c:pt>
                      <c:pt idx="14">
                        <c:v>0.56915458304928224</c:v>
                      </c:pt>
                      <c:pt idx="15">
                        <c:v>0.60709822191923435</c:v>
                      </c:pt>
                      <c:pt idx="16">
                        <c:v>0.64504186078918646</c:v>
                      </c:pt>
                      <c:pt idx="17">
                        <c:v>0.68298549965913857</c:v>
                      </c:pt>
                      <c:pt idx="18">
                        <c:v>0.72092913852909069</c:v>
                      </c:pt>
                      <c:pt idx="19">
                        <c:v>0.7588727773990428</c:v>
                      </c:pt>
                      <c:pt idx="20">
                        <c:v>0.79681641626899491</c:v>
                      </c:pt>
                      <c:pt idx="21">
                        <c:v>0.83476005513894702</c:v>
                      </c:pt>
                      <c:pt idx="22">
                        <c:v>0.87270369400889913</c:v>
                      </c:pt>
                      <c:pt idx="23">
                        <c:v>0.91064733287885125</c:v>
                      </c:pt>
                      <c:pt idx="24">
                        <c:v>0.94859097174880336</c:v>
                      </c:pt>
                      <c:pt idx="25">
                        <c:v>0.98653461061875547</c:v>
                      </c:pt>
                      <c:pt idx="26">
                        <c:v>1.0244782494887077</c:v>
                      </c:pt>
                      <c:pt idx="27">
                        <c:v>1.0624218883586598</c:v>
                      </c:pt>
                      <c:pt idx="28">
                        <c:v>1.1003655272286119</c:v>
                      </c:pt>
                      <c:pt idx="29">
                        <c:v>1.138309166098564</c:v>
                      </c:pt>
                      <c:pt idx="30">
                        <c:v>1.1762528049685161</c:v>
                      </c:pt>
                      <c:pt idx="31">
                        <c:v>1.2141964438384683</c:v>
                      </c:pt>
                      <c:pt idx="32">
                        <c:v>1.2521400827084204</c:v>
                      </c:pt>
                      <c:pt idx="33">
                        <c:v>1.2900837215783725</c:v>
                      </c:pt>
                      <c:pt idx="34">
                        <c:v>1.3280273604483246</c:v>
                      </c:pt>
                      <c:pt idx="35">
                        <c:v>1.3659709993182767</c:v>
                      </c:pt>
                      <c:pt idx="36">
                        <c:v>1.4039146381882288</c:v>
                      </c:pt>
                      <c:pt idx="37">
                        <c:v>1.4418582770581809</c:v>
                      </c:pt>
                      <c:pt idx="38">
                        <c:v>1.479801915928133</c:v>
                      </c:pt>
                      <c:pt idx="39">
                        <c:v>1.5177455547980852</c:v>
                      </c:pt>
                      <c:pt idx="40">
                        <c:v>1.5556891936680373</c:v>
                      </c:pt>
                      <c:pt idx="41">
                        <c:v>1.5936328325379894</c:v>
                      </c:pt>
                      <c:pt idx="42">
                        <c:v>1.6315764714079415</c:v>
                      </c:pt>
                      <c:pt idx="43">
                        <c:v>1.6695201102778936</c:v>
                      </c:pt>
                      <c:pt idx="44">
                        <c:v>1.7074637491478457</c:v>
                      </c:pt>
                      <c:pt idx="45">
                        <c:v>1.7454073880177978</c:v>
                      </c:pt>
                      <c:pt idx="46">
                        <c:v>1.7833510268877499</c:v>
                      </c:pt>
                      <c:pt idx="47">
                        <c:v>1.821294665757702</c:v>
                      </c:pt>
                      <c:pt idx="48">
                        <c:v>1.8592383046276542</c:v>
                      </c:pt>
                      <c:pt idx="49">
                        <c:v>1.8971819434976063</c:v>
                      </c:pt>
                      <c:pt idx="50">
                        <c:v>1.9351255823675584</c:v>
                      </c:pt>
                      <c:pt idx="51">
                        <c:v>1.9730692212375105</c:v>
                      </c:pt>
                    </c:numCache>
                  </c:numRef>
                </c:val>
                <c:smooth val="0"/>
                <c:extLst>
                  <c:ext xmlns:c16="http://schemas.microsoft.com/office/drawing/2014/chart" uri="{C3380CC4-5D6E-409C-BE32-E72D297353CC}">
                    <c16:uniqueId val="{00000007-4007-40F8-AAB5-CC1620C5FFD6}"/>
                  </c:ext>
                </c:extLst>
              </c15:ser>
            </c15:filteredLineSeries>
            <c15:filteredLineSeries>
              <c15:ser>
                <c:idx val="5"/>
                <c:order val="3"/>
                <c:tx>
                  <c:strRef>
                    <c:extLst xmlns:c15="http://schemas.microsoft.com/office/drawing/2012/chart">
                      <c:ext xmlns:c15="http://schemas.microsoft.com/office/drawing/2012/chart" uri="{02D57815-91ED-43cb-92C2-25804820EDAC}">
                        <c15:formulaRef>
                          <c15:sqref>'PBL OLD'!$CW$6:$CW$7</c15:sqref>
                        </c15:formulaRef>
                      </c:ext>
                    </c:extLst>
                    <c:strCache>
                      <c:ptCount val="2"/>
                      <c:pt idx="0">
                        <c:v>1st Percentile</c:v>
                      </c:pt>
                    </c:strCache>
                  </c:strRef>
                </c:tx>
                <c:spPr>
                  <a:ln w="28575" cap="rnd">
                    <a:solidFill>
                      <a:schemeClr val="accent6"/>
                    </a:solidFill>
                    <a:prstDash val="sysDot"/>
                    <a:round/>
                  </a:ln>
                  <a:effectLst/>
                </c:spPr>
                <c:cat>
                  <c:numRef>
                    <c:extLst xmlns:c15="http://schemas.microsoft.com/office/drawing/2012/chart">
                      <c:ext xmlns:c15="http://schemas.microsoft.com/office/drawing/2012/chart" uri="{02D57815-91ED-43cb-92C2-25804820EDAC}">
                        <c15:formulaRef>
                          <c15:sqref>'PBL OLD'!$HA$8:$HA$33</c15:sqref>
                        </c15:formulaRef>
                      </c:ext>
                    </c:extLst>
                    <c:numCache>
                      <c:formatCode>d\-mmm\-yy_);\(###0\);"-  ";" "@" "</c:formatCode>
                      <c:ptCount val="26"/>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numCache>
                  </c:numRef>
                </c:cat>
                <c:val>
                  <c:numRef>
                    <c:extLst xmlns:c15="http://schemas.microsoft.com/office/drawing/2012/chart">
                      <c:ext xmlns:c15="http://schemas.microsoft.com/office/drawing/2012/chart" uri="{02D57815-91ED-43cb-92C2-25804820EDAC}">
                        <c15:formulaRef>
                          <c15:sqref>'PBL OLD'!$CW$8:$CW$60</c15:sqref>
                        </c15:formulaRef>
                      </c:ext>
                    </c:extLst>
                    <c:numCache>
                      <c:formatCode>0.000</c:formatCode>
                      <c:ptCount val="53"/>
                      <c:pt idx="0">
                        <c:v>4.5436313528305135E-2</c:v>
                      </c:pt>
                      <c:pt idx="1">
                        <c:v>9.087262705661027E-2</c:v>
                      </c:pt>
                      <c:pt idx="2">
                        <c:v>0.13630894058491541</c:v>
                      </c:pt>
                      <c:pt idx="3">
                        <c:v>0.18174525411322054</c:v>
                      </c:pt>
                      <c:pt idx="4">
                        <c:v>0.22718156764152567</c:v>
                      </c:pt>
                      <c:pt idx="5">
                        <c:v>0.27261788116983082</c:v>
                      </c:pt>
                      <c:pt idx="6">
                        <c:v>0.31805419469813595</c:v>
                      </c:pt>
                      <c:pt idx="7">
                        <c:v>0.36349050822644108</c:v>
                      </c:pt>
                      <c:pt idx="8">
                        <c:v>0.40892682175474621</c:v>
                      </c:pt>
                      <c:pt idx="9">
                        <c:v>0.45436313528305133</c:v>
                      </c:pt>
                      <c:pt idx="10">
                        <c:v>0.49979944881135646</c:v>
                      </c:pt>
                      <c:pt idx="11">
                        <c:v>0.54523576233966164</c:v>
                      </c:pt>
                      <c:pt idx="12">
                        <c:v>0.59067207586796677</c:v>
                      </c:pt>
                      <c:pt idx="13">
                        <c:v>0.6361083893962719</c:v>
                      </c:pt>
                      <c:pt idx="14">
                        <c:v>0.68154470292457703</c:v>
                      </c:pt>
                      <c:pt idx="15">
                        <c:v>0.72698101645288216</c:v>
                      </c:pt>
                      <c:pt idx="16">
                        <c:v>0.77241732998118728</c:v>
                      </c:pt>
                      <c:pt idx="17">
                        <c:v>0.81785364350949241</c:v>
                      </c:pt>
                      <c:pt idx="18">
                        <c:v>0.86328995703779754</c:v>
                      </c:pt>
                      <c:pt idx="19">
                        <c:v>0.90872627056610267</c:v>
                      </c:pt>
                      <c:pt idx="20">
                        <c:v>0.9541625840944078</c:v>
                      </c:pt>
                      <c:pt idx="21">
                        <c:v>0.99959889762271292</c:v>
                      </c:pt>
                      <c:pt idx="22">
                        <c:v>1.0450352111510182</c:v>
                      </c:pt>
                      <c:pt idx="23">
                        <c:v>1.0904715246793233</c:v>
                      </c:pt>
                      <c:pt idx="24">
                        <c:v>1.1359078382076284</c:v>
                      </c:pt>
                      <c:pt idx="25">
                        <c:v>1.1813441517359335</c:v>
                      </c:pt>
                      <c:pt idx="26">
                        <c:v>1.2267804652642387</c:v>
                      </c:pt>
                      <c:pt idx="27">
                        <c:v>1.2722167787925438</c:v>
                      </c:pt>
                      <c:pt idx="28">
                        <c:v>1.3176530923208489</c:v>
                      </c:pt>
                      <c:pt idx="29">
                        <c:v>1.3630894058491541</c:v>
                      </c:pt>
                      <c:pt idx="30">
                        <c:v>1.4085257193774592</c:v>
                      </c:pt>
                      <c:pt idx="31">
                        <c:v>1.4539620329057643</c:v>
                      </c:pt>
                      <c:pt idx="32">
                        <c:v>1.4993983464340694</c:v>
                      </c:pt>
                      <c:pt idx="33">
                        <c:v>1.5448346599623746</c:v>
                      </c:pt>
                      <c:pt idx="34">
                        <c:v>1.5902709734906797</c:v>
                      </c:pt>
                      <c:pt idx="35">
                        <c:v>1.6357072870189848</c:v>
                      </c:pt>
                      <c:pt idx="36">
                        <c:v>1.68114360054729</c:v>
                      </c:pt>
                      <c:pt idx="37">
                        <c:v>1.7265799140755951</c:v>
                      </c:pt>
                      <c:pt idx="38">
                        <c:v>1.7720162276039002</c:v>
                      </c:pt>
                      <c:pt idx="39">
                        <c:v>1.8174525411322053</c:v>
                      </c:pt>
                      <c:pt idx="40">
                        <c:v>1.8628888546605105</c:v>
                      </c:pt>
                      <c:pt idx="41">
                        <c:v>1.9083251681888156</c:v>
                      </c:pt>
                      <c:pt idx="42">
                        <c:v>1.9537614817171207</c:v>
                      </c:pt>
                      <c:pt idx="43">
                        <c:v>1.9991977952454258</c:v>
                      </c:pt>
                      <c:pt idx="44">
                        <c:v>2.0446341087737312</c:v>
                      </c:pt>
                      <c:pt idx="45">
                        <c:v>2.0900704223020363</c:v>
                      </c:pt>
                      <c:pt idx="46">
                        <c:v>2.1355067358303415</c:v>
                      </c:pt>
                      <c:pt idx="47">
                        <c:v>2.1809430493586466</c:v>
                      </c:pt>
                      <c:pt idx="48">
                        <c:v>2.2263793628869517</c:v>
                      </c:pt>
                      <c:pt idx="49">
                        <c:v>2.2718156764152568</c:v>
                      </c:pt>
                      <c:pt idx="50">
                        <c:v>2.317251989943562</c:v>
                      </c:pt>
                      <c:pt idx="51">
                        <c:v>2.3626883034718671</c:v>
                      </c:pt>
                    </c:numCache>
                  </c:numRef>
                </c:val>
                <c:smooth val="0"/>
                <c:extLst xmlns:c15="http://schemas.microsoft.com/office/drawing/2012/chart">
                  <c:ext xmlns:c16="http://schemas.microsoft.com/office/drawing/2014/chart" uri="{C3380CC4-5D6E-409C-BE32-E72D297353CC}">
                    <c16:uniqueId val="{00000008-4007-40F8-AAB5-CC1620C5FFD6}"/>
                  </c:ext>
                </c:extLst>
              </c15:ser>
            </c15:filteredLineSeries>
            <c15:filteredLineSeries>
              <c15:ser>
                <c:idx val="1"/>
                <c:order val="5"/>
                <c:tx>
                  <c:strRef>
                    <c:extLst xmlns:c15="http://schemas.microsoft.com/office/drawing/2012/chart">
                      <c:ext xmlns:c15="http://schemas.microsoft.com/office/drawing/2012/chart" uri="{02D57815-91ED-43cb-92C2-25804820EDAC}">
                        <c15:formulaRef>
                          <c15:sqref>'PBL OLD'!$CY$6:$CY$7</c15:sqref>
                        </c15:formulaRef>
                      </c:ext>
                    </c:extLst>
                    <c:strCache>
                      <c:ptCount val="2"/>
                      <c:pt idx="0">
                        <c:v>10th Percentile</c:v>
                      </c:pt>
                    </c:strCache>
                  </c:strRef>
                </c:tx>
                <c:spPr>
                  <a:ln w="28575" cap="rnd" cmpd="sng">
                    <a:solidFill>
                      <a:schemeClr val="accent2"/>
                    </a:solidFill>
                    <a:prstDash val="sysDot"/>
                    <a:round/>
                    <a:headEnd type="none"/>
                  </a:ln>
                  <a:effectLst/>
                </c:spPr>
                <c:cat>
                  <c:numRef>
                    <c:extLst xmlns:c15="http://schemas.microsoft.com/office/drawing/2012/chart">
                      <c:ext xmlns:c15="http://schemas.microsoft.com/office/drawing/2012/chart" uri="{02D57815-91ED-43cb-92C2-25804820EDAC}">
                        <c15:formulaRef>
                          <c15:sqref>'PBL OLD'!$HA$8:$HA$33</c15:sqref>
                        </c15:formulaRef>
                      </c:ext>
                    </c:extLst>
                    <c:numCache>
                      <c:formatCode>d\-mmm\-yy_);\(###0\);"-  ";" "@" "</c:formatCode>
                      <c:ptCount val="26"/>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numCache>
                  </c:numRef>
                </c:cat>
                <c:val>
                  <c:numRef>
                    <c:extLst xmlns:c15="http://schemas.microsoft.com/office/drawing/2012/chart">
                      <c:ext xmlns:c15="http://schemas.microsoft.com/office/drawing/2012/chart" uri="{02D57815-91ED-43cb-92C2-25804820EDAC}">
                        <c15:formulaRef>
                          <c15:sqref>'PBL OLD'!$CY$8:$CY$60</c15:sqref>
                        </c15:formulaRef>
                      </c:ext>
                    </c:extLst>
                    <c:numCache>
                      <c:formatCode>0.000</c:formatCode>
                      <c:ptCount val="53"/>
                      <c:pt idx="0">
                        <c:v>5.0502007292025322E-2</c:v>
                      </c:pt>
                      <c:pt idx="1">
                        <c:v>0.10100401458405064</c:v>
                      </c:pt>
                      <c:pt idx="2">
                        <c:v>0.15150602187607598</c:v>
                      </c:pt>
                      <c:pt idx="3">
                        <c:v>0.20200802916810129</c:v>
                      </c:pt>
                      <c:pt idx="4">
                        <c:v>0.2525100364601266</c:v>
                      </c:pt>
                      <c:pt idx="5">
                        <c:v>0.30301204375215191</c:v>
                      </c:pt>
                      <c:pt idx="6">
                        <c:v>0.35351405104417721</c:v>
                      </c:pt>
                      <c:pt idx="7">
                        <c:v>0.40401605833620252</c:v>
                      </c:pt>
                      <c:pt idx="8">
                        <c:v>0.45451806562822783</c:v>
                      </c:pt>
                      <c:pt idx="9">
                        <c:v>0.50502007292025319</c:v>
                      </c:pt>
                      <c:pt idx="10">
                        <c:v>0.55552208021227856</c:v>
                      </c:pt>
                      <c:pt idx="11">
                        <c:v>0.60602408750430392</c:v>
                      </c:pt>
                      <c:pt idx="12">
                        <c:v>0.65652609479632928</c:v>
                      </c:pt>
                      <c:pt idx="13">
                        <c:v>0.70702810208835465</c:v>
                      </c:pt>
                      <c:pt idx="14">
                        <c:v>0.75753010938038001</c:v>
                      </c:pt>
                      <c:pt idx="15">
                        <c:v>0.80803211667240538</c:v>
                      </c:pt>
                      <c:pt idx="16">
                        <c:v>0.85853412396443074</c:v>
                      </c:pt>
                      <c:pt idx="17">
                        <c:v>0.9090361312564561</c:v>
                      </c:pt>
                      <c:pt idx="18">
                        <c:v>0.95953813854848147</c:v>
                      </c:pt>
                      <c:pt idx="19">
                        <c:v>1.0100401458405068</c:v>
                      </c:pt>
                      <c:pt idx="20">
                        <c:v>1.0605421531325321</c:v>
                      </c:pt>
                      <c:pt idx="21">
                        <c:v>1.1110441604245573</c:v>
                      </c:pt>
                      <c:pt idx="22">
                        <c:v>1.1615461677165826</c:v>
                      </c:pt>
                      <c:pt idx="23">
                        <c:v>1.2120481750086078</c:v>
                      </c:pt>
                      <c:pt idx="24">
                        <c:v>1.2625501823006331</c:v>
                      </c:pt>
                      <c:pt idx="25">
                        <c:v>1.3130521895926583</c:v>
                      </c:pt>
                      <c:pt idx="26">
                        <c:v>1.3635541968846836</c:v>
                      </c:pt>
                      <c:pt idx="27">
                        <c:v>1.4140562041767089</c:v>
                      </c:pt>
                      <c:pt idx="28">
                        <c:v>1.4645582114687341</c:v>
                      </c:pt>
                      <c:pt idx="29">
                        <c:v>1.5150602187607594</c:v>
                      </c:pt>
                      <c:pt idx="30">
                        <c:v>1.5655622260527846</c:v>
                      </c:pt>
                      <c:pt idx="31">
                        <c:v>1.6160642333448099</c:v>
                      </c:pt>
                      <c:pt idx="32">
                        <c:v>1.6665662406368351</c:v>
                      </c:pt>
                      <c:pt idx="33">
                        <c:v>1.7170682479288604</c:v>
                      </c:pt>
                      <c:pt idx="34">
                        <c:v>1.7675702552208856</c:v>
                      </c:pt>
                      <c:pt idx="35">
                        <c:v>1.8180722625129109</c:v>
                      </c:pt>
                      <c:pt idx="36">
                        <c:v>1.8685742698049361</c:v>
                      </c:pt>
                      <c:pt idx="37">
                        <c:v>1.9190762770969614</c:v>
                      </c:pt>
                      <c:pt idx="38">
                        <c:v>1.9695782843889866</c:v>
                      </c:pt>
                      <c:pt idx="39">
                        <c:v>2.0200802916810119</c:v>
                      </c:pt>
                      <c:pt idx="40">
                        <c:v>2.0705822989730374</c:v>
                      </c:pt>
                      <c:pt idx="41">
                        <c:v>2.1210843062650628</c:v>
                      </c:pt>
                      <c:pt idx="42">
                        <c:v>2.1715863135570883</c:v>
                      </c:pt>
                      <c:pt idx="43">
                        <c:v>2.2220883208491138</c:v>
                      </c:pt>
                      <c:pt idx="44">
                        <c:v>2.2725903281411393</c:v>
                      </c:pt>
                      <c:pt idx="45">
                        <c:v>2.3230923354331647</c:v>
                      </c:pt>
                      <c:pt idx="46">
                        <c:v>2.3735943427251902</c:v>
                      </c:pt>
                      <c:pt idx="47">
                        <c:v>2.4240963500172157</c:v>
                      </c:pt>
                      <c:pt idx="48">
                        <c:v>2.4745983573092412</c:v>
                      </c:pt>
                      <c:pt idx="49">
                        <c:v>2.5251003646012666</c:v>
                      </c:pt>
                      <c:pt idx="50">
                        <c:v>2.5756023718932921</c:v>
                      </c:pt>
                      <c:pt idx="51">
                        <c:v>2.6261043791853176</c:v>
                      </c:pt>
                    </c:numCache>
                  </c:numRef>
                </c:val>
                <c:smooth val="0"/>
                <c:extLst xmlns:c15="http://schemas.microsoft.com/office/drawing/2012/chart">
                  <c:ext xmlns:c16="http://schemas.microsoft.com/office/drawing/2014/chart" uri="{C3380CC4-5D6E-409C-BE32-E72D297353CC}">
                    <c16:uniqueId val="{00000009-4007-40F8-AAB5-CC1620C5FFD6}"/>
                  </c:ext>
                </c:extLst>
              </c15:ser>
            </c15:filteredLineSeries>
            <c15:filteredLineSeries>
              <c15:ser>
                <c:idx val="8"/>
                <c:order val="9"/>
                <c:tx>
                  <c:strRef>
                    <c:extLst xmlns:c15="http://schemas.microsoft.com/office/drawing/2012/chart">
                      <c:ext xmlns:c15="http://schemas.microsoft.com/office/drawing/2012/chart" uri="{02D57815-91ED-43cb-92C2-25804820EDAC}">
                        <c15:formulaRef>
                          <c15:sqref>'PBL OLD'!$DC$6:$DC$7</c15:sqref>
                        </c15:formulaRef>
                      </c:ext>
                    </c:extLst>
                    <c:strCache>
                      <c:ptCount val="2"/>
                      <c:pt idx="0">
                        <c:v>90th Percentile</c:v>
                      </c:pt>
                    </c:strCache>
                  </c:strRef>
                </c:tx>
                <c:spPr>
                  <a:ln w="28575">
                    <a:solidFill>
                      <a:schemeClr val="accent1"/>
                    </a:solidFill>
                    <a:prstDash val="sysDot"/>
                  </a:ln>
                </c:spPr>
                <c:cat>
                  <c:numRef>
                    <c:extLst xmlns:c15="http://schemas.microsoft.com/office/drawing/2012/chart">
                      <c:ext xmlns:c15="http://schemas.microsoft.com/office/drawing/2012/chart" uri="{02D57815-91ED-43cb-92C2-25804820EDAC}">
                        <c15:formulaRef>
                          <c15:sqref>'PBL OLD'!$HA$8:$HA$33</c15:sqref>
                        </c15:formulaRef>
                      </c:ext>
                    </c:extLst>
                    <c:numCache>
                      <c:formatCode>d\-mmm\-yy_);\(###0\);"-  ";" "@" "</c:formatCode>
                      <c:ptCount val="26"/>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numCache>
                  </c:numRef>
                </c:cat>
                <c:val>
                  <c:numRef>
                    <c:extLst xmlns:c15="http://schemas.microsoft.com/office/drawing/2012/chart">
                      <c:ext xmlns:c15="http://schemas.microsoft.com/office/drawing/2012/chart" uri="{02D57815-91ED-43cb-92C2-25804820EDAC}">
                        <c15:formulaRef>
                          <c15:sqref>'PBL OLD'!$DC$8:$DC$60</c15:sqref>
                        </c15:formulaRef>
                      </c:ext>
                    </c:extLst>
                    <c:numCache>
                      <c:formatCode>0.000</c:formatCode>
                      <c:ptCount val="53"/>
                      <c:pt idx="0">
                        <c:v>7.261484324723147E-2</c:v>
                      </c:pt>
                      <c:pt idx="1">
                        <c:v>0.14522968649446294</c:v>
                      </c:pt>
                      <c:pt idx="2">
                        <c:v>0.21784452974169441</c:v>
                      </c:pt>
                      <c:pt idx="3">
                        <c:v>0.29045937298892588</c:v>
                      </c:pt>
                      <c:pt idx="4">
                        <c:v>0.36307421623615732</c:v>
                      </c:pt>
                      <c:pt idx="5">
                        <c:v>0.43568905948338876</c:v>
                      </c:pt>
                      <c:pt idx="6">
                        <c:v>0.50830390273062021</c:v>
                      </c:pt>
                      <c:pt idx="7">
                        <c:v>0.58091874597785165</c:v>
                      </c:pt>
                      <c:pt idx="8">
                        <c:v>0.65353358922508309</c:v>
                      </c:pt>
                      <c:pt idx="9">
                        <c:v>0.72614843247231453</c:v>
                      </c:pt>
                      <c:pt idx="10">
                        <c:v>0.79876327571954597</c:v>
                      </c:pt>
                      <c:pt idx="11">
                        <c:v>0.87137811896677742</c:v>
                      </c:pt>
                      <c:pt idx="12">
                        <c:v>0.94399296221400886</c:v>
                      </c:pt>
                      <c:pt idx="13">
                        <c:v>1.0166078054612404</c:v>
                      </c:pt>
                      <c:pt idx="14">
                        <c:v>1.089222648708472</c:v>
                      </c:pt>
                      <c:pt idx="15">
                        <c:v>1.1618374919557035</c:v>
                      </c:pt>
                      <c:pt idx="16">
                        <c:v>1.2344523352029351</c:v>
                      </c:pt>
                      <c:pt idx="17">
                        <c:v>1.3070671784501666</c:v>
                      </c:pt>
                      <c:pt idx="18">
                        <c:v>1.3796820216973982</c:v>
                      </c:pt>
                      <c:pt idx="19">
                        <c:v>1.4522968649446297</c:v>
                      </c:pt>
                      <c:pt idx="20">
                        <c:v>1.5249117081918613</c:v>
                      </c:pt>
                      <c:pt idx="21">
                        <c:v>1.5975265514390928</c:v>
                      </c:pt>
                      <c:pt idx="22">
                        <c:v>1.6701413946863244</c:v>
                      </c:pt>
                      <c:pt idx="23">
                        <c:v>1.7427562379335559</c:v>
                      </c:pt>
                      <c:pt idx="24">
                        <c:v>1.8153710811807875</c:v>
                      </c:pt>
                      <c:pt idx="25">
                        <c:v>1.887985924428019</c:v>
                      </c:pt>
                      <c:pt idx="26">
                        <c:v>1.9606007676752506</c:v>
                      </c:pt>
                      <c:pt idx="27">
                        <c:v>2.0332156109224822</c:v>
                      </c:pt>
                      <c:pt idx="28">
                        <c:v>2.1058304541697135</c:v>
                      </c:pt>
                      <c:pt idx="29">
                        <c:v>2.1784452974169448</c:v>
                      </c:pt>
                      <c:pt idx="30">
                        <c:v>2.2510601406641761</c:v>
                      </c:pt>
                      <c:pt idx="31">
                        <c:v>2.3236749839114075</c:v>
                      </c:pt>
                      <c:pt idx="32">
                        <c:v>2.3962898271586388</c:v>
                      </c:pt>
                      <c:pt idx="33">
                        <c:v>2.4689046704058701</c:v>
                      </c:pt>
                      <c:pt idx="34">
                        <c:v>2.5415195136531015</c:v>
                      </c:pt>
                      <c:pt idx="35">
                        <c:v>2.6141343569003328</c:v>
                      </c:pt>
                      <c:pt idx="36">
                        <c:v>2.6867492001475641</c:v>
                      </c:pt>
                      <c:pt idx="37">
                        <c:v>2.7593640433947955</c:v>
                      </c:pt>
                      <c:pt idx="38">
                        <c:v>2.8319788866420268</c:v>
                      </c:pt>
                      <c:pt idx="39">
                        <c:v>2.9045937298892581</c:v>
                      </c:pt>
                      <c:pt idx="40">
                        <c:v>2.9772085731364895</c:v>
                      </c:pt>
                      <c:pt idx="41">
                        <c:v>3.0498234163837208</c:v>
                      </c:pt>
                      <c:pt idx="42">
                        <c:v>3.1224382596309521</c:v>
                      </c:pt>
                      <c:pt idx="43">
                        <c:v>3.1950531028781834</c:v>
                      </c:pt>
                      <c:pt idx="44">
                        <c:v>3.2676679461254148</c:v>
                      </c:pt>
                      <c:pt idx="45">
                        <c:v>3.3402827893726461</c:v>
                      </c:pt>
                      <c:pt idx="46">
                        <c:v>3.4128976326198774</c:v>
                      </c:pt>
                      <c:pt idx="47">
                        <c:v>3.4855124758671088</c:v>
                      </c:pt>
                      <c:pt idx="48">
                        <c:v>3.5581273191143401</c:v>
                      </c:pt>
                      <c:pt idx="49">
                        <c:v>3.6307421623615714</c:v>
                      </c:pt>
                      <c:pt idx="50">
                        <c:v>3.7033570056088028</c:v>
                      </c:pt>
                      <c:pt idx="51">
                        <c:v>3.7759718488560341</c:v>
                      </c:pt>
                    </c:numCache>
                  </c:numRef>
                </c:val>
                <c:smooth val="0"/>
                <c:extLst xmlns:c15="http://schemas.microsoft.com/office/drawing/2012/chart">
                  <c:ext xmlns:c16="http://schemas.microsoft.com/office/drawing/2014/chart" uri="{C3380CC4-5D6E-409C-BE32-E72D297353CC}">
                    <c16:uniqueId val="{0000000A-4007-40F8-AAB5-CC1620C5FFD6}"/>
                  </c:ext>
                </c:extLst>
              </c15:ser>
            </c15:filteredLineSeries>
            <c15:filteredLineSeries>
              <c15:ser>
                <c:idx val="10"/>
                <c:order val="11"/>
                <c:tx>
                  <c:strRef>
                    <c:extLst xmlns:c15="http://schemas.microsoft.com/office/drawing/2012/chart">
                      <c:ext xmlns:c15="http://schemas.microsoft.com/office/drawing/2012/chart" uri="{02D57815-91ED-43cb-92C2-25804820EDAC}">
                        <c15:formulaRef>
                          <c15:sqref>'PBL OLD'!$DE$6:$DE$7</c15:sqref>
                        </c15:formulaRef>
                      </c:ext>
                    </c:extLst>
                    <c:strCache>
                      <c:ptCount val="2"/>
                      <c:pt idx="0">
                        <c:v>99th Percentile</c:v>
                      </c:pt>
                    </c:strCache>
                  </c:strRef>
                </c:tx>
                <c:spPr>
                  <a:ln w="28575">
                    <a:solidFill>
                      <a:schemeClr val="accent1"/>
                    </a:solidFill>
                    <a:prstDash val="sysDot"/>
                  </a:ln>
                </c:spPr>
                <c:cat>
                  <c:numRef>
                    <c:extLst xmlns:c15="http://schemas.microsoft.com/office/drawing/2012/chart">
                      <c:ext xmlns:c15="http://schemas.microsoft.com/office/drawing/2012/chart" uri="{02D57815-91ED-43cb-92C2-25804820EDAC}">
                        <c15:formulaRef>
                          <c15:sqref>'PBL OLD'!$HA$8:$HA$33</c15:sqref>
                        </c15:formulaRef>
                      </c:ext>
                    </c:extLst>
                    <c:numCache>
                      <c:formatCode>d\-mmm\-yy_);\(###0\);"-  ";" "@" "</c:formatCode>
                      <c:ptCount val="26"/>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numCache>
                  </c:numRef>
                </c:cat>
                <c:val>
                  <c:numRef>
                    <c:extLst xmlns:c15="http://schemas.microsoft.com/office/drawing/2012/chart">
                      <c:ext xmlns:c15="http://schemas.microsoft.com/office/drawing/2012/chart" uri="{02D57815-91ED-43cb-92C2-25804820EDAC}">
                        <c15:formulaRef>
                          <c15:sqref>'PBL OLD'!$DE$8:$DE$60</c15:sqref>
                        </c15:formulaRef>
                      </c:ext>
                    </c:extLst>
                    <c:numCache>
                      <c:formatCode>0.000</c:formatCode>
                      <c:ptCount val="53"/>
                      <c:pt idx="0">
                        <c:v>8.472863847550996E-2</c:v>
                      </c:pt>
                      <c:pt idx="1">
                        <c:v>0.16945727695101992</c:v>
                      </c:pt>
                      <c:pt idx="2">
                        <c:v>0.25418591542652991</c:v>
                      </c:pt>
                      <c:pt idx="3">
                        <c:v>0.33891455390203984</c:v>
                      </c:pt>
                      <c:pt idx="4">
                        <c:v>0.42364319237754977</c:v>
                      </c:pt>
                      <c:pt idx="5">
                        <c:v>0.5083718308530597</c:v>
                      </c:pt>
                      <c:pt idx="6">
                        <c:v>0.59310046932856963</c:v>
                      </c:pt>
                      <c:pt idx="7">
                        <c:v>0.67782910780407957</c:v>
                      </c:pt>
                      <c:pt idx="8">
                        <c:v>0.7625577462795895</c:v>
                      </c:pt>
                      <c:pt idx="9">
                        <c:v>0.84728638475509943</c:v>
                      </c:pt>
                      <c:pt idx="10">
                        <c:v>0.93201502323060936</c:v>
                      </c:pt>
                      <c:pt idx="11">
                        <c:v>1.0167436617061194</c:v>
                      </c:pt>
                      <c:pt idx="12">
                        <c:v>1.1014723001816293</c:v>
                      </c:pt>
                      <c:pt idx="13">
                        <c:v>1.1862009386571393</c:v>
                      </c:pt>
                      <c:pt idx="14">
                        <c:v>1.2709295771326492</c:v>
                      </c:pt>
                      <c:pt idx="15">
                        <c:v>1.3556582156081591</c:v>
                      </c:pt>
                      <c:pt idx="16">
                        <c:v>1.4403868540836691</c:v>
                      </c:pt>
                      <c:pt idx="17">
                        <c:v>1.525115492559179</c:v>
                      </c:pt>
                      <c:pt idx="18">
                        <c:v>1.6098441310346889</c:v>
                      </c:pt>
                      <c:pt idx="19">
                        <c:v>1.6945727695101989</c:v>
                      </c:pt>
                      <c:pt idx="20">
                        <c:v>1.7793014079857088</c:v>
                      </c:pt>
                      <c:pt idx="21">
                        <c:v>1.8640300464612187</c:v>
                      </c:pt>
                      <c:pt idx="22">
                        <c:v>1.9487586849367287</c:v>
                      </c:pt>
                      <c:pt idx="23">
                        <c:v>2.0334873234122388</c:v>
                      </c:pt>
                      <c:pt idx="24">
                        <c:v>2.1182159618877487</c:v>
                      </c:pt>
                      <c:pt idx="25">
                        <c:v>2.2029446003632587</c:v>
                      </c:pt>
                      <c:pt idx="26">
                        <c:v>2.2876732388387686</c:v>
                      </c:pt>
                      <c:pt idx="27">
                        <c:v>2.3724018773142785</c:v>
                      </c:pt>
                      <c:pt idx="28">
                        <c:v>2.4571305157897885</c:v>
                      </c:pt>
                      <c:pt idx="29">
                        <c:v>2.5418591542652984</c:v>
                      </c:pt>
                      <c:pt idx="30">
                        <c:v>2.6265877927408083</c:v>
                      </c:pt>
                      <c:pt idx="31">
                        <c:v>2.7113164312163183</c:v>
                      </c:pt>
                      <c:pt idx="32">
                        <c:v>2.7960450696918282</c:v>
                      </c:pt>
                      <c:pt idx="33">
                        <c:v>2.8807737081673381</c:v>
                      </c:pt>
                      <c:pt idx="34">
                        <c:v>2.9655023466428481</c:v>
                      </c:pt>
                      <c:pt idx="35">
                        <c:v>3.050230985118358</c:v>
                      </c:pt>
                      <c:pt idx="36">
                        <c:v>3.1349596235938679</c:v>
                      </c:pt>
                      <c:pt idx="37">
                        <c:v>3.2196882620693779</c:v>
                      </c:pt>
                      <c:pt idx="38">
                        <c:v>3.3044169005448878</c:v>
                      </c:pt>
                      <c:pt idx="39">
                        <c:v>3.3891455390203977</c:v>
                      </c:pt>
                      <c:pt idx="40">
                        <c:v>3.4738741774959077</c:v>
                      </c:pt>
                      <c:pt idx="41">
                        <c:v>3.5586028159714176</c:v>
                      </c:pt>
                      <c:pt idx="42">
                        <c:v>3.6433314544469275</c:v>
                      </c:pt>
                      <c:pt idx="43">
                        <c:v>3.7280600929224375</c:v>
                      </c:pt>
                      <c:pt idx="44">
                        <c:v>3.8127887313979474</c:v>
                      </c:pt>
                      <c:pt idx="45">
                        <c:v>3.8975173698734573</c:v>
                      </c:pt>
                      <c:pt idx="46">
                        <c:v>3.9822460083489672</c:v>
                      </c:pt>
                      <c:pt idx="47">
                        <c:v>4.0669746468244776</c:v>
                      </c:pt>
                      <c:pt idx="48">
                        <c:v>4.1517032852999876</c:v>
                      </c:pt>
                      <c:pt idx="49">
                        <c:v>4.2364319237754975</c:v>
                      </c:pt>
                      <c:pt idx="50">
                        <c:v>4.3211605622510074</c:v>
                      </c:pt>
                      <c:pt idx="51">
                        <c:v>4.4058892007265174</c:v>
                      </c:pt>
                    </c:numCache>
                  </c:numRef>
                </c:val>
                <c:smooth val="0"/>
                <c:extLst xmlns:c15="http://schemas.microsoft.com/office/drawing/2012/chart">
                  <c:ext xmlns:c16="http://schemas.microsoft.com/office/drawing/2014/chart" uri="{C3380CC4-5D6E-409C-BE32-E72D297353CC}">
                    <c16:uniqueId val="{0000000B-4007-40F8-AAB5-CC1620C5FFD6}"/>
                  </c:ext>
                </c:extLst>
              </c15:ser>
            </c15:filteredLineSeries>
            <c15:filteredLineSeries>
              <c15:ser>
                <c:idx val="11"/>
                <c:order val="12"/>
                <c:tx>
                  <c:strRef>
                    <c:extLst xmlns:c15="http://schemas.microsoft.com/office/drawing/2012/chart">
                      <c:ext xmlns:c15="http://schemas.microsoft.com/office/drawing/2012/chart" uri="{02D57815-91ED-43cb-92C2-25804820EDAC}">
                        <c15:formulaRef>
                          <c15:sqref>'PBL OLD'!$DF$6:$DF$7</c15:sqref>
                        </c15:formulaRef>
                      </c:ext>
                    </c:extLst>
                    <c:strCache>
                      <c:ptCount val="2"/>
                      <c:pt idx="0">
                        <c:v>Max</c:v>
                      </c:pt>
                    </c:strCache>
                  </c:strRef>
                </c:tx>
                <c:cat>
                  <c:numRef>
                    <c:extLst xmlns:c15="http://schemas.microsoft.com/office/drawing/2012/chart">
                      <c:ext xmlns:c15="http://schemas.microsoft.com/office/drawing/2012/chart" uri="{02D57815-91ED-43cb-92C2-25804820EDAC}">
                        <c15:formulaRef>
                          <c15:sqref>'PBL OLD'!$HA$8:$HA$33</c15:sqref>
                        </c15:formulaRef>
                      </c:ext>
                    </c:extLst>
                    <c:numCache>
                      <c:formatCode>d\-mmm\-yy_);\(###0\);"-  ";" "@" "</c:formatCode>
                      <c:ptCount val="26"/>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numCache>
                  </c:numRef>
                </c:cat>
                <c:val>
                  <c:numRef>
                    <c:extLst xmlns:c15="http://schemas.microsoft.com/office/drawing/2012/chart">
                      <c:ext xmlns:c15="http://schemas.microsoft.com/office/drawing/2012/chart" uri="{02D57815-91ED-43cb-92C2-25804820EDAC}">
                        <c15:formulaRef>
                          <c15:sqref>'PBL OLD'!$DF$8:$DF$60</c15:sqref>
                        </c15:formulaRef>
                      </c:ext>
                    </c:extLst>
                    <c:numCache>
                      <c:formatCode>0.000</c:formatCode>
                      <c:ptCount val="53"/>
                      <c:pt idx="0">
                        <c:v>0.10288241710741779</c:v>
                      </c:pt>
                      <c:pt idx="1">
                        <c:v>0.20576483421483557</c:v>
                      </c:pt>
                      <c:pt idx="2">
                        <c:v>0.30864725132225335</c:v>
                      </c:pt>
                      <c:pt idx="3">
                        <c:v>0.41152966842967115</c:v>
                      </c:pt>
                      <c:pt idx="4">
                        <c:v>0.51441208553708895</c:v>
                      </c:pt>
                      <c:pt idx="5">
                        <c:v>0.61729450264450669</c:v>
                      </c:pt>
                      <c:pt idx="6">
                        <c:v>0.72017691975192444</c:v>
                      </c:pt>
                      <c:pt idx="7">
                        <c:v>0.82305933685934218</c:v>
                      </c:pt>
                      <c:pt idx="8">
                        <c:v>0.92594175396675993</c:v>
                      </c:pt>
                      <c:pt idx="9">
                        <c:v>1.0288241710741777</c:v>
                      </c:pt>
                      <c:pt idx="10">
                        <c:v>1.1317065881815955</c:v>
                      </c:pt>
                      <c:pt idx="11">
                        <c:v>1.2345890052890134</c:v>
                      </c:pt>
                      <c:pt idx="12">
                        <c:v>1.3374714223964312</c:v>
                      </c:pt>
                      <c:pt idx="13">
                        <c:v>1.4403538395038491</c:v>
                      </c:pt>
                      <c:pt idx="14">
                        <c:v>1.543236256611267</c:v>
                      </c:pt>
                      <c:pt idx="15">
                        <c:v>1.6461186737186848</c:v>
                      </c:pt>
                      <c:pt idx="16">
                        <c:v>1.7490010908261027</c:v>
                      </c:pt>
                      <c:pt idx="17">
                        <c:v>1.8518835079335205</c:v>
                      </c:pt>
                      <c:pt idx="18">
                        <c:v>1.9547659250409384</c:v>
                      </c:pt>
                      <c:pt idx="19">
                        <c:v>2.0576483421483562</c:v>
                      </c:pt>
                      <c:pt idx="20">
                        <c:v>2.1605307592557739</c:v>
                      </c:pt>
                      <c:pt idx="21">
                        <c:v>2.2634131763631915</c:v>
                      </c:pt>
                      <c:pt idx="22">
                        <c:v>2.3662955934706091</c:v>
                      </c:pt>
                      <c:pt idx="23">
                        <c:v>2.4691780105780268</c:v>
                      </c:pt>
                      <c:pt idx="24">
                        <c:v>2.5720604276854444</c:v>
                      </c:pt>
                      <c:pt idx="25">
                        <c:v>2.674942844792862</c:v>
                      </c:pt>
                      <c:pt idx="26">
                        <c:v>2.7778252619002797</c:v>
                      </c:pt>
                      <c:pt idx="27">
                        <c:v>2.8807076790076973</c:v>
                      </c:pt>
                      <c:pt idx="28">
                        <c:v>2.9835900961151149</c:v>
                      </c:pt>
                      <c:pt idx="29">
                        <c:v>3.0864725132225326</c:v>
                      </c:pt>
                      <c:pt idx="30">
                        <c:v>3.1893549303299502</c:v>
                      </c:pt>
                      <c:pt idx="31">
                        <c:v>3.2922373474373678</c:v>
                      </c:pt>
                      <c:pt idx="32">
                        <c:v>3.3951197645447855</c:v>
                      </c:pt>
                      <c:pt idx="33">
                        <c:v>3.4980021816522031</c:v>
                      </c:pt>
                      <c:pt idx="34">
                        <c:v>3.6008845987596207</c:v>
                      </c:pt>
                      <c:pt idx="35">
                        <c:v>3.7037670158670384</c:v>
                      </c:pt>
                      <c:pt idx="36">
                        <c:v>3.806649432974456</c:v>
                      </c:pt>
                      <c:pt idx="37">
                        <c:v>3.9095318500818736</c:v>
                      </c:pt>
                      <c:pt idx="38">
                        <c:v>4.0124142671892917</c:v>
                      </c:pt>
                      <c:pt idx="39">
                        <c:v>4.1152966842967098</c:v>
                      </c:pt>
                      <c:pt idx="40">
                        <c:v>4.2181791014041279</c:v>
                      </c:pt>
                      <c:pt idx="41">
                        <c:v>4.321061518511546</c:v>
                      </c:pt>
                      <c:pt idx="42">
                        <c:v>4.423943935618964</c:v>
                      </c:pt>
                      <c:pt idx="43">
                        <c:v>4.5268263527263821</c:v>
                      </c:pt>
                      <c:pt idx="44">
                        <c:v>4.6297087698338002</c:v>
                      </c:pt>
                      <c:pt idx="45">
                        <c:v>4.7325911869412183</c:v>
                      </c:pt>
                      <c:pt idx="46">
                        <c:v>4.8354736040486364</c:v>
                      </c:pt>
                      <c:pt idx="47">
                        <c:v>4.9383560211560544</c:v>
                      </c:pt>
                      <c:pt idx="48">
                        <c:v>5.0412384382634725</c:v>
                      </c:pt>
                      <c:pt idx="49">
                        <c:v>5.1441208553708906</c:v>
                      </c:pt>
                      <c:pt idx="50">
                        <c:v>5.2470032724783087</c:v>
                      </c:pt>
                      <c:pt idx="51">
                        <c:v>5.3498856895857267</c:v>
                      </c:pt>
                    </c:numCache>
                  </c:numRef>
                </c:val>
                <c:smooth val="0"/>
                <c:extLst xmlns:c15="http://schemas.microsoft.com/office/drawing/2012/chart">
                  <c:ext xmlns:c16="http://schemas.microsoft.com/office/drawing/2014/chart" uri="{C3380CC4-5D6E-409C-BE32-E72D297353CC}">
                    <c16:uniqueId val="{0000000C-4007-40F8-AAB5-CC1620C5FFD6}"/>
                  </c:ext>
                </c:extLst>
              </c15:ser>
            </c15:filteredLineSeries>
          </c:ext>
        </c:extLst>
      </c:lineChart>
      <c:dateAx>
        <c:axId val="1388952432"/>
        <c:scaling>
          <c:orientation val="minMax"/>
        </c:scaling>
        <c:delete val="0"/>
        <c:axPos val="b"/>
        <c:numFmt formatCode="mmm\-yy_);\(###0\);&quot;-  &quot;;&quot; &quot;@&quot; &quot;" sourceLinked="0"/>
        <c:majorTickMark val="none"/>
        <c:minorTickMark val="none"/>
        <c:tickLblPos val="nextTo"/>
        <c:spPr>
          <a:noFill/>
          <a:ln w="9525" cap="flat" cmpd="sng" algn="ctr">
            <a:noFill/>
            <a:round/>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3088"/>
        <c:crosses val="autoZero"/>
        <c:auto val="1"/>
        <c:lblOffset val="100"/>
        <c:baseTimeUnit val="days"/>
        <c:majorUnit val="1"/>
        <c:majorTimeUnit val="months"/>
      </c:dateAx>
      <c:valAx>
        <c:axId val="1388953088"/>
        <c:scaling>
          <c:orientation val="minMax"/>
          <c:max val="2"/>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2432"/>
        <c:crosses val="autoZero"/>
        <c:crossBetween val="between"/>
      </c:valAx>
    </c:plotArea>
    <c:legend>
      <c:legendPos val="b"/>
      <c:legendEntry>
        <c:idx val="2"/>
        <c:delete val="1"/>
      </c:legendEntry>
      <c:legendEntry>
        <c:idx val="4"/>
        <c:delete val="1"/>
      </c:legendEntry>
      <c:legendEntry>
        <c:idx val="5"/>
        <c:delete val="1"/>
      </c:legendEntry>
      <c:legendEntry>
        <c:idx val="6"/>
        <c:delete val="1"/>
      </c:legendEntry>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orientation="portrait"/>
  </c:printSettings>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dLbls>
          <c:showLegendKey val="0"/>
          <c:showVal val="0"/>
          <c:showCatName val="0"/>
          <c:showSerName val="0"/>
          <c:showPercent val="0"/>
          <c:showBubbleSize val="0"/>
        </c:dLbls>
        <c:axId val="1388952432"/>
        <c:axId val="1388953088"/>
        <c:extLst>
          <c:ext xmlns:c15="http://schemas.microsoft.com/office/drawing/2012/chart" uri="{02D57815-91ED-43cb-92C2-25804820EDAC}">
            <c15:filteredAreaSeries>
              <c15:ser>
                <c:idx val="12"/>
                <c:order val="12"/>
                <c:tx>
                  <c:v>Normal Sequence</c:v>
                </c:tx>
                <c:spPr>
                  <a:solidFill>
                    <a:srgbClr val="FFFFCC"/>
                  </a:solidFill>
                </c:spPr>
                <c:val>
                  <c:numRef>
                    <c:extLst>
                      <c:ext uri="{02D57815-91ED-43cb-92C2-25804820EDAC}">
                        <c15:formulaRef>
                          <c15:sqref>'PBL OLD'!$HS$8:$HS$33</c15:sqref>
                        </c15:formulaRef>
                      </c:ext>
                    </c:extLst>
                    <c:numCache>
                      <c:formatCode>General</c:formatCode>
                      <c:ptCount val="26"/>
                      <c:pt idx="0">
                        <c:v>4</c:v>
                      </c:pt>
                      <c:pt idx="1">
                        <c:v>4</c:v>
                      </c:pt>
                      <c:pt idx="2">
                        <c:v>4</c:v>
                      </c:pt>
                      <c:pt idx="3">
                        <c:v>4</c:v>
                      </c:pt>
                      <c:pt idx="4">
                        <c:v>4</c:v>
                      </c:pt>
                      <c:pt idx="5">
                        <c:v>4</c:v>
                      </c:pt>
                      <c:pt idx="6">
                        <c:v>4</c:v>
                      </c:pt>
                      <c:pt idx="7">
                        <c:v>4</c:v>
                      </c:pt>
                      <c:pt idx="8">
                        <c:v>4</c:v>
                      </c:pt>
                      <c:pt idx="9">
                        <c:v>4</c:v>
                      </c:pt>
                      <c:pt idx="10">
                        <c:v>4</c:v>
                      </c:pt>
                    </c:numCache>
                  </c:numRef>
                </c:val>
                <c:extLst>
                  <c:ext xmlns:c16="http://schemas.microsoft.com/office/drawing/2014/chart" uri="{C3380CC4-5D6E-409C-BE32-E72D297353CC}">
                    <c16:uniqueId val="{0000000C-E022-4D7E-A9EE-B402097B3419}"/>
                  </c:ext>
                </c:extLst>
              </c15:ser>
            </c15:filteredAreaSeries>
            <c15:filteredAreaSeries>
              <c15:ser>
                <c:idx val="13"/>
                <c:order val="13"/>
                <c:tx>
                  <c:v>Accelerated Sequence</c:v>
                </c:tx>
                <c:spPr>
                  <a:solidFill>
                    <a:schemeClr val="accent5">
                      <a:lumMod val="20000"/>
                      <a:lumOff val="80000"/>
                    </a:schemeClr>
                  </a:solidFill>
                </c:spPr>
                <c:val>
                  <c:numRef>
                    <c:extLst xmlns:c15="http://schemas.microsoft.com/office/drawing/2012/chart">
                      <c:ext xmlns:c15="http://schemas.microsoft.com/office/drawing/2012/chart" uri="{02D57815-91ED-43cb-92C2-25804820EDAC}">
                        <c15:formulaRef>
                          <c15:sqref>'PBL OLD'!$HT$8:$HT$33</c15:sqref>
                        </c15:formulaRef>
                      </c:ext>
                    </c:extLst>
                    <c:numCache>
                      <c:formatCode>General</c:formatCode>
                      <c:ptCount val="26"/>
                      <c:pt idx="10">
                        <c:v>4</c:v>
                      </c:pt>
                      <c:pt idx="11">
                        <c:v>4</c:v>
                      </c:pt>
                      <c:pt idx="12">
                        <c:v>4</c:v>
                      </c:pt>
                      <c:pt idx="13">
                        <c:v>4</c:v>
                      </c:pt>
                      <c:pt idx="14">
                        <c:v>4</c:v>
                      </c:pt>
                      <c:pt idx="15">
                        <c:v>4</c:v>
                      </c:pt>
                      <c:pt idx="16">
                        <c:v>4</c:v>
                      </c:pt>
                      <c:pt idx="17">
                        <c:v>4</c:v>
                      </c:pt>
                      <c:pt idx="18">
                        <c:v>4</c:v>
                      </c:pt>
                      <c:pt idx="19">
                        <c:v>4</c:v>
                      </c:pt>
                      <c:pt idx="20">
                        <c:v>4</c:v>
                      </c:pt>
                      <c:pt idx="21">
                        <c:v>4</c:v>
                      </c:pt>
                      <c:pt idx="22">
                        <c:v>4</c:v>
                      </c:pt>
                      <c:pt idx="23">
                        <c:v>4</c:v>
                      </c:pt>
                      <c:pt idx="24">
                        <c:v>4</c:v>
                      </c:pt>
                      <c:pt idx="25">
                        <c:v>4</c:v>
                      </c:pt>
                    </c:numCache>
                  </c:numRef>
                </c:val>
                <c:extLst xmlns:c15="http://schemas.microsoft.com/office/drawing/2012/chart">
                  <c:ext xmlns:c16="http://schemas.microsoft.com/office/drawing/2014/chart" uri="{C3380CC4-5D6E-409C-BE32-E72D297353CC}">
                    <c16:uniqueId val="{0000000D-E022-4D7E-A9EE-B402097B3419}"/>
                  </c:ext>
                </c:extLst>
              </c15:ser>
            </c15:filteredAreaSeries>
          </c:ext>
        </c:extLst>
      </c:areaChart>
      <c:lineChart>
        <c:grouping val="standard"/>
        <c:varyColors val="0"/>
        <c:ser>
          <c:idx val="4"/>
          <c:order val="6"/>
          <c:tx>
            <c:strRef>
              <c:f>'PBL OLD'!$HI$6:$HI$7</c:f>
              <c:strCache>
                <c:ptCount val="2"/>
                <c:pt idx="0">
                  <c:v>50th Percentile</c:v>
                </c:pt>
              </c:strCache>
            </c:strRef>
          </c:tx>
          <c:spPr>
            <a:ln w="25400">
              <a:solidFill>
                <a:schemeClr val="bg2"/>
              </a:solidFill>
              <a:prstDash val="sysDot"/>
            </a:ln>
          </c:spPr>
          <c:marker>
            <c:symbol val="none"/>
          </c:marker>
          <c:cat>
            <c:numRef>
              <c:f>'PBL OLD'!$HA$8:$HA$33</c:f>
              <c:numCache>
                <c:formatCode>d\-mmm\-yy_);\(###0\);"-  ";" "@" "</c:formatCode>
                <c:ptCount val="26"/>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numCache>
            </c:numRef>
          </c:cat>
          <c:val>
            <c:numRef>
              <c:f>'PBL OLD'!$HI$8:$HI$33</c:f>
              <c:numCache>
                <c:formatCode>0.000</c:formatCode>
                <c:ptCount val="26"/>
                <c:pt idx="9">
                  <c:v>0.3616614278523077</c:v>
                </c:pt>
                <c:pt idx="10">
                  <c:v>0.42229315291781272</c:v>
                </c:pt>
                <c:pt idx="11">
                  <c:v>0.48292487798331774</c:v>
                </c:pt>
                <c:pt idx="12">
                  <c:v>0.5435566030488227</c:v>
                </c:pt>
                <c:pt idx="13">
                  <c:v>0.60418832811432766</c:v>
                </c:pt>
                <c:pt idx="14">
                  <c:v>0.66482005317983262</c:v>
                </c:pt>
                <c:pt idx="15">
                  <c:v>0.72545177824533758</c:v>
                </c:pt>
                <c:pt idx="16">
                  <c:v>0.78608350331084254</c:v>
                </c:pt>
                <c:pt idx="17">
                  <c:v>0.8467152283763475</c:v>
                </c:pt>
                <c:pt idx="18">
                  <c:v>0.90734695344185246</c:v>
                </c:pt>
                <c:pt idx="19">
                  <c:v>0.96797867850735742</c:v>
                </c:pt>
                <c:pt idx="20">
                  <c:v>1.0286104035728625</c:v>
                </c:pt>
                <c:pt idx="21">
                  <c:v>1.0892421286383676</c:v>
                </c:pt>
                <c:pt idx="22">
                  <c:v>1.1498738537038726</c:v>
                </c:pt>
                <c:pt idx="23">
                  <c:v>1.2105055787693777</c:v>
                </c:pt>
                <c:pt idx="24">
                  <c:v>1.2711373038348828</c:v>
                </c:pt>
                <c:pt idx="25">
                  <c:v>1.3317690289003878</c:v>
                </c:pt>
              </c:numCache>
            </c:numRef>
          </c:val>
          <c:smooth val="0"/>
          <c:extLst>
            <c:ext xmlns:c16="http://schemas.microsoft.com/office/drawing/2014/chart" uri="{C3380CC4-5D6E-409C-BE32-E72D297353CC}">
              <c16:uniqueId val="{00000000-E022-4D7E-A9EE-B402097B3419}"/>
            </c:ext>
          </c:extLst>
        </c:ser>
        <c:ser>
          <c:idx val="0"/>
          <c:order val="0"/>
          <c:tx>
            <c:strRef>
              <c:f>'PBL OLD'!$HB$6:$HB$7</c:f>
              <c:strCache>
                <c:ptCount val="2"/>
                <c:pt idx="0">
                  <c:v>Actual</c:v>
                </c:pt>
              </c:strCache>
            </c:strRef>
          </c:tx>
          <c:spPr>
            <a:ln>
              <a:solidFill>
                <a:schemeClr val="tx2"/>
              </a:solidFill>
            </a:ln>
          </c:spPr>
          <c:marker>
            <c:symbol val="none"/>
          </c:marker>
          <c:cat>
            <c:numRef>
              <c:f>'PBL OLD'!$HA$8:$HA$33</c:f>
              <c:numCache>
                <c:formatCode>d\-mmm\-yy_);\(###0\);"-  ";" "@" "</c:formatCode>
                <c:ptCount val="26"/>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numCache>
            </c:numRef>
          </c:cat>
          <c:val>
            <c:numRef>
              <c:f>'PBL OLD'!$HB$8:$HB$33</c:f>
              <c:numCache>
                <c:formatCode>0.000</c:formatCode>
                <c:ptCount val="26"/>
                <c:pt idx="0">
                  <c:v>2.4383432684147156E-2</c:v>
                </c:pt>
                <c:pt idx="1">
                  <c:v>5.7456335077458197E-2</c:v>
                </c:pt>
                <c:pt idx="2">
                  <c:v>8.2897301732709039E-2</c:v>
                </c:pt>
                <c:pt idx="3">
                  <c:v>0.10634933406608696</c:v>
                </c:pt>
                <c:pt idx="4">
                  <c:v>0.13586762292789298</c:v>
                </c:pt>
                <c:pt idx="5">
                  <c:v>0.18374004427397994</c:v>
                </c:pt>
                <c:pt idx="6">
                  <c:v>0.20803473319331103</c:v>
                </c:pt>
                <c:pt idx="7">
                  <c:v>0.23891877923157193</c:v>
                </c:pt>
                <c:pt idx="8">
                  <c:v>0.28713984685163879</c:v>
                </c:pt>
                <c:pt idx="9">
                  <c:v>0.3616614278523077</c:v>
                </c:pt>
              </c:numCache>
            </c:numRef>
          </c:val>
          <c:smooth val="0"/>
          <c:extLst>
            <c:ext xmlns:c16="http://schemas.microsoft.com/office/drawing/2014/chart" uri="{C3380CC4-5D6E-409C-BE32-E72D297353CC}">
              <c16:uniqueId val="{00000001-E022-4D7E-A9EE-B402097B3419}"/>
            </c:ext>
          </c:extLst>
        </c:ser>
        <c:ser>
          <c:idx val="7"/>
          <c:order val="3"/>
          <c:tx>
            <c:strRef>
              <c:f>'PBL OLD'!$HF$6:$HF$7</c:f>
              <c:strCache>
                <c:ptCount val="2"/>
                <c:pt idx="0">
                  <c:v>5th Percentile</c:v>
                </c:pt>
              </c:strCache>
            </c:strRef>
          </c:tx>
          <c:spPr>
            <a:ln w="25400">
              <a:solidFill>
                <a:schemeClr val="bg2"/>
              </a:solidFill>
              <a:prstDash val="sysDot"/>
            </a:ln>
          </c:spPr>
          <c:marker>
            <c:symbol val="none"/>
          </c:marker>
          <c:cat>
            <c:numRef>
              <c:f>'PBL OLD'!$HA$8:$HA$33</c:f>
              <c:numCache>
                <c:formatCode>d\-mmm\-yy_);\(###0\);"-  ";" "@" "</c:formatCode>
                <c:ptCount val="26"/>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numCache>
            </c:numRef>
          </c:cat>
          <c:val>
            <c:numRef>
              <c:f>'PBL OLD'!$HF$8:$HF$33</c:f>
              <c:numCache>
                <c:formatCode>0.000</c:formatCode>
                <c:ptCount val="26"/>
                <c:pt idx="9">
                  <c:v>0.3616614278523077</c:v>
                </c:pt>
                <c:pt idx="10">
                  <c:v>0.40693820624009647</c:v>
                </c:pt>
                <c:pt idx="11">
                  <c:v>0.45221498462788523</c:v>
                </c:pt>
                <c:pt idx="12">
                  <c:v>0.49749176301567399</c:v>
                </c:pt>
                <c:pt idx="13">
                  <c:v>0.54276854140346276</c:v>
                </c:pt>
                <c:pt idx="14">
                  <c:v>0.58804531979125152</c:v>
                </c:pt>
                <c:pt idx="15">
                  <c:v>0.63332209817904028</c:v>
                </c:pt>
                <c:pt idx="16">
                  <c:v>0.67859887656682905</c:v>
                </c:pt>
                <c:pt idx="17">
                  <c:v>0.72387565495461781</c:v>
                </c:pt>
                <c:pt idx="18">
                  <c:v>0.76915243334240657</c:v>
                </c:pt>
                <c:pt idx="19">
                  <c:v>0.81442921173019533</c:v>
                </c:pt>
                <c:pt idx="20">
                  <c:v>0.8597059901179841</c:v>
                </c:pt>
                <c:pt idx="21">
                  <c:v>0.90498276850577286</c:v>
                </c:pt>
                <c:pt idx="22">
                  <c:v>0.95025954689356162</c:v>
                </c:pt>
                <c:pt idx="23">
                  <c:v>0.99553632528135039</c:v>
                </c:pt>
                <c:pt idx="24">
                  <c:v>1.040813103669139</c:v>
                </c:pt>
                <c:pt idx="25">
                  <c:v>1.0860898820569278</c:v>
                </c:pt>
              </c:numCache>
            </c:numRef>
          </c:val>
          <c:smooth val="0"/>
          <c:extLst xmlns:c15="http://schemas.microsoft.com/office/drawing/2012/chart">
            <c:ext xmlns:c16="http://schemas.microsoft.com/office/drawing/2014/chart" uri="{C3380CC4-5D6E-409C-BE32-E72D297353CC}">
              <c16:uniqueId val="{00000002-E022-4D7E-A9EE-B402097B3419}"/>
            </c:ext>
          </c:extLst>
        </c:ser>
        <c:ser>
          <c:idx val="2"/>
          <c:order val="5"/>
          <c:tx>
            <c:v>5/25/50/75/95th percentile</c:v>
          </c:tx>
          <c:spPr>
            <a:ln w="25400">
              <a:solidFill>
                <a:schemeClr val="bg2"/>
              </a:solidFill>
              <a:prstDash val="sysDot"/>
            </a:ln>
          </c:spPr>
          <c:marker>
            <c:symbol val="none"/>
          </c:marker>
          <c:cat>
            <c:numRef>
              <c:f>'PBL OLD'!$HA$8:$HA$33</c:f>
              <c:numCache>
                <c:formatCode>d\-mmm\-yy_);\(###0\);"-  ";" "@" "</c:formatCode>
                <c:ptCount val="26"/>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numCache>
            </c:numRef>
          </c:cat>
          <c:val>
            <c:numRef>
              <c:f>'PBL OLD'!$HH$8:$HH$33</c:f>
              <c:numCache>
                <c:formatCode>0.000</c:formatCode>
                <c:ptCount val="26"/>
                <c:pt idx="9">
                  <c:v>0.3616614278523077</c:v>
                </c:pt>
                <c:pt idx="10">
                  <c:v>0.41569927076423147</c:v>
                </c:pt>
                <c:pt idx="11">
                  <c:v>0.46973711367615523</c:v>
                </c:pt>
                <c:pt idx="12">
                  <c:v>0.52377495658807893</c:v>
                </c:pt>
                <c:pt idx="13">
                  <c:v>0.57781279950000264</c:v>
                </c:pt>
                <c:pt idx="14">
                  <c:v>0.63185064241192634</c:v>
                </c:pt>
                <c:pt idx="15">
                  <c:v>0.68588848532385005</c:v>
                </c:pt>
                <c:pt idx="16">
                  <c:v>0.73992632823577376</c:v>
                </c:pt>
                <c:pt idx="17">
                  <c:v>0.79396417114769746</c:v>
                </c:pt>
                <c:pt idx="18">
                  <c:v>0.84800201405962117</c:v>
                </c:pt>
                <c:pt idx="19">
                  <c:v>0.90203985697154487</c:v>
                </c:pt>
                <c:pt idx="20">
                  <c:v>0.95607769988346858</c:v>
                </c:pt>
                <c:pt idx="21">
                  <c:v>1.0101155427953923</c:v>
                </c:pt>
                <c:pt idx="22">
                  <c:v>1.064153385707316</c:v>
                </c:pt>
                <c:pt idx="23">
                  <c:v>1.1181912286192397</c:v>
                </c:pt>
                <c:pt idx="24">
                  <c:v>1.1722290715311634</c:v>
                </c:pt>
                <c:pt idx="25">
                  <c:v>1.2262669144430871</c:v>
                </c:pt>
              </c:numCache>
            </c:numRef>
          </c:val>
          <c:smooth val="0"/>
          <c:extLst>
            <c:ext xmlns:c16="http://schemas.microsoft.com/office/drawing/2014/chart" uri="{C3380CC4-5D6E-409C-BE32-E72D297353CC}">
              <c16:uniqueId val="{00000003-E022-4D7E-A9EE-B402097B3419}"/>
            </c:ext>
          </c:extLst>
        </c:ser>
        <c:ser>
          <c:idx val="6"/>
          <c:order val="7"/>
          <c:tx>
            <c:strRef>
              <c:f>'PBL OLD'!$HJ$6:$HJ$7</c:f>
              <c:strCache>
                <c:ptCount val="2"/>
                <c:pt idx="0">
                  <c:v>75th Percentile</c:v>
                </c:pt>
              </c:strCache>
            </c:strRef>
          </c:tx>
          <c:spPr>
            <a:ln w="25400">
              <a:solidFill>
                <a:schemeClr val="bg2"/>
              </a:solidFill>
              <a:prstDash val="sysDot"/>
            </a:ln>
          </c:spPr>
          <c:marker>
            <c:symbol val="none"/>
          </c:marker>
          <c:cat>
            <c:numRef>
              <c:f>'PBL OLD'!$HA$8:$HA$33</c:f>
              <c:numCache>
                <c:formatCode>d\-mmm\-yy_);\(###0\);"-  ";" "@" "</c:formatCode>
                <c:ptCount val="26"/>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numCache>
            </c:numRef>
          </c:cat>
          <c:val>
            <c:numRef>
              <c:f>'PBL OLD'!$HJ$8:$HJ$33</c:f>
              <c:numCache>
                <c:formatCode>0.000</c:formatCode>
                <c:ptCount val="26"/>
                <c:pt idx="9">
                  <c:v>0.3616614278523077</c:v>
                </c:pt>
                <c:pt idx="10">
                  <c:v>0.43726896691388151</c:v>
                </c:pt>
                <c:pt idx="11">
                  <c:v>0.51287650597545531</c:v>
                </c:pt>
                <c:pt idx="12">
                  <c:v>0.58848404503702911</c:v>
                </c:pt>
                <c:pt idx="13">
                  <c:v>0.66409158409860292</c:v>
                </c:pt>
                <c:pt idx="14">
                  <c:v>0.73969912316017672</c:v>
                </c:pt>
                <c:pt idx="15">
                  <c:v>0.81530666222175052</c:v>
                </c:pt>
                <c:pt idx="16">
                  <c:v>0.89091420128332433</c:v>
                </c:pt>
                <c:pt idx="17">
                  <c:v>0.96652174034489813</c:v>
                </c:pt>
                <c:pt idx="18">
                  <c:v>1.0421292794064718</c:v>
                </c:pt>
                <c:pt idx="19">
                  <c:v>1.1177368184680456</c:v>
                </c:pt>
                <c:pt idx="20">
                  <c:v>1.1933443575296194</c:v>
                </c:pt>
                <c:pt idx="21">
                  <c:v>1.2689518965911932</c:v>
                </c:pt>
                <c:pt idx="22">
                  <c:v>1.344559435652767</c:v>
                </c:pt>
                <c:pt idx="23">
                  <c:v>1.4201669747143408</c:v>
                </c:pt>
                <c:pt idx="24">
                  <c:v>1.4957745137759146</c:v>
                </c:pt>
                <c:pt idx="25">
                  <c:v>1.5713820528374884</c:v>
                </c:pt>
              </c:numCache>
            </c:numRef>
          </c:val>
          <c:smooth val="0"/>
          <c:extLst xmlns:c15="http://schemas.microsoft.com/office/drawing/2012/chart">
            <c:ext xmlns:c16="http://schemas.microsoft.com/office/drawing/2014/chart" uri="{C3380CC4-5D6E-409C-BE32-E72D297353CC}">
              <c16:uniqueId val="{00000004-E022-4D7E-A9EE-B402097B3419}"/>
            </c:ext>
          </c:extLst>
        </c:ser>
        <c:ser>
          <c:idx val="9"/>
          <c:order val="9"/>
          <c:tx>
            <c:strRef>
              <c:f>'PBL OLD'!$HL$6:$HL$7</c:f>
              <c:strCache>
                <c:ptCount val="2"/>
                <c:pt idx="0">
                  <c:v>95th Percentile</c:v>
                </c:pt>
              </c:strCache>
            </c:strRef>
          </c:tx>
          <c:spPr>
            <a:ln w="25400">
              <a:solidFill>
                <a:schemeClr val="bg2"/>
              </a:solidFill>
              <a:prstDash val="sysDot"/>
            </a:ln>
          </c:spPr>
          <c:marker>
            <c:symbol val="none"/>
          </c:marker>
          <c:cat>
            <c:numRef>
              <c:f>'PBL OLD'!$HA$8:$HA$33</c:f>
              <c:numCache>
                <c:formatCode>d\-mmm\-yy_);\(###0\);"-  ";" "@" "</c:formatCode>
                <c:ptCount val="26"/>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numCache>
            </c:numRef>
          </c:cat>
          <c:val>
            <c:numRef>
              <c:f>'PBL OLD'!$HL$8:$HL$33</c:f>
              <c:numCache>
                <c:formatCode>0.000</c:formatCode>
                <c:ptCount val="26"/>
                <c:pt idx="9">
                  <c:v>0.3616614278523077</c:v>
                </c:pt>
                <c:pt idx="10">
                  <c:v>0.45811002586442023</c:v>
                </c:pt>
                <c:pt idx="11">
                  <c:v>0.55455862387653276</c:v>
                </c:pt>
                <c:pt idx="12">
                  <c:v>0.65100722188864535</c:v>
                </c:pt>
                <c:pt idx="13">
                  <c:v>0.74745581990075793</c:v>
                </c:pt>
                <c:pt idx="14">
                  <c:v>0.84390441791287052</c:v>
                </c:pt>
                <c:pt idx="15">
                  <c:v>0.9403530159249831</c:v>
                </c:pt>
                <c:pt idx="16">
                  <c:v>1.0368016139370957</c:v>
                </c:pt>
                <c:pt idx="17">
                  <c:v>1.1332502119492083</c:v>
                </c:pt>
                <c:pt idx="18">
                  <c:v>1.2296988099613209</c:v>
                </c:pt>
                <c:pt idx="19">
                  <c:v>1.3261474079734334</c:v>
                </c:pt>
                <c:pt idx="20">
                  <c:v>1.422596005985546</c:v>
                </c:pt>
                <c:pt idx="21">
                  <c:v>1.5190446039976586</c:v>
                </c:pt>
                <c:pt idx="22">
                  <c:v>1.6154932020097712</c:v>
                </c:pt>
                <c:pt idx="23">
                  <c:v>1.7119418000218838</c:v>
                </c:pt>
                <c:pt idx="24">
                  <c:v>1.8083903980339964</c:v>
                </c:pt>
                <c:pt idx="25">
                  <c:v>1.904838996046109</c:v>
                </c:pt>
              </c:numCache>
            </c:numRef>
          </c:val>
          <c:smooth val="0"/>
          <c:extLst xmlns:c15="http://schemas.microsoft.com/office/drawing/2012/chart">
            <c:ext xmlns:c16="http://schemas.microsoft.com/office/drawing/2014/chart" uri="{C3380CC4-5D6E-409C-BE32-E72D297353CC}">
              <c16:uniqueId val="{00000005-E022-4D7E-A9EE-B402097B3419}"/>
            </c:ext>
          </c:extLst>
        </c:ser>
        <c:dLbls>
          <c:showLegendKey val="0"/>
          <c:showVal val="0"/>
          <c:showCatName val="0"/>
          <c:showSerName val="0"/>
          <c:showPercent val="0"/>
          <c:showBubbleSize val="0"/>
        </c:dLbls>
        <c:marker val="1"/>
        <c:smooth val="0"/>
        <c:axId val="1388952432"/>
        <c:axId val="1388953088"/>
        <c:extLst>
          <c:ext xmlns:c15="http://schemas.microsoft.com/office/drawing/2012/chart" uri="{02D57815-91ED-43cb-92C2-25804820EDAC}">
            <c15:filteredLineSeries>
              <c15:ser>
                <c:idx val="3"/>
                <c:order val="1"/>
                <c:tx>
                  <c:strRef>
                    <c:extLst>
                      <c:ext uri="{02D57815-91ED-43cb-92C2-25804820EDAC}">
                        <c15:formulaRef>
                          <c15:sqref>'PBL OLD'!$CV$6:$CV$7</c15:sqref>
                        </c15:formulaRef>
                      </c:ext>
                    </c:extLst>
                    <c:strCache>
                      <c:ptCount val="2"/>
                      <c:pt idx="0">
                        <c:v>Min</c:v>
                      </c:pt>
                    </c:strCache>
                  </c:strRef>
                </c:tx>
                <c:cat>
                  <c:numRef>
                    <c:extLst>
                      <c:ext uri="{02D57815-91ED-43cb-92C2-25804820EDAC}">
                        <c15:formulaRef>
                          <c15:sqref>'PBL OLD'!$HA$8:$HA$33</c15:sqref>
                        </c15:formulaRef>
                      </c:ext>
                    </c:extLst>
                    <c:numCache>
                      <c:formatCode>d\-mmm\-yy_);\(###0\);"-  ";" "@" "</c:formatCode>
                      <c:ptCount val="26"/>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numCache>
                  </c:numRef>
                </c:cat>
                <c:val>
                  <c:numRef>
                    <c:extLst>
                      <c:ext uri="{02D57815-91ED-43cb-92C2-25804820EDAC}">
                        <c15:formulaRef>
                          <c15:sqref>'PBL OLD'!$CV$8:$CV$60</c15:sqref>
                        </c15:formulaRef>
                      </c:ext>
                    </c:extLst>
                    <c:numCache>
                      <c:formatCode>0.000</c:formatCode>
                      <c:ptCount val="53"/>
                      <c:pt idx="0">
                        <c:v>3.7943638869952147E-2</c:v>
                      </c:pt>
                      <c:pt idx="1">
                        <c:v>7.5887277739904294E-2</c:v>
                      </c:pt>
                      <c:pt idx="2">
                        <c:v>0.11383091660985645</c:v>
                      </c:pt>
                      <c:pt idx="3">
                        <c:v>0.15177455547980859</c:v>
                      </c:pt>
                      <c:pt idx="4">
                        <c:v>0.18971819434976073</c:v>
                      </c:pt>
                      <c:pt idx="5">
                        <c:v>0.22766183321971287</c:v>
                      </c:pt>
                      <c:pt idx="6">
                        <c:v>0.26560547208966501</c:v>
                      </c:pt>
                      <c:pt idx="7">
                        <c:v>0.30354911095961717</c:v>
                      </c:pt>
                      <c:pt idx="8">
                        <c:v>0.34149274982956934</c:v>
                      </c:pt>
                      <c:pt idx="9">
                        <c:v>0.37943638869952151</c:v>
                      </c:pt>
                      <c:pt idx="10">
                        <c:v>0.41738002756947368</c:v>
                      </c:pt>
                      <c:pt idx="11">
                        <c:v>0.45532366643942584</c:v>
                      </c:pt>
                      <c:pt idx="12">
                        <c:v>0.49326730530937801</c:v>
                      </c:pt>
                      <c:pt idx="13">
                        <c:v>0.53121094417933012</c:v>
                      </c:pt>
                      <c:pt idx="14">
                        <c:v>0.56915458304928224</c:v>
                      </c:pt>
                      <c:pt idx="15">
                        <c:v>0.60709822191923435</c:v>
                      </c:pt>
                      <c:pt idx="16">
                        <c:v>0.64504186078918646</c:v>
                      </c:pt>
                      <c:pt idx="17">
                        <c:v>0.68298549965913857</c:v>
                      </c:pt>
                      <c:pt idx="18">
                        <c:v>0.72092913852909069</c:v>
                      </c:pt>
                      <c:pt idx="19">
                        <c:v>0.7588727773990428</c:v>
                      </c:pt>
                      <c:pt idx="20">
                        <c:v>0.79681641626899491</c:v>
                      </c:pt>
                      <c:pt idx="21">
                        <c:v>0.83476005513894702</c:v>
                      </c:pt>
                      <c:pt idx="22">
                        <c:v>0.87270369400889913</c:v>
                      </c:pt>
                      <c:pt idx="23">
                        <c:v>0.91064733287885125</c:v>
                      </c:pt>
                      <c:pt idx="24">
                        <c:v>0.94859097174880336</c:v>
                      </c:pt>
                      <c:pt idx="25">
                        <c:v>0.98653461061875547</c:v>
                      </c:pt>
                      <c:pt idx="26">
                        <c:v>1.0244782494887077</c:v>
                      </c:pt>
                      <c:pt idx="27">
                        <c:v>1.0624218883586598</c:v>
                      </c:pt>
                      <c:pt idx="28">
                        <c:v>1.1003655272286119</c:v>
                      </c:pt>
                      <c:pt idx="29">
                        <c:v>1.138309166098564</c:v>
                      </c:pt>
                      <c:pt idx="30">
                        <c:v>1.1762528049685161</c:v>
                      </c:pt>
                      <c:pt idx="31">
                        <c:v>1.2141964438384683</c:v>
                      </c:pt>
                      <c:pt idx="32">
                        <c:v>1.2521400827084204</c:v>
                      </c:pt>
                      <c:pt idx="33">
                        <c:v>1.2900837215783725</c:v>
                      </c:pt>
                      <c:pt idx="34">
                        <c:v>1.3280273604483246</c:v>
                      </c:pt>
                      <c:pt idx="35">
                        <c:v>1.3659709993182767</c:v>
                      </c:pt>
                      <c:pt idx="36">
                        <c:v>1.4039146381882288</c:v>
                      </c:pt>
                      <c:pt idx="37">
                        <c:v>1.4418582770581809</c:v>
                      </c:pt>
                      <c:pt idx="38">
                        <c:v>1.479801915928133</c:v>
                      </c:pt>
                      <c:pt idx="39">
                        <c:v>1.5177455547980852</c:v>
                      </c:pt>
                      <c:pt idx="40">
                        <c:v>1.5556891936680373</c:v>
                      </c:pt>
                      <c:pt idx="41">
                        <c:v>1.5936328325379894</c:v>
                      </c:pt>
                      <c:pt idx="42">
                        <c:v>1.6315764714079415</c:v>
                      </c:pt>
                      <c:pt idx="43">
                        <c:v>1.6695201102778936</c:v>
                      </c:pt>
                      <c:pt idx="44">
                        <c:v>1.7074637491478457</c:v>
                      </c:pt>
                      <c:pt idx="45">
                        <c:v>1.7454073880177978</c:v>
                      </c:pt>
                      <c:pt idx="46">
                        <c:v>1.7833510268877499</c:v>
                      </c:pt>
                      <c:pt idx="47">
                        <c:v>1.821294665757702</c:v>
                      </c:pt>
                      <c:pt idx="48">
                        <c:v>1.8592383046276542</c:v>
                      </c:pt>
                      <c:pt idx="49">
                        <c:v>1.8971819434976063</c:v>
                      </c:pt>
                      <c:pt idx="50">
                        <c:v>1.9351255823675584</c:v>
                      </c:pt>
                      <c:pt idx="51">
                        <c:v>1.9730692212375105</c:v>
                      </c:pt>
                    </c:numCache>
                  </c:numRef>
                </c:val>
                <c:smooth val="0"/>
                <c:extLst>
                  <c:ext xmlns:c16="http://schemas.microsoft.com/office/drawing/2014/chart" uri="{C3380CC4-5D6E-409C-BE32-E72D297353CC}">
                    <c16:uniqueId val="{00000006-E022-4D7E-A9EE-B402097B3419}"/>
                  </c:ext>
                </c:extLst>
              </c15:ser>
            </c15:filteredLineSeries>
            <c15:filteredLineSeries>
              <c15:ser>
                <c:idx val="5"/>
                <c:order val="2"/>
                <c:tx>
                  <c:strRef>
                    <c:extLst xmlns:c15="http://schemas.microsoft.com/office/drawing/2012/chart">
                      <c:ext xmlns:c15="http://schemas.microsoft.com/office/drawing/2012/chart" uri="{02D57815-91ED-43cb-92C2-25804820EDAC}">
                        <c15:formulaRef>
                          <c15:sqref>'PBL OLD'!$CW$6:$CW$7</c15:sqref>
                        </c15:formulaRef>
                      </c:ext>
                    </c:extLst>
                    <c:strCache>
                      <c:ptCount val="2"/>
                      <c:pt idx="0">
                        <c:v>1st Percentile</c:v>
                      </c:pt>
                    </c:strCache>
                  </c:strRef>
                </c:tx>
                <c:spPr>
                  <a:ln w="28575" cap="rnd">
                    <a:solidFill>
                      <a:schemeClr val="accent6"/>
                    </a:solidFill>
                    <a:prstDash val="sysDot"/>
                    <a:round/>
                  </a:ln>
                  <a:effectLst/>
                </c:spPr>
                <c:cat>
                  <c:numRef>
                    <c:extLst xmlns:c15="http://schemas.microsoft.com/office/drawing/2012/chart">
                      <c:ext xmlns:c15="http://schemas.microsoft.com/office/drawing/2012/chart" uri="{02D57815-91ED-43cb-92C2-25804820EDAC}">
                        <c15:formulaRef>
                          <c15:sqref>'PBL OLD'!$HA$8:$HA$33</c15:sqref>
                        </c15:formulaRef>
                      </c:ext>
                    </c:extLst>
                    <c:numCache>
                      <c:formatCode>d\-mmm\-yy_);\(###0\);"-  ";" "@" "</c:formatCode>
                      <c:ptCount val="26"/>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numCache>
                  </c:numRef>
                </c:cat>
                <c:val>
                  <c:numRef>
                    <c:extLst xmlns:c15="http://schemas.microsoft.com/office/drawing/2012/chart">
                      <c:ext xmlns:c15="http://schemas.microsoft.com/office/drawing/2012/chart" uri="{02D57815-91ED-43cb-92C2-25804820EDAC}">
                        <c15:formulaRef>
                          <c15:sqref>'PBL OLD'!$CW$8:$CW$60</c15:sqref>
                        </c15:formulaRef>
                      </c:ext>
                    </c:extLst>
                    <c:numCache>
                      <c:formatCode>0.000</c:formatCode>
                      <c:ptCount val="53"/>
                      <c:pt idx="0">
                        <c:v>4.5436313528305135E-2</c:v>
                      </c:pt>
                      <c:pt idx="1">
                        <c:v>9.087262705661027E-2</c:v>
                      </c:pt>
                      <c:pt idx="2">
                        <c:v>0.13630894058491541</c:v>
                      </c:pt>
                      <c:pt idx="3">
                        <c:v>0.18174525411322054</c:v>
                      </c:pt>
                      <c:pt idx="4">
                        <c:v>0.22718156764152567</c:v>
                      </c:pt>
                      <c:pt idx="5">
                        <c:v>0.27261788116983082</c:v>
                      </c:pt>
                      <c:pt idx="6">
                        <c:v>0.31805419469813595</c:v>
                      </c:pt>
                      <c:pt idx="7">
                        <c:v>0.36349050822644108</c:v>
                      </c:pt>
                      <c:pt idx="8">
                        <c:v>0.40892682175474621</c:v>
                      </c:pt>
                      <c:pt idx="9">
                        <c:v>0.45436313528305133</c:v>
                      </c:pt>
                      <c:pt idx="10">
                        <c:v>0.49979944881135646</c:v>
                      </c:pt>
                      <c:pt idx="11">
                        <c:v>0.54523576233966164</c:v>
                      </c:pt>
                      <c:pt idx="12">
                        <c:v>0.59067207586796677</c:v>
                      </c:pt>
                      <c:pt idx="13">
                        <c:v>0.6361083893962719</c:v>
                      </c:pt>
                      <c:pt idx="14">
                        <c:v>0.68154470292457703</c:v>
                      </c:pt>
                      <c:pt idx="15">
                        <c:v>0.72698101645288216</c:v>
                      </c:pt>
                      <c:pt idx="16">
                        <c:v>0.77241732998118728</c:v>
                      </c:pt>
                      <c:pt idx="17">
                        <c:v>0.81785364350949241</c:v>
                      </c:pt>
                      <c:pt idx="18">
                        <c:v>0.86328995703779754</c:v>
                      </c:pt>
                      <c:pt idx="19">
                        <c:v>0.90872627056610267</c:v>
                      </c:pt>
                      <c:pt idx="20">
                        <c:v>0.9541625840944078</c:v>
                      </c:pt>
                      <c:pt idx="21">
                        <c:v>0.99959889762271292</c:v>
                      </c:pt>
                      <c:pt idx="22">
                        <c:v>1.0450352111510182</c:v>
                      </c:pt>
                      <c:pt idx="23">
                        <c:v>1.0904715246793233</c:v>
                      </c:pt>
                      <c:pt idx="24">
                        <c:v>1.1359078382076284</c:v>
                      </c:pt>
                      <c:pt idx="25">
                        <c:v>1.1813441517359335</c:v>
                      </c:pt>
                      <c:pt idx="26">
                        <c:v>1.2267804652642387</c:v>
                      </c:pt>
                      <c:pt idx="27">
                        <c:v>1.2722167787925438</c:v>
                      </c:pt>
                      <c:pt idx="28">
                        <c:v>1.3176530923208489</c:v>
                      </c:pt>
                      <c:pt idx="29">
                        <c:v>1.3630894058491541</c:v>
                      </c:pt>
                      <c:pt idx="30">
                        <c:v>1.4085257193774592</c:v>
                      </c:pt>
                      <c:pt idx="31">
                        <c:v>1.4539620329057643</c:v>
                      </c:pt>
                      <c:pt idx="32">
                        <c:v>1.4993983464340694</c:v>
                      </c:pt>
                      <c:pt idx="33">
                        <c:v>1.5448346599623746</c:v>
                      </c:pt>
                      <c:pt idx="34">
                        <c:v>1.5902709734906797</c:v>
                      </c:pt>
                      <c:pt idx="35">
                        <c:v>1.6357072870189848</c:v>
                      </c:pt>
                      <c:pt idx="36">
                        <c:v>1.68114360054729</c:v>
                      </c:pt>
                      <c:pt idx="37">
                        <c:v>1.7265799140755951</c:v>
                      </c:pt>
                      <c:pt idx="38">
                        <c:v>1.7720162276039002</c:v>
                      </c:pt>
                      <c:pt idx="39">
                        <c:v>1.8174525411322053</c:v>
                      </c:pt>
                      <c:pt idx="40">
                        <c:v>1.8628888546605105</c:v>
                      </c:pt>
                      <c:pt idx="41">
                        <c:v>1.9083251681888156</c:v>
                      </c:pt>
                      <c:pt idx="42">
                        <c:v>1.9537614817171207</c:v>
                      </c:pt>
                      <c:pt idx="43">
                        <c:v>1.9991977952454258</c:v>
                      </c:pt>
                      <c:pt idx="44">
                        <c:v>2.0446341087737312</c:v>
                      </c:pt>
                      <c:pt idx="45">
                        <c:v>2.0900704223020363</c:v>
                      </c:pt>
                      <c:pt idx="46">
                        <c:v>2.1355067358303415</c:v>
                      </c:pt>
                      <c:pt idx="47">
                        <c:v>2.1809430493586466</c:v>
                      </c:pt>
                      <c:pt idx="48">
                        <c:v>2.2263793628869517</c:v>
                      </c:pt>
                      <c:pt idx="49">
                        <c:v>2.2718156764152568</c:v>
                      </c:pt>
                      <c:pt idx="50">
                        <c:v>2.317251989943562</c:v>
                      </c:pt>
                      <c:pt idx="51">
                        <c:v>2.3626883034718671</c:v>
                      </c:pt>
                    </c:numCache>
                  </c:numRef>
                </c:val>
                <c:smooth val="0"/>
                <c:extLst xmlns:c15="http://schemas.microsoft.com/office/drawing/2012/chart">
                  <c:ext xmlns:c16="http://schemas.microsoft.com/office/drawing/2014/chart" uri="{C3380CC4-5D6E-409C-BE32-E72D297353CC}">
                    <c16:uniqueId val="{00000007-E022-4D7E-A9EE-B402097B3419}"/>
                  </c:ext>
                </c:extLst>
              </c15:ser>
            </c15:filteredLineSeries>
            <c15:filteredLineSeries>
              <c15:ser>
                <c:idx val="1"/>
                <c:order val="4"/>
                <c:tx>
                  <c:strRef>
                    <c:extLst xmlns:c15="http://schemas.microsoft.com/office/drawing/2012/chart">
                      <c:ext xmlns:c15="http://schemas.microsoft.com/office/drawing/2012/chart" uri="{02D57815-91ED-43cb-92C2-25804820EDAC}">
                        <c15:formulaRef>
                          <c15:sqref>'PBL OLD'!$CY$6:$CY$7</c15:sqref>
                        </c15:formulaRef>
                      </c:ext>
                    </c:extLst>
                    <c:strCache>
                      <c:ptCount val="2"/>
                      <c:pt idx="0">
                        <c:v>10th Percentile</c:v>
                      </c:pt>
                    </c:strCache>
                  </c:strRef>
                </c:tx>
                <c:spPr>
                  <a:ln w="28575" cap="rnd" cmpd="sng">
                    <a:solidFill>
                      <a:schemeClr val="accent2"/>
                    </a:solidFill>
                    <a:prstDash val="sysDot"/>
                    <a:round/>
                    <a:headEnd type="none"/>
                  </a:ln>
                  <a:effectLst/>
                </c:spPr>
                <c:cat>
                  <c:numRef>
                    <c:extLst xmlns:c15="http://schemas.microsoft.com/office/drawing/2012/chart">
                      <c:ext xmlns:c15="http://schemas.microsoft.com/office/drawing/2012/chart" uri="{02D57815-91ED-43cb-92C2-25804820EDAC}">
                        <c15:formulaRef>
                          <c15:sqref>'PBL OLD'!$HA$8:$HA$33</c15:sqref>
                        </c15:formulaRef>
                      </c:ext>
                    </c:extLst>
                    <c:numCache>
                      <c:formatCode>d\-mmm\-yy_);\(###0\);"-  ";" "@" "</c:formatCode>
                      <c:ptCount val="26"/>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numCache>
                  </c:numRef>
                </c:cat>
                <c:val>
                  <c:numRef>
                    <c:extLst xmlns:c15="http://schemas.microsoft.com/office/drawing/2012/chart">
                      <c:ext xmlns:c15="http://schemas.microsoft.com/office/drawing/2012/chart" uri="{02D57815-91ED-43cb-92C2-25804820EDAC}">
                        <c15:formulaRef>
                          <c15:sqref>'PBL OLD'!$CY$8:$CY$60</c15:sqref>
                        </c15:formulaRef>
                      </c:ext>
                    </c:extLst>
                    <c:numCache>
                      <c:formatCode>0.000</c:formatCode>
                      <c:ptCount val="53"/>
                      <c:pt idx="0">
                        <c:v>5.0502007292025322E-2</c:v>
                      </c:pt>
                      <c:pt idx="1">
                        <c:v>0.10100401458405064</c:v>
                      </c:pt>
                      <c:pt idx="2">
                        <c:v>0.15150602187607598</c:v>
                      </c:pt>
                      <c:pt idx="3">
                        <c:v>0.20200802916810129</c:v>
                      </c:pt>
                      <c:pt idx="4">
                        <c:v>0.2525100364601266</c:v>
                      </c:pt>
                      <c:pt idx="5">
                        <c:v>0.30301204375215191</c:v>
                      </c:pt>
                      <c:pt idx="6">
                        <c:v>0.35351405104417721</c:v>
                      </c:pt>
                      <c:pt idx="7">
                        <c:v>0.40401605833620252</c:v>
                      </c:pt>
                      <c:pt idx="8">
                        <c:v>0.45451806562822783</c:v>
                      </c:pt>
                      <c:pt idx="9">
                        <c:v>0.50502007292025319</c:v>
                      </c:pt>
                      <c:pt idx="10">
                        <c:v>0.55552208021227856</c:v>
                      </c:pt>
                      <c:pt idx="11">
                        <c:v>0.60602408750430392</c:v>
                      </c:pt>
                      <c:pt idx="12">
                        <c:v>0.65652609479632928</c:v>
                      </c:pt>
                      <c:pt idx="13">
                        <c:v>0.70702810208835465</c:v>
                      </c:pt>
                      <c:pt idx="14">
                        <c:v>0.75753010938038001</c:v>
                      </c:pt>
                      <c:pt idx="15">
                        <c:v>0.80803211667240538</c:v>
                      </c:pt>
                      <c:pt idx="16">
                        <c:v>0.85853412396443074</c:v>
                      </c:pt>
                      <c:pt idx="17">
                        <c:v>0.9090361312564561</c:v>
                      </c:pt>
                      <c:pt idx="18">
                        <c:v>0.95953813854848147</c:v>
                      </c:pt>
                      <c:pt idx="19">
                        <c:v>1.0100401458405068</c:v>
                      </c:pt>
                      <c:pt idx="20">
                        <c:v>1.0605421531325321</c:v>
                      </c:pt>
                      <c:pt idx="21">
                        <c:v>1.1110441604245573</c:v>
                      </c:pt>
                      <c:pt idx="22">
                        <c:v>1.1615461677165826</c:v>
                      </c:pt>
                      <c:pt idx="23">
                        <c:v>1.2120481750086078</c:v>
                      </c:pt>
                      <c:pt idx="24">
                        <c:v>1.2625501823006331</c:v>
                      </c:pt>
                      <c:pt idx="25">
                        <c:v>1.3130521895926583</c:v>
                      </c:pt>
                      <c:pt idx="26">
                        <c:v>1.3635541968846836</c:v>
                      </c:pt>
                      <c:pt idx="27">
                        <c:v>1.4140562041767089</c:v>
                      </c:pt>
                      <c:pt idx="28">
                        <c:v>1.4645582114687341</c:v>
                      </c:pt>
                      <c:pt idx="29">
                        <c:v>1.5150602187607594</c:v>
                      </c:pt>
                      <c:pt idx="30">
                        <c:v>1.5655622260527846</c:v>
                      </c:pt>
                      <c:pt idx="31">
                        <c:v>1.6160642333448099</c:v>
                      </c:pt>
                      <c:pt idx="32">
                        <c:v>1.6665662406368351</c:v>
                      </c:pt>
                      <c:pt idx="33">
                        <c:v>1.7170682479288604</c:v>
                      </c:pt>
                      <c:pt idx="34">
                        <c:v>1.7675702552208856</c:v>
                      </c:pt>
                      <c:pt idx="35">
                        <c:v>1.8180722625129109</c:v>
                      </c:pt>
                      <c:pt idx="36">
                        <c:v>1.8685742698049361</c:v>
                      </c:pt>
                      <c:pt idx="37">
                        <c:v>1.9190762770969614</c:v>
                      </c:pt>
                      <c:pt idx="38">
                        <c:v>1.9695782843889866</c:v>
                      </c:pt>
                      <c:pt idx="39">
                        <c:v>2.0200802916810119</c:v>
                      </c:pt>
                      <c:pt idx="40">
                        <c:v>2.0705822989730374</c:v>
                      </c:pt>
                      <c:pt idx="41">
                        <c:v>2.1210843062650628</c:v>
                      </c:pt>
                      <c:pt idx="42">
                        <c:v>2.1715863135570883</c:v>
                      </c:pt>
                      <c:pt idx="43">
                        <c:v>2.2220883208491138</c:v>
                      </c:pt>
                      <c:pt idx="44">
                        <c:v>2.2725903281411393</c:v>
                      </c:pt>
                      <c:pt idx="45">
                        <c:v>2.3230923354331647</c:v>
                      </c:pt>
                      <c:pt idx="46">
                        <c:v>2.3735943427251902</c:v>
                      </c:pt>
                      <c:pt idx="47">
                        <c:v>2.4240963500172157</c:v>
                      </c:pt>
                      <c:pt idx="48">
                        <c:v>2.4745983573092412</c:v>
                      </c:pt>
                      <c:pt idx="49">
                        <c:v>2.5251003646012666</c:v>
                      </c:pt>
                      <c:pt idx="50">
                        <c:v>2.5756023718932921</c:v>
                      </c:pt>
                      <c:pt idx="51">
                        <c:v>2.6261043791853176</c:v>
                      </c:pt>
                    </c:numCache>
                  </c:numRef>
                </c:val>
                <c:smooth val="0"/>
                <c:extLst xmlns:c15="http://schemas.microsoft.com/office/drawing/2012/chart">
                  <c:ext xmlns:c16="http://schemas.microsoft.com/office/drawing/2014/chart" uri="{C3380CC4-5D6E-409C-BE32-E72D297353CC}">
                    <c16:uniqueId val="{00000008-E022-4D7E-A9EE-B402097B3419}"/>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'PBL OLD'!$DC$6:$DC$7</c15:sqref>
                        </c15:formulaRef>
                      </c:ext>
                    </c:extLst>
                    <c:strCache>
                      <c:ptCount val="2"/>
                      <c:pt idx="0">
                        <c:v>90th Percentile</c:v>
                      </c:pt>
                    </c:strCache>
                  </c:strRef>
                </c:tx>
                <c:spPr>
                  <a:ln w="28575">
                    <a:solidFill>
                      <a:schemeClr val="accent1"/>
                    </a:solidFill>
                    <a:prstDash val="sysDot"/>
                  </a:ln>
                </c:spPr>
                <c:cat>
                  <c:numRef>
                    <c:extLst xmlns:c15="http://schemas.microsoft.com/office/drawing/2012/chart">
                      <c:ext xmlns:c15="http://schemas.microsoft.com/office/drawing/2012/chart" uri="{02D57815-91ED-43cb-92C2-25804820EDAC}">
                        <c15:formulaRef>
                          <c15:sqref>'PBL OLD'!$HA$8:$HA$33</c15:sqref>
                        </c15:formulaRef>
                      </c:ext>
                    </c:extLst>
                    <c:numCache>
                      <c:formatCode>d\-mmm\-yy_);\(###0\);"-  ";" "@" "</c:formatCode>
                      <c:ptCount val="26"/>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numCache>
                  </c:numRef>
                </c:cat>
                <c:val>
                  <c:numRef>
                    <c:extLst xmlns:c15="http://schemas.microsoft.com/office/drawing/2012/chart">
                      <c:ext xmlns:c15="http://schemas.microsoft.com/office/drawing/2012/chart" uri="{02D57815-91ED-43cb-92C2-25804820EDAC}">
                        <c15:formulaRef>
                          <c15:sqref>'PBL OLD'!$DC$8:$DC$60</c15:sqref>
                        </c15:formulaRef>
                      </c:ext>
                    </c:extLst>
                    <c:numCache>
                      <c:formatCode>0.000</c:formatCode>
                      <c:ptCount val="53"/>
                      <c:pt idx="0">
                        <c:v>7.261484324723147E-2</c:v>
                      </c:pt>
                      <c:pt idx="1">
                        <c:v>0.14522968649446294</c:v>
                      </c:pt>
                      <c:pt idx="2">
                        <c:v>0.21784452974169441</c:v>
                      </c:pt>
                      <c:pt idx="3">
                        <c:v>0.29045937298892588</c:v>
                      </c:pt>
                      <c:pt idx="4">
                        <c:v>0.36307421623615732</c:v>
                      </c:pt>
                      <c:pt idx="5">
                        <c:v>0.43568905948338876</c:v>
                      </c:pt>
                      <c:pt idx="6">
                        <c:v>0.50830390273062021</c:v>
                      </c:pt>
                      <c:pt idx="7">
                        <c:v>0.58091874597785165</c:v>
                      </c:pt>
                      <c:pt idx="8">
                        <c:v>0.65353358922508309</c:v>
                      </c:pt>
                      <c:pt idx="9">
                        <c:v>0.72614843247231453</c:v>
                      </c:pt>
                      <c:pt idx="10">
                        <c:v>0.79876327571954597</c:v>
                      </c:pt>
                      <c:pt idx="11">
                        <c:v>0.87137811896677742</c:v>
                      </c:pt>
                      <c:pt idx="12">
                        <c:v>0.94399296221400886</c:v>
                      </c:pt>
                      <c:pt idx="13">
                        <c:v>1.0166078054612404</c:v>
                      </c:pt>
                      <c:pt idx="14">
                        <c:v>1.089222648708472</c:v>
                      </c:pt>
                      <c:pt idx="15">
                        <c:v>1.1618374919557035</c:v>
                      </c:pt>
                      <c:pt idx="16">
                        <c:v>1.2344523352029351</c:v>
                      </c:pt>
                      <c:pt idx="17">
                        <c:v>1.3070671784501666</c:v>
                      </c:pt>
                      <c:pt idx="18">
                        <c:v>1.3796820216973982</c:v>
                      </c:pt>
                      <c:pt idx="19">
                        <c:v>1.4522968649446297</c:v>
                      </c:pt>
                      <c:pt idx="20">
                        <c:v>1.5249117081918613</c:v>
                      </c:pt>
                      <c:pt idx="21">
                        <c:v>1.5975265514390928</c:v>
                      </c:pt>
                      <c:pt idx="22">
                        <c:v>1.6701413946863244</c:v>
                      </c:pt>
                      <c:pt idx="23">
                        <c:v>1.7427562379335559</c:v>
                      </c:pt>
                      <c:pt idx="24">
                        <c:v>1.8153710811807875</c:v>
                      </c:pt>
                      <c:pt idx="25">
                        <c:v>1.887985924428019</c:v>
                      </c:pt>
                      <c:pt idx="26">
                        <c:v>1.9606007676752506</c:v>
                      </c:pt>
                      <c:pt idx="27">
                        <c:v>2.0332156109224822</c:v>
                      </c:pt>
                      <c:pt idx="28">
                        <c:v>2.1058304541697135</c:v>
                      </c:pt>
                      <c:pt idx="29">
                        <c:v>2.1784452974169448</c:v>
                      </c:pt>
                      <c:pt idx="30">
                        <c:v>2.2510601406641761</c:v>
                      </c:pt>
                      <c:pt idx="31">
                        <c:v>2.3236749839114075</c:v>
                      </c:pt>
                      <c:pt idx="32">
                        <c:v>2.3962898271586388</c:v>
                      </c:pt>
                      <c:pt idx="33">
                        <c:v>2.4689046704058701</c:v>
                      </c:pt>
                      <c:pt idx="34">
                        <c:v>2.5415195136531015</c:v>
                      </c:pt>
                      <c:pt idx="35">
                        <c:v>2.6141343569003328</c:v>
                      </c:pt>
                      <c:pt idx="36">
                        <c:v>2.6867492001475641</c:v>
                      </c:pt>
                      <c:pt idx="37">
                        <c:v>2.7593640433947955</c:v>
                      </c:pt>
                      <c:pt idx="38">
                        <c:v>2.8319788866420268</c:v>
                      </c:pt>
                      <c:pt idx="39">
                        <c:v>2.9045937298892581</c:v>
                      </c:pt>
                      <c:pt idx="40">
                        <c:v>2.9772085731364895</c:v>
                      </c:pt>
                      <c:pt idx="41">
                        <c:v>3.0498234163837208</c:v>
                      </c:pt>
                      <c:pt idx="42">
                        <c:v>3.1224382596309521</c:v>
                      </c:pt>
                      <c:pt idx="43">
                        <c:v>3.1950531028781834</c:v>
                      </c:pt>
                      <c:pt idx="44">
                        <c:v>3.2676679461254148</c:v>
                      </c:pt>
                      <c:pt idx="45">
                        <c:v>3.3402827893726461</c:v>
                      </c:pt>
                      <c:pt idx="46">
                        <c:v>3.4128976326198774</c:v>
                      </c:pt>
                      <c:pt idx="47">
                        <c:v>3.4855124758671088</c:v>
                      </c:pt>
                      <c:pt idx="48">
                        <c:v>3.5581273191143401</c:v>
                      </c:pt>
                      <c:pt idx="49">
                        <c:v>3.6307421623615714</c:v>
                      </c:pt>
                      <c:pt idx="50">
                        <c:v>3.7033570056088028</c:v>
                      </c:pt>
                      <c:pt idx="51">
                        <c:v>3.7759718488560341</c:v>
                      </c:pt>
                    </c:numCache>
                  </c:numRef>
                </c:val>
                <c:smooth val="0"/>
                <c:extLst xmlns:c15="http://schemas.microsoft.com/office/drawing/2012/chart">
                  <c:ext xmlns:c16="http://schemas.microsoft.com/office/drawing/2014/chart" uri="{C3380CC4-5D6E-409C-BE32-E72D297353CC}">
                    <c16:uniqueId val="{00000009-E022-4D7E-A9EE-B402097B3419}"/>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'PBL OLD'!$DE$6:$DE$7</c15:sqref>
                        </c15:formulaRef>
                      </c:ext>
                    </c:extLst>
                    <c:strCache>
                      <c:ptCount val="2"/>
                      <c:pt idx="0">
                        <c:v>99th Percentile</c:v>
                      </c:pt>
                    </c:strCache>
                  </c:strRef>
                </c:tx>
                <c:spPr>
                  <a:ln w="28575">
                    <a:solidFill>
                      <a:schemeClr val="accent1"/>
                    </a:solidFill>
                    <a:prstDash val="sysDot"/>
                  </a:ln>
                </c:spPr>
                <c:cat>
                  <c:numRef>
                    <c:extLst xmlns:c15="http://schemas.microsoft.com/office/drawing/2012/chart">
                      <c:ext xmlns:c15="http://schemas.microsoft.com/office/drawing/2012/chart" uri="{02D57815-91ED-43cb-92C2-25804820EDAC}">
                        <c15:formulaRef>
                          <c15:sqref>'PBL OLD'!$HA$8:$HA$33</c15:sqref>
                        </c15:formulaRef>
                      </c:ext>
                    </c:extLst>
                    <c:numCache>
                      <c:formatCode>d\-mmm\-yy_);\(###0\);"-  ";" "@" "</c:formatCode>
                      <c:ptCount val="26"/>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numCache>
                  </c:numRef>
                </c:cat>
                <c:val>
                  <c:numRef>
                    <c:extLst xmlns:c15="http://schemas.microsoft.com/office/drawing/2012/chart">
                      <c:ext xmlns:c15="http://schemas.microsoft.com/office/drawing/2012/chart" uri="{02D57815-91ED-43cb-92C2-25804820EDAC}">
                        <c15:formulaRef>
                          <c15:sqref>'PBL OLD'!$DE$8:$DE$60</c15:sqref>
                        </c15:formulaRef>
                      </c:ext>
                    </c:extLst>
                    <c:numCache>
                      <c:formatCode>0.000</c:formatCode>
                      <c:ptCount val="53"/>
                      <c:pt idx="0">
                        <c:v>8.472863847550996E-2</c:v>
                      </c:pt>
                      <c:pt idx="1">
                        <c:v>0.16945727695101992</c:v>
                      </c:pt>
                      <c:pt idx="2">
                        <c:v>0.25418591542652991</c:v>
                      </c:pt>
                      <c:pt idx="3">
                        <c:v>0.33891455390203984</c:v>
                      </c:pt>
                      <c:pt idx="4">
                        <c:v>0.42364319237754977</c:v>
                      </c:pt>
                      <c:pt idx="5">
                        <c:v>0.5083718308530597</c:v>
                      </c:pt>
                      <c:pt idx="6">
                        <c:v>0.59310046932856963</c:v>
                      </c:pt>
                      <c:pt idx="7">
                        <c:v>0.67782910780407957</c:v>
                      </c:pt>
                      <c:pt idx="8">
                        <c:v>0.7625577462795895</c:v>
                      </c:pt>
                      <c:pt idx="9">
                        <c:v>0.84728638475509943</c:v>
                      </c:pt>
                      <c:pt idx="10">
                        <c:v>0.93201502323060936</c:v>
                      </c:pt>
                      <c:pt idx="11">
                        <c:v>1.0167436617061194</c:v>
                      </c:pt>
                      <c:pt idx="12">
                        <c:v>1.1014723001816293</c:v>
                      </c:pt>
                      <c:pt idx="13">
                        <c:v>1.1862009386571393</c:v>
                      </c:pt>
                      <c:pt idx="14">
                        <c:v>1.2709295771326492</c:v>
                      </c:pt>
                      <c:pt idx="15">
                        <c:v>1.3556582156081591</c:v>
                      </c:pt>
                      <c:pt idx="16">
                        <c:v>1.4403868540836691</c:v>
                      </c:pt>
                      <c:pt idx="17">
                        <c:v>1.525115492559179</c:v>
                      </c:pt>
                      <c:pt idx="18">
                        <c:v>1.6098441310346889</c:v>
                      </c:pt>
                      <c:pt idx="19">
                        <c:v>1.6945727695101989</c:v>
                      </c:pt>
                      <c:pt idx="20">
                        <c:v>1.7793014079857088</c:v>
                      </c:pt>
                      <c:pt idx="21">
                        <c:v>1.8640300464612187</c:v>
                      </c:pt>
                      <c:pt idx="22">
                        <c:v>1.9487586849367287</c:v>
                      </c:pt>
                      <c:pt idx="23">
                        <c:v>2.0334873234122388</c:v>
                      </c:pt>
                      <c:pt idx="24">
                        <c:v>2.1182159618877487</c:v>
                      </c:pt>
                      <c:pt idx="25">
                        <c:v>2.2029446003632587</c:v>
                      </c:pt>
                      <c:pt idx="26">
                        <c:v>2.2876732388387686</c:v>
                      </c:pt>
                      <c:pt idx="27">
                        <c:v>2.3724018773142785</c:v>
                      </c:pt>
                      <c:pt idx="28">
                        <c:v>2.4571305157897885</c:v>
                      </c:pt>
                      <c:pt idx="29">
                        <c:v>2.5418591542652984</c:v>
                      </c:pt>
                      <c:pt idx="30">
                        <c:v>2.6265877927408083</c:v>
                      </c:pt>
                      <c:pt idx="31">
                        <c:v>2.7113164312163183</c:v>
                      </c:pt>
                      <c:pt idx="32">
                        <c:v>2.7960450696918282</c:v>
                      </c:pt>
                      <c:pt idx="33">
                        <c:v>2.8807737081673381</c:v>
                      </c:pt>
                      <c:pt idx="34">
                        <c:v>2.9655023466428481</c:v>
                      </c:pt>
                      <c:pt idx="35">
                        <c:v>3.050230985118358</c:v>
                      </c:pt>
                      <c:pt idx="36">
                        <c:v>3.1349596235938679</c:v>
                      </c:pt>
                      <c:pt idx="37">
                        <c:v>3.2196882620693779</c:v>
                      </c:pt>
                      <c:pt idx="38">
                        <c:v>3.3044169005448878</c:v>
                      </c:pt>
                      <c:pt idx="39">
                        <c:v>3.3891455390203977</c:v>
                      </c:pt>
                      <c:pt idx="40">
                        <c:v>3.4738741774959077</c:v>
                      </c:pt>
                      <c:pt idx="41">
                        <c:v>3.5586028159714176</c:v>
                      </c:pt>
                      <c:pt idx="42">
                        <c:v>3.6433314544469275</c:v>
                      </c:pt>
                      <c:pt idx="43">
                        <c:v>3.7280600929224375</c:v>
                      </c:pt>
                      <c:pt idx="44">
                        <c:v>3.8127887313979474</c:v>
                      </c:pt>
                      <c:pt idx="45">
                        <c:v>3.8975173698734573</c:v>
                      </c:pt>
                      <c:pt idx="46">
                        <c:v>3.9822460083489672</c:v>
                      </c:pt>
                      <c:pt idx="47">
                        <c:v>4.0669746468244776</c:v>
                      </c:pt>
                      <c:pt idx="48">
                        <c:v>4.1517032852999876</c:v>
                      </c:pt>
                      <c:pt idx="49">
                        <c:v>4.2364319237754975</c:v>
                      </c:pt>
                      <c:pt idx="50">
                        <c:v>4.3211605622510074</c:v>
                      </c:pt>
                      <c:pt idx="51">
                        <c:v>4.4058892007265174</c:v>
                      </c:pt>
                    </c:numCache>
                  </c:numRef>
                </c:val>
                <c:smooth val="0"/>
                <c:extLst xmlns:c15="http://schemas.microsoft.com/office/drawing/2012/chart">
                  <c:ext xmlns:c16="http://schemas.microsoft.com/office/drawing/2014/chart" uri="{C3380CC4-5D6E-409C-BE32-E72D297353CC}">
                    <c16:uniqueId val="{0000000A-E022-4D7E-A9EE-B402097B3419}"/>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'PBL OLD'!$DF$6:$DF$7</c15:sqref>
                        </c15:formulaRef>
                      </c:ext>
                    </c:extLst>
                    <c:strCache>
                      <c:ptCount val="2"/>
                      <c:pt idx="0">
                        <c:v>Max</c:v>
                      </c:pt>
                    </c:strCache>
                  </c:strRef>
                </c:tx>
                <c:cat>
                  <c:numRef>
                    <c:extLst xmlns:c15="http://schemas.microsoft.com/office/drawing/2012/chart">
                      <c:ext xmlns:c15="http://schemas.microsoft.com/office/drawing/2012/chart" uri="{02D57815-91ED-43cb-92C2-25804820EDAC}">
                        <c15:formulaRef>
                          <c15:sqref>'PBL OLD'!$HA$8:$HA$33</c15:sqref>
                        </c15:formulaRef>
                      </c:ext>
                    </c:extLst>
                    <c:numCache>
                      <c:formatCode>d\-mmm\-yy_);\(###0\);"-  ";" "@" "</c:formatCode>
                      <c:ptCount val="26"/>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numCache>
                  </c:numRef>
                </c:cat>
                <c:val>
                  <c:numRef>
                    <c:extLst xmlns:c15="http://schemas.microsoft.com/office/drawing/2012/chart">
                      <c:ext xmlns:c15="http://schemas.microsoft.com/office/drawing/2012/chart" uri="{02D57815-91ED-43cb-92C2-25804820EDAC}">
                        <c15:formulaRef>
                          <c15:sqref>'PBL OLD'!$DF$8:$DF$60</c15:sqref>
                        </c15:formulaRef>
                      </c:ext>
                    </c:extLst>
                    <c:numCache>
                      <c:formatCode>0.000</c:formatCode>
                      <c:ptCount val="53"/>
                      <c:pt idx="0">
                        <c:v>0.10288241710741779</c:v>
                      </c:pt>
                      <c:pt idx="1">
                        <c:v>0.20576483421483557</c:v>
                      </c:pt>
                      <c:pt idx="2">
                        <c:v>0.30864725132225335</c:v>
                      </c:pt>
                      <c:pt idx="3">
                        <c:v>0.41152966842967115</c:v>
                      </c:pt>
                      <c:pt idx="4">
                        <c:v>0.51441208553708895</c:v>
                      </c:pt>
                      <c:pt idx="5">
                        <c:v>0.61729450264450669</c:v>
                      </c:pt>
                      <c:pt idx="6">
                        <c:v>0.72017691975192444</c:v>
                      </c:pt>
                      <c:pt idx="7">
                        <c:v>0.82305933685934218</c:v>
                      </c:pt>
                      <c:pt idx="8">
                        <c:v>0.92594175396675993</c:v>
                      </c:pt>
                      <c:pt idx="9">
                        <c:v>1.0288241710741777</c:v>
                      </c:pt>
                      <c:pt idx="10">
                        <c:v>1.1317065881815955</c:v>
                      </c:pt>
                      <c:pt idx="11">
                        <c:v>1.2345890052890134</c:v>
                      </c:pt>
                      <c:pt idx="12">
                        <c:v>1.3374714223964312</c:v>
                      </c:pt>
                      <c:pt idx="13">
                        <c:v>1.4403538395038491</c:v>
                      </c:pt>
                      <c:pt idx="14">
                        <c:v>1.543236256611267</c:v>
                      </c:pt>
                      <c:pt idx="15">
                        <c:v>1.6461186737186848</c:v>
                      </c:pt>
                      <c:pt idx="16">
                        <c:v>1.7490010908261027</c:v>
                      </c:pt>
                      <c:pt idx="17">
                        <c:v>1.8518835079335205</c:v>
                      </c:pt>
                      <c:pt idx="18">
                        <c:v>1.9547659250409384</c:v>
                      </c:pt>
                      <c:pt idx="19">
                        <c:v>2.0576483421483562</c:v>
                      </c:pt>
                      <c:pt idx="20">
                        <c:v>2.1605307592557739</c:v>
                      </c:pt>
                      <c:pt idx="21">
                        <c:v>2.2634131763631915</c:v>
                      </c:pt>
                      <c:pt idx="22">
                        <c:v>2.3662955934706091</c:v>
                      </c:pt>
                      <c:pt idx="23">
                        <c:v>2.4691780105780268</c:v>
                      </c:pt>
                      <c:pt idx="24">
                        <c:v>2.5720604276854444</c:v>
                      </c:pt>
                      <c:pt idx="25">
                        <c:v>2.674942844792862</c:v>
                      </c:pt>
                      <c:pt idx="26">
                        <c:v>2.7778252619002797</c:v>
                      </c:pt>
                      <c:pt idx="27">
                        <c:v>2.8807076790076973</c:v>
                      </c:pt>
                      <c:pt idx="28">
                        <c:v>2.9835900961151149</c:v>
                      </c:pt>
                      <c:pt idx="29">
                        <c:v>3.0864725132225326</c:v>
                      </c:pt>
                      <c:pt idx="30">
                        <c:v>3.1893549303299502</c:v>
                      </c:pt>
                      <c:pt idx="31">
                        <c:v>3.2922373474373678</c:v>
                      </c:pt>
                      <c:pt idx="32">
                        <c:v>3.3951197645447855</c:v>
                      </c:pt>
                      <c:pt idx="33">
                        <c:v>3.4980021816522031</c:v>
                      </c:pt>
                      <c:pt idx="34">
                        <c:v>3.6008845987596207</c:v>
                      </c:pt>
                      <c:pt idx="35">
                        <c:v>3.7037670158670384</c:v>
                      </c:pt>
                      <c:pt idx="36">
                        <c:v>3.806649432974456</c:v>
                      </c:pt>
                      <c:pt idx="37">
                        <c:v>3.9095318500818736</c:v>
                      </c:pt>
                      <c:pt idx="38">
                        <c:v>4.0124142671892917</c:v>
                      </c:pt>
                      <c:pt idx="39">
                        <c:v>4.1152966842967098</c:v>
                      </c:pt>
                      <c:pt idx="40">
                        <c:v>4.2181791014041279</c:v>
                      </c:pt>
                      <c:pt idx="41">
                        <c:v>4.321061518511546</c:v>
                      </c:pt>
                      <c:pt idx="42">
                        <c:v>4.423943935618964</c:v>
                      </c:pt>
                      <c:pt idx="43">
                        <c:v>4.5268263527263821</c:v>
                      </c:pt>
                      <c:pt idx="44">
                        <c:v>4.6297087698338002</c:v>
                      </c:pt>
                      <c:pt idx="45">
                        <c:v>4.7325911869412183</c:v>
                      </c:pt>
                      <c:pt idx="46">
                        <c:v>4.8354736040486364</c:v>
                      </c:pt>
                      <c:pt idx="47">
                        <c:v>4.9383560211560544</c:v>
                      </c:pt>
                      <c:pt idx="48">
                        <c:v>5.0412384382634725</c:v>
                      </c:pt>
                      <c:pt idx="49">
                        <c:v>5.1441208553708906</c:v>
                      </c:pt>
                      <c:pt idx="50">
                        <c:v>5.2470032724783087</c:v>
                      </c:pt>
                      <c:pt idx="51">
                        <c:v>5.3498856895857267</c:v>
                      </c:pt>
                    </c:numCache>
                  </c:numRef>
                </c:val>
                <c:smooth val="0"/>
                <c:extLst xmlns:c15="http://schemas.microsoft.com/office/drawing/2012/chart">
                  <c:ext xmlns:c16="http://schemas.microsoft.com/office/drawing/2014/chart" uri="{C3380CC4-5D6E-409C-BE32-E72D297353CC}">
                    <c16:uniqueId val="{0000000B-E022-4D7E-A9EE-B402097B3419}"/>
                  </c:ext>
                </c:extLst>
              </c15:ser>
            </c15:filteredLineSeries>
          </c:ext>
        </c:extLst>
      </c:lineChart>
      <c:dateAx>
        <c:axId val="1388952432"/>
        <c:scaling>
          <c:orientation val="minMax"/>
          <c:max val="44812"/>
        </c:scaling>
        <c:delete val="0"/>
        <c:axPos val="b"/>
        <c:numFmt formatCode="mmm\-yy_);\(###0\);&quot;-  &quot;;&quot; &quot;@&quot; &quot;" sourceLinked="0"/>
        <c:majorTickMark val="none"/>
        <c:minorTickMark val="none"/>
        <c:tickLblPos val="nextTo"/>
        <c:spPr>
          <a:noFill/>
          <a:ln w="9525" cap="flat" cmpd="sng" algn="ctr">
            <a:noFill/>
            <a:round/>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3088"/>
        <c:crosses val="autoZero"/>
        <c:auto val="1"/>
        <c:lblOffset val="100"/>
        <c:baseTimeUnit val="days"/>
        <c:majorUnit val="1"/>
        <c:majorTimeUnit val="months"/>
      </c:dateAx>
      <c:valAx>
        <c:axId val="1388953088"/>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2432"/>
        <c:crosses val="autoZero"/>
        <c:crossBetween val="between"/>
      </c:valAx>
    </c:plotArea>
    <c:legend>
      <c:legendPos val="b"/>
      <c:legendEntry>
        <c:idx val="0"/>
        <c:delete val="1"/>
      </c:legendEntry>
      <c:legendEntry>
        <c:idx val="2"/>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orientation="portrait"/>
  </c:printSettings>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dLbls>
          <c:showLegendKey val="0"/>
          <c:showVal val="0"/>
          <c:showCatName val="0"/>
          <c:showSerName val="0"/>
          <c:showPercent val="0"/>
          <c:showBubbleSize val="0"/>
        </c:dLbls>
        <c:axId val="1388952432"/>
        <c:axId val="1388953088"/>
        <c:extLst>
          <c:ext xmlns:c15="http://schemas.microsoft.com/office/drawing/2012/chart" uri="{02D57815-91ED-43cb-92C2-25804820EDAC}">
            <c15:filteredAreaSeries>
              <c15:ser>
                <c:idx val="12"/>
                <c:order val="12"/>
                <c:tx>
                  <c:v>Normal Sequence</c:v>
                </c:tx>
                <c:spPr>
                  <a:ln>
                    <a:solidFill>
                      <a:schemeClr val="accent1"/>
                    </a:solidFill>
                  </a:ln>
                </c:spPr>
                <c:val>
                  <c:numRef>
                    <c:extLst>
                      <c:ext uri="{02D57815-91ED-43cb-92C2-25804820EDAC}">
                        <c15:formulaRef>
                          <c15:sqref>'PBL OLD'!$HS$8:$HS$33</c15:sqref>
                        </c15:formulaRef>
                      </c:ext>
                    </c:extLst>
                    <c:numCache>
                      <c:formatCode>General</c:formatCode>
                      <c:ptCount val="26"/>
                      <c:pt idx="0">
                        <c:v>4</c:v>
                      </c:pt>
                      <c:pt idx="1">
                        <c:v>4</c:v>
                      </c:pt>
                      <c:pt idx="2">
                        <c:v>4</c:v>
                      </c:pt>
                      <c:pt idx="3">
                        <c:v>4</c:v>
                      </c:pt>
                      <c:pt idx="4">
                        <c:v>4</c:v>
                      </c:pt>
                      <c:pt idx="5">
                        <c:v>4</c:v>
                      </c:pt>
                      <c:pt idx="6">
                        <c:v>4</c:v>
                      </c:pt>
                      <c:pt idx="7">
                        <c:v>4</c:v>
                      </c:pt>
                      <c:pt idx="8">
                        <c:v>4</c:v>
                      </c:pt>
                      <c:pt idx="9">
                        <c:v>4</c:v>
                      </c:pt>
                      <c:pt idx="10">
                        <c:v>4</c:v>
                      </c:pt>
                    </c:numCache>
                  </c:numRef>
                </c:val>
                <c:extLst>
                  <c:ext xmlns:c16="http://schemas.microsoft.com/office/drawing/2014/chart" uri="{C3380CC4-5D6E-409C-BE32-E72D297353CC}">
                    <c16:uniqueId val="{0000000C-6F14-4D62-81C3-006AB5EA99A3}"/>
                  </c:ext>
                </c:extLst>
              </c15:ser>
            </c15:filteredAreaSeries>
            <c15:filteredAreaSeries>
              <c15:ser>
                <c:idx val="13"/>
                <c:order val="13"/>
                <c:tx>
                  <c:v>Accelerated Sequence</c:v>
                </c:tx>
                <c:spPr>
                  <a:ln>
                    <a:solidFill>
                      <a:schemeClr val="tx2"/>
                    </a:solidFill>
                  </a:ln>
                </c:spPr>
                <c:val>
                  <c:numRef>
                    <c:extLst xmlns:c15="http://schemas.microsoft.com/office/drawing/2012/chart">
                      <c:ext xmlns:c15="http://schemas.microsoft.com/office/drawing/2012/chart" uri="{02D57815-91ED-43cb-92C2-25804820EDAC}">
                        <c15:formulaRef>
                          <c15:sqref>'PBL OLD'!$HT$8:$HT$33</c15:sqref>
                        </c15:formulaRef>
                      </c:ext>
                    </c:extLst>
                    <c:numCache>
                      <c:formatCode>General</c:formatCode>
                      <c:ptCount val="26"/>
                      <c:pt idx="10">
                        <c:v>4</c:v>
                      </c:pt>
                      <c:pt idx="11">
                        <c:v>4</c:v>
                      </c:pt>
                      <c:pt idx="12">
                        <c:v>4</c:v>
                      </c:pt>
                      <c:pt idx="13">
                        <c:v>4</c:v>
                      </c:pt>
                      <c:pt idx="14">
                        <c:v>4</c:v>
                      </c:pt>
                      <c:pt idx="15">
                        <c:v>4</c:v>
                      </c:pt>
                      <c:pt idx="16">
                        <c:v>4</c:v>
                      </c:pt>
                      <c:pt idx="17">
                        <c:v>4</c:v>
                      </c:pt>
                      <c:pt idx="18">
                        <c:v>4</c:v>
                      </c:pt>
                      <c:pt idx="19">
                        <c:v>4</c:v>
                      </c:pt>
                      <c:pt idx="20">
                        <c:v>4</c:v>
                      </c:pt>
                      <c:pt idx="21">
                        <c:v>4</c:v>
                      </c:pt>
                      <c:pt idx="22">
                        <c:v>4</c:v>
                      </c:pt>
                      <c:pt idx="23">
                        <c:v>4</c:v>
                      </c:pt>
                      <c:pt idx="24">
                        <c:v>4</c:v>
                      </c:pt>
                      <c:pt idx="25">
                        <c:v>4</c:v>
                      </c:pt>
                    </c:numCache>
                  </c:numRef>
                </c:val>
                <c:extLst xmlns:c15="http://schemas.microsoft.com/office/drawing/2012/chart">
                  <c:ext xmlns:c16="http://schemas.microsoft.com/office/drawing/2014/chart" uri="{C3380CC4-5D6E-409C-BE32-E72D297353CC}">
                    <c16:uniqueId val="{0000000D-6F14-4D62-81C3-006AB5EA99A3}"/>
                  </c:ext>
                </c:extLst>
              </c15:ser>
            </c15:filteredAreaSeries>
          </c:ext>
        </c:extLst>
      </c:areaChart>
      <c:lineChart>
        <c:grouping val="standard"/>
        <c:varyColors val="0"/>
        <c:ser>
          <c:idx val="4"/>
          <c:order val="6"/>
          <c:tx>
            <c:strRef>
              <c:f>'PBL OLD'!$HI$6:$HI$7</c:f>
              <c:strCache>
                <c:ptCount val="2"/>
                <c:pt idx="0">
                  <c:v>50th Percentile</c:v>
                </c:pt>
              </c:strCache>
            </c:strRef>
          </c:tx>
          <c:spPr>
            <a:ln w="25400">
              <a:solidFill>
                <a:schemeClr val="bg2"/>
              </a:solidFill>
              <a:prstDash val="sysDot"/>
            </a:ln>
          </c:spPr>
          <c:marker>
            <c:symbol val="none"/>
          </c:marker>
          <c:cat>
            <c:numRef>
              <c:f>'PBL OLD'!$HV$8:$HV$33</c:f>
              <c:numCache>
                <c:formatCode>d\-mmm\-yy_);\(###0\);"-  ";" "@" "</c:formatCode>
                <c:ptCount val="26"/>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numCache>
            </c:numRef>
          </c:cat>
          <c:val>
            <c:numRef>
              <c:f>'PBL OLD'!$IC$8:$IC$33</c:f>
              <c:numCache>
                <c:formatCode>0.000</c:formatCode>
                <c:ptCount val="26"/>
                <c:pt idx="0">
                  <c:v>4.3805355433506867E-2</c:v>
                </c:pt>
                <c:pt idx="1">
                  <c:v>8.7610710867013733E-2</c:v>
                </c:pt>
                <c:pt idx="2">
                  <c:v>0.13141606630052061</c:v>
                </c:pt>
                <c:pt idx="3">
                  <c:v>0.17522142173402747</c:v>
                </c:pt>
                <c:pt idx="4">
                  <c:v>0.21902677716753433</c:v>
                </c:pt>
                <c:pt idx="5">
                  <c:v>0.26283213260104121</c:v>
                </c:pt>
                <c:pt idx="6">
                  <c:v>0.3066374880345481</c:v>
                </c:pt>
                <c:pt idx="7">
                  <c:v>0.35044284346805499</c:v>
                </c:pt>
                <c:pt idx="8">
                  <c:v>0.39424819890156187</c:v>
                </c:pt>
                <c:pt idx="9">
                  <c:v>0.43805355433506876</c:v>
                </c:pt>
                <c:pt idx="10">
                  <c:v>0.50858452122674258</c:v>
                </c:pt>
                <c:pt idx="11">
                  <c:v>0.5791154881184164</c:v>
                </c:pt>
                <c:pt idx="12">
                  <c:v>0.64964645501009022</c:v>
                </c:pt>
                <c:pt idx="13">
                  <c:v>0.72017742190176404</c:v>
                </c:pt>
                <c:pt idx="14">
                  <c:v>0.79070838879343786</c:v>
                </c:pt>
                <c:pt idx="15">
                  <c:v>0.86123935568511167</c:v>
                </c:pt>
                <c:pt idx="16">
                  <c:v>0.93177032257678549</c:v>
                </c:pt>
                <c:pt idx="17">
                  <c:v>1.0023012894684593</c:v>
                </c:pt>
                <c:pt idx="18">
                  <c:v>1.0728322563601331</c:v>
                </c:pt>
                <c:pt idx="19">
                  <c:v>1.1433632232518069</c:v>
                </c:pt>
                <c:pt idx="20">
                  <c:v>1.2138941901434808</c:v>
                </c:pt>
                <c:pt idx="21">
                  <c:v>1.2844251570351546</c:v>
                </c:pt>
                <c:pt idx="22">
                  <c:v>1.3549561239268284</c:v>
                </c:pt>
                <c:pt idx="23">
                  <c:v>1.4254870908185022</c:v>
                </c:pt>
                <c:pt idx="24">
                  <c:v>1.496018057710176</c:v>
                </c:pt>
                <c:pt idx="25">
                  <c:v>1.5665490246018499</c:v>
                </c:pt>
              </c:numCache>
            </c:numRef>
          </c:val>
          <c:smooth val="0"/>
          <c:extLst>
            <c:ext xmlns:c16="http://schemas.microsoft.com/office/drawing/2014/chart" uri="{C3380CC4-5D6E-409C-BE32-E72D297353CC}">
              <c16:uniqueId val="{00000000-6F14-4D62-81C3-006AB5EA99A3}"/>
            </c:ext>
          </c:extLst>
        </c:ser>
        <c:ser>
          <c:idx val="0"/>
          <c:order val="0"/>
          <c:tx>
            <c:strRef>
              <c:f>'PBL OLD'!$HW$6:$HW$7</c:f>
              <c:strCache>
                <c:ptCount val="2"/>
                <c:pt idx="0">
                  <c:v>Actual</c:v>
                </c:pt>
              </c:strCache>
            </c:strRef>
          </c:tx>
          <c:marker>
            <c:symbol val="none"/>
          </c:marker>
          <c:cat>
            <c:numRef>
              <c:f>'PBL OLD'!$HV$8:$HV$33</c:f>
              <c:numCache>
                <c:formatCode>d\-mmm\-yy_);\(###0\);"-  ";" "@" "</c:formatCode>
                <c:ptCount val="26"/>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numCache>
            </c:numRef>
          </c:cat>
          <c:val>
            <c:numRef>
              <c:f>'PBL OLD'!$HW$8:$HW$33</c:f>
              <c:numCache>
                <c:formatCode>0.000</c:formatCode>
                <c:ptCount val="26"/>
                <c:pt idx="0">
                  <c:v>2.4383432684147156E-2</c:v>
                </c:pt>
                <c:pt idx="1">
                  <c:v>5.7456335077458197E-2</c:v>
                </c:pt>
                <c:pt idx="2">
                  <c:v>8.2897301732709039E-2</c:v>
                </c:pt>
                <c:pt idx="3">
                  <c:v>0.10634933406608696</c:v>
                </c:pt>
                <c:pt idx="4">
                  <c:v>0.13586762292789298</c:v>
                </c:pt>
                <c:pt idx="5">
                  <c:v>0.18374004427397994</c:v>
                </c:pt>
                <c:pt idx="6">
                  <c:v>0.20803473319331103</c:v>
                </c:pt>
                <c:pt idx="7">
                  <c:v>0.23891877923157193</c:v>
                </c:pt>
                <c:pt idx="8">
                  <c:v>0.28713984685163879</c:v>
                </c:pt>
                <c:pt idx="9">
                  <c:v>0.3616614278523077</c:v>
                </c:pt>
                <c:pt idx="10">
                  <c:v>0.392004627321204</c:v>
                </c:pt>
                <c:pt idx="11">
                  <c:v>0.41949779873926418</c:v>
                </c:pt>
                <c:pt idx="12">
                  <c:v>0.46306182742073576</c:v>
                </c:pt>
                <c:pt idx="13">
                  <c:v>0.52060037325672237</c:v>
                </c:pt>
                <c:pt idx="14">
                  <c:v>0.6148648724923077</c:v>
                </c:pt>
                <c:pt idx="15">
                  <c:v>0.83700126369498329</c:v>
                </c:pt>
                <c:pt idx="16">
                  <c:v>1.1825944978628762</c:v>
                </c:pt>
                <c:pt idx="17">
                  <c:v>1.2153577144507022</c:v>
                </c:pt>
                <c:pt idx="18">
                  <c:v>1.2691323901694982</c:v>
                </c:pt>
                <c:pt idx="19">
                  <c:v>1.3310424487488961</c:v>
                </c:pt>
                <c:pt idx="20">
                  <c:v>1.4175102073723076</c:v>
                </c:pt>
                <c:pt idx="21">
                  <c:v>1.4481012105839461</c:v>
                </c:pt>
                <c:pt idx="22">
                  <c:v>1.4946211055890297</c:v>
                </c:pt>
                <c:pt idx="23">
                  <c:v>1.5554005903488961</c:v>
                </c:pt>
                <c:pt idx="24">
                  <c:v>1.6472886013460868</c:v>
                </c:pt>
                <c:pt idx="25">
                  <c:v>1.8141838940449495</c:v>
                </c:pt>
              </c:numCache>
            </c:numRef>
          </c:val>
          <c:smooth val="0"/>
          <c:extLst>
            <c:ext xmlns:c16="http://schemas.microsoft.com/office/drawing/2014/chart" uri="{C3380CC4-5D6E-409C-BE32-E72D297353CC}">
              <c16:uniqueId val="{00000001-6F14-4D62-81C3-006AB5EA99A3}"/>
            </c:ext>
          </c:extLst>
        </c:ser>
        <c:ser>
          <c:idx val="7"/>
          <c:order val="3"/>
          <c:tx>
            <c:strRef>
              <c:f>'PBL OLD'!$HF$6:$HF$7</c:f>
              <c:strCache>
                <c:ptCount val="2"/>
                <c:pt idx="0">
                  <c:v>5th Percentile</c:v>
                </c:pt>
              </c:strCache>
            </c:strRef>
          </c:tx>
          <c:spPr>
            <a:ln w="25400">
              <a:solidFill>
                <a:schemeClr val="bg2"/>
              </a:solidFill>
              <a:prstDash val="sysDot"/>
            </a:ln>
          </c:spPr>
          <c:marker>
            <c:symbol val="none"/>
          </c:marker>
          <c:cat>
            <c:numRef>
              <c:f>'PBL OLD'!$HV$8:$HV$33</c:f>
              <c:numCache>
                <c:formatCode>d\-mmm\-yy_);\(###0\);"-  ";" "@" "</c:formatCode>
                <c:ptCount val="26"/>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numCache>
            </c:numRef>
          </c:cat>
          <c:val>
            <c:numRef>
              <c:f>'PBL OLD'!$HZ$8:$HZ$33</c:f>
              <c:numCache>
                <c:formatCode>0.000</c:formatCode>
                <c:ptCount val="26"/>
                <c:pt idx="0">
                  <c:v>3.2537644802501146E-2</c:v>
                </c:pt>
                <c:pt idx="1">
                  <c:v>6.5075289605002293E-2</c:v>
                </c:pt>
                <c:pt idx="2">
                  <c:v>9.7612934407503432E-2</c:v>
                </c:pt>
                <c:pt idx="3">
                  <c:v>0.13015057921000459</c:v>
                </c:pt>
                <c:pt idx="4">
                  <c:v>0.16268822401250574</c:v>
                </c:pt>
                <c:pt idx="5">
                  <c:v>0.19522586881500689</c:v>
                </c:pt>
                <c:pt idx="6">
                  <c:v>0.22776351361750805</c:v>
                </c:pt>
                <c:pt idx="7">
                  <c:v>0.26030115842000917</c:v>
                </c:pt>
                <c:pt idx="8">
                  <c:v>0.29283880322251032</c:v>
                </c:pt>
                <c:pt idx="9">
                  <c:v>0.32537644802501148</c:v>
                </c:pt>
                <c:pt idx="10">
                  <c:v>0.37844626571489037</c:v>
                </c:pt>
                <c:pt idx="11">
                  <c:v>0.43151608340476927</c:v>
                </c:pt>
                <c:pt idx="12">
                  <c:v>0.48458590109464816</c:v>
                </c:pt>
                <c:pt idx="13">
                  <c:v>0.53765571878452711</c:v>
                </c:pt>
                <c:pt idx="14">
                  <c:v>0.59072553647440607</c:v>
                </c:pt>
                <c:pt idx="15">
                  <c:v>0.64379535416428502</c:v>
                </c:pt>
                <c:pt idx="16">
                  <c:v>0.69686517185416397</c:v>
                </c:pt>
                <c:pt idx="17">
                  <c:v>0.74993498954404292</c:v>
                </c:pt>
                <c:pt idx="18">
                  <c:v>0.80300480723392187</c:v>
                </c:pt>
                <c:pt idx="19">
                  <c:v>0.85607462492380082</c:v>
                </c:pt>
                <c:pt idx="20">
                  <c:v>0.90914444261367977</c:v>
                </c:pt>
                <c:pt idx="21">
                  <c:v>0.96221426030355872</c:v>
                </c:pt>
                <c:pt idx="22">
                  <c:v>1.0152840779934376</c:v>
                </c:pt>
                <c:pt idx="23">
                  <c:v>1.0683538956833165</c:v>
                </c:pt>
                <c:pt idx="24">
                  <c:v>1.1214237133731955</c:v>
                </c:pt>
                <c:pt idx="25">
                  <c:v>1.1744935310630744</c:v>
                </c:pt>
              </c:numCache>
            </c:numRef>
          </c:val>
          <c:smooth val="0"/>
          <c:extLst xmlns:c15="http://schemas.microsoft.com/office/drawing/2012/chart">
            <c:ext xmlns:c16="http://schemas.microsoft.com/office/drawing/2014/chart" uri="{C3380CC4-5D6E-409C-BE32-E72D297353CC}">
              <c16:uniqueId val="{00000002-6F14-4D62-81C3-006AB5EA99A3}"/>
            </c:ext>
          </c:extLst>
        </c:ser>
        <c:ser>
          <c:idx val="2"/>
          <c:order val="5"/>
          <c:tx>
            <c:v>5/25/50/75/95th percentile</c:v>
          </c:tx>
          <c:spPr>
            <a:ln w="25400">
              <a:solidFill>
                <a:schemeClr val="bg2"/>
              </a:solidFill>
              <a:prstDash val="sysDot"/>
            </a:ln>
          </c:spPr>
          <c:marker>
            <c:symbol val="none"/>
          </c:marker>
          <c:cat>
            <c:numRef>
              <c:f>'PBL OLD'!$HV$8:$HV$33</c:f>
              <c:numCache>
                <c:formatCode>d\-mmm\-yy_);\(###0\);"-  ";" "@" "</c:formatCode>
                <c:ptCount val="26"/>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numCache>
            </c:numRef>
          </c:cat>
          <c:val>
            <c:numRef>
              <c:f>'PBL OLD'!$IB$8:$IB$33</c:f>
              <c:numCache>
                <c:formatCode>0.000</c:formatCode>
                <c:ptCount val="26"/>
                <c:pt idx="0">
                  <c:v>3.908971312687886E-2</c:v>
                </c:pt>
                <c:pt idx="1">
                  <c:v>7.8179426253757719E-2</c:v>
                </c:pt>
                <c:pt idx="2">
                  <c:v>0.11726913938063657</c:v>
                </c:pt>
                <c:pt idx="3">
                  <c:v>0.15635885250751544</c:v>
                </c:pt>
                <c:pt idx="4">
                  <c:v>0.19544856563439431</c:v>
                </c:pt>
                <c:pt idx="5">
                  <c:v>0.23453827876127317</c:v>
                </c:pt>
                <c:pt idx="6">
                  <c:v>0.27362799188815201</c:v>
                </c:pt>
                <c:pt idx="7">
                  <c:v>0.31271770501503088</c:v>
                </c:pt>
                <c:pt idx="8">
                  <c:v>0.35180741814190974</c:v>
                </c:pt>
                <c:pt idx="9">
                  <c:v>0.39089713126878861</c:v>
                </c:pt>
                <c:pt idx="10">
                  <c:v>0.45187613625970757</c:v>
                </c:pt>
                <c:pt idx="11">
                  <c:v>0.51285514125062659</c:v>
                </c:pt>
                <c:pt idx="12">
                  <c:v>0.57383414624154561</c:v>
                </c:pt>
                <c:pt idx="13">
                  <c:v>0.63481315123246462</c:v>
                </c:pt>
                <c:pt idx="14">
                  <c:v>0.69579215622338364</c:v>
                </c:pt>
                <c:pt idx="15">
                  <c:v>0.75677116121430266</c:v>
                </c:pt>
                <c:pt idx="16">
                  <c:v>0.81775016620522167</c:v>
                </c:pt>
                <c:pt idx="17">
                  <c:v>0.87872917119614069</c:v>
                </c:pt>
                <c:pt idx="18">
                  <c:v>0.93970817618705971</c:v>
                </c:pt>
                <c:pt idx="19">
                  <c:v>1.0006871811779787</c:v>
                </c:pt>
                <c:pt idx="20">
                  <c:v>1.0616661861688976</c:v>
                </c:pt>
                <c:pt idx="21">
                  <c:v>1.1226451911598165</c:v>
                </c:pt>
                <c:pt idx="22">
                  <c:v>1.1836241961507354</c:v>
                </c:pt>
                <c:pt idx="23">
                  <c:v>1.2446032011416543</c:v>
                </c:pt>
                <c:pt idx="24">
                  <c:v>1.3055822061325733</c:v>
                </c:pt>
                <c:pt idx="25">
                  <c:v>1.3665612111234922</c:v>
                </c:pt>
              </c:numCache>
            </c:numRef>
          </c:val>
          <c:smooth val="0"/>
          <c:extLst>
            <c:ext xmlns:c16="http://schemas.microsoft.com/office/drawing/2014/chart" uri="{C3380CC4-5D6E-409C-BE32-E72D297353CC}">
              <c16:uniqueId val="{00000003-6F14-4D62-81C3-006AB5EA99A3}"/>
            </c:ext>
          </c:extLst>
        </c:ser>
        <c:ser>
          <c:idx val="6"/>
          <c:order val="7"/>
          <c:tx>
            <c:strRef>
              <c:f>'PBL OLD'!$HJ$6:$HJ$7</c:f>
              <c:strCache>
                <c:ptCount val="2"/>
                <c:pt idx="0">
                  <c:v>75th Percentile</c:v>
                </c:pt>
              </c:strCache>
            </c:strRef>
          </c:tx>
          <c:spPr>
            <a:ln w="25400">
              <a:solidFill>
                <a:schemeClr val="bg2"/>
              </a:solidFill>
              <a:prstDash val="sysDot"/>
            </a:ln>
          </c:spPr>
          <c:marker>
            <c:symbol val="none"/>
          </c:marker>
          <c:cat>
            <c:numRef>
              <c:f>'PBL OLD'!$HV$8:$HV$33</c:f>
              <c:numCache>
                <c:formatCode>d\-mmm\-yy_);\(###0\);"-  ";" "@" "</c:formatCode>
                <c:ptCount val="26"/>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numCache>
            </c:numRef>
          </c:cat>
          <c:val>
            <c:numRef>
              <c:f>'PBL OLD'!$ID$8:$ID$33</c:f>
              <c:numCache>
                <c:formatCode>0.000</c:formatCode>
                <c:ptCount val="26"/>
                <c:pt idx="0">
                  <c:v>5.507306606451258E-2</c:v>
                </c:pt>
                <c:pt idx="1">
                  <c:v>0.11014613212902516</c:v>
                </c:pt>
                <c:pt idx="2">
                  <c:v>0.16521919819353775</c:v>
                </c:pt>
                <c:pt idx="3">
                  <c:v>0.22029226425805032</c:v>
                </c:pt>
                <c:pt idx="4">
                  <c:v>0.27536533032256288</c:v>
                </c:pt>
                <c:pt idx="5">
                  <c:v>0.33043839638707545</c:v>
                </c:pt>
                <c:pt idx="6">
                  <c:v>0.38551146245158802</c:v>
                </c:pt>
                <c:pt idx="7">
                  <c:v>0.44058452851610058</c:v>
                </c:pt>
                <c:pt idx="8">
                  <c:v>0.49565759458061315</c:v>
                </c:pt>
                <c:pt idx="9">
                  <c:v>0.55073066064512577</c:v>
                </c:pt>
                <c:pt idx="10">
                  <c:v>0.6299991355554424</c:v>
                </c:pt>
                <c:pt idx="11">
                  <c:v>0.70926761046575904</c:v>
                </c:pt>
                <c:pt idx="12">
                  <c:v>0.78853608537607567</c:v>
                </c:pt>
                <c:pt idx="13">
                  <c:v>0.8678045602863923</c:v>
                </c:pt>
                <c:pt idx="14">
                  <c:v>0.94707303519670893</c:v>
                </c:pt>
                <c:pt idx="15">
                  <c:v>1.0263415101070255</c:v>
                </c:pt>
                <c:pt idx="16">
                  <c:v>1.1056099850173422</c:v>
                </c:pt>
                <c:pt idx="17">
                  <c:v>1.1848784599276589</c:v>
                </c:pt>
                <c:pt idx="18">
                  <c:v>1.2641469348379757</c:v>
                </c:pt>
                <c:pt idx="19">
                  <c:v>1.3434154097482924</c:v>
                </c:pt>
                <c:pt idx="20">
                  <c:v>1.4226838846586092</c:v>
                </c:pt>
                <c:pt idx="21">
                  <c:v>1.5019523595689259</c:v>
                </c:pt>
                <c:pt idx="22">
                  <c:v>1.5812208344792427</c:v>
                </c:pt>
                <c:pt idx="23">
                  <c:v>1.6604893093895594</c:v>
                </c:pt>
                <c:pt idx="24">
                  <c:v>1.7397577842998762</c:v>
                </c:pt>
                <c:pt idx="25">
                  <c:v>1.8190262592101929</c:v>
                </c:pt>
              </c:numCache>
            </c:numRef>
          </c:val>
          <c:smooth val="0"/>
          <c:extLst xmlns:c15="http://schemas.microsoft.com/office/drawing/2012/chart">
            <c:ext xmlns:c16="http://schemas.microsoft.com/office/drawing/2014/chart" uri="{C3380CC4-5D6E-409C-BE32-E72D297353CC}">
              <c16:uniqueId val="{00000004-6F14-4D62-81C3-006AB5EA99A3}"/>
            </c:ext>
          </c:extLst>
        </c:ser>
        <c:ser>
          <c:idx val="9"/>
          <c:order val="9"/>
          <c:tx>
            <c:strRef>
              <c:f>'PBL OLD'!$HL$6:$HL$7</c:f>
              <c:strCache>
                <c:ptCount val="2"/>
                <c:pt idx="0">
                  <c:v>95th Percentile</c:v>
                </c:pt>
              </c:strCache>
            </c:strRef>
          </c:tx>
          <c:spPr>
            <a:ln w="25400">
              <a:solidFill>
                <a:schemeClr val="bg2"/>
              </a:solidFill>
              <a:prstDash val="sysDot"/>
            </a:ln>
          </c:spPr>
          <c:marker>
            <c:symbol val="none"/>
          </c:marker>
          <c:cat>
            <c:numRef>
              <c:f>'PBL OLD'!$HV$8:$HV$33</c:f>
              <c:numCache>
                <c:formatCode>d\-mmm\-yy_);\(###0\);"-  ";" "@" "</c:formatCode>
                <c:ptCount val="26"/>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numCache>
            </c:numRef>
          </c:cat>
          <c:val>
            <c:numRef>
              <c:f>'PBL OLD'!$IF$8:$IF$33</c:f>
              <c:numCache>
                <c:formatCode>0.000</c:formatCode>
                <c:ptCount val="26"/>
                <c:pt idx="0">
                  <c:v>8.2625859122852571E-2</c:v>
                </c:pt>
                <c:pt idx="1">
                  <c:v>0.16525171824570514</c:v>
                </c:pt>
                <c:pt idx="2">
                  <c:v>0.2478775773685577</c:v>
                </c:pt>
                <c:pt idx="3">
                  <c:v>0.33050343649141029</c:v>
                </c:pt>
                <c:pt idx="4">
                  <c:v>0.41312929561426287</c:v>
                </c:pt>
                <c:pt idx="5">
                  <c:v>0.49575515473711546</c:v>
                </c:pt>
                <c:pt idx="6">
                  <c:v>0.57838101385996799</c:v>
                </c:pt>
                <c:pt idx="7">
                  <c:v>0.66100687298282057</c:v>
                </c:pt>
                <c:pt idx="8">
                  <c:v>0.74363273210567316</c:v>
                </c:pt>
                <c:pt idx="9">
                  <c:v>0.82625859122852574</c:v>
                </c:pt>
                <c:pt idx="10">
                  <c:v>0.91728778883434636</c:v>
                </c:pt>
                <c:pt idx="11">
                  <c:v>1.0083169864401669</c:v>
                </c:pt>
                <c:pt idx="12">
                  <c:v>1.0993461840459875</c:v>
                </c:pt>
                <c:pt idx="13">
                  <c:v>1.1903753816518081</c:v>
                </c:pt>
                <c:pt idx="14">
                  <c:v>1.2814045792576287</c:v>
                </c:pt>
                <c:pt idx="15">
                  <c:v>1.3724337768634494</c:v>
                </c:pt>
                <c:pt idx="16">
                  <c:v>1.46346297446927</c:v>
                </c:pt>
                <c:pt idx="17">
                  <c:v>1.5544921720750906</c:v>
                </c:pt>
                <c:pt idx="18">
                  <c:v>1.6455213696809112</c:v>
                </c:pt>
                <c:pt idx="19">
                  <c:v>1.7365505672867318</c:v>
                </c:pt>
                <c:pt idx="20">
                  <c:v>1.8275797648925525</c:v>
                </c:pt>
                <c:pt idx="21">
                  <c:v>1.9186089624983731</c:v>
                </c:pt>
                <c:pt idx="22">
                  <c:v>2.0096381601041937</c:v>
                </c:pt>
                <c:pt idx="23">
                  <c:v>2.1006673577100141</c:v>
                </c:pt>
                <c:pt idx="24">
                  <c:v>2.1916965553158345</c:v>
                </c:pt>
                <c:pt idx="25">
                  <c:v>2.2827257529216549</c:v>
                </c:pt>
              </c:numCache>
            </c:numRef>
          </c:val>
          <c:smooth val="0"/>
          <c:extLst xmlns:c15="http://schemas.microsoft.com/office/drawing/2012/chart">
            <c:ext xmlns:c16="http://schemas.microsoft.com/office/drawing/2014/chart" uri="{C3380CC4-5D6E-409C-BE32-E72D297353CC}">
              <c16:uniqueId val="{00000005-6F14-4D62-81C3-006AB5EA99A3}"/>
            </c:ext>
          </c:extLst>
        </c:ser>
        <c:dLbls>
          <c:showLegendKey val="0"/>
          <c:showVal val="0"/>
          <c:showCatName val="0"/>
          <c:showSerName val="0"/>
          <c:showPercent val="0"/>
          <c:showBubbleSize val="0"/>
        </c:dLbls>
        <c:marker val="1"/>
        <c:smooth val="0"/>
        <c:axId val="1388952432"/>
        <c:axId val="1388953088"/>
        <c:extLst>
          <c:ext xmlns:c15="http://schemas.microsoft.com/office/drawing/2012/chart" uri="{02D57815-91ED-43cb-92C2-25804820EDAC}">
            <c15:filteredLineSeries>
              <c15:ser>
                <c:idx val="3"/>
                <c:order val="1"/>
                <c:tx>
                  <c:strRef>
                    <c:extLst>
                      <c:ext uri="{02D57815-91ED-43cb-92C2-25804820EDAC}">
                        <c15:formulaRef>
                          <c15:sqref>'PBL OLD'!$CV$6:$CV$7</c15:sqref>
                        </c15:formulaRef>
                      </c:ext>
                    </c:extLst>
                    <c:strCache>
                      <c:ptCount val="2"/>
                      <c:pt idx="0">
                        <c:v>Min</c:v>
                      </c:pt>
                    </c:strCache>
                  </c:strRef>
                </c:tx>
                <c:cat>
                  <c:numRef>
                    <c:extLst>
                      <c:ext uri="{02D57815-91ED-43cb-92C2-25804820EDAC}">
                        <c15:formulaRef>
                          <c15:sqref>'PBL OLD'!$HV$8:$HV$33</c15:sqref>
                        </c15:formulaRef>
                      </c:ext>
                    </c:extLst>
                    <c:numCache>
                      <c:formatCode>d\-mmm\-yy_);\(###0\);"-  ";" "@" "</c:formatCode>
                      <c:ptCount val="26"/>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numCache>
                  </c:numRef>
                </c:cat>
                <c:val>
                  <c:numRef>
                    <c:extLst>
                      <c:ext uri="{02D57815-91ED-43cb-92C2-25804820EDAC}">
                        <c15:formulaRef>
                          <c15:sqref>'PBL OLD'!$CV$8:$CV$60</c15:sqref>
                        </c15:formulaRef>
                      </c:ext>
                    </c:extLst>
                    <c:numCache>
                      <c:formatCode>0.000</c:formatCode>
                      <c:ptCount val="53"/>
                      <c:pt idx="0">
                        <c:v>3.7943638869952147E-2</c:v>
                      </c:pt>
                      <c:pt idx="1">
                        <c:v>7.5887277739904294E-2</c:v>
                      </c:pt>
                      <c:pt idx="2">
                        <c:v>0.11383091660985645</c:v>
                      </c:pt>
                      <c:pt idx="3">
                        <c:v>0.15177455547980859</c:v>
                      </c:pt>
                      <c:pt idx="4">
                        <c:v>0.18971819434976073</c:v>
                      </c:pt>
                      <c:pt idx="5">
                        <c:v>0.22766183321971287</c:v>
                      </c:pt>
                      <c:pt idx="6">
                        <c:v>0.26560547208966501</c:v>
                      </c:pt>
                      <c:pt idx="7">
                        <c:v>0.30354911095961717</c:v>
                      </c:pt>
                      <c:pt idx="8">
                        <c:v>0.34149274982956934</c:v>
                      </c:pt>
                      <c:pt idx="9">
                        <c:v>0.37943638869952151</c:v>
                      </c:pt>
                      <c:pt idx="10">
                        <c:v>0.41738002756947368</c:v>
                      </c:pt>
                      <c:pt idx="11">
                        <c:v>0.45532366643942584</c:v>
                      </c:pt>
                      <c:pt idx="12">
                        <c:v>0.49326730530937801</c:v>
                      </c:pt>
                      <c:pt idx="13">
                        <c:v>0.53121094417933012</c:v>
                      </c:pt>
                      <c:pt idx="14">
                        <c:v>0.56915458304928224</c:v>
                      </c:pt>
                      <c:pt idx="15">
                        <c:v>0.60709822191923435</c:v>
                      </c:pt>
                      <c:pt idx="16">
                        <c:v>0.64504186078918646</c:v>
                      </c:pt>
                      <c:pt idx="17">
                        <c:v>0.68298549965913857</c:v>
                      </c:pt>
                      <c:pt idx="18">
                        <c:v>0.72092913852909069</c:v>
                      </c:pt>
                      <c:pt idx="19">
                        <c:v>0.7588727773990428</c:v>
                      </c:pt>
                      <c:pt idx="20">
                        <c:v>0.79681641626899491</c:v>
                      </c:pt>
                      <c:pt idx="21">
                        <c:v>0.83476005513894702</c:v>
                      </c:pt>
                      <c:pt idx="22">
                        <c:v>0.87270369400889913</c:v>
                      </c:pt>
                      <c:pt idx="23">
                        <c:v>0.91064733287885125</c:v>
                      </c:pt>
                      <c:pt idx="24">
                        <c:v>0.94859097174880336</c:v>
                      </c:pt>
                      <c:pt idx="25">
                        <c:v>0.98653461061875547</c:v>
                      </c:pt>
                      <c:pt idx="26">
                        <c:v>1.0244782494887077</c:v>
                      </c:pt>
                      <c:pt idx="27">
                        <c:v>1.0624218883586598</c:v>
                      </c:pt>
                      <c:pt idx="28">
                        <c:v>1.1003655272286119</c:v>
                      </c:pt>
                      <c:pt idx="29">
                        <c:v>1.138309166098564</c:v>
                      </c:pt>
                      <c:pt idx="30">
                        <c:v>1.1762528049685161</c:v>
                      </c:pt>
                      <c:pt idx="31">
                        <c:v>1.2141964438384683</c:v>
                      </c:pt>
                      <c:pt idx="32">
                        <c:v>1.2521400827084204</c:v>
                      </c:pt>
                      <c:pt idx="33">
                        <c:v>1.2900837215783725</c:v>
                      </c:pt>
                      <c:pt idx="34">
                        <c:v>1.3280273604483246</c:v>
                      </c:pt>
                      <c:pt idx="35">
                        <c:v>1.3659709993182767</c:v>
                      </c:pt>
                      <c:pt idx="36">
                        <c:v>1.4039146381882288</c:v>
                      </c:pt>
                      <c:pt idx="37">
                        <c:v>1.4418582770581809</c:v>
                      </c:pt>
                      <c:pt idx="38">
                        <c:v>1.479801915928133</c:v>
                      </c:pt>
                      <c:pt idx="39">
                        <c:v>1.5177455547980852</c:v>
                      </c:pt>
                      <c:pt idx="40">
                        <c:v>1.5556891936680373</c:v>
                      </c:pt>
                      <c:pt idx="41">
                        <c:v>1.5936328325379894</c:v>
                      </c:pt>
                      <c:pt idx="42">
                        <c:v>1.6315764714079415</c:v>
                      </c:pt>
                      <c:pt idx="43">
                        <c:v>1.6695201102778936</c:v>
                      </c:pt>
                      <c:pt idx="44">
                        <c:v>1.7074637491478457</c:v>
                      </c:pt>
                      <c:pt idx="45">
                        <c:v>1.7454073880177978</c:v>
                      </c:pt>
                      <c:pt idx="46">
                        <c:v>1.7833510268877499</c:v>
                      </c:pt>
                      <c:pt idx="47">
                        <c:v>1.821294665757702</c:v>
                      </c:pt>
                      <c:pt idx="48">
                        <c:v>1.8592383046276542</c:v>
                      </c:pt>
                      <c:pt idx="49">
                        <c:v>1.8971819434976063</c:v>
                      </c:pt>
                      <c:pt idx="50">
                        <c:v>1.9351255823675584</c:v>
                      </c:pt>
                      <c:pt idx="51">
                        <c:v>1.9730692212375105</c:v>
                      </c:pt>
                    </c:numCache>
                  </c:numRef>
                </c:val>
                <c:smooth val="0"/>
                <c:extLst>
                  <c:ext xmlns:c16="http://schemas.microsoft.com/office/drawing/2014/chart" uri="{C3380CC4-5D6E-409C-BE32-E72D297353CC}">
                    <c16:uniqueId val="{00000006-6F14-4D62-81C3-006AB5EA99A3}"/>
                  </c:ext>
                </c:extLst>
              </c15:ser>
            </c15:filteredLineSeries>
            <c15:filteredLineSeries>
              <c15:ser>
                <c:idx val="5"/>
                <c:order val="2"/>
                <c:tx>
                  <c:strRef>
                    <c:extLst xmlns:c15="http://schemas.microsoft.com/office/drawing/2012/chart">
                      <c:ext xmlns:c15="http://schemas.microsoft.com/office/drawing/2012/chart" uri="{02D57815-91ED-43cb-92C2-25804820EDAC}">
                        <c15:formulaRef>
                          <c15:sqref>'PBL OLD'!$CW$6:$CW$7</c15:sqref>
                        </c15:formulaRef>
                      </c:ext>
                    </c:extLst>
                    <c:strCache>
                      <c:ptCount val="2"/>
                      <c:pt idx="0">
                        <c:v>1st Percentile</c:v>
                      </c:pt>
                    </c:strCache>
                  </c:strRef>
                </c:tx>
                <c:spPr>
                  <a:ln w="28575" cap="rnd">
                    <a:solidFill>
                      <a:schemeClr val="accent6"/>
                    </a:solidFill>
                    <a:prstDash val="sysDot"/>
                    <a:round/>
                  </a:ln>
                  <a:effectLst/>
                </c:spPr>
                <c:cat>
                  <c:numRef>
                    <c:extLst xmlns:c15="http://schemas.microsoft.com/office/drawing/2012/chart">
                      <c:ext xmlns:c15="http://schemas.microsoft.com/office/drawing/2012/chart" uri="{02D57815-91ED-43cb-92C2-25804820EDAC}">
                        <c15:formulaRef>
                          <c15:sqref>'PBL OLD'!$HV$8:$HV$33</c15:sqref>
                        </c15:formulaRef>
                      </c:ext>
                    </c:extLst>
                    <c:numCache>
                      <c:formatCode>d\-mmm\-yy_);\(###0\);"-  ";" "@" "</c:formatCode>
                      <c:ptCount val="26"/>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numCache>
                  </c:numRef>
                </c:cat>
                <c:val>
                  <c:numRef>
                    <c:extLst xmlns:c15="http://schemas.microsoft.com/office/drawing/2012/chart">
                      <c:ext xmlns:c15="http://schemas.microsoft.com/office/drawing/2012/chart" uri="{02D57815-91ED-43cb-92C2-25804820EDAC}">
                        <c15:formulaRef>
                          <c15:sqref>'PBL OLD'!$CW$8:$CW$60</c15:sqref>
                        </c15:formulaRef>
                      </c:ext>
                    </c:extLst>
                    <c:numCache>
                      <c:formatCode>0.000</c:formatCode>
                      <c:ptCount val="53"/>
                      <c:pt idx="0">
                        <c:v>4.5436313528305135E-2</c:v>
                      </c:pt>
                      <c:pt idx="1">
                        <c:v>9.087262705661027E-2</c:v>
                      </c:pt>
                      <c:pt idx="2">
                        <c:v>0.13630894058491541</c:v>
                      </c:pt>
                      <c:pt idx="3">
                        <c:v>0.18174525411322054</c:v>
                      </c:pt>
                      <c:pt idx="4">
                        <c:v>0.22718156764152567</c:v>
                      </c:pt>
                      <c:pt idx="5">
                        <c:v>0.27261788116983082</c:v>
                      </c:pt>
                      <c:pt idx="6">
                        <c:v>0.31805419469813595</c:v>
                      </c:pt>
                      <c:pt idx="7">
                        <c:v>0.36349050822644108</c:v>
                      </c:pt>
                      <c:pt idx="8">
                        <c:v>0.40892682175474621</c:v>
                      </c:pt>
                      <c:pt idx="9">
                        <c:v>0.45436313528305133</c:v>
                      </c:pt>
                      <c:pt idx="10">
                        <c:v>0.49979944881135646</c:v>
                      </c:pt>
                      <c:pt idx="11">
                        <c:v>0.54523576233966164</c:v>
                      </c:pt>
                      <c:pt idx="12">
                        <c:v>0.59067207586796677</c:v>
                      </c:pt>
                      <c:pt idx="13">
                        <c:v>0.6361083893962719</c:v>
                      </c:pt>
                      <c:pt idx="14">
                        <c:v>0.68154470292457703</c:v>
                      </c:pt>
                      <c:pt idx="15">
                        <c:v>0.72698101645288216</c:v>
                      </c:pt>
                      <c:pt idx="16">
                        <c:v>0.77241732998118728</c:v>
                      </c:pt>
                      <c:pt idx="17">
                        <c:v>0.81785364350949241</c:v>
                      </c:pt>
                      <c:pt idx="18">
                        <c:v>0.86328995703779754</c:v>
                      </c:pt>
                      <c:pt idx="19">
                        <c:v>0.90872627056610267</c:v>
                      </c:pt>
                      <c:pt idx="20">
                        <c:v>0.9541625840944078</c:v>
                      </c:pt>
                      <c:pt idx="21">
                        <c:v>0.99959889762271292</c:v>
                      </c:pt>
                      <c:pt idx="22">
                        <c:v>1.0450352111510182</c:v>
                      </c:pt>
                      <c:pt idx="23">
                        <c:v>1.0904715246793233</c:v>
                      </c:pt>
                      <c:pt idx="24">
                        <c:v>1.1359078382076284</c:v>
                      </c:pt>
                      <c:pt idx="25">
                        <c:v>1.1813441517359335</c:v>
                      </c:pt>
                      <c:pt idx="26">
                        <c:v>1.2267804652642387</c:v>
                      </c:pt>
                      <c:pt idx="27">
                        <c:v>1.2722167787925438</c:v>
                      </c:pt>
                      <c:pt idx="28">
                        <c:v>1.3176530923208489</c:v>
                      </c:pt>
                      <c:pt idx="29">
                        <c:v>1.3630894058491541</c:v>
                      </c:pt>
                      <c:pt idx="30">
                        <c:v>1.4085257193774592</c:v>
                      </c:pt>
                      <c:pt idx="31">
                        <c:v>1.4539620329057643</c:v>
                      </c:pt>
                      <c:pt idx="32">
                        <c:v>1.4993983464340694</c:v>
                      </c:pt>
                      <c:pt idx="33">
                        <c:v>1.5448346599623746</c:v>
                      </c:pt>
                      <c:pt idx="34">
                        <c:v>1.5902709734906797</c:v>
                      </c:pt>
                      <c:pt idx="35">
                        <c:v>1.6357072870189848</c:v>
                      </c:pt>
                      <c:pt idx="36">
                        <c:v>1.68114360054729</c:v>
                      </c:pt>
                      <c:pt idx="37">
                        <c:v>1.7265799140755951</c:v>
                      </c:pt>
                      <c:pt idx="38">
                        <c:v>1.7720162276039002</c:v>
                      </c:pt>
                      <c:pt idx="39">
                        <c:v>1.8174525411322053</c:v>
                      </c:pt>
                      <c:pt idx="40">
                        <c:v>1.8628888546605105</c:v>
                      </c:pt>
                      <c:pt idx="41">
                        <c:v>1.9083251681888156</c:v>
                      </c:pt>
                      <c:pt idx="42">
                        <c:v>1.9537614817171207</c:v>
                      </c:pt>
                      <c:pt idx="43">
                        <c:v>1.9991977952454258</c:v>
                      </c:pt>
                      <c:pt idx="44">
                        <c:v>2.0446341087737312</c:v>
                      </c:pt>
                      <c:pt idx="45">
                        <c:v>2.0900704223020363</c:v>
                      </c:pt>
                      <c:pt idx="46">
                        <c:v>2.1355067358303415</c:v>
                      </c:pt>
                      <c:pt idx="47">
                        <c:v>2.1809430493586466</c:v>
                      </c:pt>
                      <c:pt idx="48">
                        <c:v>2.2263793628869517</c:v>
                      </c:pt>
                      <c:pt idx="49">
                        <c:v>2.2718156764152568</c:v>
                      </c:pt>
                      <c:pt idx="50">
                        <c:v>2.317251989943562</c:v>
                      </c:pt>
                      <c:pt idx="51">
                        <c:v>2.3626883034718671</c:v>
                      </c:pt>
                    </c:numCache>
                  </c:numRef>
                </c:val>
                <c:smooth val="0"/>
                <c:extLst xmlns:c15="http://schemas.microsoft.com/office/drawing/2012/chart">
                  <c:ext xmlns:c16="http://schemas.microsoft.com/office/drawing/2014/chart" uri="{C3380CC4-5D6E-409C-BE32-E72D297353CC}">
                    <c16:uniqueId val="{00000007-6F14-4D62-81C3-006AB5EA99A3}"/>
                  </c:ext>
                </c:extLst>
              </c15:ser>
            </c15:filteredLineSeries>
            <c15:filteredLineSeries>
              <c15:ser>
                <c:idx val="1"/>
                <c:order val="4"/>
                <c:tx>
                  <c:strRef>
                    <c:extLst xmlns:c15="http://schemas.microsoft.com/office/drawing/2012/chart">
                      <c:ext xmlns:c15="http://schemas.microsoft.com/office/drawing/2012/chart" uri="{02D57815-91ED-43cb-92C2-25804820EDAC}">
                        <c15:formulaRef>
                          <c15:sqref>'PBL OLD'!$CY$6:$CY$7</c15:sqref>
                        </c15:formulaRef>
                      </c:ext>
                    </c:extLst>
                    <c:strCache>
                      <c:ptCount val="2"/>
                      <c:pt idx="0">
                        <c:v>10th Percentile</c:v>
                      </c:pt>
                    </c:strCache>
                  </c:strRef>
                </c:tx>
                <c:spPr>
                  <a:ln w="28575" cap="rnd" cmpd="sng">
                    <a:solidFill>
                      <a:schemeClr val="accent2"/>
                    </a:solidFill>
                    <a:prstDash val="sysDot"/>
                    <a:round/>
                    <a:headEnd type="none"/>
                  </a:ln>
                  <a:effectLst/>
                </c:spPr>
                <c:cat>
                  <c:numRef>
                    <c:extLst xmlns:c15="http://schemas.microsoft.com/office/drawing/2012/chart">
                      <c:ext xmlns:c15="http://schemas.microsoft.com/office/drawing/2012/chart" uri="{02D57815-91ED-43cb-92C2-25804820EDAC}">
                        <c15:formulaRef>
                          <c15:sqref>'PBL OLD'!$HV$8:$HV$33</c15:sqref>
                        </c15:formulaRef>
                      </c:ext>
                    </c:extLst>
                    <c:numCache>
                      <c:formatCode>d\-mmm\-yy_);\(###0\);"-  ";" "@" "</c:formatCode>
                      <c:ptCount val="26"/>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numCache>
                  </c:numRef>
                </c:cat>
                <c:val>
                  <c:numRef>
                    <c:extLst xmlns:c15="http://schemas.microsoft.com/office/drawing/2012/chart">
                      <c:ext xmlns:c15="http://schemas.microsoft.com/office/drawing/2012/chart" uri="{02D57815-91ED-43cb-92C2-25804820EDAC}">
                        <c15:formulaRef>
                          <c15:sqref>'PBL OLD'!$CY$8:$CY$60</c15:sqref>
                        </c15:formulaRef>
                      </c:ext>
                    </c:extLst>
                    <c:numCache>
                      <c:formatCode>0.000</c:formatCode>
                      <c:ptCount val="53"/>
                      <c:pt idx="0">
                        <c:v>5.0502007292025322E-2</c:v>
                      </c:pt>
                      <c:pt idx="1">
                        <c:v>0.10100401458405064</c:v>
                      </c:pt>
                      <c:pt idx="2">
                        <c:v>0.15150602187607598</c:v>
                      </c:pt>
                      <c:pt idx="3">
                        <c:v>0.20200802916810129</c:v>
                      </c:pt>
                      <c:pt idx="4">
                        <c:v>0.2525100364601266</c:v>
                      </c:pt>
                      <c:pt idx="5">
                        <c:v>0.30301204375215191</c:v>
                      </c:pt>
                      <c:pt idx="6">
                        <c:v>0.35351405104417721</c:v>
                      </c:pt>
                      <c:pt idx="7">
                        <c:v>0.40401605833620252</c:v>
                      </c:pt>
                      <c:pt idx="8">
                        <c:v>0.45451806562822783</c:v>
                      </c:pt>
                      <c:pt idx="9">
                        <c:v>0.50502007292025319</c:v>
                      </c:pt>
                      <c:pt idx="10">
                        <c:v>0.55552208021227856</c:v>
                      </c:pt>
                      <c:pt idx="11">
                        <c:v>0.60602408750430392</c:v>
                      </c:pt>
                      <c:pt idx="12">
                        <c:v>0.65652609479632928</c:v>
                      </c:pt>
                      <c:pt idx="13">
                        <c:v>0.70702810208835465</c:v>
                      </c:pt>
                      <c:pt idx="14">
                        <c:v>0.75753010938038001</c:v>
                      </c:pt>
                      <c:pt idx="15">
                        <c:v>0.80803211667240538</c:v>
                      </c:pt>
                      <c:pt idx="16">
                        <c:v>0.85853412396443074</c:v>
                      </c:pt>
                      <c:pt idx="17">
                        <c:v>0.9090361312564561</c:v>
                      </c:pt>
                      <c:pt idx="18">
                        <c:v>0.95953813854848147</c:v>
                      </c:pt>
                      <c:pt idx="19">
                        <c:v>1.0100401458405068</c:v>
                      </c:pt>
                      <c:pt idx="20">
                        <c:v>1.0605421531325321</c:v>
                      </c:pt>
                      <c:pt idx="21">
                        <c:v>1.1110441604245573</c:v>
                      </c:pt>
                      <c:pt idx="22">
                        <c:v>1.1615461677165826</c:v>
                      </c:pt>
                      <c:pt idx="23">
                        <c:v>1.2120481750086078</c:v>
                      </c:pt>
                      <c:pt idx="24">
                        <c:v>1.2625501823006331</c:v>
                      </c:pt>
                      <c:pt idx="25">
                        <c:v>1.3130521895926583</c:v>
                      </c:pt>
                      <c:pt idx="26">
                        <c:v>1.3635541968846836</c:v>
                      </c:pt>
                      <c:pt idx="27">
                        <c:v>1.4140562041767089</c:v>
                      </c:pt>
                      <c:pt idx="28">
                        <c:v>1.4645582114687341</c:v>
                      </c:pt>
                      <c:pt idx="29">
                        <c:v>1.5150602187607594</c:v>
                      </c:pt>
                      <c:pt idx="30">
                        <c:v>1.5655622260527846</c:v>
                      </c:pt>
                      <c:pt idx="31">
                        <c:v>1.6160642333448099</c:v>
                      </c:pt>
                      <c:pt idx="32">
                        <c:v>1.6665662406368351</c:v>
                      </c:pt>
                      <c:pt idx="33">
                        <c:v>1.7170682479288604</c:v>
                      </c:pt>
                      <c:pt idx="34">
                        <c:v>1.7675702552208856</c:v>
                      </c:pt>
                      <c:pt idx="35">
                        <c:v>1.8180722625129109</c:v>
                      </c:pt>
                      <c:pt idx="36">
                        <c:v>1.8685742698049361</c:v>
                      </c:pt>
                      <c:pt idx="37">
                        <c:v>1.9190762770969614</c:v>
                      </c:pt>
                      <c:pt idx="38">
                        <c:v>1.9695782843889866</c:v>
                      </c:pt>
                      <c:pt idx="39">
                        <c:v>2.0200802916810119</c:v>
                      </c:pt>
                      <c:pt idx="40">
                        <c:v>2.0705822989730374</c:v>
                      </c:pt>
                      <c:pt idx="41">
                        <c:v>2.1210843062650628</c:v>
                      </c:pt>
                      <c:pt idx="42">
                        <c:v>2.1715863135570883</c:v>
                      </c:pt>
                      <c:pt idx="43">
                        <c:v>2.2220883208491138</c:v>
                      </c:pt>
                      <c:pt idx="44">
                        <c:v>2.2725903281411393</c:v>
                      </c:pt>
                      <c:pt idx="45">
                        <c:v>2.3230923354331647</c:v>
                      </c:pt>
                      <c:pt idx="46">
                        <c:v>2.3735943427251902</c:v>
                      </c:pt>
                      <c:pt idx="47">
                        <c:v>2.4240963500172157</c:v>
                      </c:pt>
                      <c:pt idx="48">
                        <c:v>2.4745983573092412</c:v>
                      </c:pt>
                      <c:pt idx="49">
                        <c:v>2.5251003646012666</c:v>
                      </c:pt>
                      <c:pt idx="50">
                        <c:v>2.5756023718932921</c:v>
                      </c:pt>
                      <c:pt idx="51">
                        <c:v>2.6261043791853176</c:v>
                      </c:pt>
                    </c:numCache>
                  </c:numRef>
                </c:val>
                <c:smooth val="0"/>
                <c:extLst xmlns:c15="http://schemas.microsoft.com/office/drawing/2012/chart">
                  <c:ext xmlns:c16="http://schemas.microsoft.com/office/drawing/2014/chart" uri="{C3380CC4-5D6E-409C-BE32-E72D297353CC}">
                    <c16:uniqueId val="{00000008-6F14-4D62-81C3-006AB5EA99A3}"/>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'PBL OLD'!$DC$6:$DC$7</c15:sqref>
                        </c15:formulaRef>
                      </c:ext>
                    </c:extLst>
                    <c:strCache>
                      <c:ptCount val="2"/>
                      <c:pt idx="0">
                        <c:v>90th Percentile</c:v>
                      </c:pt>
                    </c:strCache>
                  </c:strRef>
                </c:tx>
                <c:spPr>
                  <a:ln w="28575">
                    <a:solidFill>
                      <a:schemeClr val="accent1"/>
                    </a:solidFill>
                    <a:prstDash val="sysDot"/>
                  </a:ln>
                </c:spPr>
                <c:cat>
                  <c:numRef>
                    <c:extLst xmlns:c15="http://schemas.microsoft.com/office/drawing/2012/chart">
                      <c:ext xmlns:c15="http://schemas.microsoft.com/office/drawing/2012/chart" uri="{02D57815-91ED-43cb-92C2-25804820EDAC}">
                        <c15:formulaRef>
                          <c15:sqref>'PBL OLD'!$HV$8:$HV$33</c15:sqref>
                        </c15:formulaRef>
                      </c:ext>
                    </c:extLst>
                    <c:numCache>
                      <c:formatCode>d\-mmm\-yy_);\(###0\);"-  ";" "@" "</c:formatCode>
                      <c:ptCount val="26"/>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numCache>
                  </c:numRef>
                </c:cat>
                <c:val>
                  <c:numRef>
                    <c:extLst xmlns:c15="http://schemas.microsoft.com/office/drawing/2012/chart">
                      <c:ext xmlns:c15="http://schemas.microsoft.com/office/drawing/2012/chart" uri="{02D57815-91ED-43cb-92C2-25804820EDAC}">
                        <c15:formulaRef>
                          <c15:sqref>'PBL OLD'!$DC$8:$DC$60</c15:sqref>
                        </c15:formulaRef>
                      </c:ext>
                    </c:extLst>
                    <c:numCache>
                      <c:formatCode>0.000</c:formatCode>
                      <c:ptCount val="53"/>
                      <c:pt idx="0">
                        <c:v>7.261484324723147E-2</c:v>
                      </c:pt>
                      <c:pt idx="1">
                        <c:v>0.14522968649446294</c:v>
                      </c:pt>
                      <c:pt idx="2">
                        <c:v>0.21784452974169441</c:v>
                      </c:pt>
                      <c:pt idx="3">
                        <c:v>0.29045937298892588</c:v>
                      </c:pt>
                      <c:pt idx="4">
                        <c:v>0.36307421623615732</c:v>
                      </c:pt>
                      <c:pt idx="5">
                        <c:v>0.43568905948338876</c:v>
                      </c:pt>
                      <c:pt idx="6">
                        <c:v>0.50830390273062021</c:v>
                      </c:pt>
                      <c:pt idx="7">
                        <c:v>0.58091874597785165</c:v>
                      </c:pt>
                      <c:pt idx="8">
                        <c:v>0.65353358922508309</c:v>
                      </c:pt>
                      <c:pt idx="9">
                        <c:v>0.72614843247231453</c:v>
                      </c:pt>
                      <c:pt idx="10">
                        <c:v>0.79876327571954597</c:v>
                      </c:pt>
                      <c:pt idx="11">
                        <c:v>0.87137811896677742</c:v>
                      </c:pt>
                      <c:pt idx="12">
                        <c:v>0.94399296221400886</c:v>
                      </c:pt>
                      <c:pt idx="13">
                        <c:v>1.0166078054612404</c:v>
                      </c:pt>
                      <c:pt idx="14">
                        <c:v>1.089222648708472</c:v>
                      </c:pt>
                      <c:pt idx="15">
                        <c:v>1.1618374919557035</c:v>
                      </c:pt>
                      <c:pt idx="16">
                        <c:v>1.2344523352029351</c:v>
                      </c:pt>
                      <c:pt idx="17">
                        <c:v>1.3070671784501666</c:v>
                      </c:pt>
                      <c:pt idx="18">
                        <c:v>1.3796820216973982</c:v>
                      </c:pt>
                      <c:pt idx="19">
                        <c:v>1.4522968649446297</c:v>
                      </c:pt>
                      <c:pt idx="20">
                        <c:v>1.5249117081918613</c:v>
                      </c:pt>
                      <c:pt idx="21">
                        <c:v>1.5975265514390928</c:v>
                      </c:pt>
                      <c:pt idx="22">
                        <c:v>1.6701413946863244</c:v>
                      </c:pt>
                      <c:pt idx="23">
                        <c:v>1.7427562379335559</c:v>
                      </c:pt>
                      <c:pt idx="24">
                        <c:v>1.8153710811807875</c:v>
                      </c:pt>
                      <c:pt idx="25">
                        <c:v>1.887985924428019</c:v>
                      </c:pt>
                      <c:pt idx="26">
                        <c:v>1.9606007676752506</c:v>
                      </c:pt>
                      <c:pt idx="27">
                        <c:v>2.0332156109224822</c:v>
                      </c:pt>
                      <c:pt idx="28">
                        <c:v>2.1058304541697135</c:v>
                      </c:pt>
                      <c:pt idx="29">
                        <c:v>2.1784452974169448</c:v>
                      </c:pt>
                      <c:pt idx="30">
                        <c:v>2.2510601406641761</c:v>
                      </c:pt>
                      <c:pt idx="31">
                        <c:v>2.3236749839114075</c:v>
                      </c:pt>
                      <c:pt idx="32">
                        <c:v>2.3962898271586388</c:v>
                      </c:pt>
                      <c:pt idx="33">
                        <c:v>2.4689046704058701</c:v>
                      </c:pt>
                      <c:pt idx="34">
                        <c:v>2.5415195136531015</c:v>
                      </c:pt>
                      <c:pt idx="35">
                        <c:v>2.6141343569003328</c:v>
                      </c:pt>
                      <c:pt idx="36">
                        <c:v>2.6867492001475641</c:v>
                      </c:pt>
                      <c:pt idx="37">
                        <c:v>2.7593640433947955</c:v>
                      </c:pt>
                      <c:pt idx="38">
                        <c:v>2.8319788866420268</c:v>
                      </c:pt>
                      <c:pt idx="39">
                        <c:v>2.9045937298892581</c:v>
                      </c:pt>
                      <c:pt idx="40">
                        <c:v>2.9772085731364895</c:v>
                      </c:pt>
                      <c:pt idx="41">
                        <c:v>3.0498234163837208</c:v>
                      </c:pt>
                      <c:pt idx="42">
                        <c:v>3.1224382596309521</c:v>
                      </c:pt>
                      <c:pt idx="43">
                        <c:v>3.1950531028781834</c:v>
                      </c:pt>
                      <c:pt idx="44">
                        <c:v>3.2676679461254148</c:v>
                      </c:pt>
                      <c:pt idx="45">
                        <c:v>3.3402827893726461</c:v>
                      </c:pt>
                      <c:pt idx="46">
                        <c:v>3.4128976326198774</c:v>
                      </c:pt>
                      <c:pt idx="47">
                        <c:v>3.4855124758671088</c:v>
                      </c:pt>
                      <c:pt idx="48">
                        <c:v>3.5581273191143401</c:v>
                      </c:pt>
                      <c:pt idx="49">
                        <c:v>3.6307421623615714</c:v>
                      </c:pt>
                      <c:pt idx="50">
                        <c:v>3.7033570056088028</c:v>
                      </c:pt>
                      <c:pt idx="51">
                        <c:v>3.7759718488560341</c:v>
                      </c:pt>
                    </c:numCache>
                  </c:numRef>
                </c:val>
                <c:smooth val="0"/>
                <c:extLst xmlns:c15="http://schemas.microsoft.com/office/drawing/2012/chart">
                  <c:ext xmlns:c16="http://schemas.microsoft.com/office/drawing/2014/chart" uri="{C3380CC4-5D6E-409C-BE32-E72D297353CC}">
                    <c16:uniqueId val="{00000009-6F14-4D62-81C3-006AB5EA99A3}"/>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'PBL OLD'!$DE$6:$DE$7</c15:sqref>
                        </c15:formulaRef>
                      </c:ext>
                    </c:extLst>
                    <c:strCache>
                      <c:ptCount val="2"/>
                      <c:pt idx="0">
                        <c:v>99th Percentile</c:v>
                      </c:pt>
                    </c:strCache>
                  </c:strRef>
                </c:tx>
                <c:spPr>
                  <a:ln w="28575">
                    <a:solidFill>
                      <a:schemeClr val="accent1"/>
                    </a:solidFill>
                    <a:prstDash val="sysDot"/>
                  </a:ln>
                </c:spPr>
                <c:cat>
                  <c:numRef>
                    <c:extLst xmlns:c15="http://schemas.microsoft.com/office/drawing/2012/chart">
                      <c:ext xmlns:c15="http://schemas.microsoft.com/office/drawing/2012/chart" uri="{02D57815-91ED-43cb-92C2-25804820EDAC}">
                        <c15:formulaRef>
                          <c15:sqref>'PBL OLD'!$HV$8:$HV$33</c15:sqref>
                        </c15:formulaRef>
                      </c:ext>
                    </c:extLst>
                    <c:numCache>
                      <c:formatCode>d\-mmm\-yy_);\(###0\);"-  ";" "@" "</c:formatCode>
                      <c:ptCount val="26"/>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numCache>
                  </c:numRef>
                </c:cat>
                <c:val>
                  <c:numRef>
                    <c:extLst xmlns:c15="http://schemas.microsoft.com/office/drawing/2012/chart">
                      <c:ext xmlns:c15="http://schemas.microsoft.com/office/drawing/2012/chart" uri="{02D57815-91ED-43cb-92C2-25804820EDAC}">
                        <c15:formulaRef>
                          <c15:sqref>'PBL OLD'!$DE$8:$DE$60</c15:sqref>
                        </c15:formulaRef>
                      </c:ext>
                    </c:extLst>
                    <c:numCache>
                      <c:formatCode>0.000</c:formatCode>
                      <c:ptCount val="53"/>
                      <c:pt idx="0">
                        <c:v>8.472863847550996E-2</c:v>
                      </c:pt>
                      <c:pt idx="1">
                        <c:v>0.16945727695101992</c:v>
                      </c:pt>
                      <c:pt idx="2">
                        <c:v>0.25418591542652991</c:v>
                      </c:pt>
                      <c:pt idx="3">
                        <c:v>0.33891455390203984</c:v>
                      </c:pt>
                      <c:pt idx="4">
                        <c:v>0.42364319237754977</c:v>
                      </c:pt>
                      <c:pt idx="5">
                        <c:v>0.5083718308530597</c:v>
                      </c:pt>
                      <c:pt idx="6">
                        <c:v>0.59310046932856963</c:v>
                      </c:pt>
                      <c:pt idx="7">
                        <c:v>0.67782910780407957</c:v>
                      </c:pt>
                      <c:pt idx="8">
                        <c:v>0.7625577462795895</c:v>
                      </c:pt>
                      <c:pt idx="9">
                        <c:v>0.84728638475509943</c:v>
                      </c:pt>
                      <c:pt idx="10">
                        <c:v>0.93201502323060936</c:v>
                      </c:pt>
                      <c:pt idx="11">
                        <c:v>1.0167436617061194</c:v>
                      </c:pt>
                      <c:pt idx="12">
                        <c:v>1.1014723001816293</c:v>
                      </c:pt>
                      <c:pt idx="13">
                        <c:v>1.1862009386571393</c:v>
                      </c:pt>
                      <c:pt idx="14">
                        <c:v>1.2709295771326492</c:v>
                      </c:pt>
                      <c:pt idx="15">
                        <c:v>1.3556582156081591</c:v>
                      </c:pt>
                      <c:pt idx="16">
                        <c:v>1.4403868540836691</c:v>
                      </c:pt>
                      <c:pt idx="17">
                        <c:v>1.525115492559179</c:v>
                      </c:pt>
                      <c:pt idx="18">
                        <c:v>1.6098441310346889</c:v>
                      </c:pt>
                      <c:pt idx="19">
                        <c:v>1.6945727695101989</c:v>
                      </c:pt>
                      <c:pt idx="20">
                        <c:v>1.7793014079857088</c:v>
                      </c:pt>
                      <c:pt idx="21">
                        <c:v>1.8640300464612187</c:v>
                      </c:pt>
                      <c:pt idx="22">
                        <c:v>1.9487586849367287</c:v>
                      </c:pt>
                      <c:pt idx="23">
                        <c:v>2.0334873234122388</c:v>
                      </c:pt>
                      <c:pt idx="24">
                        <c:v>2.1182159618877487</c:v>
                      </c:pt>
                      <c:pt idx="25">
                        <c:v>2.2029446003632587</c:v>
                      </c:pt>
                      <c:pt idx="26">
                        <c:v>2.2876732388387686</c:v>
                      </c:pt>
                      <c:pt idx="27">
                        <c:v>2.3724018773142785</c:v>
                      </c:pt>
                      <c:pt idx="28">
                        <c:v>2.4571305157897885</c:v>
                      </c:pt>
                      <c:pt idx="29">
                        <c:v>2.5418591542652984</c:v>
                      </c:pt>
                      <c:pt idx="30">
                        <c:v>2.6265877927408083</c:v>
                      </c:pt>
                      <c:pt idx="31">
                        <c:v>2.7113164312163183</c:v>
                      </c:pt>
                      <c:pt idx="32">
                        <c:v>2.7960450696918282</c:v>
                      </c:pt>
                      <c:pt idx="33">
                        <c:v>2.8807737081673381</c:v>
                      </c:pt>
                      <c:pt idx="34">
                        <c:v>2.9655023466428481</c:v>
                      </c:pt>
                      <c:pt idx="35">
                        <c:v>3.050230985118358</c:v>
                      </c:pt>
                      <c:pt idx="36">
                        <c:v>3.1349596235938679</c:v>
                      </c:pt>
                      <c:pt idx="37">
                        <c:v>3.2196882620693779</c:v>
                      </c:pt>
                      <c:pt idx="38">
                        <c:v>3.3044169005448878</c:v>
                      </c:pt>
                      <c:pt idx="39">
                        <c:v>3.3891455390203977</c:v>
                      </c:pt>
                      <c:pt idx="40">
                        <c:v>3.4738741774959077</c:v>
                      </c:pt>
                      <c:pt idx="41">
                        <c:v>3.5586028159714176</c:v>
                      </c:pt>
                      <c:pt idx="42">
                        <c:v>3.6433314544469275</c:v>
                      </c:pt>
                      <c:pt idx="43">
                        <c:v>3.7280600929224375</c:v>
                      </c:pt>
                      <c:pt idx="44">
                        <c:v>3.8127887313979474</c:v>
                      </c:pt>
                      <c:pt idx="45">
                        <c:v>3.8975173698734573</c:v>
                      </c:pt>
                      <c:pt idx="46">
                        <c:v>3.9822460083489672</c:v>
                      </c:pt>
                      <c:pt idx="47">
                        <c:v>4.0669746468244776</c:v>
                      </c:pt>
                      <c:pt idx="48">
                        <c:v>4.1517032852999876</c:v>
                      </c:pt>
                      <c:pt idx="49">
                        <c:v>4.2364319237754975</c:v>
                      </c:pt>
                      <c:pt idx="50">
                        <c:v>4.3211605622510074</c:v>
                      </c:pt>
                      <c:pt idx="51">
                        <c:v>4.4058892007265174</c:v>
                      </c:pt>
                    </c:numCache>
                  </c:numRef>
                </c:val>
                <c:smooth val="0"/>
                <c:extLst xmlns:c15="http://schemas.microsoft.com/office/drawing/2012/chart">
                  <c:ext xmlns:c16="http://schemas.microsoft.com/office/drawing/2014/chart" uri="{C3380CC4-5D6E-409C-BE32-E72D297353CC}">
                    <c16:uniqueId val="{0000000A-6F14-4D62-81C3-006AB5EA99A3}"/>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'PBL OLD'!$DF$6:$DF$7</c15:sqref>
                        </c15:formulaRef>
                      </c:ext>
                    </c:extLst>
                    <c:strCache>
                      <c:ptCount val="2"/>
                      <c:pt idx="0">
                        <c:v>Max</c:v>
                      </c:pt>
                    </c:strCache>
                  </c:strRef>
                </c:tx>
                <c:cat>
                  <c:numRef>
                    <c:extLst xmlns:c15="http://schemas.microsoft.com/office/drawing/2012/chart">
                      <c:ext xmlns:c15="http://schemas.microsoft.com/office/drawing/2012/chart" uri="{02D57815-91ED-43cb-92C2-25804820EDAC}">
                        <c15:formulaRef>
                          <c15:sqref>'PBL OLD'!$HV$8:$HV$33</c15:sqref>
                        </c15:formulaRef>
                      </c:ext>
                    </c:extLst>
                    <c:numCache>
                      <c:formatCode>d\-mmm\-yy_);\(###0\);"-  ";" "@" "</c:formatCode>
                      <c:ptCount val="26"/>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numCache>
                  </c:numRef>
                </c:cat>
                <c:val>
                  <c:numRef>
                    <c:extLst xmlns:c15="http://schemas.microsoft.com/office/drawing/2012/chart">
                      <c:ext xmlns:c15="http://schemas.microsoft.com/office/drawing/2012/chart" uri="{02D57815-91ED-43cb-92C2-25804820EDAC}">
                        <c15:formulaRef>
                          <c15:sqref>'PBL OLD'!$DF$8:$DF$60</c15:sqref>
                        </c15:formulaRef>
                      </c:ext>
                    </c:extLst>
                    <c:numCache>
                      <c:formatCode>0.000</c:formatCode>
                      <c:ptCount val="53"/>
                      <c:pt idx="0">
                        <c:v>0.10288241710741779</c:v>
                      </c:pt>
                      <c:pt idx="1">
                        <c:v>0.20576483421483557</c:v>
                      </c:pt>
                      <c:pt idx="2">
                        <c:v>0.30864725132225335</c:v>
                      </c:pt>
                      <c:pt idx="3">
                        <c:v>0.41152966842967115</c:v>
                      </c:pt>
                      <c:pt idx="4">
                        <c:v>0.51441208553708895</c:v>
                      </c:pt>
                      <c:pt idx="5">
                        <c:v>0.61729450264450669</c:v>
                      </c:pt>
                      <c:pt idx="6">
                        <c:v>0.72017691975192444</c:v>
                      </c:pt>
                      <c:pt idx="7">
                        <c:v>0.82305933685934218</c:v>
                      </c:pt>
                      <c:pt idx="8">
                        <c:v>0.92594175396675993</c:v>
                      </c:pt>
                      <c:pt idx="9">
                        <c:v>1.0288241710741777</c:v>
                      </c:pt>
                      <c:pt idx="10">
                        <c:v>1.1317065881815955</c:v>
                      </c:pt>
                      <c:pt idx="11">
                        <c:v>1.2345890052890134</c:v>
                      </c:pt>
                      <c:pt idx="12">
                        <c:v>1.3374714223964312</c:v>
                      </c:pt>
                      <c:pt idx="13">
                        <c:v>1.4403538395038491</c:v>
                      </c:pt>
                      <c:pt idx="14">
                        <c:v>1.543236256611267</c:v>
                      </c:pt>
                      <c:pt idx="15">
                        <c:v>1.6461186737186848</c:v>
                      </c:pt>
                      <c:pt idx="16">
                        <c:v>1.7490010908261027</c:v>
                      </c:pt>
                      <c:pt idx="17">
                        <c:v>1.8518835079335205</c:v>
                      </c:pt>
                      <c:pt idx="18">
                        <c:v>1.9547659250409384</c:v>
                      </c:pt>
                      <c:pt idx="19">
                        <c:v>2.0576483421483562</c:v>
                      </c:pt>
                      <c:pt idx="20">
                        <c:v>2.1605307592557739</c:v>
                      </c:pt>
                      <c:pt idx="21">
                        <c:v>2.2634131763631915</c:v>
                      </c:pt>
                      <c:pt idx="22">
                        <c:v>2.3662955934706091</c:v>
                      </c:pt>
                      <c:pt idx="23">
                        <c:v>2.4691780105780268</c:v>
                      </c:pt>
                      <c:pt idx="24">
                        <c:v>2.5720604276854444</c:v>
                      </c:pt>
                      <c:pt idx="25">
                        <c:v>2.674942844792862</c:v>
                      </c:pt>
                      <c:pt idx="26">
                        <c:v>2.7778252619002797</c:v>
                      </c:pt>
                      <c:pt idx="27">
                        <c:v>2.8807076790076973</c:v>
                      </c:pt>
                      <c:pt idx="28">
                        <c:v>2.9835900961151149</c:v>
                      </c:pt>
                      <c:pt idx="29">
                        <c:v>3.0864725132225326</c:v>
                      </c:pt>
                      <c:pt idx="30">
                        <c:v>3.1893549303299502</c:v>
                      </c:pt>
                      <c:pt idx="31">
                        <c:v>3.2922373474373678</c:v>
                      </c:pt>
                      <c:pt idx="32">
                        <c:v>3.3951197645447855</c:v>
                      </c:pt>
                      <c:pt idx="33">
                        <c:v>3.4980021816522031</c:v>
                      </c:pt>
                      <c:pt idx="34">
                        <c:v>3.6008845987596207</c:v>
                      </c:pt>
                      <c:pt idx="35">
                        <c:v>3.7037670158670384</c:v>
                      </c:pt>
                      <c:pt idx="36">
                        <c:v>3.806649432974456</c:v>
                      </c:pt>
                      <c:pt idx="37">
                        <c:v>3.9095318500818736</c:v>
                      </c:pt>
                      <c:pt idx="38">
                        <c:v>4.0124142671892917</c:v>
                      </c:pt>
                      <c:pt idx="39">
                        <c:v>4.1152966842967098</c:v>
                      </c:pt>
                      <c:pt idx="40">
                        <c:v>4.2181791014041279</c:v>
                      </c:pt>
                      <c:pt idx="41">
                        <c:v>4.321061518511546</c:v>
                      </c:pt>
                      <c:pt idx="42">
                        <c:v>4.423943935618964</c:v>
                      </c:pt>
                      <c:pt idx="43">
                        <c:v>4.5268263527263821</c:v>
                      </c:pt>
                      <c:pt idx="44">
                        <c:v>4.6297087698338002</c:v>
                      </c:pt>
                      <c:pt idx="45">
                        <c:v>4.7325911869412183</c:v>
                      </c:pt>
                      <c:pt idx="46">
                        <c:v>4.8354736040486364</c:v>
                      </c:pt>
                      <c:pt idx="47">
                        <c:v>4.9383560211560544</c:v>
                      </c:pt>
                      <c:pt idx="48">
                        <c:v>5.0412384382634725</c:v>
                      </c:pt>
                      <c:pt idx="49">
                        <c:v>5.1441208553708906</c:v>
                      </c:pt>
                      <c:pt idx="50">
                        <c:v>5.2470032724783087</c:v>
                      </c:pt>
                      <c:pt idx="51">
                        <c:v>5.3498856895857267</c:v>
                      </c:pt>
                    </c:numCache>
                  </c:numRef>
                </c:val>
                <c:smooth val="0"/>
                <c:extLst xmlns:c15="http://schemas.microsoft.com/office/drawing/2012/chart">
                  <c:ext xmlns:c16="http://schemas.microsoft.com/office/drawing/2014/chart" uri="{C3380CC4-5D6E-409C-BE32-E72D297353CC}">
                    <c16:uniqueId val="{0000000B-6F14-4D62-81C3-006AB5EA99A3}"/>
                  </c:ext>
                </c:extLst>
              </c15:ser>
            </c15:filteredLineSeries>
          </c:ext>
        </c:extLst>
      </c:lineChart>
      <c:dateAx>
        <c:axId val="1388952432"/>
        <c:scaling>
          <c:orientation val="minMax"/>
          <c:max val="44812"/>
        </c:scaling>
        <c:delete val="0"/>
        <c:axPos val="b"/>
        <c:numFmt formatCode="mmm\-yy_);\(###0\);&quot;-  &quot;;&quot; &quot;@&quot; &quot;" sourceLinked="0"/>
        <c:majorTickMark val="none"/>
        <c:minorTickMark val="none"/>
        <c:tickLblPos val="nextTo"/>
        <c:spPr>
          <a:noFill/>
          <a:ln w="9525" cap="flat" cmpd="sng" algn="ctr">
            <a:noFill/>
            <a:round/>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3088"/>
        <c:crosses val="autoZero"/>
        <c:auto val="1"/>
        <c:lblOffset val="100"/>
        <c:baseTimeUnit val="days"/>
        <c:majorUnit val="1"/>
        <c:majorTimeUnit val="months"/>
      </c:dateAx>
      <c:valAx>
        <c:axId val="1388953088"/>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2432"/>
        <c:crosses val="autoZero"/>
        <c:crossBetween val="between"/>
      </c:valAx>
    </c:plotArea>
    <c:legend>
      <c:legendPos val="b"/>
      <c:legendEntry>
        <c:idx val="0"/>
        <c:delete val="1"/>
      </c:legendEntry>
      <c:legendEntry>
        <c:idx val="2"/>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orientation="portrait"/>
  </c:printSettings>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dLbls>
          <c:showLegendKey val="0"/>
          <c:showVal val="0"/>
          <c:showCatName val="0"/>
          <c:showSerName val="0"/>
          <c:showPercent val="0"/>
          <c:showBubbleSize val="0"/>
        </c:dLbls>
        <c:axId val="1388952432"/>
        <c:axId val="1388953088"/>
        <c:extLst>
          <c:ext xmlns:c15="http://schemas.microsoft.com/office/drawing/2012/chart" uri="{02D57815-91ED-43cb-92C2-25804820EDAC}">
            <c15:filteredAreaSeries>
              <c15:ser>
                <c:idx val="12"/>
                <c:order val="12"/>
                <c:tx>
                  <c:v>Normal Sequence</c:v>
                </c:tx>
                <c:spPr>
                  <a:solidFill>
                    <a:srgbClr val="FFFFCC"/>
                  </a:solidFill>
                </c:spPr>
                <c:val>
                  <c:numRef>
                    <c:extLst>
                      <c:ext uri="{02D57815-91ED-43cb-92C2-25804820EDAC}">
                        <c15:formulaRef>
                          <c15:sqref>'PBL OLD'!$HS$8:$HS$33</c15:sqref>
                        </c15:formulaRef>
                      </c:ext>
                    </c:extLst>
                    <c:numCache>
                      <c:formatCode>General</c:formatCode>
                      <c:ptCount val="26"/>
                      <c:pt idx="0">
                        <c:v>4</c:v>
                      </c:pt>
                      <c:pt idx="1">
                        <c:v>4</c:v>
                      </c:pt>
                      <c:pt idx="2">
                        <c:v>4</c:v>
                      </c:pt>
                      <c:pt idx="3">
                        <c:v>4</c:v>
                      </c:pt>
                      <c:pt idx="4">
                        <c:v>4</c:v>
                      </c:pt>
                      <c:pt idx="5">
                        <c:v>4</c:v>
                      </c:pt>
                      <c:pt idx="6">
                        <c:v>4</c:v>
                      </c:pt>
                      <c:pt idx="7">
                        <c:v>4</c:v>
                      </c:pt>
                      <c:pt idx="8">
                        <c:v>4</c:v>
                      </c:pt>
                      <c:pt idx="9">
                        <c:v>4</c:v>
                      </c:pt>
                      <c:pt idx="10">
                        <c:v>4</c:v>
                      </c:pt>
                    </c:numCache>
                  </c:numRef>
                </c:val>
                <c:extLst>
                  <c:ext xmlns:c16="http://schemas.microsoft.com/office/drawing/2014/chart" uri="{C3380CC4-5D6E-409C-BE32-E72D297353CC}">
                    <c16:uniqueId val="{0000000C-0EF4-4B00-8C5E-EF8BBB1A5A11}"/>
                  </c:ext>
                </c:extLst>
              </c15:ser>
            </c15:filteredAreaSeries>
            <c15:filteredAreaSeries>
              <c15:ser>
                <c:idx val="13"/>
                <c:order val="13"/>
                <c:tx>
                  <c:v>Accelerated Sequence</c:v>
                </c:tx>
                <c:spPr>
                  <a:solidFill>
                    <a:schemeClr val="accent5">
                      <a:lumMod val="20000"/>
                      <a:lumOff val="80000"/>
                    </a:schemeClr>
                  </a:solidFill>
                </c:spPr>
                <c:val>
                  <c:numRef>
                    <c:extLst xmlns:c15="http://schemas.microsoft.com/office/drawing/2012/chart">
                      <c:ext xmlns:c15="http://schemas.microsoft.com/office/drawing/2012/chart" uri="{02D57815-91ED-43cb-92C2-25804820EDAC}">
                        <c15:formulaRef>
                          <c15:sqref>'PBL OLD'!$HT$8:$HT$33</c15:sqref>
                        </c15:formulaRef>
                      </c:ext>
                    </c:extLst>
                    <c:numCache>
                      <c:formatCode>General</c:formatCode>
                      <c:ptCount val="26"/>
                      <c:pt idx="10">
                        <c:v>4</c:v>
                      </c:pt>
                      <c:pt idx="11">
                        <c:v>4</c:v>
                      </c:pt>
                      <c:pt idx="12">
                        <c:v>4</c:v>
                      </c:pt>
                      <c:pt idx="13">
                        <c:v>4</c:v>
                      </c:pt>
                      <c:pt idx="14">
                        <c:v>4</c:v>
                      </c:pt>
                      <c:pt idx="15">
                        <c:v>4</c:v>
                      </c:pt>
                      <c:pt idx="16">
                        <c:v>4</c:v>
                      </c:pt>
                      <c:pt idx="17">
                        <c:v>4</c:v>
                      </c:pt>
                      <c:pt idx="18">
                        <c:v>4</c:v>
                      </c:pt>
                      <c:pt idx="19">
                        <c:v>4</c:v>
                      </c:pt>
                      <c:pt idx="20">
                        <c:v>4</c:v>
                      </c:pt>
                      <c:pt idx="21">
                        <c:v>4</c:v>
                      </c:pt>
                      <c:pt idx="22">
                        <c:v>4</c:v>
                      </c:pt>
                      <c:pt idx="23">
                        <c:v>4</c:v>
                      </c:pt>
                      <c:pt idx="24">
                        <c:v>4</c:v>
                      </c:pt>
                      <c:pt idx="25">
                        <c:v>4</c:v>
                      </c:pt>
                    </c:numCache>
                  </c:numRef>
                </c:val>
                <c:extLst xmlns:c15="http://schemas.microsoft.com/office/drawing/2012/chart">
                  <c:ext xmlns:c16="http://schemas.microsoft.com/office/drawing/2014/chart" uri="{C3380CC4-5D6E-409C-BE32-E72D297353CC}">
                    <c16:uniqueId val="{0000000D-0EF4-4B00-8C5E-EF8BBB1A5A11}"/>
                  </c:ext>
                </c:extLst>
              </c15:ser>
            </c15:filteredAreaSeries>
          </c:ext>
        </c:extLst>
      </c:areaChart>
      <c:lineChart>
        <c:grouping val="standard"/>
        <c:varyColors val="0"/>
        <c:ser>
          <c:idx val="4"/>
          <c:order val="6"/>
          <c:tx>
            <c:strRef>
              <c:f>'PBL OLD'!$HI$6:$HI$7</c:f>
              <c:strCache>
                <c:ptCount val="2"/>
                <c:pt idx="0">
                  <c:v>50th Percentile</c:v>
                </c:pt>
              </c:strCache>
            </c:strRef>
          </c:tx>
          <c:spPr>
            <a:ln w="25400">
              <a:solidFill>
                <a:schemeClr val="bg2"/>
              </a:solidFill>
              <a:prstDash val="sysDot"/>
            </a:ln>
          </c:spPr>
          <c:marker>
            <c:symbol val="none"/>
          </c:marker>
          <c:cat>
            <c:numRef>
              <c:f>'PBL OLD'!$HA$8:$HA$33</c:f>
              <c:numCache>
                <c:formatCode>d\-mmm\-yy_);\(###0\);"-  ";" "@" "</c:formatCode>
                <c:ptCount val="26"/>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numCache>
            </c:numRef>
          </c:cat>
          <c:val>
            <c:numRef>
              <c:f>'PBL OLD'!$HI$8:$HI$33</c:f>
              <c:numCache>
                <c:formatCode>0.000</c:formatCode>
                <c:ptCount val="26"/>
                <c:pt idx="9">
                  <c:v>0.3616614278523077</c:v>
                </c:pt>
                <c:pt idx="10">
                  <c:v>0.42229315291781272</c:v>
                </c:pt>
                <c:pt idx="11">
                  <c:v>0.48292487798331774</c:v>
                </c:pt>
                <c:pt idx="12">
                  <c:v>0.5435566030488227</c:v>
                </c:pt>
                <c:pt idx="13">
                  <c:v>0.60418832811432766</c:v>
                </c:pt>
                <c:pt idx="14">
                  <c:v>0.66482005317983262</c:v>
                </c:pt>
                <c:pt idx="15">
                  <c:v>0.72545177824533758</c:v>
                </c:pt>
                <c:pt idx="16">
                  <c:v>0.78608350331084254</c:v>
                </c:pt>
                <c:pt idx="17">
                  <c:v>0.8467152283763475</c:v>
                </c:pt>
                <c:pt idx="18">
                  <c:v>0.90734695344185246</c:v>
                </c:pt>
                <c:pt idx="19">
                  <c:v>0.96797867850735742</c:v>
                </c:pt>
                <c:pt idx="20">
                  <c:v>1.0286104035728625</c:v>
                </c:pt>
                <c:pt idx="21">
                  <c:v>1.0892421286383676</c:v>
                </c:pt>
                <c:pt idx="22">
                  <c:v>1.1498738537038726</c:v>
                </c:pt>
                <c:pt idx="23">
                  <c:v>1.2105055787693777</c:v>
                </c:pt>
                <c:pt idx="24">
                  <c:v>1.2711373038348828</c:v>
                </c:pt>
                <c:pt idx="25">
                  <c:v>1.3317690289003878</c:v>
                </c:pt>
              </c:numCache>
            </c:numRef>
          </c:val>
          <c:smooth val="0"/>
          <c:extLst>
            <c:ext xmlns:c16="http://schemas.microsoft.com/office/drawing/2014/chart" uri="{C3380CC4-5D6E-409C-BE32-E72D297353CC}">
              <c16:uniqueId val="{00000000-0EF4-4B00-8C5E-EF8BBB1A5A11}"/>
            </c:ext>
          </c:extLst>
        </c:ser>
        <c:ser>
          <c:idx val="0"/>
          <c:order val="0"/>
          <c:tx>
            <c:strRef>
              <c:f>'PBL OLD'!$HB$6:$HB$7</c:f>
              <c:strCache>
                <c:ptCount val="2"/>
                <c:pt idx="0">
                  <c:v>Actual</c:v>
                </c:pt>
              </c:strCache>
            </c:strRef>
          </c:tx>
          <c:spPr>
            <a:ln>
              <a:solidFill>
                <a:schemeClr val="tx2"/>
              </a:solidFill>
            </a:ln>
          </c:spPr>
          <c:marker>
            <c:symbol val="none"/>
          </c:marker>
          <c:cat>
            <c:numRef>
              <c:f>'PBL OLD'!$HA$8:$HA$33</c:f>
              <c:numCache>
                <c:formatCode>d\-mmm\-yy_);\(###0\);"-  ";" "@" "</c:formatCode>
                <c:ptCount val="26"/>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numCache>
            </c:numRef>
          </c:cat>
          <c:val>
            <c:numRef>
              <c:f>'PBL OLD'!$HB$8:$HB$33</c:f>
              <c:numCache>
                <c:formatCode>0.000</c:formatCode>
                <c:ptCount val="26"/>
                <c:pt idx="0">
                  <c:v>2.4383432684147156E-2</c:v>
                </c:pt>
                <c:pt idx="1">
                  <c:v>5.7456335077458197E-2</c:v>
                </c:pt>
                <c:pt idx="2">
                  <c:v>8.2897301732709039E-2</c:v>
                </c:pt>
                <c:pt idx="3">
                  <c:v>0.10634933406608696</c:v>
                </c:pt>
                <c:pt idx="4">
                  <c:v>0.13586762292789298</c:v>
                </c:pt>
                <c:pt idx="5">
                  <c:v>0.18374004427397994</c:v>
                </c:pt>
                <c:pt idx="6">
                  <c:v>0.20803473319331103</c:v>
                </c:pt>
                <c:pt idx="7">
                  <c:v>0.23891877923157193</c:v>
                </c:pt>
                <c:pt idx="8">
                  <c:v>0.28713984685163879</c:v>
                </c:pt>
                <c:pt idx="9">
                  <c:v>0.3616614278523077</c:v>
                </c:pt>
              </c:numCache>
            </c:numRef>
          </c:val>
          <c:smooth val="0"/>
          <c:extLst>
            <c:ext xmlns:c16="http://schemas.microsoft.com/office/drawing/2014/chart" uri="{C3380CC4-5D6E-409C-BE32-E72D297353CC}">
              <c16:uniqueId val="{00000001-0EF4-4B00-8C5E-EF8BBB1A5A11}"/>
            </c:ext>
          </c:extLst>
        </c:ser>
        <c:ser>
          <c:idx val="7"/>
          <c:order val="3"/>
          <c:tx>
            <c:strRef>
              <c:f>'PBL OLD'!$HF$6:$HF$7</c:f>
              <c:strCache>
                <c:ptCount val="2"/>
                <c:pt idx="0">
                  <c:v>5th Percentile</c:v>
                </c:pt>
              </c:strCache>
            </c:strRef>
          </c:tx>
          <c:spPr>
            <a:ln w="25400">
              <a:solidFill>
                <a:schemeClr val="bg2"/>
              </a:solidFill>
              <a:prstDash val="sysDot"/>
            </a:ln>
          </c:spPr>
          <c:marker>
            <c:symbol val="none"/>
          </c:marker>
          <c:cat>
            <c:numRef>
              <c:f>'PBL OLD'!$HA$8:$HA$33</c:f>
              <c:numCache>
                <c:formatCode>d\-mmm\-yy_);\(###0\);"-  ";" "@" "</c:formatCode>
                <c:ptCount val="26"/>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numCache>
            </c:numRef>
          </c:cat>
          <c:val>
            <c:numRef>
              <c:f>'PBL OLD'!$HF$8:$HF$33</c:f>
              <c:numCache>
                <c:formatCode>0.000</c:formatCode>
                <c:ptCount val="26"/>
                <c:pt idx="9">
                  <c:v>0.3616614278523077</c:v>
                </c:pt>
                <c:pt idx="10">
                  <c:v>0.40693820624009647</c:v>
                </c:pt>
                <c:pt idx="11">
                  <c:v>0.45221498462788523</c:v>
                </c:pt>
                <c:pt idx="12">
                  <c:v>0.49749176301567399</c:v>
                </c:pt>
                <c:pt idx="13">
                  <c:v>0.54276854140346276</c:v>
                </c:pt>
                <c:pt idx="14">
                  <c:v>0.58804531979125152</c:v>
                </c:pt>
                <c:pt idx="15">
                  <c:v>0.63332209817904028</c:v>
                </c:pt>
                <c:pt idx="16">
                  <c:v>0.67859887656682905</c:v>
                </c:pt>
                <c:pt idx="17">
                  <c:v>0.72387565495461781</c:v>
                </c:pt>
                <c:pt idx="18">
                  <c:v>0.76915243334240657</c:v>
                </c:pt>
                <c:pt idx="19">
                  <c:v>0.81442921173019533</c:v>
                </c:pt>
                <c:pt idx="20">
                  <c:v>0.8597059901179841</c:v>
                </c:pt>
                <c:pt idx="21">
                  <c:v>0.90498276850577286</c:v>
                </c:pt>
                <c:pt idx="22">
                  <c:v>0.95025954689356162</c:v>
                </c:pt>
                <c:pt idx="23">
                  <c:v>0.99553632528135039</c:v>
                </c:pt>
                <c:pt idx="24">
                  <c:v>1.040813103669139</c:v>
                </c:pt>
                <c:pt idx="25">
                  <c:v>1.0860898820569278</c:v>
                </c:pt>
              </c:numCache>
            </c:numRef>
          </c:val>
          <c:smooth val="0"/>
          <c:extLst xmlns:c15="http://schemas.microsoft.com/office/drawing/2012/chart">
            <c:ext xmlns:c16="http://schemas.microsoft.com/office/drawing/2014/chart" uri="{C3380CC4-5D6E-409C-BE32-E72D297353CC}">
              <c16:uniqueId val="{00000002-0EF4-4B00-8C5E-EF8BBB1A5A11}"/>
            </c:ext>
          </c:extLst>
        </c:ser>
        <c:ser>
          <c:idx val="2"/>
          <c:order val="5"/>
          <c:tx>
            <c:v>5/25/50/75/95th percentile</c:v>
          </c:tx>
          <c:spPr>
            <a:ln w="25400">
              <a:solidFill>
                <a:schemeClr val="bg2"/>
              </a:solidFill>
              <a:prstDash val="sysDot"/>
            </a:ln>
          </c:spPr>
          <c:marker>
            <c:symbol val="none"/>
          </c:marker>
          <c:cat>
            <c:numRef>
              <c:f>'PBL OLD'!$HA$8:$HA$33</c:f>
              <c:numCache>
                <c:formatCode>d\-mmm\-yy_);\(###0\);"-  ";" "@" "</c:formatCode>
                <c:ptCount val="26"/>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numCache>
            </c:numRef>
          </c:cat>
          <c:val>
            <c:numRef>
              <c:f>'PBL OLD'!$HH$8:$HH$33</c:f>
              <c:numCache>
                <c:formatCode>0.000</c:formatCode>
                <c:ptCount val="26"/>
                <c:pt idx="9">
                  <c:v>0.3616614278523077</c:v>
                </c:pt>
                <c:pt idx="10">
                  <c:v>0.41569927076423147</c:v>
                </c:pt>
                <c:pt idx="11">
                  <c:v>0.46973711367615523</c:v>
                </c:pt>
                <c:pt idx="12">
                  <c:v>0.52377495658807893</c:v>
                </c:pt>
                <c:pt idx="13">
                  <c:v>0.57781279950000264</c:v>
                </c:pt>
                <c:pt idx="14">
                  <c:v>0.63185064241192634</c:v>
                </c:pt>
                <c:pt idx="15">
                  <c:v>0.68588848532385005</c:v>
                </c:pt>
                <c:pt idx="16">
                  <c:v>0.73992632823577376</c:v>
                </c:pt>
                <c:pt idx="17">
                  <c:v>0.79396417114769746</c:v>
                </c:pt>
                <c:pt idx="18">
                  <c:v>0.84800201405962117</c:v>
                </c:pt>
                <c:pt idx="19">
                  <c:v>0.90203985697154487</c:v>
                </c:pt>
                <c:pt idx="20">
                  <c:v>0.95607769988346858</c:v>
                </c:pt>
                <c:pt idx="21">
                  <c:v>1.0101155427953923</c:v>
                </c:pt>
                <c:pt idx="22">
                  <c:v>1.064153385707316</c:v>
                </c:pt>
                <c:pt idx="23">
                  <c:v>1.1181912286192397</c:v>
                </c:pt>
                <c:pt idx="24">
                  <c:v>1.1722290715311634</c:v>
                </c:pt>
                <c:pt idx="25">
                  <c:v>1.2262669144430871</c:v>
                </c:pt>
              </c:numCache>
            </c:numRef>
          </c:val>
          <c:smooth val="0"/>
          <c:extLst>
            <c:ext xmlns:c16="http://schemas.microsoft.com/office/drawing/2014/chart" uri="{C3380CC4-5D6E-409C-BE32-E72D297353CC}">
              <c16:uniqueId val="{00000003-0EF4-4B00-8C5E-EF8BBB1A5A11}"/>
            </c:ext>
          </c:extLst>
        </c:ser>
        <c:ser>
          <c:idx val="6"/>
          <c:order val="7"/>
          <c:tx>
            <c:strRef>
              <c:f>'PBL OLD'!$HJ$6:$HJ$7</c:f>
              <c:strCache>
                <c:ptCount val="2"/>
                <c:pt idx="0">
                  <c:v>75th Percentile</c:v>
                </c:pt>
              </c:strCache>
            </c:strRef>
          </c:tx>
          <c:spPr>
            <a:ln w="25400">
              <a:solidFill>
                <a:schemeClr val="bg2"/>
              </a:solidFill>
              <a:prstDash val="sysDot"/>
            </a:ln>
          </c:spPr>
          <c:marker>
            <c:symbol val="none"/>
          </c:marker>
          <c:cat>
            <c:numRef>
              <c:f>'PBL OLD'!$HA$8:$HA$33</c:f>
              <c:numCache>
                <c:formatCode>d\-mmm\-yy_);\(###0\);"-  ";" "@" "</c:formatCode>
                <c:ptCount val="26"/>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numCache>
            </c:numRef>
          </c:cat>
          <c:val>
            <c:numRef>
              <c:f>'PBL OLD'!$HJ$8:$HJ$33</c:f>
              <c:numCache>
                <c:formatCode>0.000</c:formatCode>
                <c:ptCount val="26"/>
                <c:pt idx="9">
                  <c:v>0.3616614278523077</c:v>
                </c:pt>
                <c:pt idx="10">
                  <c:v>0.43726896691388151</c:v>
                </c:pt>
                <c:pt idx="11">
                  <c:v>0.51287650597545531</c:v>
                </c:pt>
                <c:pt idx="12">
                  <c:v>0.58848404503702911</c:v>
                </c:pt>
                <c:pt idx="13">
                  <c:v>0.66409158409860292</c:v>
                </c:pt>
                <c:pt idx="14">
                  <c:v>0.73969912316017672</c:v>
                </c:pt>
                <c:pt idx="15">
                  <c:v>0.81530666222175052</c:v>
                </c:pt>
                <c:pt idx="16">
                  <c:v>0.89091420128332433</c:v>
                </c:pt>
                <c:pt idx="17">
                  <c:v>0.96652174034489813</c:v>
                </c:pt>
                <c:pt idx="18">
                  <c:v>1.0421292794064718</c:v>
                </c:pt>
                <c:pt idx="19">
                  <c:v>1.1177368184680456</c:v>
                </c:pt>
                <c:pt idx="20">
                  <c:v>1.1933443575296194</c:v>
                </c:pt>
                <c:pt idx="21">
                  <c:v>1.2689518965911932</c:v>
                </c:pt>
                <c:pt idx="22">
                  <c:v>1.344559435652767</c:v>
                </c:pt>
                <c:pt idx="23">
                  <c:v>1.4201669747143408</c:v>
                </c:pt>
                <c:pt idx="24">
                  <c:v>1.4957745137759146</c:v>
                </c:pt>
                <c:pt idx="25">
                  <c:v>1.5713820528374884</c:v>
                </c:pt>
              </c:numCache>
            </c:numRef>
          </c:val>
          <c:smooth val="0"/>
          <c:extLst xmlns:c15="http://schemas.microsoft.com/office/drawing/2012/chart">
            <c:ext xmlns:c16="http://schemas.microsoft.com/office/drawing/2014/chart" uri="{C3380CC4-5D6E-409C-BE32-E72D297353CC}">
              <c16:uniqueId val="{00000004-0EF4-4B00-8C5E-EF8BBB1A5A11}"/>
            </c:ext>
          </c:extLst>
        </c:ser>
        <c:ser>
          <c:idx val="9"/>
          <c:order val="9"/>
          <c:tx>
            <c:strRef>
              <c:f>'PBL OLD'!$HL$6:$HL$7</c:f>
              <c:strCache>
                <c:ptCount val="2"/>
                <c:pt idx="0">
                  <c:v>95th Percentile</c:v>
                </c:pt>
              </c:strCache>
            </c:strRef>
          </c:tx>
          <c:spPr>
            <a:ln w="25400">
              <a:solidFill>
                <a:schemeClr val="bg2"/>
              </a:solidFill>
              <a:prstDash val="sysDot"/>
            </a:ln>
          </c:spPr>
          <c:marker>
            <c:symbol val="none"/>
          </c:marker>
          <c:cat>
            <c:numRef>
              <c:f>'PBL OLD'!$HA$8:$HA$33</c:f>
              <c:numCache>
                <c:formatCode>d\-mmm\-yy_);\(###0\);"-  ";" "@" "</c:formatCode>
                <c:ptCount val="26"/>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numCache>
            </c:numRef>
          </c:cat>
          <c:val>
            <c:numRef>
              <c:f>'PBL OLD'!$HL$8:$HL$33</c:f>
              <c:numCache>
                <c:formatCode>0.000</c:formatCode>
                <c:ptCount val="26"/>
                <c:pt idx="9">
                  <c:v>0.3616614278523077</c:v>
                </c:pt>
                <c:pt idx="10">
                  <c:v>0.45811002586442023</c:v>
                </c:pt>
                <c:pt idx="11">
                  <c:v>0.55455862387653276</c:v>
                </c:pt>
                <c:pt idx="12">
                  <c:v>0.65100722188864535</c:v>
                </c:pt>
                <c:pt idx="13">
                  <c:v>0.74745581990075793</c:v>
                </c:pt>
                <c:pt idx="14">
                  <c:v>0.84390441791287052</c:v>
                </c:pt>
                <c:pt idx="15">
                  <c:v>0.9403530159249831</c:v>
                </c:pt>
                <c:pt idx="16">
                  <c:v>1.0368016139370957</c:v>
                </c:pt>
                <c:pt idx="17">
                  <c:v>1.1332502119492083</c:v>
                </c:pt>
                <c:pt idx="18">
                  <c:v>1.2296988099613209</c:v>
                </c:pt>
                <c:pt idx="19">
                  <c:v>1.3261474079734334</c:v>
                </c:pt>
                <c:pt idx="20">
                  <c:v>1.422596005985546</c:v>
                </c:pt>
                <c:pt idx="21">
                  <c:v>1.5190446039976586</c:v>
                </c:pt>
                <c:pt idx="22">
                  <c:v>1.6154932020097712</c:v>
                </c:pt>
                <c:pt idx="23">
                  <c:v>1.7119418000218838</c:v>
                </c:pt>
                <c:pt idx="24">
                  <c:v>1.8083903980339964</c:v>
                </c:pt>
                <c:pt idx="25">
                  <c:v>1.904838996046109</c:v>
                </c:pt>
              </c:numCache>
            </c:numRef>
          </c:val>
          <c:smooth val="0"/>
          <c:extLst xmlns:c15="http://schemas.microsoft.com/office/drawing/2012/chart">
            <c:ext xmlns:c16="http://schemas.microsoft.com/office/drawing/2014/chart" uri="{C3380CC4-5D6E-409C-BE32-E72D297353CC}">
              <c16:uniqueId val="{00000005-0EF4-4B00-8C5E-EF8BBB1A5A11}"/>
            </c:ext>
          </c:extLst>
        </c:ser>
        <c:dLbls>
          <c:showLegendKey val="0"/>
          <c:showVal val="0"/>
          <c:showCatName val="0"/>
          <c:showSerName val="0"/>
          <c:showPercent val="0"/>
          <c:showBubbleSize val="0"/>
        </c:dLbls>
        <c:marker val="1"/>
        <c:smooth val="0"/>
        <c:axId val="1388952432"/>
        <c:axId val="1388953088"/>
        <c:extLst>
          <c:ext xmlns:c15="http://schemas.microsoft.com/office/drawing/2012/chart" uri="{02D57815-91ED-43cb-92C2-25804820EDAC}">
            <c15:filteredLineSeries>
              <c15:ser>
                <c:idx val="3"/>
                <c:order val="1"/>
                <c:tx>
                  <c:strRef>
                    <c:extLst>
                      <c:ext uri="{02D57815-91ED-43cb-92C2-25804820EDAC}">
                        <c15:formulaRef>
                          <c15:sqref>'PBL OLD'!$CV$6:$CV$7</c15:sqref>
                        </c15:formulaRef>
                      </c:ext>
                    </c:extLst>
                    <c:strCache>
                      <c:ptCount val="2"/>
                      <c:pt idx="0">
                        <c:v>Min</c:v>
                      </c:pt>
                    </c:strCache>
                  </c:strRef>
                </c:tx>
                <c:cat>
                  <c:numRef>
                    <c:extLst>
                      <c:ext uri="{02D57815-91ED-43cb-92C2-25804820EDAC}">
                        <c15:formulaRef>
                          <c15:sqref>'PBL OLD'!$HA$8:$HA$33</c15:sqref>
                        </c15:formulaRef>
                      </c:ext>
                    </c:extLst>
                    <c:numCache>
                      <c:formatCode>d\-mmm\-yy_);\(###0\);"-  ";" "@" "</c:formatCode>
                      <c:ptCount val="26"/>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numCache>
                  </c:numRef>
                </c:cat>
                <c:val>
                  <c:numRef>
                    <c:extLst>
                      <c:ext uri="{02D57815-91ED-43cb-92C2-25804820EDAC}">
                        <c15:formulaRef>
                          <c15:sqref>'PBL OLD'!$CV$8:$CV$60</c15:sqref>
                        </c15:formulaRef>
                      </c:ext>
                    </c:extLst>
                    <c:numCache>
                      <c:formatCode>0.000</c:formatCode>
                      <c:ptCount val="53"/>
                      <c:pt idx="0">
                        <c:v>3.7943638869952147E-2</c:v>
                      </c:pt>
                      <c:pt idx="1">
                        <c:v>7.5887277739904294E-2</c:v>
                      </c:pt>
                      <c:pt idx="2">
                        <c:v>0.11383091660985645</c:v>
                      </c:pt>
                      <c:pt idx="3">
                        <c:v>0.15177455547980859</c:v>
                      </c:pt>
                      <c:pt idx="4">
                        <c:v>0.18971819434976073</c:v>
                      </c:pt>
                      <c:pt idx="5">
                        <c:v>0.22766183321971287</c:v>
                      </c:pt>
                      <c:pt idx="6">
                        <c:v>0.26560547208966501</c:v>
                      </c:pt>
                      <c:pt idx="7">
                        <c:v>0.30354911095961717</c:v>
                      </c:pt>
                      <c:pt idx="8">
                        <c:v>0.34149274982956934</c:v>
                      </c:pt>
                      <c:pt idx="9">
                        <c:v>0.37943638869952151</c:v>
                      </c:pt>
                      <c:pt idx="10">
                        <c:v>0.41738002756947368</c:v>
                      </c:pt>
                      <c:pt idx="11">
                        <c:v>0.45532366643942584</c:v>
                      </c:pt>
                      <c:pt idx="12">
                        <c:v>0.49326730530937801</c:v>
                      </c:pt>
                      <c:pt idx="13">
                        <c:v>0.53121094417933012</c:v>
                      </c:pt>
                      <c:pt idx="14">
                        <c:v>0.56915458304928224</c:v>
                      </c:pt>
                      <c:pt idx="15">
                        <c:v>0.60709822191923435</c:v>
                      </c:pt>
                      <c:pt idx="16">
                        <c:v>0.64504186078918646</c:v>
                      </c:pt>
                      <c:pt idx="17">
                        <c:v>0.68298549965913857</c:v>
                      </c:pt>
                      <c:pt idx="18">
                        <c:v>0.72092913852909069</c:v>
                      </c:pt>
                      <c:pt idx="19">
                        <c:v>0.7588727773990428</c:v>
                      </c:pt>
                      <c:pt idx="20">
                        <c:v>0.79681641626899491</c:v>
                      </c:pt>
                      <c:pt idx="21">
                        <c:v>0.83476005513894702</c:v>
                      </c:pt>
                      <c:pt idx="22">
                        <c:v>0.87270369400889913</c:v>
                      </c:pt>
                      <c:pt idx="23">
                        <c:v>0.91064733287885125</c:v>
                      </c:pt>
                      <c:pt idx="24">
                        <c:v>0.94859097174880336</c:v>
                      </c:pt>
                      <c:pt idx="25">
                        <c:v>0.98653461061875547</c:v>
                      </c:pt>
                      <c:pt idx="26">
                        <c:v>1.0244782494887077</c:v>
                      </c:pt>
                      <c:pt idx="27">
                        <c:v>1.0624218883586598</c:v>
                      </c:pt>
                      <c:pt idx="28">
                        <c:v>1.1003655272286119</c:v>
                      </c:pt>
                      <c:pt idx="29">
                        <c:v>1.138309166098564</c:v>
                      </c:pt>
                      <c:pt idx="30">
                        <c:v>1.1762528049685161</c:v>
                      </c:pt>
                      <c:pt idx="31">
                        <c:v>1.2141964438384683</c:v>
                      </c:pt>
                      <c:pt idx="32">
                        <c:v>1.2521400827084204</c:v>
                      </c:pt>
                      <c:pt idx="33">
                        <c:v>1.2900837215783725</c:v>
                      </c:pt>
                      <c:pt idx="34">
                        <c:v>1.3280273604483246</c:v>
                      </c:pt>
                      <c:pt idx="35">
                        <c:v>1.3659709993182767</c:v>
                      </c:pt>
                      <c:pt idx="36">
                        <c:v>1.4039146381882288</c:v>
                      </c:pt>
                      <c:pt idx="37">
                        <c:v>1.4418582770581809</c:v>
                      </c:pt>
                      <c:pt idx="38">
                        <c:v>1.479801915928133</c:v>
                      </c:pt>
                      <c:pt idx="39">
                        <c:v>1.5177455547980852</c:v>
                      </c:pt>
                      <c:pt idx="40">
                        <c:v>1.5556891936680373</c:v>
                      </c:pt>
                      <c:pt idx="41">
                        <c:v>1.5936328325379894</c:v>
                      </c:pt>
                      <c:pt idx="42">
                        <c:v>1.6315764714079415</c:v>
                      </c:pt>
                      <c:pt idx="43">
                        <c:v>1.6695201102778936</c:v>
                      </c:pt>
                      <c:pt idx="44">
                        <c:v>1.7074637491478457</c:v>
                      </c:pt>
                      <c:pt idx="45">
                        <c:v>1.7454073880177978</c:v>
                      </c:pt>
                      <c:pt idx="46">
                        <c:v>1.7833510268877499</c:v>
                      </c:pt>
                      <c:pt idx="47">
                        <c:v>1.821294665757702</c:v>
                      </c:pt>
                      <c:pt idx="48">
                        <c:v>1.8592383046276542</c:v>
                      </c:pt>
                      <c:pt idx="49">
                        <c:v>1.8971819434976063</c:v>
                      </c:pt>
                      <c:pt idx="50">
                        <c:v>1.9351255823675584</c:v>
                      </c:pt>
                      <c:pt idx="51">
                        <c:v>1.9730692212375105</c:v>
                      </c:pt>
                    </c:numCache>
                  </c:numRef>
                </c:val>
                <c:smooth val="0"/>
                <c:extLst>
                  <c:ext xmlns:c16="http://schemas.microsoft.com/office/drawing/2014/chart" uri="{C3380CC4-5D6E-409C-BE32-E72D297353CC}">
                    <c16:uniqueId val="{00000006-0EF4-4B00-8C5E-EF8BBB1A5A11}"/>
                  </c:ext>
                </c:extLst>
              </c15:ser>
            </c15:filteredLineSeries>
            <c15:filteredLineSeries>
              <c15:ser>
                <c:idx val="5"/>
                <c:order val="2"/>
                <c:tx>
                  <c:strRef>
                    <c:extLst xmlns:c15="http://schemas.microsoft.com/office/drawing/2012/chart">
                      <c:ext xmlns:c15="http://schemas.microsoft.com/office/drawing/2012/chart" uri="{02D57815-91ED-43cb-92C2-25804820EDAC}">
                        <c15:formulaRef>
                          <c15:sqref>'PBL OLD'!$CW$6:$CW$7</c15:sqref>
                        </c15:formulaRef>
                      </c:ext>
                    </c:extLst>
                    <c:strCache>
                      <c:ptCount val="2"/>
                      <c:pt idx="0">
                        <c:v>1st Percentile</c:v>
                      </c:pt>
                    </c:strCache>
                  </c:strRef>
                </c:tx>
                <c:spPr>
                  <a:ln w="28575" cap="rnd">
                    <a:solidFill>
                      <a:schemeClr val="accent6"/>
                    </a:solidFill>
                    <a:prstDash val="sysDot"/>
                    <a:round/>
                  </a:ln>
                  <a:effectLst/>
                </c:spPr>
                <c:cat>
                  <c:numRef>
                    <c:extLst xmlns:c15="http://schemas.microsoft.com/office/drawing/2012/chart">
                      <c:ext xmlns:c15="http://schemas.microsoft.com/office/drawing/2012/chart" uri="{02D57815-91ED-43cb-92C2-25804820EDAC}">
                        <c15:formulaRef>
                          <c15:sqref>'PBL OLD'!$HA$8:$HA$33</c15:sqref>
                        </c15:formulaRef>
                      </c:ext>
                    </c:extLst>
                    <c:numCache>
                      <c:formatCode>d\-mmm\-yy_);\(###0\);"-  ";" "@" "</c:formatCode>
                      <c:ptCount val="26"/>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numCache>
                  </c:numRef>
                </c:cat>
                <c:val>
                  <c:numRef>
                    <c:extLst xmlns:c15="http://schemas.microsoft.com/office/drawing/2012/chart">
                      <c:ext xmlns:c15="http://schemas.microsoft.com/office/drawing/2012/chart" uri="{02D57815-91ED-43cb-92C2-25804820EDAC}">
                        <c15:formulaRef>
                          <c15:sqref>'PBL OLD'!$CW$8:$CW$60</c15:sqref>
                        </c15:formulaRef>
                      </c:ext>
                    </c:extLst>
                    <c:numCache>
                      <c:formatCode>0.000</c:formatCode>
                      <c:ptCount val="53"/>
                      <c:pt idx="0">
                        <c:v>4.5436313528305135E-2</c:v>
                      </c:pt>
                      <c:pt idx="1">
                        <c:v>9.087262705661027E-2</c:v>
                      </c:pt>
                      <c:pt idx="2">
                        <c:v>0.13630894058491541</c:v>
                      </c:pt>
                      <c:pt idx="3">
                        <c:v>0.18174525411322054</c:v>
                      </c:pt>
                      <c:pt idx="4">
                        <c:v>0.22718156764152567</c:v>
                      </c:pt>
                      <c:pt idx="5">
                        <c:v>0.27261788116983082</c:v>
                      </c:pt>
                      <c:pt idx="6">
                        <c:v>0.31805419469813595</c:v>
                      </c:pt>
                      <c:pt idx="7">
                        <c:v>0.36349050822644108</c:v>
                      </c:pt>
                      <c:pt idx="8">
                        <c:v>0.40892682175474621</c:v>
                      </c:pt>
                      <c:pt idx="9">
                        <c:v>0.45436313528305133</c:v>
                      </c:pt>
                      <c:pt idx="10">
                        <c:v>0.49979944881135646</c:v>
                      </c:pt>
                      <c:pt idx="11">
                        <c:v>0.54523576233966164</c:v>
                      </c:pt>
                      <c:pt idx="12">
                        <c:v>0.59067207586796677</c:v>
                      </c:pt>
                      <c:pt idx="13">
                        <c:v>0.6361083893962719</c:v>
                      </c:pt>
                      <c:pt idx="14">
                        <c:v>0.68154470292457703</c:v>
                      </c:pt>
                      <c:pt idx="15">
                        <c:v>0.72698101645288216</c:v>
                      </c:pt>
                      <c:pt idx="16">
                        <c:v>0.77241732998118728</c:v>
                      </c:pt>
                      <c:pt idx="17">
                        <c:v>0.81785364350949241</c:v>
                      </c:pt>
                      <c:pt idx="18">
                        <c:v>0.86328995703779754</c:v>
                      </c:pt>
                      <c:pt idx="19">
                        <c:v>0.90872627056610267</c:v>
                      </c:pt>
                      <c:pt idx="20">
                        <c:v>0.9541625840944078</c:v>
                      </c:pt>
                      <c:pt idx="21">
                        <c:v>0.99959889762271292</c:v>
                      </c:pt>
                      <c:pt idx="22">
                        <c:v>1.0450352111510182</c:v>
                      </c:pt>
                      <c:pt idx="23">
                        <c:v>1.0904715246793233</c:v>
                      </c:pt>
                      <c:pt idx="24">
                        <c:v>1.1359078382076284</c:v>
                      </c:pt>
                      <c:pt idx="25">
                        <c:v>1.1813441517359335</c:v>
                      </c:pt>
                      <c:pt idx="26">
                        <c:v>1.2267804652642387</c:v>
                      </c:pt>
                      <c:pt idx="27">
                        <c:v>1.2722167787925438</c:v>
                      </c:pt>
                      <c:pt idx="28">
                        <c:v>1.3176530923208489</c:v>
                      </c:pt>
                      <c:pt idx="29">
                        <c:v>1.3630894058491541</c:v>
                      </c:pt>
                      <c:pt idx="30">
                        <c:v>1.4085257193774592</c:v>
                      </c:pt>
                      <c:pt idx="31">
                        <c:v>1.4539620329057643</c:v>
                      </c:pt>
                      <c:pt idx="32">
                        <c:v>1.4993983464340694</c:v>
                      </c:pt>
                      <c:pt idx="33">
                        <c:v>1.5448346599623746</c:v>
                      </c:pt>
                      <c:pt idx="34">
                        <c:v>1.5902709734906797</c:v>
                      </c:pt>
                      <c:pt idx="35">
                        <c:v>1.6357072870189848</c:v>
                      </c:pt>
                      <c:pt idx="36">
                        <c:v>1.68114360054729</c:v>
                      </c:pt>
                      <c:pt idx="37">
                        <c:v>1.7265799140755951</c:v>
                      </c:pt>
                      <c:pt idx="38">
                        <c:v>1.7720162276039002</c:v>
                      </c:pt>
                      <c:pt idx="39">
                        <c:v>1.8174525411322053</c:v>
                      </c:pt>
                      <c:pt idx="40">
                        <c:v>1.8628888546605105</c:v>
                      </c:pt>
                      <c:pt idx="41">
                        <c:v>1.9083251681888156</c:v>
                      </c:pt>
                      <c:pt idx="42">
                        <c:v>1.9537614817171207</c:v>
                      </c:pt>
                      <c:pt idx="43">
                        <c:v>1.9991977952454258</c:v>
                      </c:pt>
                      <c:pt idx="44">
                        <c:v>2.0446341087737312</c:v>
                      </c:pt>
                      <c:pt idx="45">
                        <c:v>2.0900704223020363</c:v>
                      </c:pt>
                      <c:pt idx="46">
                        <c:v>2.1355067358303415</c:v>
                      </c:pt>
                      <c:pt idx="47">
                        <c:v>2.1809430493586466</c:v>
                      </c:pt>
                      <c:pt idx="48">
                        <c:v>2.2263793628869517</c:v>
                      </c:pt>
                      <c:pt idx="49">
                        <c:v>2.2718156764152568</c:v>
                      </c:pt>
                      <c:pt idx="50">
                        <c:v>2.317251989943562</c:v>
                      </c:pt>
                      <c:pt idx="51">
                        <c:v>2.3626883034718671</c:v>
                      </c:pt>
                    </c:numCache>
                  </c:numRef>
                </c:val>
                <c:smooth val="0"/>
                <c:extLst xmlns:c15="http://schemas.microsoft.com/office/drawing/2012/chart">
                  <c:ext xmlns:c16="http://schemas.microsoft.com/office/drawing/2014/chart" uri="{C3380CC4-5D6E-409C-BE32-E72D297353CC}">
                    <c16:uniqueId val="{00000007-0EF4-4B00-8C5E-EF8BBB1A5A11}"/>
                  </c:ext>
                </c:extLst>
              </c15:ser>
            </c15:filteredLineSeries>
            <c15:filteredLineSeries>
              <c15:ser>
                <c:idx val="1"/>
                <c:order val="4"/>
                <c:tx>
                  <c:strRef>
                    <c:extLst xmlns:c15="http://schemas.microsoft.com/office/drawing/2012/chart">
                      <c:ext xmlns:c15="http://schemas.microsoft.com/office/drawing/2012/chart" uri="{02D57815-91ED-43cb-92C2-25804820EDAC}">
                        <c15:formulaRef>
                          <c15:sqref>'PBL OLD'!$CY$6:$CY$7</c15:sqref>
                        </c15:formulaRef>
                      </c:ext>
                    </c:extLst>
                    <c:strCache>
                      <c:ptCount val="2"/>
                      <c:pt idx="0">
                        <c:v>10th Percentile</c:v>
                      </c:pt>
                    </c:strCache>
                  </c:strRef>
                </c:tx>
                <c:spPr>
                  <a:ln w="28575" cap="rnd" cmpd="sng">
                    <a:solidFill>
                      <a:schemeClr val="accent2"/>
                    </a:solidFill>
                    <a:prstDash val="sysDot"/>
                    <a:round/>
                    <a:headEnd type="none"/>
                  </a:ln>
                  <a:effectLst/>
                </c:spPr>
                <c:cat>
                  <c:numRef>
                    <c:extLst xmlns:c15="http://schemas.microsoft.com/office/drawing/2012/chart">
                      <c:ext xmlns:c15="http://schemas.microsoft.com/office/drawing/2012/chart" uri="{02D57815-91ED-43cb-92C2-25804820EDAC}">
                        <c15:formulaRef>
                          <c15:sqref>'PBL OLD'!$HA$8:$HA$33</c15:sqref>
                        </c15:formulaRef>
                      </c:ext>
                    </c:extLst>
                    <c:numCache>
                      <c:formatCode>d\-mmm\-yy_);\(###0\);"-  ";" "@" "</c:formatCode>
                      <c:ptCount val="26"/>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numCache>
                  </c:numRef>
                </c:cat>
                <c:val>
                  <c:numRef>
                    <c:extLst xmlns:c15="http://schemas.microsoft.com/office/drawing/2012/chart">
                      <c:ext xmlns:c15="http://schemas.microsoft.com/office/drawing/2012/chart" uri="{02D57815-91ED-43cb-92C2-25804820EDAC}">
                        <c15:formulaRef>
                          <c15:sqref>'PBL OLD'!$CY$8:$CY$60</c15:sqref>
                        </c15:formulaRef>
                      </c:ext>
                    </c:extLst>
                    <c:numCache>
                      <c:formatCode>0.000</c:formatCode>
                      <c:ptCount val="53"/>
                      <c:pt idx="0">
                        <c:v>5.0502007292025322E-2</c:v>
                      </c:pt>
                      <c:pt idx="1">
                        <c:v>0.10100401458405064</c:v>
                      </c:pt>
                      <c:pt idx="2">
                        <c:v>0.15150602187607598</c:v>
                      </c:pt>
                      <c:pt idx="3">
                        <c:v>0.20200802916810129</c:v>
                      </c:pt>
                      <c:pt idx="4">
                        <c:v>0.2525100364601266</c:v>
                      </c:pt>
                      <c:pt idx="5">
                        <c:v>0.30301204375215191</c:v>
                      </c:pt>
                      <c:pt idx="6">
                        <c:v>0.35351405104417721</c:v>
                      </c:pt>
                      <c:pt idx="7">
                        <c:v>0.40401605833620252</c:v>
                      </c:pt>
                      <c:pt idx="8">
                        <c:v>0.45451806562822783</c:v>
                      </c:pt>
                      <c:pt idx="9">
                        <c:v>0.50502007292025319</c:v>
                      </c:pt>
                      <c:pt idx="10">
                        <c:v>0.55552208021227856</c:v>
                      </c:pt>
                      <c:pt idx="11">
                        <c:v>0.60602408750430392</c:v>
                      </c:pt>
                      <c:pt idx="12">
                        <c:v>0.65652609479632928</c:v>
                      </c:pt>
                      <c:pt idx="13">
                        <c:v>0.70702810208835465</c:v>
                      </c:pt>
                      <c:pt idx="14">
                        <c:v>0.75753010938038001</c:v>
                      </c:pt>
                      <c:pt idx="15">
                        <c:v>0.80803211667240538</c:v>
                      </c:pt>
                      <c:pt idx="16">
                        <c:v>0.85853412396443074</c:v>
                      </c:pt>
                      <c:pt idx="17">
                        <c:v>0.9090361312564561</c:v>
                      </c:pt>
                      <c:pt idx="18">
                        <c:v>0.95953813854848147</c:v>
                      </c:pt>
                      <c:pt idx="19">
                        <c:v>1.0100401458405068</c:v>
                      </c:pt>
                      <c:pt idx="20">
                        <c:v>1.0605421531325321</c:v>
                      </c:pt>
                      <c:pt idx="21">
                        <c:v>1.1110441604245573</c:v>
                      </c:pt>
                      <c:pt idx="22">
                        <c:v>1.1615461677165826</c:v>
                      </c:pt>
                      <c:pt idx="23">
                        <c:v>1.2120481750086078</c:v>
                      </c:pt>
                      <c:pt idx="24">
                        <c:v>1.2625501823006331</c:v>
                      </c:pt>
                      <c:pt idx="25">
                        <c:v>1.3130521895926583</c:v>
                      </c:pt>
                      <c:pt idx="26">
                        <c:v>1.3635541968846836</c:v>
                      </c:pt>
                      <c:pt idx="27">
                        <c:v>1.4140562041767089</c:v>
                      </c:pt>
                      <c:pt idx="28">
                        <c:v>1.4645582114687341</c:v>
                      </c:pt>
                      <c:pt idx="29">
                        <c:v>1.5150602187607594</c:v>
                      </c:pt>
                      <c:pt idx="30">
                        <c:v>1.5655622260527846</c:v>
                      </c:pt>
                      <c:pt idx="31">
                        <c:v>1.6160642333448099</c:v>
                      </c:pt>
                      <c:pt idx="32">
                        <c:v>1.6665662406368351</c:v>
                      </c:pt>
                      <c:pt idx="33">
                        <c:v>1.7170682479288604</c:v>
                      </c:pt>
                      <c:pt idx="34">
                        <c:v>1.7675702552208856</c:v>
                      </c:pt>
                      <c:pt idx="35">
                        <c:v>1.8180722625129109</c:v>
                      </c:pt>
                      <c:pt idx="36">
                        <c:v>1.8685742698049361</c:v>
                      </c:pt>
                      <c:pt idx="37">
                        <c:v>1.9190762770969614</c:v>
                      </c:pt>
                      <c:pt idx="38">
                        <c:v>1.9695782843889866</c:v>
                      </c:pt>
                      <c:pt idx="39">
                        <c:v>2.0200802916810119</c:v>
                      </c:pt>
                      <c:pt idx="40">
                        <c:v>2.0705822989730374</c:v>
                      </c:pt>
                      <c:pt idx="41">
                        <c:v>2.1210843062650628</c:v>
                      </c:pt>
                      <c:pt idx="42">
                        <c:v>2.1715863135570883</c:v>
                      </c:pt>
                      <c:pt idx="43">
                        <c:v>2.2220883208491138</c:v>
                      </c:pt>
                      <c:pt idx="44">
                        <c:v>2.2725903281411393</c:v>
                      </c:pt>
                      <c:pt idx="45">
                        <c:v>2.3230923354331647</c:v>
                      </c:pt>
                      <c:pt idx="46">
                        <c:v>2.3735943427251902</c:v>
                      </c:pt>
                      <c:pt idx="47">
                        <c:v>2.4240963500172157</c:v>
                      </c:pt>
                      <c:pt idx="48">
                        <c:v>2.4745983573092412</c:v>
                      </c:pt>
                      <c:pt idx="49">
                        <c:v>2.5251003646012666</c:v>
                      </c:pt>
                      <c:pt idx="50">
                        <c:v>2.5756023718932921</c:v>
                      </c:pt>
                      <c:pt idx="51">
                        <c:v>2.6261043791853176</c:v>
                      </c:pt>
                    </c:numCache>
                  </c:numRef>
                </c:val>
                <c:smooth val="0"/>
                <c:extLst xmlns:c15="http://schemas.microsoft.com/office/drawing/2012/chart">
                  <c:ext xmlns:c16="http://schemas.microsoft.com/office/drawing/2014/chart" uri="{C3380CC4-5D6E-409C-BE32-E72D297353CC}">
                    <c16:uniqueId val="{00000008-0EF4-4B00-8C5E-EF8BBB1A5A11}"/>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'PBL OLD'!$DC$6:$DC$7</c15:sqref>
                        </c15:formulaRef>
                      </c:ext>
                    </c:extLst>
                    <c:strCache>
                      <c:ptCount val="2"/>
                      <c:pt idx="0">
                        <c:v>90th Percentile</c:v>
                      </c:pt>
                    </c:strCache>
                  </c:strRef>
                </c:tx>
                <c:spPr>
                  <a:ln w="28575">
                    <a:solidFill>
                      <a:schemeClr val="accent1"/>
                    </a:solidFill>
                    <a:prstDash val="sysDot"/>
                  </a:ln>
                </c:spPr>
                <c:cat>
                  <c:numRef>
                    <c:extLst xmlns:c15="http://schemas.microsoft.com/office/drawing/2012/chart">
                      <c:ext xmlns:c15="http://schemas.microsoft.com/office/drawing/2012/chart" uri="{02D57815-91ED-43cb-92C2-25804820EDAC}">
                        <c15:formulaRef>
                          <c15:sqref>'PBL OLD'!$HA$8:$HA$33</c15:sqref>
                        </c15:formulaRef>
                      </c:ext>
                    </c:extLst>
                    <c:numCache>
                      <c:formatCode>d\-mmm\-yy_);\(###0\);"-  ";" "@" "</c:formatCode>
                      <c:ptCount val="26"/>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numCache>
                  </c:numRef>
                </c:cat>
                <c:val>
                  <c:numRef>
                    <c:extLst xmlns:c15="http://schemas.microsoft.com/office/drawing/2012/chart">
                      <c:ext xmlns:c15="http://schemas.microsoft.com/office/drawing/2012/chart" uri="{02D57815-91ED-43cb-92C2-25804820EDAC}">
                        <c15:formulaRef>
                          <c15:sqref>'PBL OLD'!$DC$8:$DC$60</c15:sqref>
                        </c15:formulaRef>
                      </c:ext>
                    </c:extLst>
                    <c:numCache>
                      <c:formatCode>0.000</c:formatCode>
                      <c:ptCount val="53"/>
                      <c:pt idx="0">
                        <c:v>7.261484324723147E-2</c:v>
                      </c:pt>
                      <c:pt idx="1">
                        <c:v>0.14522968649446294</c:v>
                      </c:pt>
                      <c:pt idx="2">
                        <c:v>0.21784452974169441</c:v>
                      </c:pt>
                      <c:pt idx="3">
                        <c:v>0.29045937298892588</c:v>
                      </c:pt>
                      <c:pt idx="4">
                        <c:v>0.36307421623615732</c:v>
                      </c:pt>
                      <c:pt idx="5">
                        <c:v>0.43568905948338876</c:v>
                      </c:pt>
                      <c:pt idx="6">
                        <c:v>0.50830390273062021</c:v>
                      </c:pt>
                      <c:pt idx="7">
                        <c:v>0.58091874597785165</c:v>
                      </c:pt>
                      <c:pt idx="8">
                        <c:v>0.65353358922508309</c:v>
                      </c:pt>
                      <c:pt idx="9">
                        <c:v>0.72614843247231453</c:v>
                      </c:pt>
                      <c:pt idx="10">
                        <c:v>0.79876327571954597</c:v>
                      </c:pt>
                      <c:pt idx="11">
                        <c:v>0.87137811896677742</c:v>
                      </c:pt>
                      <c:pt idx="12">
                        <c:v>0.94399296221400886</c:v>
                      </c:pt>
                      <c:pt idx="13">
                        <c:v>1.0166078054612404</c:v>
                      </c:pt>
                      <c:pt idx="14">
                        <c:v>1.089222648708472</c:v>
                      </c:pt>
                      <c:pt idx="15">
                        <c:v>1.1618374919557035</c:v>
                      </c:pt>
                      <c:pt idx="16">
                        <c:v>1.2344523352029351</c:v>
                      </c:pt>
                      <c:pt idx="17">
                        <c:v>1.3070671784501666</c:v>
                      </c:pt>
                      <c:pt idx="18">
                        <c:v>1.3796820216973982</c:v>
                      </c:pt>
                      <c:pt idx="19">
                        <c:v>1.4522968649446297</c:v>
                      </c:pt>
                      <c:pt idx="20">
                        <c:v>1.5249117081918613</c:v>
                      </c:pt>
                      <c:pt idx="21">
                        <c:v>1.5975265514390928</c:v>
                      </c:pt>
                      <c:pt idx="22">
                        <c:v>1.6701413946863244</c:v>
                      </c:pt>
                      <c:pt idx="23">
                        <c:v>1.7427562379335559</c:v>
                      </c:pt>
                      <c:pt idx="24">
                        <c:v>1.8153710811807875</c:v>
                      </c:pt>
                      <c:pt idx="25">
                        <c:v>1.887985924428019</c:v>
                      </c:pt>
                      <c:pt idx="26">
                        <c:v>1.9606007676752506</c:v>
                      </c:pt>
                      <c:pt idx="27">
                        <c:v>2.0332156109224822</c:v>
                      </c:pt>
                      <c:pt idx="28">
                        <c:v>2.1058304541697135</c:v>
                      </c:pt>
                      <c:pt idx="29">
                        <c:v>2.1784452974169448</c:v>
                      </c:pt>
                      <c:pt idx="30">
                        <c:v>2.2510601406641761</c:v>
                      </c:pt>
                      <c:pt idx="31">
                        <c:v>2.3236749839114075</c:v>
                      </c:pt>
                      <c:pt idx="32">
                        <c:v>2.3962898271586388</c:v>
                      </c:pt>
                      <c:pt idx="33">
                        <c:v>2.4689046704058701</c:v>
                      </c:pt>
                      <c:pt idx="34">
                        <c:v>2.5415195136531015</c:v>
                      </c:pt>
                      <c:pt idx="35">
                        <c:v>2.6141343569003328</c:v>
                      </c:pt>
                      <c:pt idx="36">
                        <c:v>2.6867492001475641</c:v>
                      </c:pt>
                      <c:pt idx="37">
                        <c:v>2.7593640433947955</c:v>
                      </c:pt>
                      <c:pt idx="38">
                        <c:v>2.8319788866420268</c:v>
                      </c:pt>
                      <c:pt idx="39">
                        <c:v>2.9045937298892581</c:v>
                      </c:pt>
                      <c:pt idx="40">
                        <c:v>2.9772085731364895</c:v>
                      </c:pt>
                      <c:pt idx="41">
                        <c:v>3.0498234163837208</c:v>
                      </c:pt>
                      <c:pt idx="42">
                        <c:v>3.1224382596309521</c:v>
                      </c:pt>
                      <c:pt idx="43">
                        <c:v>3.1950531028781834</c:v>
                      </c:pt>
                      <c:pt idx="44">
                        <c:v>3.2676679461254148</c:v>
                      </c:pt>
                      <c:pt idx="45">
                        <c:v>3.3402827893726461</c:v>
                      </c:pt>
                      <c:pt idx="46">
                        <c:v>3.4128976326198774</c:v>
                      </c:pt>
                      <c:pt idx="47">
                        <c:v>3.4855124758671088</c:v>
                      </c:pt>
                      <c:pt idx="48">
                        <c:v>3.5581273191143401</c:v>
                      </c:pt>
                      <c:pt idx="49">
                        <c:v>3.6307421623615714</c:v>
                      </c:pt>
                      <c:pt idx="50">
                        <c:v>3.7033570056088028</c:v>
                      </c:pt>
                      <c:pt idx="51">
                        <c:v>3.7759718488560341</c:v>
                      </c:pt>
                    </c:numCache>
                  </c:numRef>
                </c:val>
                <c:smooth val="0"/>
                <c:extLst xmlns:c15="http://schemas.microsoft.com/office/drawing/2012/chart">
                  <c:ext xmlns:c16="http://schemas.microsoft.com/office/drawing/2014/chart" uri="{C3380CC4-5D6E-409C-BE32-E72D297353CC}">
                    <c16:uniqueId val="{00000009-0EF4-4B00-8C5E-EF8BBB1A5A11}"/>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'PBL OLD'!$DE$6:$DE$7</c15:sqref>
                        </c15:formulaRef>
                      </c:ext>
                    </c:extLst>
                    <c:strCache>
                      <c:ptCount val="2"/>
                      <c:pt idx="0">
                        <c:v>99th Percentile</c:v>
                      </c:pt>
                    </c:strCache>
                  </c:strRef>
                </c:tx>
                <c:spPr>
                  <a:ln w="28575">
                    <a:solidFill>
                      <a:schemeClr val="accent1"/>
                    </a:solidFill>
                    <a:prstDash val="sysDot"/>
                  </a:ln>
                </c:spPr>
                <c:cat>
                  <c:numRef>
                    <c:extLst xmlns:c15="http://schemas.microsoft.com/office/drawing/2012/chart">
                      <c:ext xmlns:c15="http://schemas.microsoft.com/office/drawing/2012/chart" uri="{02D57815-91ED-43cb-92C2-25804820EDAC}">
                        <c15:formulaRef>
                          <c15:sqref>'PBL OLD'!$HA$8:$HA$33</c15:sqref>
                        </c15:formulaRef>
                      </c:ext>
                    </c:extLst>
                    <c:numCache>
                      <c:formatCode>d\-mmm\-yy_);\(###0\);"-  ";" "@" "</c:formatCode>
                      <c:ptCount val="26"/>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numCache>
                  </c:numRef>
                </c:cat>
                <c:val>
                  <c:numRef>
                    <c:extLst xmlns:c15="http://schemas.microsoft.com/office/drawing/2012/chart">
                      <c:ext xmlns:c15="http://schemas.microsoft.com/office/drawing/2012/chart" uri="{02D57815-91ED-43cb-92C2-25804820EDAC}">
                        <c15:formulaRef>
                          <c15:sqref>'PBL OLD'!$DE$8:$DE$60</c15:sqref>
                        </c15:formulaRef>
                      </c:ext>
                    </c:extLst>
                    <c:numCache>
                      <c:formatCode>0.000</c:formatCode>
                      <c:ptCount val="53"/>
                      <c:pt idx="0">
                        <c:v>8.472863847550996E-2</c:v>
                      </c:pt>
                      <c:pt idx="1">
                        <c:v>0.16945727695101992</c:v>
                      </c:pt>
                      <c:pt idx="2">
                        <c:v>0.25418591542652991</c:v>
                      </c:pt>
                      <c:pt idx="3">
                        <c:v>0.33891455390203984</c:v>
                      </c:pt>
                      <c:pt idx="4">
                        <c:v>0.42364319237754977</c:v>
                      </c:pt>
                      <c:pt idx="5">
                        <c:v>0.5083718308530597</c:v>
                      </c:pt>
                      <c:pt idx="6">
                        <c:v>0.59310046932856963</c:v>
                      </c:pt>
                      <c:pt idx="7">
                        <c:v>0.67782910780407957</c:v>
                      </c:pt>
                      <c:pt idx="8">
                        <c:v>0.7625577462795895</c:v>
                      </c:pt>
                      <c:pt idx="9">
                        <c:v>0.84728638475509943</c:v>
                      </c:pt>
                      <c:pt idx="10">
                        <c:v>0.93201502323060936</c:v>
                      </c:pt>
                      <c:pt idx="11">
                        <c:v>1.0167436617061194</c:v>
                      </c:pt>
                      <c:pt idx="12">
                        <c:v>1.1014723001816293</c:v>
                      </c:pt>
                      <c:pt idx="13">
                        <c:v>1.1862009386571393</c:v>
                      </c:pt>
                      <c:pt idx="14">
                        <c:v>1.2709295771326492</c:v>
                      </c:pt>
                      <c:pt idx="15">
                        <c:v>1.3556582156081591</c:v>
                      </c:pt>
                      <c:pt idx="16">
                        <c:v>1.4403868540836691</c:v>
                      </c:pt>
                      <c:pt idx="17">
                        <c:v>1.525115492559179</c:v>
                      </c:pt>
                      <c:pt idx="18">
                        <c:v>1.6098441310346889</c:v>
                      </c:pt>
                      <c:pt idx="19">
                        <c:v>1.6945727695101989</c:v>
                      </c:pt>
                      <c:pt idx="20">
                        <c:v>1.7793014079857088</c:v>
                      </c:pt>
                      <c:pt idx="21">
                        <c:v>1.8640300464612187</c:v>
                      </c:pt>
                      <c:pt idx="22">
                        <c:v>1.9487586849367287</c:v>
                      </c:pt>
                      <c:pt idx="23">
                        <c:v>2.0334873234122388</c:v>
                      </c:pt>
                      <c:pt idx="24">
                        <c:v>2.1182159618877487</c:v>
                      </c:pt>
                      <c:pt idx="25">
                        <c:v>2.2029446003632587</c:v>
                      </c:pt>
                      <c:pt idx="26">
                        <c:v>2.2876732388387686</c:v>
                      </c:pt>
                      <c:pt idx="27">
                        <c:v>2.3724018773142785</c:v>
                      </c:pt>
                      <c:pt idx="28">
                        <c:v>2.4571305157897885</c:v>
                      </c:pt>
                      <c:pt idx="29">
                        <c:v>2.5418591542652984</c:v>
                      </c:pt>
                      <c:pt idx="30">
                        <c:v>2.6265877927408083</c:v>
                      </c:pt>
                      <c:pt idx="31">
                        <c:v>2.7113164312163183</c:v>
                      </c:pt>
                      <c:pt idx="32">
                        <c:v>2.7960450696918282</c:v>
                      </c:pt>
                      <c:pt idx="33">
                        <c:v>2.8807737081673381</c:v>
                      </c:pt>
                      <c:pt idx="34">
                        <c:v>2.9655023466428481</c:v>
                      </c:pt>
                      <c:pt idx="35">
                        <c:v>3.050230985118358</c:v>
                      </c:pt>
                      <c:pt idx="36">
                        <c:v>3.1349596235938679</c:v>
                      </c:pt>
                      <c:pt idx="37">
                        <c:v>3.2196882620693779</c:v>
                      </c:pt>
                      <c:pt idx="38">
                        <c:v>3.3044169005448878</c:v>
                      </c:pt>
                      <c:pt idx="39">
                        <c:v>3.3891455390203977</c:v>
                      </c:pt>
                      <c:pt idx="40">
                        <c:v>3.4738741774959077</c:v>
                      </c:pt>
                      <c:pt idx="41">
                        <c:v>3.5586028159714176</c:v>
                      </c:pt>
                      <c:pt idx="42">
                        <c:v>3.6433314544469275</c:v>
                      </c:pt>
                      <c:pt idx="43">
                        <c:v>3.7280600929224375</c:v>
                      </c:pt>
                      <c:pt idx="44">
                        <c:v>3.8127887313979474</c:v>
                      </c:pt>
                      <c:pt idx="45">
                        <c:v>3.8975173698734573</c:v>
                      </c:pt>
                      <c:pt idx="46">
                        <c:v>3.9822460083489672</c:v>
                      </c:pt>
                      <c:pt idx="47">
                        <c:v>4.0669746468244776</c:v>
                      </c:pt>
                      <c:pt idx="48">
                        <c:v>4.1517032852999876</c:v>
                      </c:pt>
                      <c:pt idx="49">
                        <c:v>4.2364319237754975</c:v>
                      </c:pt>
                      <c:pt idx="50">
                        <c:v>4.3211605622510074</c:v>
                      </c:pt>
                      <c:pt idx="51">
                        <c:v>4.4058892007265174</c:v>
                      </c:pt>
                    </c:numCache>
                  </c:numRef>
                </c:val>
                <c:smooth val="0"/>
                <c:extLst xmlns:c15="http://schemas.microsoft.com/office/drawing/2012/chart">
                  <c:ext xmlns:c16="http://schemas.microsoft.com/office/drawing/2014/chart" uri="{C3380CC4-5D6E-409C-BE32-E72D297353CC}">
                    <c16:uniqueId val="{0000000A-0EF4-4B00-8C5E-EF8BBB1A5A11}"/>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'PBL OLD'!$DF$6:$DF$7</c15:sqref>
                        </c15:formulaRef>
                      </c:ext>
                    </c:extLst>
                    <c:strCache>
                      <c:ptCount val="2"/>
                      <c:pt idx="0">
                        <c:v>Max</c:v>
                      </c:pt>
                    </c:strCache>
                  </c:strRef>
                </c:tx>
                <c:cat>
                  <c:numRef>
                    <c:extLst xmlns:c15="http://schemas.microsoft.com/office/drawing/2012/chart">
                      <c:ext xmlns:c15="http://schemas.microsoft.com/office/drawing/2012/chart" uri="{02D57815-91ED-43cb-92C2-25804820EDAC}">
                        <c15:formulaRef>
                          <c15:sqref>'PBL OLD'!$HA$8:$HA$33</c15:sqref>
                        </c15:formulaRef>
                      </c:ext>
                    </c:extLst>
                    <c:numCache>
                      <c:formatCode>d\-mmm\-yy_);\(###0\);"-  ";" "@" "</c:formatCode>
                      <c:ptCount val="26"/>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numCache>
                  </c:numRef>
                </c:cat>
                <c:val>
                  <c:numRef>
                    <c:extLst xmlns:c15="http://schemas.microsoft.com/office/drawing/2012/chart">
                      <c:ext xmlns:c15="http://schemas.microsoft.com/office/drawing/2012/chart" uri="{02D57815-91ED-43cb-92C2-25804820EDAC}">
                        <c15:formulaRef>
                          <c15:sqref>'PBL OLD'!$DF$8:$DF$60</c15:sqref>
                        </c15:formulaRef>
                      </c:ext>
                    </c:extLst>
                    <c:numCache>
                      <c:formatCode>0.000</c:formatCode>
                      <c:ptCount val="53"/>
                      <c:pt idx="0">
                        <c:v>0.10288241710741779</c:v>
                      </c:pt>
                      <c:pt idx="1">
                        <c:v>0.20576483421483557</c:v>
                      </c:pt>
                      <c:pt idx="2">
                        <c:v>0.30864725132225335</c:v>
                      </c:pt>
                      <c:pt idx="3">
                        <c:v>0.41152966842967115</c:v>
                      </c:pt>
                      <c:pt idx="4">
                        <c:v>0.51441208553708895</c:v>
                      </c:pt>
                      <c:pt idx="5">
                        <c:v>0.61729450264450669</c:v>
                      </c:pt>
                      <c:pt idx="6">
                        <c:v>0.72017691975192444</c:v>
                      </c:pt>
                      <c:pt idx="7">
                        <c:v>0.82305933685934218</c:v>
                      </c:pt>
                      <c:pt idx="8">
                        <c:v>0.92594175396675993</c:v>
                      </c:pt>
                      <c:pt idx="9">
                        <c:v>1.0288241710741777</c:v>
                      </c:pt>
                      <c:pt idx="10">
                        <c:v>1.1317065881815955</c:v>
                      </c:pt>
                      <c:pt idx="11">
                        <c:v>1.2345890052890134</c:v>
                      </c:pt>
                      <c:pt idx="12">
                        <c:v>1.3374714223964312</c:v>
                      </c:pt>
                      <c:pt idx="13">
                        <c:v>1.4403538395038491</c:v>
                      </c:pt>
                      <c:pt idx="14">
                        <c:v>1.543236256611267</c:v>
                      </c:pt>
                      <c:pt idx="15">
                        <c:v>1.6461186737186848</c:v>
                      </c:pt>
                      <c:pt idx="16">
                        <c:v>1.7490010908261027</c:v>
                      </c:pt>
                      <c:pt idx="17">
                        <c:v>1.8518835079335205</c:v>
                      </c:pt>
                      <c:pt idx="18">
                        <c:v>1.9547659250409384</c:v>
                      </c:pt>
                      <c:pt idx="19">
                        <c:v>2.0576483421483562</c:v>
                      </c:pt>
                      <c:pt idx="20">
                        <c:v>2.1605307592557739</c:v>
                      </c:pt>
                      <c:pt idx="21">
                        <c:v>2.2634131763631915</c:v>
                      </c:pt>
                      <c:pt idx="22">
                        <c:v>2.3662955934706091</c:v>
                      </c:pt>
                      <c:pt idx="23">
                        <c:v>2.4691780105780268</c:v>
                      </c:pt>
                      <c:pt idx="24">
                        <c:v>2.5720604276854444</c:v>
                      </c:pt>
                      <c:pt idx="25">
                        <c:v>2.674942844792862</c:v>
                      </c:pt>
                      <c:pt idx="26">
                        <c:v>2.7778252619002797</c:v>
                      </c:pt>
                      <c:pt idx="27">
                        <c:v>2.8807076790076973</c:v>
                      </c:pt>
                      <c:pt idx="28">
                        <c:v>2.9835900961151149</c:v>
                      </c:pt>
                      <c:pt idx="29">
                        <c:v>3.0864725132225326</c:v>
                      </c:pt>
                      <c:pt idx="30">
                        <c:v>3.1893549303299502</c:v>
                      </c:pt>
                      <c:pt idx="31">
                        <c:v>3.2922373474373678</c:v>
                      </c:pt>
                      <c:pt idx="32">
                        <c:v>3.3951197645447855</c:v>
                      </c:pt>
                      <c:pt idx="33">
                        <c:v>3.4980021816522031</c:v>
                      </c:pt>
                      <c:pt idx="34">
                        <c:v>3.6008845987596207</c:v>
                      </c:pt>
                      <c:pt idx="35">
                        <c:v>3.7037670158670384</c:v>
                      </c:pt>
                      <c:pt idx="36">
                        <c:v>3.806649432974456</c:v>
                      </c:pt>
                      <c:pt idx="37">
                        <c:v>3.9095318500818736</c:v>
                      </c:pt>
                      <c:pt idx="38">
                        <c:v>4.0124142671892917</c:v>
                      </c:pt>
                      <c:pt idx="39">
                        <c:v>4.1152966842967098</c:v>
                      </c:pt>
                      <c:pt idx="40">
                        <c:v>4.2181791014041279</c:v>
                      </c:pt>
                      <c:pt idx="41">
                        <c:v>4.321061518511546</c:v>
                      </c:pt>
                      <c:pt idx="42">
                        <c:v>4.423943935618964</c:v>
                      </c:pt>
                      <c:pt idx="43">
                        <c:v>4.5268263527263821</c:v>
                      </c:pt>
                      <c:pt idx="44">
                        <c:v>4.6297087698338002</c:v>
                      </c:pt>
                      <c:pt idx="45">
                        <c:v>4.7325911869412183</c:v>
                      </c:pt>
                      <c:pt idx="46">
                        <c:v>4.8354736040486364</c:v>
                      </c:pt>
                      <c:pt idx="47">
                        <c:v>4.9383560211560544</c:v>
                      </c:pt>
                      <c:pt idx="48">
                        <c:v>5.0412384382634725</c:v>
                      </c:pt>
                      <c:pt idx="49">
                        <c:v>5.1441208553708906</c:v>
                      </c:pt>
                      <c:pt idx="50">
                        <c:v>5.2470032724783087</c:v>
                      </c:pt>
                      <c:pt idx="51">
                        <c:v>5.3498856895857267</c:v>
                      </c:pt>
                    </c:numCache>
                  </c:numRef>
                </c:val>
                <c:smooth val="0"/>
                <c:extLst xmlns:c15="http://schemas.microsoft.com/office/drawing/2012/chart">
                  <c:ext xmlns:c16="http://schemas.microsoft.com/office/drawing/2014/chart" uri="{C3380CC4-5D6E-409C-BE32-E72D297353CC}">
                    <c16:uniqueId val="{0000000B-0EF4-4B00-8C5E-EF8BBB1A5A11}"/>
                  </c:ext>
                </c:extLst>
              </c15:ser>
            </c15:filteredLineSeries>
          </c:ext>
        </c:extLst>
      </c:lineChart>
      <c:dateAx>
        <c:axId val="1388952432"/>
        <c:scaling>
          <c:orientation val="minMax"/>
          <c:max val="44812"/>
        </c:scaling>
        <c:delete val="0"/>
        <c:axPos val="b"/>
        <c:numFmt formatCode="mmm\-yy_);\(###0\);&quot;-  &quot;;&quot; &quot;@&quot; &quot;" sourceLinked="0"/>
        <c:majorTickMark val="none"/>
        <c:minorTickMark val="none"/>
        <c:tickLblPos val="nextTo"/>
        <c:spPr>
          <a:noFill/>
          <a:ln w="9525" cap="flat" cmpd="sng" algn="ctr">
            <a:noFill/>
            <a:round/>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3088"/>
        <c:crosses val="autoZero"/>
        <c:auto val="1"/>
        <c:lblOffset val="100"/>
        <c:baseTimeUnit val="days"/>
        <c:majorUnit val="1"/>
        <c:majorTimeUnit val="months"/>
      </c:dateAx>
      <c:valAx>
        <c:axId val="1388953088"/>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2432"/>
        <c:crosses val="autoZero"/>
        <c:crossBetween val="between"/>
      </c:valAx>
    </c:plotArea>
    <c:legend>
      <c:legendPos val="b"/>
      <c:legendEntry>
        <c:idx val="0"/>
        <c:delete val="1"/>
      </c:legendEntry>
      <c:legendEntry>
        <c:idx val="2"/>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orientation="portrait"/>
  </c:printSettings>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'PBL OLD'!$CU$6:$CU$7</c:f>
              <c:strCache>
                <c:ptCount val="2"/>
                <c:pt idx="0">
                  <c:v>Actual</c:v>
                </c:pt>
              </c:strCache>
            </c:strRef>
          </c:tx>
          <c:spPr>
            <a:ln w="19050" cap="rnd">
              <a:solidFill>
                <a:schemeClr val="tx2"/>
              </a:solidFill>
              <a:round/>
            </a:ln>
            <a:effectLst/>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OLD'!$CU$8:$CU$60</c:f>
              <c:numCache>
                <c:formatCode>0.000</c:formatCode>
                <c:ptCount val="53"/>
                <c:pt idx="0">
                  <c:v>2.4383432684147156E-2</c:v>
                </c:pt>
                <c:pt idx="1">
                  <c:v>5.7456335077458197E-2</c:v>
                </c:pt>
                <c:pt idx="2">
                  <c:v>8.2897301732709039E-2</c:v>
                </c:pt>
                <c:pt idx="3">
                  <c:v>0.10634933406608696</c:v>
                </c:pt>
                <c:pt idx="4">
                  <c:v>0.13586762292789298</c:v>
                </c:pt>
                <c:pt idx="5">
                  <c:v>0.18374004427397994</c:v>
                </c:pt>
                <c:pt idx="6">
                  <c:v>0.20803473319331103</c:v>
                </c:pt>
                <c:pt idx="7">
                  <c:v>0.23891877923157193</c:v>
                </c:pt>
                <c:pt idx="8">
                  <c:v>0.28713984685163879</c:v>
                </c:pt>
                <c:pt idx="9">
                  <c:v>0.3616614278523077</c:v>
                </c:pt>
                <c:pt idx="10">
                  <c:v>0.392004627321204</c:v>
                </c:pt>
                <c:pt idx="11">
                  <c:v>0.41949779873926418</c:v>
                </c:pt>
                <c:pt idx="12">
                  <c:v>0.46306182742073576</c:v>
                </c:pt>
                <c:pt idx="13">
                  <c:v>0.52060037325672237</c:v>
                </c:pt>
                <c:pt idx="14">
                  <c:v>0.6148648724923077</c:v>
                </c:pt>
                <c:pt idx="15">
                  <c:v>0.83700126369498329</c:v>
                </c:pt>
                <c:pt idx="16">
                  <c:v>1.1825944978628762</c:v>
                </c:pt>
                <c:pt idx="17">
                  <c:v>1.2153577144507022</c:v>
                </c:pt>
                <c:pt idx="18">
                  <c:v>1.2691323901694982</c:v>
                </c:pt>
                <c:pt idx="19">
                  <c:v>1.3310424487488961</c:v>
                </c:pt>
                <c:pt idx="20">
                  <c:v>1.4175102073723076</c:v>
                </c:pt>
                <c:pt idx="21">
                  <c:v>1.4481012105839461</c:v>
                </c:pt>
                <c:pt idx="22">
                  <c:v>1.4946211055890297</c:v>
                </c:pt>
                <c:pt idx="23">
                  <c:v>1.5554005903488961</c:v>
                </c:pt>
                <c:pt idx="24">
                  <c:v>1.6472886013460868</c:v>
                </c:pt>
                <c:pt idx="25">
                  <c:v>1.8141838940449495</c:v>
                </c:pt>
                <c:pt idx="26">
                  <c:v>1.8392503831253511</c:v>
                </c:pt>
                <c:pt idx="27">
                  <c:v>1.866157764302341</c:v>
                </c:pt>
                <c:pt idx="28">
                  <c:v>1.9009749529614712</c:v>
                </c:pt>
                <c:pt idx="29">
                  <c:v>1.9519053104066888</c:v>
                </c:pt>
                <c:pt idx="30">
                  <c:v>2.0244714168671569</c:v>
                </c:pt>
                <c:pt idx="31">
                  <c:v>2.0488217174971233</c:v>
                </c:pt>
                <c:pt idx="32">
                  <c:v>2.0819389554734444</c:v>
                </c:pt>
                <c:pt idx="33">
                  <c:v>2.135068076795986</c:v>
                </c:pt>
                <c:pt idx="34">
                  <c:v>2.2086620296321069</c:v>
                </c:pt>
                <c:pt idx="35">
                  <c:v>2.2340468803692306</c:v>
                </c:pt>
                <c:pt idx="36">
                  <c:v>2.2608009917649499</c:v>
                </c:pt>
                <c:pt idx="37">
                  <c:v>2.2922285879399333</c:v>
                </c:pt>
                <c:pt idx="38">
                  <c:v>2.3232771205685618</c:v>
                </c:pt>
                <c:pt idx="39">
                  <c:v>2.3730794774674249</c:v>
                </c:pt>
                <c:pt idx="40">
                  <c:v>2.4331034888271574</c:v>
                </c:pt>
                <c:pt idx="41">
                  <c:v>2.459481893485485</c:v>
                </c:pt>
                <c:pt idx="42">
                  <c:v>2.4922966782375924</c:v>
                </c:pt>
                <c:pt idx="43">
                  <c:v>2.5430290760305017</c:v>
                </c:pt>
                <c:pt idx="44">
                  <c:v>2.5665048546627425</c:v>
                </c:pt>
                <c:pt idx="45">
                  <c:v>2.5900549864143145</c:v>
                </c:pt>
                <c:pt idx="46">
                  <c:v>2.6316794518334712</c:v>
                </c:pt>
                <c:pt idx="47">
                  <c:v>2.6865530592113069</c:v>
                </c:pt>
                <c:pt idx="48">
                  <c:v>2.7625586865996037</c:v>
                </c:pt>
                <c:pt idx="49">
                  <c:v>2.8807855607703785</c:v>
                </c:pt>
                <c:pt idx="50">
                  <c:v>3.1087288440336671</c:v>
                </c:pt>
                <c:pt idx="51">
                  <c:v>3.1350399566342553</c:v>
                </c:pt>
              </c:numCache>
            </c:numRef>
          </c:val>
          <c:smooth val="0"/>
          <c:extLst>
            <c:ext xmlns:c16="http://schemas.microsoft.com/office/drawing/2014/chart" uri="{C3380CC4-5D6E-409C-BE32-E72D297353CC}">
              <c16:uniqueId val="{00000000-104C-411E-9EB5-31FB1E8AAD84}"/>
            </c:ext>
          </c:extLst>
        </c:ser>
        <c:ser>
          <c:idx val="7"/>
          <c:order val="3"/>
          <c:tx>
            <c:strRef>
              <c:f>'PBL OLD'!$CX$6:$CX$7</c:f>
              <c:strCache>
                <c:ptCount val="2"/>
                <c:pt idx="0">
                  <c:v>5th Percentile</c:v>
                </c:pt>
              </c:strCache>
            </c:strRef>
          </c:tx>
          <c:spPr>
            <a:ln w="19050" cap="rnd">
              <a:solidFill>
                <a:schemeClr val="bg2">
                  <a:lumMod val="60000"/>
                  <a:lumOff val="40000"/>
                </a:schemeClr>
              </a:solidFill>
              <a:prstDash val="sysDot"/>
              <a:round/>
            </a:ln>
            <a:effectLst/>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OLD'!$CX$8:$CX$60</c:f>
              <c:numCache>
                <c:formatCode>0.000</c:formatCode>
                <c:ptCount val="53"/>
                <c:pt idx="0">
                  <c:v>4.8416818848466985E-2</c:v>
                </c:pt>
                <c:pt idx="1">
                  <c:v>9.6833637696933969E-2</c:v>
                </c:pt>
                <c:pt idx="2">
                  <c:v>0.14525045654540095</c:v>
                </c:pt>
                <c:pt idx="3">
                  <c:v>0.19366727539386794</c:v>
                </c:pt>
                <c:pt idx="4">
                  <c:v>0.24208409424233493</c:v>
                </c:pt>
                <c:pt idx="5">
                  <c:v>0.29050091309080189</c:v>
                </c:pt>
                <c:pt idx="6">
                  <c:v>0.33891773193926888</c:v>
                </c:pt>
                <c:pt idx="7">
                  <c:v>0.38733455078773588</c:v>
                </c:pt>
                <c:pt idx="8">
                  <c:v>0.43575136963620287</c:v>
                </c:pt>
                <c:pt idx="9">
                  <c:v>0.48416818848466986</c:v>
                </c:pt>
                <c:pt idx="10">
                  <c:v>0.53258500733313685</c:v>
                </c:pt>
                <c:pt idx="11">
                  <c:v>0.58100182618160379</c:v>
                </c:pt>
                <c:pt idx="12">
                  <c:v>0.62941864503007072</c:v>
                </c:pt>
                <c:pt idx="13">
                  <c:v>0.67783546387853766</c:v>
                </c:pt>
                <c:pt idx="14">
                  <c:v>0.72625228272700459</c:v>
                </c:pt>
                <c:pt idx="15">
                  <c:v>0.77466910157547153</c:v>
                </c:pt>
                <c:pt idx="16">
                  <c:v>0.82308592042393847</c:v>
                </c:pt>
                <c:pt idx="17">
                  <c:v>0.8715027392724054</c:v>
                </c:pt>
                <c:pt idx="18">
                  <c:v>0.91991955812087234</c:v>
                </c:pt>
                <c:pt idx="19">
                  <c:v>0.96833637696933927</c:v>
                </c:pt>
                <c:pt idx="20">
                  <c:v>1.0167531958178062</c:v>
                </c:pt>
                <c:pt idx="21">
                  <c:v>1.0651700146662733</c:v>
                </c:pt>
                <c:pt idx="22">
                  <c:v>1.1135868335147403</c:v>
                </c:pt>
                <c:pt idx="23">
                  <c:v>1.1620036523632074</c:v>
                </c:pt>
                <c:pt idx="24">
                  <c:v>1.2104204712116744</c:v>
                </c:pt>
                <c:pt idx="25">
                  <c:v>1.2588372900601414</c:v>
                </c:pt>
                <c:pt idx="26">
                  <c:v>1.3072541089086085</c:v>
                </c:pt>
                <c:pt idx="27">
                  <c:v>1.3556709277570755</c:v>
                </c:pt>
                <c:pt idx="28">
                  <c:v>1.4040877466055426</c:v>
                </c:pt>
                <c:pt idx="29">
                  <c:v>1.4525045654540096</c:v>
                </c:pt>
                <c:pt idx="30">
                  <c:v>1.5009213843024767</c:v>
                </c:pt>
                <c:pt idx="31">
                  <c:v>1.5493382031509437</c:v>
                </c:pt>
                <c:pt idx="32">
                  <c:v>1.5977550219994108</c:v>
                </c:pt>
                <c:pt idx="33">
                  <c:v>1.6461718408478778</c:v>
                </c:pt>
                <c:pt idx="34">
                  <c:v>1.6945886596963449</c:v>
                </c:pt>
                <c:pt idx="35">
                  <c:v>1.7430054785448119</c:v>
                </c:pt>
                <c:pt idx="36">
                  <c:v>1.791422297393279</c:v>
                </c:pt>
                <c:pt idx="37">
                  <c:v>1.839839116241746</c:v>
                </c:pt>
                <c:pt idx="38">
                  <c:v>1.8882559350902131</c:v>
                </c:pt>
                <c:pt idx="39">
                  <c:v>1.9366727539386801</c:v>
                </c:pt>
                <c:pt idx="40">
                  <c:v>1.9850895727871471</c:v>
                </c:pt>
                <c:pt idx="41">
                  <c:v>2.0335063916356142</c:v>
                </c:pt>
                <c:pt idx="42">
                  <c:v>2.081923210484081</c:v>
                </c:pt>
                <c:pt idx="43">
                  <c:v>2.1303400293325478</c:v>
                </c:pt>
                <c:pt idx="44">
                  <c:v>2.1787568481810147</c:v>
                </c:pt>
                <c:pt idx="45">
                  <c:v>2.2271736670294815</c:v>
                </c:pt>
                <c:pt idx="46">
                  <c:v>2.2755904858779483</c:v>
                </c:pt>
                <c:pt idx="47">
                  <c:v>2.3240073047264151</c:v>
                </c:pt>
                <c:pt idx="48">
                  <c:v>2.372424123574882</c:v>
                </c:pt>
                <c:pt idx="49">
                  <c:v>2.4208409424233488</c:v>
                </c:pt>
                <c:pt idx="50">
                  <c:v>2.4692577612718156</c:v>
                </c:pt>
                <c:pt idx="51">
                  <c:v>2.5176745801202824</c:v>
                </c:pt>
              </c:numCache>
            </c:numRef>
          </c:val>
          <c:smooth val="0"/>
          <c:extLst xmlns:c15="http://schemas.microsoft.com/office/drawing/2012/chart">
            <c:ext xmlns:c16="http://schemas.microsoft.com/office/drawing/2014/chart" uri="{C3380CC4-5D6E-409C-BE32-E72D297353CC}">
              <c16:uniqueId val="{00000001-104C-411E-9EB5-31FB1E8AAD84}"/>
            </c:ext>
          </c:extLst>
        </c:ser>
        <c:ser>
          <c:idx val="2"/>
          <c:order val="5"/>
          <c:tx>
            <c:v>5/25/50/75/95th percentile</c:v>
          </c:tx>
          <c:spPr>
            <a:ln w="19050">
              <a:solidFill>
                <a:schemeClr val="bg2">
                  <a:lumMod val="60000"/>
                  <a:lumOff val="40000"/>
                </a:schemeClr>
              </a:solidFill>
              <a:prstDash val="sysDot"/>
            </a:ln>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OLD'!$CZ$8:$CZ$60</c:f>
              <c:numCache>
                <c:formatCode>0.000</c:formatCode>
                <c:ptCount val="53"/>
                <c:pt idx="0">
                  <c:v>5.470863400459542E-2</c:v>
                </c:pt>
                <c:pt idx="1">
                  <c:v>0.10941726800919084</c:v>
                </c:pt>
                <c:pt idx="2">
                  <c:v>0.16412590201378627</c:v>
                </c:pt>
                <c:pt idx="3">
                  <c:v>0.21883453601838168</c:v>
                </c:pt>
                <c:pt idx="4">
                  <c:v>0.27354317002297712</c:v>
                </c:pt>
                <c:pt idx="5">
                  <c:v>0.32825180402757254</c:v>
                </c:pt>
                <c:pt idx="6">
                  <c:v>0.38296043803216795</c:v>
                </c:pt>
                <c:pt idx="7">
                  <c:v>0.43766907203676336</c:v>
                </c:pt>
                <c:pt idx="8">
                  <c:v>0.49237770604135878</c:v>
                </c:pt>
                <c:pt idx="9">
                  <c:v>0.54708634004595424</c:v>
                </c:pt>
                <c:pt idx="10">
                  <c:v>0.60179497405054971</c:v>
                </c:pt>
                <c:pt idx="11">
                  <c:v>0.65650360805514518</c:v>
                </c:pt>
                <c:pt idx="12">
                  <c:v>0.71121224205974065</c:v>
                </c:pt>
                <c:pt idx="13">
                  <c:v>0.76592087606433612</c:v>
                </c:pt>
                <c:pt idx="14">
                  <c:v>0.82062951006893159</c:v>
                </c:pt>
                <c:pt idx="15">
                  <c:v>0.87533814407352706</c:v>
                </c:pt>
                <c:pt idx="16">
                  <c:v>0.93004677807812253</c:v>
                </c:pt>
                <c:pt idx="17">
                  <c:v>0.984755412082718</c:v>
                </c:pt>
                <c:pt idx="18">
                  <c:v>1.0394640460873135</c:v>
                </c:pt>
                <c:pt idx="19">
                  <c:v>1.0941726800919089</c:v>
                </c:pt>
                <c:pt idx="20">
                  <c:v>1.1488813140965044</c:v>
                </c:pt>
                <c:pt idx="21">
                  <c:v>1.2035899481010999</c:v>
                </c:pt>
                <c:pt idx="22">
                  <c:v>1.2582985821056953</c:v>
                </c:pt>
                <c:pt idx="23">
                  <c:v>1.3130072161102908</c:v>
                </c:pt>
                <c:pt idx="24">
                  <c:v>1.3677158501148863</c:v>
                </c:pt>
                <c:pt idx="25">
                  <c:v>1.4224244841194817</c:v>
                </c:pt>
                <c:pt idx="26">
                  <c:v>1.4771331181240772</c:v>
                </c:pt>
                <c:pt idx="27">
                  <c:v>1.5318417521286727</c:v>
                </c:pt>
                <c:pt idx="28">
                  <c:v>1.5865503861332682</c:v>
                </c:pt>
                <c:pt idx="29">
                  <c:v>1.6412590201378636</c:v>
                </c:pt>
                <c:pt idx="30">
                  <c:v>1.6959676541424591</c:v>
                </c:pt>
                <c:pt idx="31">
                  <c:v>1.7506762881470546</c:v>
                </c:pt>
                <c:pt idx="32">
                  <c:v>1.80538492215165</c:v>
                </c:pt>
                <c:pt idx="33">
                  <c:v>1.8600935561562455</c:v>
                </c:pt>
                <c:pt idx="34">
                  <c:v>1.914802190160841</c:v>
                </c:pt>
                <c:pt idx="35">
                  <c:v>1.9695108241654364</c:v>
                </c:pt>
                <c:pt idx="36">
                  <c:v>2.0242194581700317</c:v>
                </c:pt>
                <c:pt idx="37">
                  <c:v>2.0789280921746269</c:v>
                </c:pt>
                <c:pt idx="38">
                  <c:v>2.1336367261792222</c:v>
                </c:pt>
                <c:pt idx="39">
                  <c:v>2.1883453601838174</c:v>
                </c:pt>
                <c:pt idx="40">
                  <c:v>2.2430539941884127</c:v>
                </c:pt>
                <c:pt idx="41">
                  <c:v>2.2977626281930079</c:v>
                </c:pt>
                <c:pt idx="42">
                  <c:v>2.3524712621976032</c:v>
                </c:pt>
                <c:pt idx="43">
                  <c:v>2.4071798962021984</c:v>
                </c:pt>
                <c:pt idx="44">
                  <c:v>2.4618885302067937</c:v>
                </c:pt>
                <c:pt idx="45">
                  <c:v>2.5165971642113889</c:v>
                </c:pt>
                <c:pt idx="46">
                  <c:v>2.5713057982159842</c:v>
                </c:pt>
                <c:pt idx="47">
                  <c:v>2.6260144322205794</c:v>
                </c:pt>
                <c:pt idx="48">
                  <c:v>2.6807230662251746</c:v>
                </c:pt>
                <c:pt idx="49">
                  <c:v>2.7354317002297699</c:v>
                </c:pt>
                <c:pt idx="50">
                  <c:v>2.7901403342343651</c:v>
                </c:pt>
                <c:pt idx="51">
                  <c:v>2.8448489682389604</c:v>
                </c:pt>
              </c:numCache>
            </c:numRef>
          </c:val>
          <c:smooth val="0"/>
          <c:extLst>
            <c:ext xmlns:c16="http://schemas.microsoft.com/office/drawing/2014/chart" uri="{C3380CC4-5D6E-409C-BE32-E72D297353CC}">
              <c16:uniqueId val="{00000002-104C-411E-9EB5-31FB1E8AAD84}"/>
            </c:ext>
          </c:extLst>
        </c:ser>
        <c:ser>
          <c:idx val="4"/>
          <c:order val="6"/>
          <c:tx>
            <c:strRef>
              <c:f>'PBL OLD'!$DA$6:$DA$7</c:f>
              <c:strCache>
                <c:ptCount val="2"/>
                <c:pt idx="0">
                  <c:v>50th Percentile</c:v>
                </c:pt>
              </c:strCache>
            </c:strRef>
          </c:tx>
          <c:spPr>
            <a:ln w="19050">
              <a:solidFill>
                <a:schemeClr val="bg2">
                  <a:lumMod val="60000"/>
                  <a:lumOff val="40000"/>
                </a:schemeClr>
              </a:solidFill>
              <a:prstDash val="sysDot"/>
            </a:ln>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OLD'!$DA$8:$DA$60</c:f>
              <c:numCache>
                <c:formatCode>0.000</c:formatCode>
                <c:ptCount val="53"/>
                <c:pt idx="0">
                  <c:v>6.0209708872007502E-2</c:v>
                </c:pt>
                <c:pt idx="1">
                  <c:v>0.120419417744015</c:v>
                </c:pt>
                <c:pt idx="2">
                  <c:v>0.18062912661602251</c:v>
                </c:pt>
                <c:pt idx="3">
                  <c:v>0.24083883548803001</c:v>
                </c:pt>
                <c:pt idx="4">
                  <c:v>0.30104854436003753</c:v>
                </c:pt>
                <c:pt idx="5">
                  <c:v>0.36125825323204502</c:v>
                </c:pt>
                <c:pt idx="6">
                  <c:v>0.42146796210405252</c:v>
                </c:pt>
                <c:pt idx="7">
                  <c:v>0.48167767097606001</c:v>
                </c:pt>
                <c:pt idx="8">
                  <c:v>0.54188737984806756</c:v>
                </c:pt>
                <c:pt idx="9">
                  <c:v>0.60209708872007506</c:v>
                </c:pt>
                <c:pt idx="10">
                  <c:v>0.66230679759208255</c:v>
                </c:pt>
                <c:pt idx="11">
                  <c:v>0.72251650646409005</c:v>
                </c:pt>
                <c:pt idx="12">
                  <c:v>0.78272621533609754</c:v>
                </c:pt>
                <c:pt idx="13">
                  <c:v>0.84293592420810504</c:v>
                </c:pt>
                <c:pt idx="14">
                  <c:v>0.90314563308011253</c:v>
                </c:pt>
                <c:pt idx="15">
                  <c:v>0.96335534195212003</c:v>
                </c:pt>
                <c:pt idx="16">
                  <c:v>1.0235650508241276</c:v>
                </c:pt>
                <c:pt idx="17">
                  <c:v>1.0837747596961351</c:v>
                </c:pt>
                <c:pt idx="18">
                  <c:v>1.1439844685681426</c:v>
                </c:pt>
                <c:pt idx="19">
                  <c:v>1.2041941774401501</c:v>
                </c:pt>
                <c:pt idx="20">
                  <c:v>1.2644038863121576</c:v>
                </c:pt>
                <c:pt idx="21">
                  <c:v>1.3246135951841651</c:v>
                </c:pt>
                <c:pt idx="22">
                  <c:v>1.3848233040561726</c:v>
                </c:pt>
                <c:pt idx="23">
                  <c:v>1.4450330129281801</c:v>
                </c:pt>
                <c:pt idx="24">
                  <c:v>1.5052427218001876</c:v>
                </c:pt>
                <c:pt idx="25">
                  <c:v>1.5654524306721951</c:v>
                </c:pt>
                <c:pt idx="26">
                  <c:v>1.6256621395442026</c:v>
                </c:pt>
                <c:pt idx="27">
                  <c:v>1.6858718484162101</c:v>
                </c:pt>
                <c:pt idx="28">
                  <c:v>1.7460815572882176</c:v>
                </c:pt>
                <c:pt idx="29">
                  <c:v>1.8062912661602251</c:v>
                </c:pt>
                <c:pt idx="30">
                  <c:v>1.8665009750322326</c:v>
                </c:pt>
                <c:pt idx="31">
                  <c:v>1.9267106839042401</c:v>
                </c:pt>
                <c:pt idx="32">
                  <c:v>1.9869203927762475</c:v>
                </c:pt>
                <c:pt idx="33">
                  <c:v>2.0471301016482553</c:v>
                </c:pt>
                <c:pt idx="34">
                  <c:v>2.107339810520263</c:v>
                </c:pt>
                <c:pt idx="35">
                  <c:v>2.1675495193922707</c:v>
                </c:pt>
                <c:pt idx="36">
                  <c:v>2.2277592282642784</c:v>
                </c:pt>
                <c:pt idx="37">
                  <c:v>2.2879689371362861</c:v>
                </c:pt>
                <c:pt idx="38">
                  <c:v>2.3481786460082938</c:v>
                </c:pt>
                <c:pt idx="39">
                  <c:v>2.4083883548803016</c:v>
                </c:pt>
                <c:pt idx="40">
                  <c:v>2.4685980637523093</c:v>
                </c:pt>
                <c:pt idx="41">
                  <c:v>2.528807772624317</c:v>
                </c:pt>
                <c:pt idx="42">
                  <c:v>2.5890174814963247</c:v>
                </c:pt>
                <c:pt idx="43">
                  <c:v>2.6492271903683324</c:v>
                </c:pt>
                <c:pt idx="44">
                  <c:v>2.7094368992403401</c:v>
                </c:pt>
                <c:pt idx="45">
                  <c:v>2.7696466081123479</c:v>
                </c:pt>
                <c:pt idx="46">
                  <c:v>2.8298563169843556</c:v>
                </c:pt>
                <c:pt idx="47">
                  <c:v>2.8900660258563633</c:v>
                </c:pt>
                <c:pt idx="48">
                  <c:v>2.950275734728371</c:v>
                </c:pt>
                <c:pt idx="49">
                  <c:v>3.0104854436003787</c:v>
                </c:pt>
                <c:pt idx="50">
                  <c:v>3.0706951524723864</c:v>
                </c:pt>
                <c:pt idx="51">
                  <c:v>3.1309048613443942</c:v>
                </c:pt>
              </c:numCache>
            </c:numRef>
          </c:val>
          <c:smooth val="0"/>
          <c:extLst>
            <c:ext xmlns:c16="http://schemas.microsoft.com/office/drawing/2014/chart" uri="{C3380CC4-5D6E-409C-BE32-E72D297353CC}">
              <c16:uniqueId val="{00000003-104C-411E-9EB5-31FB1E8AAD84}"/>
            </c:ext>
          </c:extLst>
        </c:ser>
        <c:ser>
          <c:idx val="6"/>
          <c:order val="7"/>
          <c:tx>
            <c:strRef>
              <c:f>'PBL OLD'!$DB$6:$DB$7</c:f>
              <c:strCache>
                <c:ptCount val="2"/>
                <c:pt idx="0">
                  <c:v>75th Percentile</c:v>
                </c:pt>
              </c:strCache>
            </c:strRef>
          </c:tx>
          <c:spPr>
            <a:ln w="19050">
              <a:solidFill>
                <a:schemeClr val="bg2">
                  <a:lumMod val="60000"/>
                  <a:lumOff val="40000"/>
                </a:schemeClr>
              </a:solidFill>
              <a:prstDash val="sysDot"/>
            </a:ln>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OLD'!$DB$8:$DB$60</c:f>
              <c:numCache>
                <c:formatCode>0.000</c:formatCode>
                <c:ptCount val="53"/>
                <c:pt idx="0">
                  <c:v>6.6232533541717833E-2</c:v>
                </c:pt>
                <c:pt idx="1">
                  <c:v>0.13246506708343567</c:v>
                </c:pt>
                <c:pt idx="2">
                  <c:v>0.19869760062515351</c:v>
                </c:pt>
                <c:pt idx="3">
                  <c:v>0.26493013416687133</c:v>
                </c:pt>
                <c:pt idx="4">
                  <c:v>0.33116266770858915</c:v>
                </c:pt>
                <c:pt idx="5">
                  <c:v>0.39739520125030697</c:v>
                </c:pt>
                <c:pt idx="6">
                  <c:v>0.46362773479202479</c:v>
                </c:pt>
                <c:pt idx="7">
                  <c:v>0.52986026833374267</c:v>
                </c:pt>
                <c:pt idx="8">
                  <c:v>0.59609280187546054</c:v>
                </c:pt>
                <c:pt idx="9">
                  <c:v>0.66232533541717842</c:v>
                </c:pt>
                <c:pt idx="10">
                  <c:v>0.72855786895889629</c:v>
                </c:pt>
                <c:pt idx="11">
                  <c:v>0.79479040250061417</c:v>
                </c:pt>
                <c:pt idx="12">
                  <c:v>0.86102293604233204</c:v>
                </c:pt>
                <c:pt idx="13">
                  <c:v>0.92725546958404992</c:v>
                </c:pt>
                <c:pt idx="14">
                  <c:v>0.99348800312576779</c:v>
                </c:pt>
                <c:pt idx="15">
                  <c:v>1.0597205366674856</c:v>
                </c:pt>
                <c:pt idx="16">
                  <c:v>1.1259530702092033</c:v>
                </c:pt>
                <c:pt idx="17">
                  <c:v>1.1921856037509211</c:v>
                </c:pt>
                <c:pt idx="18">
                  <c:v>1.2584181372926388</c:v>
                </c:pt>
                <c:pt idx="19">
                  <c:v>1.3246506708343566</c:v>
                </c:pt>
                <c:pt idx="20">
                  <c:v>1.3908832043760744</c:v>
                </c:pt>
                <c:pt idx="21">
                  <c:v>1.4571157379177921</c:v>
                </c:pt>
                <c:pt idx="22">
                  <c:v>1.5233482714595099</c:v>
                </c:pt>
                <c:pt idx="23">
                  <c:v>1.5895808050012277</c:v>
                </c:pt>
                <c:pt idx="24">
                  <c:v>1.6558133385429454</c:v>
                </c:pt>
                <c:pt idx="25">
                  <c:v>1.7220458720846632</c:v>
                </c:pt>
                <c:pt idx="26">
                  <c:v>1.788278405626381</c:v>
                </c:pt>
                <c:pt idx="27">
                  <c:v>1.8545109391680987</c:v>
                </c:pt>
                <c:pt idx="28">
                  <c:v>1.9207434727098165</c:v>
                </c:pt>
                <c:pt idx="29">
                  <c:v>1.9869760062515343</c:v>
                </c:pt>
                <c:pt idx="30">
                  <c:v>2.053208539793252</c:v>
                </c:pt>
                <c:pt idx="31">
                  <c:v>2.1194410733349698</c:v>
                </c:pt>
                <c:pt idx="32">
                  <c:v>2.1856736068766875</c:v>
                </c:pt>
                <c:pt idx="33">
                  <c:v>2.2519061404184053</c:v>
                </c:pt>
                <c:pt idx="34">
                  <c:v>2.3181386739601231</c:v>
                </c:pt>
                <c:pt idx="35">
                  <c:v>2.3843712075018408</c:v>
                </c:pt>
                <c:pt idx="36">
                  <c:v>2.4506037410435586</c:v>
                </c:pt>
                <c:pt idx="37">
                  <c:v>2.5168362745852764</c:v>
                </c:pt>
                <c:pt idx="38">
                  <c:v>2.5830688081269941</c:v>
                </c:pt>
                <c:pt idx="39">
                  <c:v>2.6493013416687119</c:v>
                </c:pt>
                <c:pt idx="40">
                  <c:v>2.7155338752104297</c:v>
                </c:pt>
                <c:pt idx="41">
                  <c:v>2.7817664087521474</c:v>
                </c:pt>
                <c:pt idx="42">
                  <c:v>2.8479989422938652</c:v>
                </c:pt>
                <c:pt idx="43">
                  <c:v>2.914231475835583</c:v>
                </c:pt>
                <c:pt idx="44">
                  <c:v>2.9804640093773007</c:v>
                </c:pt>
                <c:pt idx="45">
                  <c:v>3.0466965429190185</c:v>
                </c:pt>
                <c:pt idx="46">
                  <c:v>3.1129290764607362</c:v>
                </c:pt>
                <c:pt idx="47">
                  <c:v>3.179161610002454</c:v>
                </c:pt>
                <c:pt idx="48">
                  <c:v>3.2453941435441718</c:v>
                </c:pt>
                <c:pt idx="49">
                  <c:v>3.3116266770858895</c:v>
                </c:pt>
                <c:pt idx="50">
                  <c:v>3.3778592106276073</c:v>
                </c:pt>
                <c:pt idx="51">
                  <c:v>3.4440917441693251</c:v>
                </c:pt>
              </c:numCache>
            </c:numRef>
          </c:val>
          <c:smooth val="0"/>
          <c:extLst xmlns:c15="http://schemas.microsoft.com/office/drawing/2012/chart">
            <c:ext xmlns:c16="http://schemas.microsoft.com/office/drawing/2014/chart" uri="{C3380CC4-5D6E-409C-BE32-E72D297353CC}">
              <c16:uniqueId val="{00000004-104C-411E-9EB5-31FB1E8AAD84}"/>
            </c:ext>
          </c:extLst>
        </c:ser>
        <c:ser>
          <c:idx val="9"/>
          <c:order val="9"/>
          <c:tx>
            <c:strRef>
              <c:f>'PBL OLD'!$DD$6:$DD$7</c:f>
              <c:strCache>
                <c:ptCount val="2"/>
                <c:pt idx="0">
                  <c:v>95th Percentile</c:v>
                </c:pt>
              </c:strCache>
            </c:strRef>
          </c:tx>
          <c:spPr>
            <a:ln w="19050">
              <a:solidFill>
                <a:schemeClr val="bg2">
                  <a:lumMod val="60000"/>
                  <a:lumOff val="40000"/>
                </a:schemeClr>
              </a:solidFill>
              <a:prstDash val="sysDot"/>
            </a:ln>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OLD'!$DD$8:$DD$60</c:f>
              <c:numCache>
                <c:formatCode>0.000</c:formatCode>
                <c:ptCount val="53"/>
                <c:pt idx="0">
                  <c:v>7.643445292523153E-2</c:v>
                </c:pt>
                <c:pt idx="1">
                  <c:v>0.15286890585046306</c:v>
                </c:pt>
                <c:pt idx="2">
                  <c:v>0.22930335877569458</c:v>
                </c:pt>
                <c:pt idx="3">
                  <c:v>0.30573781170092612</c:v>
                </c:pt>
                <c:pt idx="4">
                  <c:v>0.38217226462615767</c:v>
                </c:pt>
                <c:pt idx="5">
                  <c:v>0.45860671755138921</c:v>
                </c:pt>
                <c:pt idx="6">
                  <c:v>0.5350411704766207</c:v>
                </c:pt>
                <c:pt idx="7">
                  <c:v>0.61147562340185224</c:v>
                </c:pt>
                <c:pt idx="8">
                  <c:v>0.68791007632708379</c:v>
                </c:pt>
                <c:pt idx="9">
                  <c:v>0.76434452925231533</c:v>
                </c:pt>
                <c:pt idx="10">
                  <c:v>0.84077898217754687</c:v>
                </c:pt>
                <c:pt idx="11">
                  <c:v>0.91721343510277842</c:v>
                </c:pt>
                <c:pt idx="12">
                  <c:v>0.99364788802800996</c:v>
                </c:pt>
                <c:pt idx="13">
                  <c:v>1.0700823409532414</c:v>
                </c:pt>
                <c:pt idx="14">
                  <c:v>1.1465167938784728</c:v>
                </c:pt>
                <c:pt idx="15">
                  <c:v>1.2229512468037043</c:v>
                </c:pt>
                <c:pt idx="16">
                  <c:v>1.2993856997289357</c:v>
                </c:pt>
                <c:pt idx="17">
                  <c:v>1.3758201526541671</c:v>
                </c:pt>
                <c:pt idx="18">
                  <c:v>1.4522546055793986</c:v>
                </c:pt>
                <c:pt idx="19">
                  <c:v>1.52868905850463</c:v>
                </c:pt>
                <c:pt idx="20">
                  <c:v>1.6051235114298614</c:v>
                </c:pt>
                <c:pt idx="21">
                  <c:v>1.6815579643550929</c:v>
                </c:pt>
                <c:pt idx="22">
                  <c:v>1.7579924172803243</c:v>
                </c:pt>
                <c:pt idx="23">
                  <c:v>1.8344268702055557</c:v>
                </c:pt>
                <c:pt idx="24">
                  <c:v>1.9108613231307872</c:v>
                </c:pt>
                <c:pt idx="25">
                  <c:v>1.9872957760560186</c:v>
                </c:pt>
                <c:pt idx="26">
                  <c:v>2.06373022898125</c:v>
                </c:pt>
                <c:pt idx="27">
                  <c:v>2.1401646819064815</c:v>
                </c:pt>
                <c:pt idx="28">
                  <c:v>2.2165991348317129</c:v>
                </c:pt>
                <c:pt idx="29">
                  <c:v>2.2930335877569443</c:v>
                </c:pt>
                <c:pt idx="30">
                  <c:v>2.3694680406821758</c:v>
                </c:pt>
                <c:pt idx="31">
                  <c:v>2.4459024936074072</c:v>
                </c:pt>
                <c:pt idx="32">
                  <c:v>2.5223369465326386</c:v>
                </c:pt>
                <c:pt idx="33">
                  <c:v>2.5987713994578701</c:v>
                </c:pt>
                <c:pt idx="34">
                  <c:v>2.6752058523831015</c:v>
                </c:pt>
                <c:pt idx="35">
                  <c:v>2.7516403053083329</c:v>
                </c:pt>
                <c:pt idx="36">
                  <c:v>2.8280747582335644</c:v>
                </c:pt>
                <c:pt idx="37">
                  <c:v>2.9045092111587958</c:v>
                </c:pt>
                <c:pt idx="38">
                  <c:v>2.9809436640840272</c:v>
                </c:pt>
                <c:pt idx="39">
                  <c:v>3.0573781170092587</c:v>
                </c:pt>
                <c:pt idx="40">
                  <c:v>3.1338125699344901</c:v>
                </c:pt>
                <c:pt idx="41">
                  <c:v>3.2102470228597215</c:v>
                </c:pt>
                <c:pt idx="42">
                  <c:v>3.286681475784953</c:v>
                </c:pt>
                <c:pt idx="43">
                  <c:v>3.3631159287101844</c:v>
                </c:pt>
                <c:pt idx="44">
                  <c:v>3.4395503816354158</c:v>
                </c:pt>
                <c:pt idx="45">
                  <c:v>3.5159848345606473</c:v>
                </c:pt>
                <c:pt idx="46">
                  <c:v>3.5924192874858787</c:v>
                </c:pt>
                <c:pt idx="47">
                  <c:v>3.6688537404111101</c:v>
                </c:pt>
                <c:pt idx="48">
                  <c:v>3.7452881933363416</c:v>
                </c:pt>
                <c:pt idx="49">
                  <c:v>3.821722646261573</c:v>
                </c:pt>
                <c:pt idx="50">
                  <c:v>3.8981570991868044</c:v>
                </c:pt>
                <c:pt idx="51">
                  <c:v>3.9745915521120359</c:v>
                </c:pt>
              </c:numCache>
            </c:numRef>
          </c:val>
          <c:smooth val="0"/>
          <c:extLst xmlns:c15="http://schemas.microsoft.com/office/drawing/2012/chart">
            <c:ext xmlns:c16="http://schemas.microsoft.com/office/drawing/2014/chart" uri="{C3380CC4-5D6E-409C-BE32-E72D297353CC}">
              <c16:uniqueId val="{00000005-104C-411E-9EB5-31FB1E8AAD84}"/>
            </c:ext>
          </c:extLst>
        </c:ser>
        <c:dLbls>
          <c:showLegendKey val="0"/>
          <c:showVal val="0"/>
          <c:showCatName val="0"/>
          <c:showSerName val="0"/>
          <c:showPercent val="0"/>
          <c:showBubbleSize val="0"/>
        </c:dLbls>
        <c:smooth val="0"/>
        <c:axId val="1388952432"/>
        <c:axId val="1388953088"/>
        <c:extLst>
          <c:ext xmlns:c15="http://schemas.microsoft.com/office/drawing/2012/chart" uri="{02D57815-91ED-43cb-92C2-25804820EDAC}">
            <c15:filteredLineSeries>
              <c15:ser>
                <c:idx val="3"/>
                <c:order val="1"/>
                <c:tx>
                  <c:strRef>
                    <c:extLst>
                      <c:ext uri="{02D57815-91ED-43cb-92C2-25804820EDAC}">
                        <c15:formulaRef>
                          <c15:sqref>'PBL OLD'!$CV$6:$CV$7</c15:sqref>
                        </c15:formulaRef>
                      </c:ext>
                    </c:extLst>
                    <c:strCache>
                      <c:ptCount val="2"/>
                      <c:pt idx="0">
                        <c:v>Min</c:v>
                      </c:pt>
                    </c:strCache>
                  </c:strRef>
                </c:tx>
                <c:marker>
                  <c:symbol val="none"/>
                </c:marker>
                <c:cat>
                  <c:numRef>
                    <c:extLst>
                      <c:ex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c:ext uri="{02D57815-91ED-43cb-92C2-25804820EDAC}">
                        <c15:formulaRef>
                          <c15:sqref>'PBL OLD'!$CV$8:$CV$60</c15:sqref>
                        </c15:formulaRef>
                      </c:ext>
                    </c:extLst>
                    <c:numCache>
                      <c:formatCode>0.000</c:formatCode>
                      <c:ptCount val="53"/>
                      <c:pt idx="0">
                        <c:v>3.7943638869952147E-2</c:v>
                      </c:pt>
                      <c:pt idx="1">
                        <c:v>7.5887277739904294E-2</c:v>
                      </c:pt>
                      <c:pt idx="2">
                        <c:v>0.11383091660985645</c:v>
                      </c:pt>
                      <c:pt idx="3">
                        <c:v>0.15177455547980859</c:v>
                      </c:pt>
                      <c:pt idx="4">
                        <c:v>0.18971819434976073</c:v>
                      </c:pt>
                      <c:pt idx="5">
                        <c:v>0.22766183321971287</c:v>
                      </c:pt>
                      <c:pt idx="6">
                        <c:v>0.26560547208966501</c:v>
                      </c:pt>
                      <c:pt idx="7">
                        <c:v>0.30354911095961717</c:v>
                      </c:pt>
                      <c:pt idx="8">
                        <c:v>0.34149274982956934</c:v>
                      </c:pt>
                      <c:pt idx="9">
                        <c:v>0.37943638869952151</c:v>
                      </c:pt>
                      <c:pt idx="10">
                        <c:v>0.41738002756947368</c:v>
                      </c:pt>
                      <c:pt idx="11">
                        <c:v>0.45532366643942584</c:v>
                      </c:pt>
                      <c:pt idx="12">
                        <c:v>0.49326730530937801</c:v>
                      </c:pt>
                      <c:pt idx="13">
                        <c:v>0.53121094417933012</c:v>
                      </c:pt>
                      <c:pt idx="14">
                        <c:v>0.56915458304928224</c:v>
                      </c:pt>
                      <c:pt idx="15">
                        <c:v>0.60709822191923435</c:v>
                      </c:pt>
                      <c:pt idx="16">
                        <c:v>0.64504186078918646</c:v>
                      </c:pt>
                      <c:pt idx="17">
                        <c:v>0.68298549965913857</c:v>
                      </c:pt>
                      <c:pt idx="18">
                        <c:v>0.72092913852909069</c:v>
                      </c:pt>
                      <c:pt idx="19">
                        <c:v>0.7588727773990428</c:v>
                      </c:pt>
                      <c:pt idx="20">
                        <c:v>0.79681641626899491</c:v>
                      </c:pt>
                      <c:pt idx="21">
                        <c:v>0.83476005513894702</c:v>
                      </c:pt>
                      <c:pt idx="22">
                        <c:v>0.87270369400889913</c:v>
                      </c:pt>
                      <c:pt idx="23">
                        <c:v>0.91064733287885125</c:v>
                      </c:pt>
                      <c:pt idx="24">
                        <c:v>0.94859097174880336</c:v>
                      </c:pt>
                      <c:pt idx="25">
                        <c:v>0.98653461061875547</c:v>
                      </c:pt>
                      <c:pt idx="26">
                        <c:v>1.0244782494887077</c:v>
                      </c:pt>
                      <c:pt idx="27">
                        <c:v>1.0624218883586598</c:v>
                      </c:pt>
                      <c:pt idx="28">
                        <c:v>1.1003655272286119</c:v>
                      </c:pt>
                      <c:pt idx="29">
                        <c:v>1.138309166098564</c:v>
                      </c:pt>
                      <c:pt idx="30">
                        <c:v>1.1762528049685161</c:v>
                      </c:pt>
                      <c:pt idx="31">
                        <c:v>1.2141964438384683</c:v>
                      </c:pt>
                      <c:pt idx="32">
                        <c:v>1.2521400827084204</c:v>
                      </c:pt>
                      <c:pt idx="33">
                        <c:v>1.2900837215783725</c:v>
                      </c:pt>
                      <c:pt idx="34">
                        <c:v>1.3280273604483246</c:v>
                      </c:pt>
                      <c:pt idx="35">
                        <c:v>1.3659709993182767</c:v>
                      </c:pt>
                      <c:pt idx="36">
                        <c:v>1.4039146381882288</c:v>
                      </c:pt>
                      <c:pt idx="37">
                        <c:v>1.4418582770581809</c:v>
                      </c:pt>
                      <c:pt idx="38">
                        <c:v>1.479801915928133</c:v>
                      </c:pt>
                      <c:pt idx="39">
                        <c:v>1.5177455547980852</c:v>
                      </c:pt>
                      <c:pt idx="40">
                        <c:v>1.5556891936680373</c:v>
                      </c:pt>
                      <c:pt idx="41">
                        <c:v>1.5936328325379894</c:v>
                      </c:pt>
                      <c:pt idx="42">
                        <c:v>1.6315764714079415</c:v>
                      </c:pt>
                      <c:pt idx="43">
                        <c:v>1.6695201102778936</c:v>
                      </c:pt>
                      <c:pt idx="44">
                        <c:v>1.7074637491478457</c:v>
                      </c:pt>
                      <c:pt idx="45">
                        <c:v>1.7454073880177978</c:v>
                      </c:pt>
                      <c:pt idx="46">
                        <c:v>1.7833510268877499</c:v>
                      </c:pt>
                      <c:pt idx="47">
                        <c:v>1.821294665757702</c:v>
                      </c:pt>
                      <c:pt idx="48">
                        <c:v>1.8592383046276542</c:v>
                      </c:pt>
                      <c:pt idx="49">
                        <c:v>1.8971819434976063</c:v>
                      </c:pt>
                      <c:pt idx="50">
                        <c:v>1.9351255823675584</c:v>
                      </c:pt>
                      <c:pt idx="51">
                        <c:v>1.9730692212375105</c:v>
                      </c:pt>
                    </c:numCache>
                  </c:numRef>
                </c:val>
                <c:smooth val="0"/>
                <c:extLst>
                  <c:ext xmlns:c16="http://schemas.microsoft.com/office/drawing/2014/chart" uri="{C3380CC4-5D6E-409C-BE32-E72D297353CC}">
                    <c16:uniqueId val="{00000006-104C-411E-9EB5-31FB1E8AAD84}"/>
                  </c:ext>
                </c:extLst>
              </c15:ser>
            </c15:filteredLineSeries>
            <c15:filteredLineSeries>
              <c15:ser>
                <c:idx val="5"/>
                <c:order val="2"/>
                <c:tx>
                  <c:strRef>
                    <c:extLst xmlns:c15="http://schemas.microsoft.com/office/drawing/2012/chart">
                      <c:ext xmlns:c15="http://schemas.microsoft.com/office/drawing/2012/chart" uri="{02D57815-91ED-43cb-92C2-25804820EDAC}">
                        <c15:formulaRef>
                          <c15:sqref>'PBL OLD'!$CW$6:$CW$7</c15:sqref>
                        </c15:formulaRef>
                      </c:ext>
                    </c:extLst>
                    <c:strCache>
                      <c:ptCount val="2"/>
                      <c:pt idx="0">
                        <c:v>1st Percentile</c:v>
                      </c:pt>
                    </c:strCache>
                  </c:strRef>
                </c:tx>
                <c:spPr>
                  <a:ln w="28575" cap="rnd">
                    <a:solidFill>
                      <a:schemeClr val="accent6"/>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OLD'!$CW$8:$CW$60</c15:sqref>
                        </c15:formulaRef>
                      </c:ext>
                    </c:extLst>
                    <c:numCache>
                      <c:formatCode>0.000</c:formatCode>
                      <c:ptCount val="53"/>
                      <c:pt idx="0">
                        <c:v>4.5436313528305135E-2</c:v>
                      </c:pt>
                      <c:pt idx="1">
                        <c:v>9.087262705661027E-2</c:v>
                      </c:pt>
                      <c:pt idx="2">
                        <c:v>0.13630894058491541</c:v>
                      </c:pt>
                      <c:pt idx="3">
                        <c:v>0.18174525411322054</c:v>
                      </c:pt>
                      <c:pt idx="4">
                        <c:v>0.22718156764152567</c:v>
                      </c:pt>
                      <c:pt idx="5">
                        <c:v>0.27261788116983082</c:v>
                      </c:pt>
                      <c:pt idx="6">
                        <c:v>0.31805419469813595</c:v>
                      </c:pt>
                      <c:pt idx="7">
                        <c:v>0.36349050822644108</c:v>
                      </c:pt>
                      <c:pt idx="8">
                        <c:v>0.40892682175474621</c:v>
                      </c:pt>
                      <c:pt idx="9">
                        <c:v>0.45436313528305133</c:v>
                      </c:pt>
                      <c:pt idx="10">
                        <c:v>0.49979944881135646</c:v>
                      </c:pt>
                      <c:pt idx="11">
                        <c:v>0.54523576233966164</c:v>
                      </c:pt>
                      <c:pt idx="12">
                        <c:v>0.59067207586796677</c:v>
                      </c:pt>
                      <c:pt idx="13">
                        <c:v>0.6361083893962719</c:v>
                      </c:pt>
                      <c:pt idx="14">
                        <c:v>0.68154470292457703</c:v>
                      </c:pt>
                      <c:pt idx="15">
                        <c:v>0.72698101645288216</c:v>
                      </c:pt>
                      <c:pt idx="16">
                        <c:v>0.77241732998118728</c:v>
                      </c:pt>
                      <c:pt idx="17">
                        <c:v>0.81785364350949241</c:v>
                      </c:pt>
                      <c:pt idx="18">
                        <c:v>0.86328995703779754</c:v>
                      </c:pt>
                      <c:pt idx="19">
                        <c:v>0.90872627056610267</c:v>
                      </c:pt>
                      <c:pt idx="20">
                        <c:v>0.9541625840944078</c:v>
                      </c:pt>
                      <c:pt idx="21">
                        <c:v>0.99959889762271292</c:v>
                      </c:pt>
                      <c:pt idx="22">
                        <c:v>1.0450352111510182</c:v>
                      </c:pt>
                      <c:pt idx="23">
                        <c:v>1.0904715246793233</c:v>
                      </c:pt>
                      <c:pt idx="24">
                        <c:v>1.1359078382076284</c:v>
                      </c:pt>
                      <c:pt idx="25">
                        <c:v>1.1813441517359335</c:v>
                      </c:pt>
                      <c:pt idx="26">
                        <c:v>1.2267804652642387</c:v>
                      </c:pt>
                      <c:pt idx="27">
                        <c:v>1.2722167787925438</c:v>
                      </c:pt>
                      <c:pt idx="28">
                        <c:v>1.3176530923208489</c:v>
                      </c:pt>
                      <c:pt idx="29">
                        <c:v>1.3630894058491541</c:v>
                      </c:pt>
                      <c:pt idx="30">
                        <c:v>1.4085257193774592</c:v>
                      </c:pt>
                      <c:pt idx="31">
                        <c:v>1.4539620329057643</c:v>
                      </c:pt>
                      <c:pt idx="32">
                        <c:v>1.4993983464340694</c:v>
                      </c:pt>
                      <c:pt idx="33">
                        <c:v>1.5448346599623746</c:v>
                      </c:pt>
                      <c:pt idx="34">
                        <c:v>1.5902709734906797</c:v>
                      </c:pt>
                      <c:pt idx="35">
                        <c:v>1.6357072870189848</c:v>
                      </c:pt>
                      <c:pt idx="36">
                        <c:v>1.68114360054729</c:v>
                      </c:pt>
                      <c:pt idx="37">
                        <c:v>1.7265799140755951</c:v>
                      </c:pt>
                      <c:pt idx="38">
                        <c:v>1.7720162276039002</c:v>
                      </c:pt>
                      <c:pt idx="39">
                        <c:v>1.8174525411322053</c:v>
                      </c:pt>
                      <c:pt idx="40">
                        <c:v>1.8628888546605105</c:v>
                      </c:pt>
                      <c:pt idx="41">
                        <c:v>1.9083251681888156</c:v>
                      </c:pt>
                      <c:pt idx="42">
                        <c:v>1.9537614817171207</c:v>
                      </c:pt>
                      <c:pt idx="43">
                        <c:v>1.9991977952454258</c:v>
                      </c:pt>
                      <c:pt idx="44">
                        <c:v>2.0446341087737312</c:v>
                      </c:pt>
                      <c:pt idx="45">
                        <c:v>2.0900704223020363</c:v>
                      </c:pt>
                      <c:pt idx="46">
                        <c:v>2.1355067358303415</c:v>
                      </c:pt>
                      <c:pt idx="47">
                        <c:v>2.1809430493586466</c:v>
                      </c:pt>
                      <c:pt idx="48">
                        <c:v>2.2263793628869517</c:v>
                      </c:pt>
                      <c:pt idx="49">
                        <c:v>2.2718156764152568</c:v>
                      </c:pt>
                      <c:pt idx="50">
                        <c:v>2.317251989943562</c:v>
                      </c:pt>
                      <c:pt idx="51">
                        <c:v>2.3626883034718671</c:v>
                      </c:pt>
                    </c:numCache>
                  </c:numRef>
                </c:val>
                <c:smooth val="0"/>
                <c:extLst xmlns:c15="http://schemas.microsoft.com/office/drawing/2012/chart">
                  <c:ext xmlns:c16="http://schemas.microsoft.com/office/drawing/2014/chart" uri="{C3380CC4-5D6E-409C-BE32-E72D297353CC}">
                    <c16:uniqueId val="{00000007-104C-411E-9EB5-31FB1E8AAD84}"/>
                  </c:ext>
                </c:extLst>
              </c15:ser>
            </c15:filteredLineSeries>
            <c15:filteredLineSeries>
              <c15:ser>
                <c:idx val="1"/>
                <c:order val="4"/>
                <c:tx>
                  <c:strRef>
                    <c:extLst xmlns:c15="http://schemas.microsoft.com/office/drawing/2012/chart">
                      <c:ext xmlns:c15="http://schemas.microsoft.com/office/drawing/2012/chart" uri="{02D57815-91ED-43cb-92C2-25804820EDAC}">
                        <c15:formulaRef>
                          <c15:sqref>'PBL OLD'!$CY$6:$CY$7</c15:sqref>
                        </c15:formulaRef>
                      </c:ext>
                    </c:extLst>
                    <c:strCache>
                      <c:ptCount val="2"/>
                      <c:pt idx="0">
                        <c:v>10th Percentile</c:v>
                      </c:pt>
                    </c:strCache>
                  </c:strRef>
                </c:tx>
                <c:spPr>
                  <a:ln w="28575" cap="rnd" cmpd="sng">
                    <a:solidFill>
                      <a:schemeClr val="accent2"/>
                    </a:solidFill>
                    <a:prstDash val="sysDot"/>
                    <a:round/>
                    <a:headEnd type="none"/>
                  </a:ln>
                  <a:effectLst/>
                </c:spPr>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OLD'!$CY$8:$CY$60</c15:sqref>
                        </c15:formulaRef>
                      </c:ext>
                    </c:extLst>
                    <c:numCache>
                      <c:formatCode>0.000</c:formatCode>
                      <c:ptCount val="53"/>
                      <c:pt idx="0">
                        <c:v>5.0502007292025322E-2</c:v>
                      </c:pt>
                      <c:pt idx="1">
                        <c:v>0.10100401458405064</c:v>
                      </c:pt>
                      <c:pt idx="2">
                        <c:v>0.15150602187607598</c:v>
                      </c:pt>
                      <c:pt idx="3">
                        <c:v>0.20200802916810129</c:v>
                      </c:pt>
                      <c:pt idx="4">
                        <c:v>0.2525100364601266</c:v>
                      </c:pt>
                      <c:pt idx="5">
                        <c:v>0.30301204375215191</c:v>
                      </c:pt>
                      <c:pt idx="6">
                        <c:v>0.35351405104417721</c:v>
                      </c:pt>
                      <c:pt idx="7">
                        <c:v>0.40401605833620252</c:v>
                      </c:pt>
                      <c:pt idx="8">
                        <c:v>0.45451806562822783</c:v>
                      </c:pt>
                      <c:pt idx="9">
                        <c:v>0.50502007292025319</c:v>
                      </c:pt>
                      <c:pt idx="10">
                        <c:v>0.55552208021227856</c:v>
                      </c:pt>
                      <c:pt idx="11">
                        <c:v>0.60602408750430392</c:v>
                      </c:pt>
                      <c:pt idx="12">
                        <c:v>0.65652609479632928</c:v>
                      </c:pt>
                      <c:pt idx="13">
                        <c:v>0.70702810208835465</c:v>
                      </c:pt>
                      <c:pt idx="14">
                        <c:v>0.75753010938038001</c:v>
                      </c:pt>
                      <c:pt idx="15">
                        <c:v>0.80803211667240538</c:v>
                      </c:pt>
                      <c:pt idx="16">
                        <c:v>0.85853412396443074</c:v>
                      </c:pt>
                      <c:pt idx="17">
                        <c:v>0.9090361312564561</c:v>
                      </c:pt>
                      <c:pt idx="18">
                        <c:v>0.95953813854848147</c:v>
                      </c:pt>
                      <c:pt idx="19">
                        <c:v>1.0100401458405068</c:v>
                      </c:pt>
                      <c:pt idx="20">
                        <c:v>1.0605421531325321</c:v>
                      </c:pt>
                      <c:pt idx="21">
                        <c:v>1.1110441604245573</c:v>
                      </c:pt>
                      <c:pt idx="22">
                        <c:v>1.1615461677165826</c:v>
                      </c:pt>
                      <c:pt idx="23">
                        <c:v>1.2120481750086078</c:v>
                      </c:pt>
                      <c:pt idx="24">
                        <c:v>1.2625501823006331</c:v>
                      </c:pt>
                      <c:pt idx="25">
                        <c:v>1.3130521895926583</c:v>
                      </c:pt>
                      <c:pt idx="26">
                        <c:v>1.3635541968846836</c:v>
                      </c:pt>
                      <c:pt idx="27">
                        <c:v>1.4140562041767089</c:v>
                      </c:pt>
                      <c:pt idx="28">
                        <c:v>1.4645582114687341</c:v>
                      </c:pt>
                      <c:pt idx="29">
                        <c:v>1.5150602187607594</c:v>
                      </c:pt>
                      <c:pt idx="30">
                        <c:v>1.5655622260527846</c:v>
                      </c:pt>
                      <c:pt idx="31">
                        <c:v>1.6160642333448099</c:v>
                      </c:pt>
                      <c:pt idx="32">
                        <c:v>1.6665662406368351</c:v>
                      </c:pt>
                      <c:pt idx="33">
                        <c:v>1.7170682479288604</c:v>
                      </c:pt>
                      <c:pt idx="34">
                        <c:v>1.7675702552208856</c:v>
                      </c:pt>
                      <c:pt idx="35">
                        <c:v>1.8180722625129109</c:v>
                      </c:pt>
                      <c:pt idx="36">
                        <c:v>1.8685742698049361</c:v>
                      </c:pt>
                      <c:pt idx="37">
                        <c:v>1.9190762770969614</c:v>
                      </c:pt>
                      <c:pt idx="38">
                        <c:v>1.9695782843889866</c:v>
                      </c:pt>
                      <c:pt idx="39">
                        <c:v>2.0200802916810119</c:v>
                      </c:pt>
                      <c:pt idx="40">
                        <c:v>2.0705822989730374</c:v>
                      </c:pt>
                      <c:pt idx="41">
                        <c:v>2.1210843062650628</c:v>
                      </c:pt>
                      <c:pt idx="42">
                        <c:v>2.1715863135570883</c:v>
                      </c:pt>
                      <c:pt idx="43">
                        <c:v>2.2220883208491138</c:v>
                      </c:pt>
                      <c:pt idx="44">
                        <c:v>2.2725903281411393</c:v>
                      </c:pt>
                      <c:pt idx="45">
                        <c:v>2.3230923354331647</c:v>
                      </c:pt>
                      <c:pt idx="46">
                        <c:v>2.3735943427251902</c:v>
                      </c:pt>
                      <c:pt idx="47">
                        <c:v>2.4240963500172157</c:v>
                      </c:pt>
                      <c:pt idx="48">
                        <c:v>2.4745983573092412</c:v>
                      </c:pt>
                      <c:pt idx="49">
                        <c:v>2.5251003646012666</c:v>
                      </c:pt>
                      <c:pt idx="50">
                        <c:v>2.5756023718932921</c:v>
                      </c:pt>
                      <c:pt idx="51">
                        <c:v>2.6261043791853176</c:v>
                      </c:pt>
                    </c:numCache>
                  </c:numRef>
                </c:val>
                <c:smooth val="0"/>
                <c:extLst xmlns:c15="http://schemas.microsoft.com/office/drawing/2012/chart">
                  <c:ext xmlns:c16="http://schemas.microsoft.com/office/drawing/2014/chart" uri="{C3380CC4-5D6E-409C-BE32-E72D297353CC}">
                    <c16:uniqueId val="{00000008-104C-411E-9EB5-31FB1E8AAD84}"/>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'PBL OLD'!$DC$6:$DC$7</c15:sqref>
                        </c15:formulaRef>
                      </c:ext>
                    </c:extLst>
                    <c:strCache>
                      <c:ptCount val="2"/>
                      <c:pt idx="0">
                        <c:v>90th Percentile</c:v>
                      </c:pt>
                    </c:strCache>
                  </c:strRef>
                </c:tx>
                <c:spPr>
                  <a:ln w="28575">
                    <a:solidFill>
                      <a:schemeClr val="accent1"/>
                    </a:solidFill>
                    <a:prstDash val="sysDot"/>
                  </a:ln>
                </c:spPr>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OLD'!$DC$8:$DC$60</c15:sqref>
                        </c15:formulaRef>
                      </c:ext>
                    </c:extLst>
                    <c:numCache>
                      <c:formatCode>0.000</c:formatCode>
                      <c:ptCount val="53"/>
                      <c:pt idx="0">
                        <c:v>7.261484324723147E-2</c:v>
                      </c:pt>
                      <c:pt idx="1">
                        <c:v>0.14522968649446294</c:v>
                      </c:pt>
                      <c:pt idx="2">
                        <c:v>0.21784452974169441</c:v>
                      </c:pt>
                      <c:pt idx="3">
                        <c:v>0.29045937298892588</c:v>
                      </c:pt>
                      <c:pt idx="4">
                        <c:v>0.36307421623615732</c:v>
                      </c:pt>
                      <c:pt idx="5">
                        <c:v>0.43568905948338876</c:v>
                      </c:pt>
                      <c:pt idx="6">
                        <c:v>0.50830390273062021</c:v>
                      </c:pt>
                      <c:pt idx="7">
                        <c:v>0.58091874597785165</c:v>
                      </c:pt>
                      <c:pt idx="8">
                        <c:v>0.65353358922508309</c:v>
                      </c:pt>
                      <c:pt idx="9">
                        <c:v>0.72614843247231453</c:v>
                      </c:pt>
                      <c:pt idx="10">
                        <c:v>0.79876327571954597</c:v>
                      </c:pt>
                      <c:pt idx="11">
                        <c:v>0.87137811896677742</c:v>
                      </c:pt>
                      <c:pt idx="12">
                        <c:v>0.94399296221400886</c:v>
                      </c:pt>
                      <c:pt idx="13">
                        <c:v>1.0166078054612404</c:v>
                      </c:pt>
                      <c:pt idx="14">
                        <c:v>1.089222648708472</c:v>
                      </c:pt>
                      <c:pt idx="15">
                        <c:v>1.1618374919557035</c:v>
                      </c:pt>
                      <c:pt idx="16">
                        <c:v>1.2344523352029351</c:v>
                      </c:pt>
                      <c:pt idx="17">
                        <c:v>1.3070671784501666</c:v>
                      </c:pt>
                      <c:pt idx="18">
                        <c:v>1.3796820216973982</c:v>
                      </c:pt>
                      <c:pt idx="19">
                        <c:v>1.4522968649446297</c:v>
                      </c:pt>
                      <c:pt idx="20">
                        <c:v>1.5249117081918613</c:v>
                      </c:pt>
                      <c:pt idx="21">
                        <c:v>1.5975265514390928</c:v>
                      </c:pt>
                      <c:pt idx="22">
                        <c:v>1.6701413946863244</c:v>
                      </c:pt>
                      <c:pt idx="23">
                        <c:v>1.7427562379335559</c:v>
                      </c:pt>
                      <c:pt idx="24">
                        <c:v>1.8153710811807875</c:v>
                      </c:pt>
                      <c:pt idx="25">
                        <c:v>1.887985924428019</c:v>
                      </c:pt>
                      <c:pt idx="26">
                        <c:v>1.9606007676752506</c:v>
                      </c:pt>
                      <c:pt idx="27">
                        <c:v>2.0332156109224822</c:v>
                      </c:pt>
                      <c:pt idx="28">
                        <c:v>2.1058304541697135</c:v>
                      </c:pt>
                      <c:pt idx="29">
                        <c:v>2.1784452974169448</c:v>
                      </c:pt>
                      <c:pt idx="30">
                        <c:v>2.2510601406641761</c:v>
                      </c:pt>
                      <c:pt idx="31">
                        <c:v>2.3236749839114075</c:v>
                      </c:pt>
                      <c:pt idx="32">
                        <c:v>2.3962898271586388</c:v>
                      </c:pt>
                      <c:pt idx="33">
                        <c:v>2.4689046704058701</c:v>
                      </c:pt>
                      <c:pt idx="34">
                        <c:v>2.5415195136531015</c:v>
                      </c:pt>
                      <c:pt idx="35">
                        <c:v>2.6141343569003328</c:v>
                      </c:pt>
                      <c:pt idx="36">
                        <c:v>2.6867492001475641</c:v>
                      </c:pt>
                      <c:pt idx="37">
                        <c:v>2.7593640433947955</c:v>
                      </c:pt>
                      <c:pt idx="38">
                        <c:v>2.8319788866420268</c:v>
                      </c:pt>
                      <c:pt idx="39">
                        <c:v>2.9045937298892581</c:v>
                      </c:pt>
                      <c:pt idx="40">
                        <c:v>2.9772085731364895</c:v>
                      </c:pt>
                      <c:pt idx="41">
                        <c:v>3.0498234163837208</c:v>
                      </c:pt>
                      <c:pt idx="42">
                        <c:v>3.1224382596309521</c:v>
                      </c:pt>
                      <c:pt idx="43">
                        <c:v>3.1950531028781834</c:v>
                      </c:pt>
                      <c:pt idx="44">
                        <c:v>3.2676679461254148</c:v>
                      </c:pt>
                      <c:pt idx="45">
                        <c:v>3.3402827893726461</c:v>
                      </c:pt>
                      <c:pt idx="46">
                        <c:v>3.4128976326198774</c:v>
                      </c:pt>
                      <c:pt idx="47">
                        <c:v>3.4855124758671088</c:v>
                      </c:pt>
                      <c:pt idx="48">
                        <c:v>3.5581273191143401</c:v>
                      </c:pt>
                      <c:pt idx="49">
                        <c:v>3.6307421623615714</c:v>
                      </c:pt>
                      <c:pt idx="50">
                        <c:v>3.7033570056088028</c:v>
                      </c:pt>
                      <c:pt idx="51">
                        <c:v>3.7759718488560341</c:v>
                      </c:pt>
                    </c:numCache>
                  </c:numRef>
                </c:val>
                <c:smooth val="0"/>
                <c:extLst xmlns:c15="http://schemas.microsoft.com/office/drawing/2012/chart">
                  <c:ext xmlns:c16="http://schemas.microsoft.com/office/drawing/2014/chart" uri="{C3380CC4-5D6E-409C-BE32-E72D297353CC}">
                    <c16:uniqueId val="{00000009-104C-411E-9EB5-31FB1E8AAD84}"/>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'PBL OLD'!$DE$6:$DE$7</c15:sqref>
                        </c15:formulaRef>
                      </c:ext>
                    </c:extLst>
                    <c:strCache>
                      <c:ptCount val="2"/>
                      <c:pt idx="0">
                        <c:v>99th Percentile</c:v>
                      </c:pt>
                    </c:strCache>
                  </c:strRef>
                </c:tx>
                <c:spPr>
                  <a:ln w="28575">
                    <a:solidFill>
                      <a:schemeClr val="accent1"/>
                    </a:solidFill>
                    <a:prstDash val="sysDot"/>
                  </a:ln>
                </c:spPr>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OLD'!$DE$8:$DE$60</c15:sqref>
                        </c15:formulaRef>
                      </c:ext>
                    </c:extLst>
                    <c:numCache>
                      <c:formatCode>0.000</c:formatCode>
                      <c:ptCount val="53"/>
                      <c:pt idx="0">
                        <c:v>8.472863847550996E-2</c:v>
                      </c:pt>
                      <c:pt idx="1">
                        <c:v>0.16945727695101992</c:v>
                      </c:pt>
                      <c:pt idx="2">
                        <c:v>0.25418591542652991</c:v>
                      </c:pt>
                      <c:pt idx="3">
                        <c:v>0.33891455390203984</c:v>
                      </c:pt>
                      <c:pt idx="4">
                        <c:v>0.42364319237754977</c:v>
                      </c:pt>
                      <c:pt idx="5">
                        <c:v>0.5083718308530597</c:v>
                      </c:pt>
                      <c:pt idx="6">
                        <c:v>0.59310046932856963</c:v>
                      </c:pt>
                      <c:pt idx="7">
                        <c:v>0.67782910780407957</c:v>
                      </c:pt>
                      <c:pt idx="8">
                        <c:v>0.7625577462795895</c:v>
                      </c:pt>
                      <c:pt idx="9">
                        <c:v>0.84728638475509943</c:v>
                      </c:pt>
                      <c:pt idx="10">
                        <c:v>0.93201502323060936</c:v>
                      </c:pt>
                      <c:pt idx="11">
                        <c:v>1.0167436617061194</c:v>
                      </c:pt>
                      <c:pt idx="12">
                        <c:v>1.1014723001816293</c:v>
                      </c:pt>
                      <c:pt idx="13">
                        <c:v>1.1862009386571393</c:v>
                      </c:pt>
                      <c:pt idx="14">
                        <c:v>1.2709295771326492</c:v>
                      </c:pt>
                      <c:pt idx="15">
                        <c:v>1.3556582156081591</c:v>
                      </c:pt>
                      <c:pt idx="16">
                        <c:v>1.4403868540836691</c:v>
                      </c:pt>
                      <c:pt idx="17">
                        <c:v>1.525115492559179</c:v>
                      </c:pt>
                      <c:pt idx="18">
                        <c:v>1.6098441310346889</c:v>
                      </c:pt>
                      <c:pt idx="19">
                        <c:v>1.6945727695101989</c:v>
                      </c:pt>
                      <c:pt idx="20">
                        <c:v>1.7793014079857088</c:v>
                      </c:pt>
                      <c:pt idx="21">
                        <c:v>1.8640300464612187</c:v>
                      </c:pt>
                      <c:pt idx="22">
                        <c:v>1.9487586849367287</c:v>
                      </c:pt>
                      <c:pt idx="23">
                        <c:v>2.0334873234122388</c:v>
                      </c:pt>
                      <c:pt idx="24">
                        <c:v>2.1182159618877487</c:v>
                      </c:pt>
                      <c:pt idx="25">
                        <c:v>2.2029446003632587</c:v>
                      </c:pt>
                      <c:pt idx="26">
                        <c:v>2.2876732388387686</c:v>
                      </c:pt>
                      <c:pt idx="27">
                        <c:v>2.3724018773142785</c:v>
                      </c:pt>
                      <c:pt idx="28">
                        <c:v>2.4571305157897885</c:v>
                      </c:pt>
                      <c:pt idx="29">
                        <c:v>2.5418591542652984</c:v>
                      </c:pt>
                      <c:pt idx="30">
                        <c:v>2.6265877927408083</c:v>
                      </c:pt>
                      <c:pt idx="31">
                        <c:v>2.7113164312163183</c:v>
                      </c:pt>
                      <c:pt idx="32">
                        <c:v>2.7960450696918282</c:v>
                      </c:pt>
                      <c:pt idx="33">
                        <c:v>2.8807737081673381</c:v>
                      </c:pt>
                      <c:pt idx="34">
                        <c:v>2.9655023466428481</c:v>
                      </c:pt>
                      <c:pt idx="35">
                        <c:v>3.050230985118358</c:v>
                      </c:pt>
                      <c:pt idx="36">
                        <c:v>3.1349596235938679</c:v>
                      </c:pt>
                      <c:pt idx="37">
                        <c:v>3.2196882620693779</c:v>
                      </c:pt>
                      <c:pt idx="38">
                        <c:v>3.3044169005448878</c:v>
                      </c:pt>
                      <c:pt idx="39">
                        <c:v>3.3891455390203977</c:v>
                      </c:pt>
                      <c:pt idx="40">
                        <c:v>3.4738741774959077</c:v>
                      </c:pt>
                      <c:pt idx="41">
                        <c:v>3.5586028159714176</c:v>
                      </c:pt>
                      <c:pt idx="42">
                        <c:v>3.6433314544469275</c:v>
                      </c:pt>
                      <c:pt idx="43">
                        <c:v>3.7280600929224375</c:v>
                      </c:pt>
                      <c:pt idx="44">
                        <c:v>3.8127887313979474</c:v>
                      </c:pt>
                      <c:pt idx="45">
                        <c:v>3.8975173698734573</c:v>
                      </c:pt>
                      <c:pt idx="46">
                        <c:v>3.9822460083489672</c:v>
                      </c:pt>
                      <c:pt idx="47">
                        <c:v>4.0669746468244776</c:v>
                      </c:pt>
                      <c:pt idx="48">
                        <c:v>4.1517032852999876</c:v>
                      </c:pt>
                      <c:pt idx="49">
                        <c:v>4.2364319237754975</c:v>
                      </c:pt>
                      <c:pt idx="50">
                        <c:v>4.3211605622510074</c:v>
                      </c:pt>
                      <c:pt idx="51">
                        <c:v>4.4058892007265174</c:v>
                      </c:pt>
                    </c:numCache>
                  </c:numRef>
                </c:val>
                <c:smooth val="0"/>
                <c:extLst xmlns:c15="http://schemas.microsoft.com/office/drawing/2012/chart">
                  <c:ext xmlns:c16="http://schemas.microsoft.com/office/drawing/2014/chart" uri="{C3380CC4-5D6E-409C-BE32-E72D297353CC}">
                    <c16:uniqueId val="{0000000A-104C-411E-9EB5-31FB1E8AAD84}"/>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'PBL OLD'!$DF$6:$DF$7</c15:sqref>
                        </c15:formulaRef>
                      </c:ext>
                    </c:extLst>
                    <c:strCache>
                      <c:ptCount val="2"/>
                      <c:pt idx="0">
                        <c:v>Max</c:v>
                      </c:pt>
                    </c:strCache>
                  </c:strRef>
                </c:tx>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OLD'!$DF$8:$DF$60</c15:sqref>
                        </c15:formulaRef>
                      </c:ext>
                    </c:extLst>
                    <c:numCache>
                      <c:formatCode>0.000</c:formatCode>
                      <c:ptCount val="53"/>
                      <c:pt idx="0">
                        <c:v>0.10288241710741779</c:v>
                      </c:pt>
                      <c:pt idx="1">
                        <c:v>0.20576483421483557</c:v>
                      </c:pt>
                      <c:pt idx="2">
                        <c:v>0.30864725132225335</c:v>
                      </c:pt>
                      <c:pt idx="3">
                        <c:v>0.41152966842967115</c:v>
                      </c:pt>
                      <c:pt idx="4">
                        <c:v>0.51441208553708895</c:v>
                      </c:pt>
                      <c:pt idx="5">
                        <c:v>0.61729450264450669</c:v>
                      </c:pt>
                      <c:pt idx="6">
                        <c:v>0.72017691975192444</c:v>
                      </c:pt>
                      <c:pt idx="7">
                        <c:v>0.82305933685934218</c:v>
                      </c:pt>
                      <c:pt idx="8">
                        <c:v>0.92594175396675993</c:v>
                      </c:pt>
                      <c:pt idx="9">
                        <c:v>1.0288241710741777</c:v>
                      </c:pt>
                      <c:pt idx="10">
                        <c:v>1.1317065881815955</c:v>
                      </c:pt>
                      <c:pt idx="11">
                        <c:v>1.2345890052890134</c:v>
                      </c:pt>
                      <c:pt idx="12">
                        <c:v>1.3374714223964312</c:v>
                      </c:pt>
                      <c:pt idx="13">
                        <c:v>1.4403538395038491</c:v>
                      </c:pt>
                      <c:pt idx="14">
                        <c:v>1.543236256611267</c:v>
                      </c:pt>
                      <c:pt idx="15">
                        <c:v>1.6461186737186848</c:v>
                      </c:pt>
                      <c:pt idx="16">
                        <c:v>1.7490010908261027</c:v>
                      </c:pt>
                      <c:pt idx="17">
                        <c:v>1.8518835079335205</c:v>
                      </c:pt>
                      <c:pt idx="18">
                        <c:v>1.9547659250409384</c:v>
                      </c:pt>
                      <c:pt idx="19">
                        <c:v>2.0576483421483562</c:v>
                      </c:pt>
                      <c:pt idx="20">
                        <c:v>2.1605307592557739</c:v>
                      </c:pt>
                      <c:pt idx="21">
                        <c:v>2.2634131763631915</c:v>
                      </c:pt>
                      <c:pt idx="22">
                        <c:v>2.3662955934706091</c:v>
                      </c:pt>
                      <c:pt idx="23">
                        <c:v>2.4691780105780268</c:v>
                      </c:pt>
                      <c:pt idx="24">
                        <c:v>2.5720604276854444</c:v>
                      </c:pt>
                      <c:pt idx="25">
                        <c:v>2.674942844792862</c:v>
                      </c:pt>
                      <c:pt idx="26">
                        <c:v>2.7778252619002797</c:v>
                      </c:pt>
                      <c:pt idx="27">
                        <c:v>2.8807076790076973</c:v>
                      </c:pt>
                      <c:pt idx="28">
                        <c:v>2.9835900961151149</c:v>
                      </c:pt>
                      <c:pt idx="29">
                        <c:v>3.0864725132225326</c:v>
                      </c:pt>
                      <c:pt idx="30">
                        <c:v>3.1893549303299502</c:v>
                      </c:pt>
                      <c:pt idx="31">
                        <c:v>3.2922373474373678</c:v>
                      </c:pt>
                      <c:pt idx="32">
                        <c:v>3.3951197645447855</c:v>
                      </c:pt>
                      <c:pt idx="33">
                        <c:v>3.4980021816522031</c:v>
                      </c:pt>
                      <c:pt idx="34">
                        <c:v>3.6008845987596207</c:v>
                      </c:pt>
                      <c:pt idx="35">
                        <c:v>3.7037670158670384</c:v>
                      </c:pt>
                      <c:pt idx="36">
                        <c:v>3.806649432974456</c:v>
                      </c:pt>
                      <c:pt idx="37">
                        <c:v>3.9095318500818736</c:v>
                      </c:pt>
                      <c:pt idx="38">
                        <c:v>4.0124142671892917</c:v>
                      </c:pt>
                      <c:pt idx="39">
                        <c:v>4.1152966842967098</c:v>
                      </c:pt>
                      <c:pt idx="40">
                        <c:v>4.2181791014041279</c:v>
                      </c:pt>
                      <c:pt idx="41">
                        <c:v>4.321061518511546</c:v>
                      </c:pt>
                      <c:pt idx="42">
                        <c:v>4.423943935618964</c:v>
                      </c:pt>
                      <c:pt idx="43">
                        <c:v>4.5268263527263821</c:v>
                      </c:pt>
                      <c:pt idx="44">
                        <c:v>4.6297087698338002</c:v>
                      </c:pt>
                      <c:pt idx="45">
                        <c:v>4.7325911869412183</c:v>
                      </c:pt>
                      <c:pt idx="46">
                        <c:v>4.8354736040486364</c:v>
                      </c:pt>
                      <c:pt idx="47">
                        <c:v>4.9383560211560544</c:v>
                      </c:pt>
                      <c:pt idx="48">
                        <c:v>5.0412384382634725</c:v>
                      </c:pt>
                      <c:pt idx="49">
                        <c:v>5.1441208553708906</c:v>
                      </c:pt>
                      <c:pt idx="50">
                        <c:v>5.2470032724783087</c:v>
                      </c:pt>
                      <c:pt idx="51">
                        <c:v>5.3498856895857267</c:v>
                      </c:pt>
                    </c:numCache>
                  </c:numRef>
                </c:val>
                <c:smooth val="0"/>
                <c:extLst xmlns:c15="http://schemas.microsoft.com/office/drawing/2012/chart">
                  <c:ext xmlns:c16="http://schemas.microsoft.com/office/drawing/2014/chart" uri="{C3380CC4-5D6E-409C-BE32-E72D297353CC}">
                    <c16:uniqueId val="{0000000B-104C-411E-9EB5-31FB1E8AAD84}"/>
                  </c:ext>
                </c:extLst>
              </c15:ser>
            </c15:filteredLineSeries>
          </c:ext>
        </c:extLst>
      </c:lineChart>
      <c:dateAx>
        <c:axId val="1388952432"/>
        <c:scaling>
          <c:orientation val="minMax"/>
        </c:scaling>
        <c:delete val="0"/>
        <c:axPos val="b"/>
        <c:numFmt formatCode="mmm\-yy_);\(###0\);&quot;-  &quot;;&quot; &quot;@&quot; &quot;" sourceLinked="0"/>
        <c:majorTickMark val="none"/>
        <c:minorTickMark val="none"/>
        <c:tickLblPos val="nextTo"/>
        <c:spPr>
          <a:noFill/>
          <a:ln w="9525" cap="flat" cmpd="sng" algn="ctr">
            <a:noFill/>
            <a:round/>
          </a:ln>
          <a:effectLst/>
        </c:spPr>
        <c:txPr>
          <a:bodyPr rot="-5400000" vert="horz"/>
          <a:lstStyle/>
          <a:p>
            <a:pPr>
              <a:defRPr/>
            </a:pPr>
            <a:endParaRPr lang="en-US"/>
          </a:p>
        </c:txPr>
        <c:crossAx val="1388953088"/>
        <c:crosses val="autoZero"/>
        <c:auto val="1"/>
        <c:lblOffset val="100"/>
        <c:baseTimeUnit val="days"/>
        <c:majorUnit val="1"/>
        <c:majorTimeUnit val="months"/>
      </c:dateAx>
      <c:valAx>
        <c:axId val="1388953088"/>
        <c:scaling>
          <c:orientation val="minMax"/>
          <c:max val="4"/>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vert="horz"/>
          <a:lstStyle/>
          <a:p>
            <a:pPr>
              <a:defRPr/>
            </a:pPr>
            <a:endParaRPr lang="en-US"/>
          </a:p>
        </c:txPr>
        <c:crossAx val="1388952432"/>
        <c:crosses val="autoZero"/>
        <c:crossBetween val="between"/>
      </c:valAx>
    </c:plotArea>
    <c:legend>
      <c:legendPos val="b"/>
      <c:legendEntry>
        <c:idx val="1"/>
        <c:delete val="1"/>
      </c:legendEntry>
      <c:legendEntry>
        <c:idx val="3"/>
        <c:delete val="1"/>
      </c:legendEntry>
      <c:legendEntry>
        <c:idx val="4"/>
        <c:delete val="1"/>
      </c:legendEntry>
      <c:legendEntry>
        <c:idx val="5"/>
        <c:delete val="1"/>
      </c:legendEntry>
      <c:overlay val="0"/>
      <c:spPr>
        <a:noFill/>
        <a:ln>
          <a:noFill/>
        </a:ln>
        <a:effectLst/>
      </c:spPr>
      <c:txPr>
        <a:bodyPr rot="0" vert="horz"/>
        <a:lstStyle/>
        <a:p>
          <a:pPr>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orientation="portrait"/>
  </c:printSettings>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'PBL OLD'!$CU$6:$CU$7</c:f>
              <c:strCache>
                <c:ptCount val="2"/>
                <c:pt idx="0">
                  <c:v>Actual</c:v>
                </c:pt>
              </c:strCache>
            </c:strRef>
          </c:tx>
          <c:spPr>
            <a:ln>
              <a:solidFill>
                <a:schemeClr val="tx2"/>
              </a:solidFill>
            </a:ln>
          </c:spPr>
          <c:marker>
            <c:symbol val="none"/>
          </c:marker>
          <c:cat>
            <c:numRef>
              <c:f>'PBL OLD'!$EQ$8:$EQ$60</c:f>
              <c:numCache>
                <c:formatCode>d\-mmm\-yy_);\(###0\);"-  ";" "@" "</c:formatCode>
                <c:ptCount val="53"/>
                <c:pt idx="0">
                  <c:v>45477</c:v>
                </c:pt>
                <c:pt idx="1">
                  <c:v>45484</c:v>
                </c:pt>
                <c:pt idx="2">
                  <c:v>45491</c:v>
                </c:pt>
                <c:pt idx="3">
                  <c:v>45498</c:v>
                </c:pt>
                <c:pt idx="4">
                  <c:v>45505</c:v>
                </c:pt>
                <c:pt idx="5">
                  <c:v>45512</c:v>
                </c:pt>
                <c:pt idx="6">
                  <c:v>45519</c:v>
                </c:pt>
                <c:pt idx="7">
                  <c:v>45526</c:v>
                </c:pt>
                <c:pt idx="8">
                  <c:v>45533</c:v>
                </c:pt>
                <c:pt idx="9">
                  <c:v>45540</c:v>
                </c:pt>
                <c:pt idx="10">
                  <c:v>45547</c:v>
                </c:pt>
                <c:pt idx="11">
                  <c:v>45554</c:v>
                </c:pt>
                <c:pt idx="12">
                  <c:v>45561</c:v>
                </c:pt>
                <c:pt idx="13">
                  <c:v>45568</c:v>
                </c:pt>
                <c:pt idx="14">
                  <c:v>45575</c:v>
                </c:pt>
                <c:pt idx="15">
                  <c:v>45582</c:v>
                </c:pt>
                <c:pt idx="16">
                  <c:v>45589</c:v>
                </c:pt>
                <c:pt idx="17">
                  <c:v>45596</c:v>
                </c:pt>
                <c:pt idx="18">
                  <c:v>45603</c:v>
                </c:pt>
                <c:pt idx="19">
                  <c:v>45610</c:v>
                </c:pt>
                <c:pt idx="20">
                  <c:v>45617</c:v>
                </c:pt>
                <c:pt idx="21">
                  <c:v>45624</c:v>
                </c:pt>
                <c:pt idx="22">
                  <c:v>45631</c:v>
                </c:pt>
                <c:pt idx="23">
                  <c:v>45638</c:v>
                </c:pt>
                <c:pt idx="24">
                  <c:v>45645</c:v>
                </c:pt>
                <c:pt idx="25">
                  <c:v>45652</c:v>
                </c:pt>
              </c:numCache>
            </c:numRef>
          </c:cat>
          <c:val>
            <c:numRef>
              <c:f>'PBL OLD'!$ER$8:$ER$60</c:f>
              <c:numCache>
                <c:formatCode>0.000</c:formatCode>
                <c:ptCount val="53"/>
                <c:pt idx="0">
                  <c:v>3.8117855737822823E-2</c:v>
                </c:pt>
                <c:pt idx="1">
                  <c:v>7.3507496964367453E-2</c:v>
                </c:pt>
                <c:pt idx="2">
                  <c:v>0.11149819943942467</c:v>
                </c:pt>
                <c:pt idx="3">
                  <c:v>0.14936957389486763</c:v>
                </c:pt>
                <c:pt idx="4">
                  <c:v>0.20291048607819551</c:v>
                </c:pt>
                <c:pt idx="5">
                  <c:v>0.27060181442471398</c:v>
                </c:pt>
                <c:pt idx="6">
                  <c:v>0.36496592642432168</c:v>
                </c:pt>
                <c:pt idx="7">
                  <c:v>0.56405793687374961</c:v>
                </c:pt>
                <c:pt idx="8">
                  <c:v>0.59132073716430211</c:v>
                </c:pt>
                <c:pt idx="9">
                  <c:v>0.61927954708349142</c:v>
                </c:pt>
                <c:pt idx="10">
                  <c:v>0.66360829092422369</c:v>
                </c:pt>
                <c:pt idx="11">
                  <c:v>0.72107712553069636</c:v>
                </c:pt>
                <c:pt idx="12">
                  <c:v>0.74897760053756146</c:v>
                </c:pt>
                <c:pt idx="13">
                  <c:v>0.79352683226727705</c:v>
                </c:pt>
                <c:pt idx="14">
                  <c:v>0.83577560829892139</c:v>
                </c:pt>
                <c:pt idx="15">
                  <c:v>0.89477976738868925</c:v>
                </c:pt>
                <c:pt idx="16">
                  <c:v>0.96325979754154967</c:v>
                </c:pt>
                <c:pt idx="17">
                  <c:v>1.0058395081267082</c:v>
                </c:pt>
                <c:pt idx="18">
                  <c:v>1.0624266875112132</c:v>
                </c:pt>
                <c:pt idx="19">
                  <c:v>1.1296929783830014</c:v>
                </c:pt>
                <c:pt idx="20">
                  <c:v>1.2233563217890817</c:v>
                </c:pt>
                <c:pt idx="21">
                  <c:v>1.4069614365286698</c:v>
                </c:pt>
                <c:pt idx="22">
                  <c:v>1.4345289190909449</c:v>
                </c:pt>
                <c:pt idx="23">
                  <c:v>1.475594429634129</c:v>
                </c:pt>
                <c:pt idx="24">
                  <c:v>1.5048491768542664</c:v>
                </c:pt>
                <c:pt idx="25">
                  <c:v>1.5459474521247469</c:v>
                </c:pt>
              </c:numCache>
            </c:numRef>
          </c:val>
          <c:smooth val="0"/>
          <c:extLst>
            <c:ext xmlns:c16="http://schemas.microsoft.com/office/drawing/2014/chart" uri="{C3380CC4-5D6E-409C-BE32-E72D297353CC}">
              <c16:uniqueId val="{00000000-FE32-498A-8B84-4AC0E8432D0D}"/>
            </c:ext>
          </c:extLst>
        </c:ser>
        <c:ser>
          <c:idx val="7"/>
          <c:order val="3"/>
          <c:tx>
            <c:strRef>
              <c:f>'PBL OLD'!$CX$6:$CX$7</c:f>
              <c:strCache>
                <c:ptCount val="2"/>
                <c:pt idx="0">
                  <c:v>5th Percentile</c:v>
                </c:pt>
              </c:strCache>
            </c:strRef>
          </c:tx>
          <c:spPr>
            <a:ln w="19050">
              <a:solidFill>
                <a:schemeClr val="bg2">
                  <a:lumMod val="60000"/>
                  <a:lumOff val="40000"/>
                </a:schemeClr>
              </a:solidFill>
              <a:prstDash val="sysDot"/>
            </a:ln>
          </c:spPr>
          <c:marker>
            <c:symbol val="none"/>
          </c:marker>
          <c:cat>
            <c:numRef>
              <c:f>'PBL OLD'!$EQ$8:$EQ$60</c:f>
              <c:numCache>
                <c:formatCode>d\-mmm\-yy_);\(###0\);"-  ";" "@" "</c:formatCode>
                <c:ptCount val="53"/>
                <c:pt idx="0">
                  <c:v>45477</c:v>
                </c:pt>
                <c:pt idx="1">
                  <c:v>45484</c:v>
                </c:pt>
                <c:pt idx="2">
                  <c:v>45491</c:v>
                </c:pt>
                <c:pt idx="3">
                  <c:v>45498</c:v>
                </c:pt>
                <c:pt idx="4">
                  <c:v>45505</c:v>
                </c:pt>
                <c:pt idx="5">
                  <c:v>45512</c:v>
                </c:pt>
                <c:pt idx="6">
                  <c:v>45519</c:v>
                </c:pt>
                <c:pt idx="7">
                  <c:v>45526</c:v>
                </c:pt>
                <c:pt idx="8">
                  <c:v>45533</c:v>
                </c:pt>
                <c:pt idx="9">
                  <c:v>45540</c:v>
                </c:pt>
                <c:pt idx="10">
                  <c:v>45547</c:v>
                </c:pt>
                <c:pt idx="11">
                  <c:v>45554</c:v>
                </c:pt>
                <c:pt idx="12">
                  <c:v>45561</c:v>
                </c:pt>
                <c:pt idx="13">
                  <c:v>45568</c:v>
                </c:pt>
                <c:pt idx="14">
                  <c:v>45575</c:v>
                </c:pt>
                <c:pt idx="15">
                  <c:v>45582</c:v>
                </c:pt>
                <c:pt idx="16">
                  <c:v>45589</c:v>
                </c:pt>
                <c:pt idx="17">
                  <c:v>45596</c:v>
                </c:pt>
                <c:pt idx="18">
                  <c:v>45603</c:v>
                </c:pt>
                <c:pt idx="19">
                  <c:v>45610</c:v>
                </c:pt>
                <c:pt idx="20">
                  <c:v>45617</c:v>
                </c:pt>
                <c:pt idx="21">
                  <c:v>45624</c:v>
                </c:pt>
                <c:pt idx="22">
                  <c:v>45631</c:v>
                </c:pt>
                <c:pt idx="23">
                  <c:v>45638</c:v>
                </c:pt>
                <c:pt idx="24">
                  <c:v>45645</c:v>
                </c:pt>
                <c:pt idx="25">
                  <c:v>45652</c:v>
                </c:pt>
              </c:numCache>
            </c:numRef>
          </c:cat>
          <c:val>
            <c:numRef>
              <c:f>'PBL OLD'!$EU$8:$EU$60</c:f>
              <c:numCache>
                <c:formatCode>0.000</c:formatCode>
                <c:ptCount val="53"/>
                <c:pt idx="0">
                  <c:v>5.2430769230769232E-2</c:v>
                </c:pt>
                <c:pt idx="1">
                  <c:v>0.10486153846153846</c:v>
                </c:pt>
                <c:pt idx="2">
                  <c:v>0.1572923076923077</c:v>
                </c:pt>
                <c:pt idx="3">
                  <c:v>0.20972307692307693</c:v>
                </c:pt>
                <c:pt idx="4">
                  <c:v>0.26215384615384618</c:v>
                </c:pt>
                <c:pt idx="5">
                  <c:v>0.31458461538461541</c:v>
                </c:pt>
                <c:pt idx="6">
                  <c:v>0.36701538461538463</c:v>
                </c:pt>
                <c:pt idx="7">
                  <c:v>0.41944615384615386</c:v>
                </c:pt>
                <c:pt idx="8">
                  <c:v>0.47187692307692308</c:v>
                </c:pt>
                <c:pt idx="9">
                  <c:v>0.52430769230769236</c:v>
                </c:pt>
                <c:pt idx="10">
                  <c:v>0.57673846153846164</c:v>
                </c:pt>
                <c:pt idx="11">
                  <c:v>0.62916923076923092</c:v>
                </c:pt>
                <c:pt idx="12">
                  <c:v>0.68160000000000021</c:v>
                </c:pt>
                <c:pt idx="13">
                  <c:v>0.73403076923076949</c:v>
                </c:pt>
                <c:pt idx="14">
                  <c:v>0.78646153846153877</c:v>
                </c:pt>
                <c:pt idx="15">
                  <c:v>0.83889230769230805</c:v>
                </c:pt>
                <c:pt idx="16">
                  <c:v>0.89132307692307733</c:v>
                </c:pt>
                <c:pt idx="17">
                  <c:v>0.94375384615384661</c:v>
                </c:pt>
                <c:pt idx="18">
                  <c:v>0.99618461538461589</c:v>
                </c:pt>
                <c:pt idx="19">
                  <c:v>1.0486153846153852</c:v>
                </c:pt>
                <c:pt idx="20">
                  <c:v>1.1010461538461545</c:v>
                </c:pt>
                <c:pt idx="21">
                  <c:v>1.1534769230769237</c:v>
                </c:pt>
                <c:pt idx="22">
                  <c:v>1.205907692307693</c:v>
                </c:pt>
                <c:pt idx="23">
                  <c:v>1.2583384615384623</c:v>
                </c:pt>
                <c:pt idx="24">
                  <c:v>1.3107692307692316</c:v>
                </c:pt>
                <c:pt idx="25">
                  <c:v>1.3632000000000009</c:v>
                </c:pt>
              </c:numCache>
            </c:numRef>
          </c:val>
          <c:smooth val="0"/>
          <c:extLst xmlns:c15="http://schemas.microsoft.com/office/drawing/2012/chart">
            <c:ext xmlns:c16="http://schemas.microsoft.com/office/drawing/2014/chart" uri="{C3380CC4-5D6E-409C-BE32-E72D297353CC}">
              <c16:uniqueId val="{00000001-FE32-498A-8B84-4AC0E8432D0D}"/>
            </c:ext>
          </c:extLst>
        </c:ser>
        <c:ser>
          <c:idx val="2"/>
          <c:order val="5"/>
          <c:tx>
            <c:v>5/25/50/75/95th percentile</c:v>
          </c:tx>
          <c:spPr>
            <a:ln w="19050">
              <a:solidFill>
                <a:schemeClr val="bg2">
                  <a:lumMod val="60000"/>
                  <a:lumOff val="40000"/>
                </a:schemeClr>
              </a:solidFill>
              <a:prstDash val="sysDot"/>
            </a:ln>
          </c:spPr>
          <c:marker>
            <c:symbol val="none"/>
          </c:marker>
          <c:cat>
            <c:numRef>
              <c:f>'PBL OLD'!$EQ$8:$EQ$60</c:f>
              <c:numCache>
                <c:formatCode>d\-mmm\-yy_);\(###0\);"-  ";" "@" "</c:formatCode>
                <c:ptCount val="53"/>
                <c:pt idx="0">
                  <c:v>45477</c:v>
                </c:pt>
                <c:pt idx="1">
                  <c:v>45484</c:v>
                </c:pt>
                <c:pt idx="2">
                  <c:v>45491</c:v>
                </c:pt>
                <c:pt idx="3">
                  <c:v>45498</c:v>
                </c:pt>
                <c:pt idx="4">
                  <c:v>45505</c:v>
                </c:pt>
                <c:pt idx="5">
                  <c:v>45512</c:v>
                </c:pt>
                <c:pt idx="6">
                  <c:v>45519</c:v>
                </c:pt>
                <c:pt idx="7">
                  <c:v>45526</c:v>
                </c:pt>
                <c:pt idx="8">
                  <c:v>45533</c:v>
                </c:pt>
                <c:pt idx="9">
                  <c:v>45540</c:v>
                </c:pt>
                <c:pt idx="10">
                  <c:v>45547</c:v>
                </c:pt>
                <c:pt idx="11">
                  <c:v>45554</c:v>
                </c:pt>
                <c:pt idx="12">
                  <c:v>45561</c:v>
                </c:pt>
                <c:pt idx="13">
                  <c:v>45568</c:v>
                </c:pt>
                <c:pt idx="14">
                  <c:v>45575</c:v>
                </c:pt>
                <c:pt idx="15">
                  <c:v>45582</c:v>
                </c:pt>
                <c:pt idx="16">
                  <c:v>45589</c:v>
                </c:pt>
                <c:pt idx="17">
                  <c:v>45596</c:v>
                </c:pt>
                <c:pt idx="18">
                  <c:v>45603</c:v>
                </c:pt>
                <c:pt idx="19">
                  <c:v>45610</c:v>
                </c:pt>
                <c:pt idx="20">
                  <c:v>45617</c:v>
                </c:pt>
                <c:pt idx="21">
                  <c:v>45624</c:v>
                </c:pt>
                <c:pt idx="22">
                  <c:v>45631</c:v>
                </c:pt>
                <c:pt idx="23">
                  <c:v>45638</c:v>
                </c:pt>
                <c:pt idx="24">
                  <c:v>45645</c:v>
                </c:pt>
                <c:pt idx="25">
                  <c:v>45652</c:v>
                </c:pt>
              </c:numCache>
            </c:numRef>
          </c:cat>
          <c:val>
            <c:numRef>
              <c:f>'PBL OLD'!$EW$8:$EW$60</c:f>
              <c:numCache>
                <c:formatCode>0.000</c:formatCode>
                <c:ptCount val="53"/>
                <c:pt idx="0">
                  <c:v>6.0446153846153851E-2</c:v>
                </c:pt>
                <c:pt idx="1">
                  <c:v>0.1208923076923077</c:v>
                </c:pt>
                <c:pt idx="2">
                  <c:v>0.18133846153846156</c:v>
                </c:pt>
                <c:pt idx="3">
                  <c:v>0.2417846153846154</c:v>
                </c:pt>
                <c:pt idx="4">
                  <c:v>0.30223076923076925</c:v>
                </c:pt>
                <c:pt idx="5">
                  <c:v>0.36267692307692312</c:v>
                </c:pt>
                <c:pt idx="6">
                  <c:v>0.42312307692307699</c:v>
                </c:pt>
                <c:pt idx="7">
                  <c:v>0.48356923076923086</c:v>
                </c:pt>
                <c:pt idx="8">
                  <c:v>0.54401538461538468</c:v>
                </c:pt>
                <c:pt idx="9">
                  <c:v>0.60446153846153849</c:v>
                </c:pt>
                <c:pt idx="10">
                  <c:v>0.66490769230769231</c:v>
                </c:pt>
                <c:pt idx="11">
                  <c:v>0.72535384615384613</c:v>
                </c:pt>
                <c:pt idx="12">
                  <c:v>0.78579999999999994</c:v>
                </c:pt>
                <c:pt idx="13">
                  <c:v>0.84624615384615376</c:v>
                </c:pt>
                <c:pt idx="14">
                  <c:v>0.90669230769230758</c:v>
                </c:pt>
                <c:pt idx="15">
                  <c:v>0.96713846153846139</c:v>
                </c:pt>
                <c:pt idx="16">
                  <c:v>1.0275846153846153</c:v>
                </c:pt>
                <c:pt idx="17">
                  <c:v>1.0880307692307691</c:v>
                </c:pt>
                <c:pt idx="18">
                  <c:v>1.148476923076923</c:v>
                </c:pt>
                <c:pt idx="19">
                  <c:v>1.2089230769230768</c:v>
                </c:pt>
                <c:pt idx="20">
                  <c:v>1.2693692307692306</c:v>
                </c:pt>
                <c:pt idx="21">
                  <c:v>1.3298153846153844</c:v>
                </c:pt>
                <c:pt idx="22">
                  <c:v>1.3902615384615382</c:v>
                </c:pt>
                <c:pt idx="23">
                  <c:v>1.450707692307692</c:v>
                </c:pt>
                <c:pt idx="24">
                  <c:v>1.5111538461538458</c:v>
                </c:pt>
                <c:pt idx="25">
                  <c:v>1.5715999999999997</c:v>
                </c:pt>
              </c:numCache>
            </c:numRef>
          </c:val>
          <c:smooth val="0"/>
          <c:extLst>
            <c:ext xmlns:c16="http://schemas.microsoft.com/office/drawing/2014/chart" uri="{C3380CC4-5D6E-409C-BE32-E72D297353CC}">
              <c16:uniqueId val="{00000002-FE32-498A-8B84-4AC0E8432D0D}"/>
            </c:ext>
          </c:extLst>
        </c:ser>
        <c:ser>
          <c:idx val="4"/>
          <c:order val="6"/>
          <c:tx>
            <c:strRef>
              <c:f>'PBL OLD'!$DA$6:$DA$7</c:f>
              <c:strCache>
                <c:ptCount val="2"/>
                <c:pt idx="0">
                  <c:v>50th Percentile</c:v>
                </c:pt>
              </c:strCache>
            </c:strRef>
          </c:tx>
          <c:spPr>
            <a:ln w="19050" cap="rnd">
              <a:solidFill>
                <a:schemeClr val="bg2">
                  <a:lumMod val="60000"/>
                  <a:lumOff val="40000"/>
                </a:schemeClr>
              </a:solidFill>
              <a:prstDash val="sysDot"/>
              <a:round/>
            </a:ln>
            <a:effectLst/>
          </c:spPr>
          <c:marker>
            <c:symbol val="none"/>
          </c:marker>
          <c:cat>
            <c:numRef>
              <c:f>'PBL OLD'!$EQ$8:$EQ$60</c:f>
              <c:numCache>
                <c:formatCode>d\-mmm\-yy_);\(###0\);"-  ";" "@" "</c:formatCode>
                <c:ptCount val="53"/>
                <c:pt idx="0">
                  <c:v>45477</c:v>
                </c:pt>
                <c:pt idx="1">
                  <c:v>45484</c:v>
                </c:pt>
                <c:pt idx="2">
                  <c:v>45491</c:v>
                </c:pt>
                <c:pt idx="3">
                  <c:v>45498</c:v>
                </c:pt>
                <c:pt idx="4">
                  <c:v>45505</c:v>
                </c:pt>
                <c:pt idx="5">
                  <c:v>45512</c:v>
                </c:pt>
                <c:pt idx="6">
                  <c:v>45519</c:v>
                </c:pt>
                <c:pt idx="7">
                  <c:v>45526</c:v>
                </c:pt>
                <c:pt idx="8">
                  <c:v>45533</c:v>
                </c:pt>
                <c:pt idx="9">
                  <c:v>45540</c:v>
                </c:pt>
                <c:pt idx="10">
                  <c:v>45547</c:v>
                </c:pt>
                <c:pt idx="11">
                  <c:v>45554</c:v>
                </c:pt>
                <c:pt idx="12">
                  <c:v>45561</c:v>
                </c:pt>
                <c:pt idx="13">
                  <c:v>45568</c:v>
                </c:pt>
                <c:pt idx="14">
                  <c:v>45575</c:v>
                </c:pt>
                <c:pt idx="15">
                  <c:v>45582</c:v>
                </c:pt>
                <c:pt idx="16">
                  <c:v>45589</c:v>
                </c:pt>
                <c:pt idx="17">
                  <c:v>45596</c:v>
                </c:pt>
                <c:pt idx="18">
                  <c:v>45603</c:v>
                </c:pt>
                <c:pt idx="19">
                  <c:v>45610</c:v>
                </c:pt>
                <c:pt idx="20">
                  <c:v>45617</c:v>
                </c:pt>
                <c:pt idx="21">
                  <c:v>45624</c:v>
                </c:pt>
                <c:pt idx="22">
                  <c:v>45631</c:v>
                </c:pt>
                <c:pt idx="23">
                  <c:v>45638</c:v>
                </c:pt>
                <c:pt idx="24">
                  <c:v>45645</c:v>
                </c:pt>
                <c:pt idx="25">
                  <c:v>45652</c:v>
                </c:pt>
              </c:numCache>
            </c:numRef>
          </c:cat>
          <c:val>
            <c:numRef>
              <c:f>'PBL OLD'!$EX$8:$EX$60</c:f>
              <c:numCache>
                <c:formatCode>0.000</c:formatCode>
                <c:ptCount val="53"/>
                <c:pt idx="0">
                  <c:v>6.8099999999999994E-2</c:v>
                </c:pt>
                <c:pt idx="1">
                  <c:v>0.13619999999999999</c:v>
                </c:pt>
                <c:pt idx="2">
                  <c:v>0.20429999999999998</c:v>
                </c:pt>
                <c:pt idx="3">
                  <c:v>0.27239999999999998</c:v>
                </c:pt>
                <c:pt idx="4">
                  <c:v>0.34049999999999997</c:v>
                </c:pt>
                <c:pt idx="5">
                  <c:v>0.40859999999999996</c:v>
                </c:pt>
                <c:pt idx="6">
                  <c:v>0.47669999999999996</c:v>
                </c:pt>
                <c:pt idx="7">
                  <c:v>0.54479999999999995</c:v>
                </c:pt>
                <c:pt idx="8">
                  <c:v>0.6129</c:v>
                </c:pt>
                <c:pt idx="9">
                  <c:v>0.68100000000000005</c:v>
                </c:pt>
                <c:pt idx="10">
                  <c:v>0.7491000000000001</c:v>
                </c:pt>
                <c:pt idx="11">
                  <c:v>0.81720000000000015</c:v>
                </c:pt>
                <c:pt idx="12">
                  <c:v>0.8853000000000002</c:v>
                </c:pt>
                <c:pt idx="13">
                  <c:v>0.95340000000000025</c:v>
                </c:pt>
                <c:pt idx="14">
                  <c:v>1.0215000000000003</c:v>
                </c:pt>
                <c:pt idx="15">
                  <c:v>1.0896000000000003</c:v>
                </c:pt>
                <c:pt idx="16">
                  <c:v>1.1577000000000004</c:v>
                </c:pt>
                <c:pt idx="17">
                  <c:v>1.2258000000000004</c:v>
                </c:pt>
                <c:pt idx="18">
                  <c:v>1.2939000000000005</c:v>
                </c:pt>
                <c:pt idx="19">
                  <c:v>1.3620000000000005</c:v>
                </c:pt>
                <c:pt idx="20">
                  <c:v>1.4301000000000006</c:v>
                </c:pt>
                <c:pt idx="21">
                  <c:v>1.4982000000000006</c:v>
                </c:pt>
                <c:pt idx="22">
                  <c:v>1.5663000000000007</c:v>
                </c:pt>
                <c:pt idx="23">
                  <c:v>1.6344000000000007</c:v>
                </c:pt>
                <c:pt idx="24">
                  <c:v>1.7025000000000008</c:v>
                </c:pt>
                <c:pt idx="25">
                  <c:v>1.7706000000000008</c:v>
                </c:pt>
              </c:numCache>
            </c:numRef>
          </c:val>
          <c:smooth val="0"/>
          <c:extLst>
            <c:ext xmlns:c16="http://schemas.microsoft.com/office/drawing/2014/chart" uri="{C3380CC4-5D6E-409C-BE32-E72D297353CC}">
              <c16:uniqueId val="{00000003-FE32-498A-8B84-4AC0E8432D0D}"/>
            </c:ext>
          </c:extLst>
        </c:ser>
        <c:ser>
          <c:idx val="6"/>
          <c:order val="7"/>
          <c:tx>
            <c:strRef>
              <c:f>'PBL OLD'!$DB$6:$DB$7</c:f>
              <c:strCache>
                <c:ptCount val="2"/>
                <c:pt idx="0">
                  <c:v>75th Percentile</c:v>
                </c:pt>
              </c:strCache>
            </c:strRef>
          </c:tx>
          <c:spPr>
            <a:ln>
              <a:solidFill>
                <a:schemeClr val="bg2">
                  <a:lumMod val="60000"/>
                  <a:lumOff val="40000"/>
                </a:schemeClr>
              </a:solidFill>
              <a:prstDash val="sysDot"/>
            </a:ln>
          </c:spPr>
          <c:marker>
            <c:symbol val="none"/>
          </c:marker>
          <c:cat>
            <c:numRef>
              <c:f>'PBL OLD'!$EQ$8:$EQ$60</c:f>
              <c:numCache>
                <c:formatCode>d\-mmm\-yy_);\(###0\);"-  ";" "@" "</c:formatCode>
                <c:ptCount val="53"/>
                <c:pt idx="0">
                  <c:v>45477</c:v>
                </c:pt>
                <c:pt idx="1">
                  <c:v>45484</c:v>
                </c:pt>
                <c:pt idx="2">
                  <c:v>45491</c:v>
                </c:pt>
                <c:pt idx="3">
                  <c:v>45498</c:v>
                </c:pt>
                <c:pt idx="4">
                  <c:v>45505</c:v>
                </c:pt>
                <c:pt idx="5">
                  <c:v>45512</c:v>
                </c:pt>
                <c:pt idx="6">
                  <c:v>45519</c:v>
                </c:pt>
                <c:pt idx="7">
                  <c:v>45526</c:v>
                </c:pt>
                <c:pt idx="8">
                  <c:v>45533</c:v>
                </c:pt>
                <c:pt idx="9">
                  <c:v>45540</c:v>
                </c:pt>
                <c:pt idx="10">
                  <c:v>45547</c:v>
                </c:pt>
                <c:pt idx="11">
                  <c:v>45554</c:v>
                </c:pt>
                <c:pt idx="12">
                  <c:v>45561</c:v>
                </c:pt>
                <c:pt idx="13">
                  <c:v>45568</c:v>
                </c:pt>
                <c:pt idx="14">
                  <c:v>45575</c:v>
                </c:pt>
                <c:pt idx="15">
                  <c:v>45582</c:v>
                </c:pt>
                <c:pt idx="16">
                  <c:v>45589</c:v>
                </c:pt>
                <c:pt idx="17">
                  <c:v>45596</c:v>
                </c:pt>
                <c:pt idx="18">
                  <c:v>45603</c:v>
                </c:pt>
                <c:pt idx="19">
                  <c:v>45610</c:v>
                </c:pt>
                <c:pt idx="20">
                  <c:v>45617</c:v>
                </c:pt>
                <c:pt idx="21">
                  <c:v>45624</c:v>
                </c:pt>
                <c:pt idx="22">
                  <c:v>45631</c:v>
                </c:pt>
                <c:pt idx="23">
                  <c:v>45638</c:v>
                </c:pt>
                <c:pt idx="24">
                  <c:v>45645</c:v>
                </c:pt>
                <c:pt idx="25">
                  <c:v>45652</c:v>
                </c:pt>
              </c:numCache>
            </c:numRef>
          </c:cat>
          <c:val>
            <c:numRef>
              <c:f>'PBL OLD'!$EY$8:$EY$60</c:f>
              <c:numCache>
                <c:formatCode>0.000</c:formatCode>
                <c:ptCount val="53"/>
                <c:pt idx="0">
                  <c:v>7.7419230769230768E-2</c:v>
                </c:pt>
                <c:pt idx="1">
                  <c:v>0.15483846153846154</c:v>
                </c:pt>
                <c:pt idx="2">
                  <c:v>0.2322576923076923</c:v>
                </c:pt>
                <c:pt idx="3">
                  <c:v>0.30967692307692307</c:v>
                </c:pt>
                <c:pt idx="4">
                  <c:v>0.38709615384615381</c:v>
                </c:pt>
                <c:pt idx="5">
                  <c:v>0.46451538461538455</c:v>
                </c:pt>
                <c:pt idx="6">
                  <c:v>0.54193461538461529</c:v>
                </c:pt>
                <c:pt idx="7">
                  <c:v>0.61935384615384603</c:v>
                </c:pt>
                <c:pt idx="8">
                  <c:v>0.69677307692307677</c:v>
                </c:pt>
                <c:pt idx="9">
                  <c:v>0.77419230769230751</c:v>
                </c:pt>
                <c:pt idx="10">
                  <c:v>0.85161153846153825</c:v>
                </c:pt>
                <c:pt idx="11">
                  <c:v>0.92903076923076899</c:v>
                </c:pt>
                <c:pt idx="12">
                  <c:v>1.0064499999999998</c:v>
                </c:pt>
                <c:pt idx="13">
                  <c:v>1.0838692307692306</c:v>
                </c:pt>
                <c:pt idx="14">
                  <c:v>1.1612884615384613</c:v>
                </c:pt>
                <c:pt idx="15">
                  <c:v>1.2387076923076921</c:v>
                </c:pt>
                <c:pt idx="16">
                  <c:v>1.3161269230769228</c:v>
                </c:pt>
                <c:pt idx="17">
                  <c:v>1.3935461538461535</c:v>
                </c:pt>
                <c:pt idx="18">
                  <c:v>1.4709653846153843</c:v>
                </c:pt>
                <c:pt idx="19">
                  <c:v>1.548384615384615</c:v>
                </c:pt>
                <c:pt idx="20">
                  <c:v>1.6258038461538458</c:v>
                </c:pt>
                <c:pt idx="21">
                  <c:v>1.7032230769230765</c:v>
                </c:pt>
                <c:pt idx="22">
                  <c:v>1.7806423076923072</c:v>
                </c:pt>
                <c:pt idx="23">
                  <c:v>1.858061538461538</c:v>
                </c:pt>
                <c:pt idx="24">
                  <c:v>1.9354807692307687</c:v>
                </c:pt>
                <c:pt idx="25">
                  <c:v>2.0128999999999997</c:v>
                </c:pt>
              </c:numCache>
            </c:numRef>
          </c:val>
          <c:smooth val="0"/>
          <c:extLst xmlns:c15="http://schemas.microsoft.com/office/drawing/2012/chart">
            <c:ext xmlns:c16="http://schemas.microsoft.com/office/drawing/2014/chart" uri="{C3380CC4-5D6E-409C-BE32-E72D297353CC}">
              <c16:uniqueId val="{00000004-FE32-498A-8B84-4AC0E8432D0D}"/>
            </c:ext>
          </c:extLst>
        </c:ser>
        <c:ser>
          <c:idx val="9"/>
          <c:order val="9"/>
          <c:tx>
            <c:strRef>
              <c:f>'PBL OLD'!$FA$6:$FA$7</c:f>
              <c:strCache>
                <c:ptCount val="2"/>
                <c:pt idx="0">
                  <c:v>95th Percentile</c:v>
                </c:pt>
              </c:strCache>
            </c:strRef>
          </c:tx>
          <c:spPr>
            <a:ln>
              <a:solidFill>
                <a:schemeClr val="bg2">
                  <a:lumMod val="60000"/>
                  <a:lumOff val="40000"/>
                </a:schemeClr>
              </a:solidFill>
              <a:prstDash val="sysDot"/>
            </a:ln>
          </c:spPr>
          <c:marker>
            <c:symbol val="none"/>
          </c:marker>
          <c:cat>
            <c:numRef>
              <c:f>'PBL OLD'!$EQ$8:$EQ$60</c:f>
              <c:numCache>
                <c:formatCode>d\-mmm\-yy_);\(###0\);"-  ";" "@" "</c:formatCode>
                <c:ptCount val="53"/>
                <c:pt idx="0">
                  <c:v>45477</c:v>
                </c:pt>
                <c:pt idx="1">
                  <c:v>45484</c:v>
                </c:pt>
                <c:pt idx="2">
                  <c:v>45491</c:v>
                </c:pt>
                <c:pt idx="3">
                  <c:v>45498</c:v>
                </c:pt>
                <c:pt idx="4">
                  <c:v>45505</c:v>
                </c:pt>
                <c:pt idx="5">
                  <c:v>45512</c:v>
                </c:pt>
                <c:pt idx="6">
                  <c:v>45519</c:v>
                </c:pt>
                <c:pt idx="7">
                  <c:v>45526</c:v>
                </c:pt>
                <c:pt idx="8">
                  <c:v>45533</c:v>
                </c:pt>
                <c:pt idx="9">
                  <c:v>45540</c:v>
                </c:pt>
                <c:pt idx="10">
                  <c:v>45547</c:v>
                </c:pt>
                <c:pt idx="11">
                  <c:v>45554</c:v>
                </c:pt>
                <c:pt idx="12">
                  <c:v>45561</c:v>
                </c:pt>
                <c:pt idx="13">
                  <c:v>45568</c:v>
                </c:pt>
                <c:pt idx="14">
                  <c:v>45575</c:v>
                </c:pt>
                <c:pt idx="15">
                  <c:v>45582</c:v>
                </c:pt>
                <c:pt idx="16">
                  <c:v>45589</c:v>
                </c:pt>
                <c:pt idx="17">
                  <c:v>45596</c:v>
                </c:pt>
                <c:pt idx="18">
                  <c:v>45603</c:v>
                </c:pt>
                <c:pt idx="19">
                  <c:v>45610</c:v>
                </c:pt>
                <c:pt idx="20">
                  <c:v>45617</c:v>
                </c:pt>
                <c:pt idx="21">
                  <c:v>45624</c:v>
                </c:pt>
                <c:pt idx="22">
                  <c:v>45631</c:v>
                </c:pt>
                <c:pt idx="23">
                  <c:v>45638</c:v>
                </c:pt>
                <c:pt idx="24">
                  <c:v>45645</c:v>
                </c:pt>
                <c:pt idx="25">
                  <c:v>45652</c:v>
                </c:pt>
              </c:numCache>
            </c:numRef>
          </c:cat>
          <c:val>
            <c:numRef>
              <c:f>'PBL OLD'!$FA$8:$FA$60</c:f>
              <c:numCache>
                <c:formatCode>0.000</c:formatCode>
                <c:ptCount val="53"/>
                <c:pt idx="0">
                  <c:v>9.4773076923076932E-2</c:v>
                </c:pt>
                <c:pt idx="1">
                  <c:v>0.18954615384615386</c:v>
                </c:pt>
                <c:pt idx="2">
                  <c:v>0.28431923076923082</c:v>
                </c:pt>
                <c:pt idx="3">
                  <c:v>0.37909230769230773</c:v>
                </c:pt>
                <c:pt idx="4">
                  <c:v>0.47386538461538463</c:v>
                </c:pt>
                <c:pt idx="5">
                  <c:v>0.56863846153846154</c:v>
                </c:pt>
                <c:pt idx="6">
                  <c:v>0.66341153846153844</c:v>
                </c:pt>
                <c:pt idx="7">
                  <c:v>0.75818461538461535</c:v>
                </c:pt>
                <c:pt idx="8">
                  <c:v>0.85295769230769225</c:v>
                </c:pt>
                <c:pt idx="9">
                  <c:v>0.94773076923076915</c:v>
                </c:pt>
                <c:pt idx="10">
                  <c:v>1.0425038461538461</c:v>
                </c:pt>
                <c:pt idx="11">
                  <c:v>1.1372769230769231</c:v>
                </c:pt>
                <c:pt idx="12">
                  <c:v>1.2320500000000001</c:v>
                </c:pt>
                <c:pt idx="13">
                  <c:v>1.3268230769230771</c:v>
                </c:pt>
                <c:pt idx="14">
                  <c:v>1.4215961538461541</c:v>
                </c:pt>
                <c:pt idx="15">
                  <c:v>1.5163692307692311</c:v>
                </c:pt>
                <c:pt idx="16">
                  <c:v>1.6111423076923082</c:v>
                </c:pt>
                <c:pt idx="17">
                  <c:v>1.7059153846153852</c:v>
                </c:pt>
                <c:pt idx="18">
                  <c:v>1.8006884615384622</c:v>
                </c:pt>
                <c:pt idx="19">
                  <c:v>1.8954615384615392</c:v>
                </c:pt>
                <c:pt idx="20">
                  <c:v>1.9902346153846162</c:v>
                </c:pt>
                <c:pt idx="21">
                  <c:v>2.085007692307693</c:v>
                </c:pt>
                <c:pt idx="22">
                  <c:v>2.1797807692307698</c:v>
                </c:pt>
                <c:pt idx="23">
                  <c:v>2.2745538461538466</c:v>
                </c:pt>
                <c:pt idx="24">
                  <c:v>2.3693269230769234</c:v>
                </c:pt>
                <c:pt idx="25">
                  <c:v>2.4641000000000002</c:v>
                </c:pt>
              </c:numCache>
            </c:numRef>
          </c:val>
          <c:smooth val="0"/>
          <c:extLst xmlns:c15="http://schemas.microsoft.com/office/drawing/2012/chart">
            <c:ext xmlns:c16="http://schemas.microsoft.com/office/drawing/2014/chart" uri="{C3380CC4-5D6E-409C-BE32-E72D297353CC}">
              <c16:uniqueId val="{00000005-FE32-498A-8B84-4AC0E8432D0D}"/>
            </c:ext>
          </c:extLst>
        </c:ser>
        <c:dLbls>
          <c:showLegendKey val="0"/>
          <c:showVal val="0"/>
          <c:showCatName val="0"/>
          <c:showSerName val="0"/>
          <c:showPercent val="0"/>
          <c:showBubbleSize val="0"/>
        </c:dLbls>
        <c:smooth val="0"/>
        <c:axId val="1388952432"/>
        <c:axId val="1388953088"/>
        <c:extLst>
          <c:ext xmlns:c15="http://schemas.microsoft.com/office/drawing/2012/chart" uri="{02D57815-91ED-43cb-92C2-25804820EDAC}">
            <c15:filteredLineSeries>
              <c15:ser>
                <c:idx val="3"/>
                <c:order val="1"/>
                <c:tx>
                  <c:strRef>
                    <c:extLst>
                      <c:ext uri="{02D57815-91ED-43cb-92C2-25804820EDAC}">
                        <c15:formulaRef>
                          <c15:sqref>'PBL OLD'!$CV$6:$CV$7</c15:sqref>
                        </c15:formulaRef>
                      </c:ext>
                    </c:extLst>
                    <c:strCache>
                      <c:ptCount val="2"/>
                      <c:pt idx="0">
                        <c:v>Min</c:v>
                      </c:pt>
                    </c:strCache>
                  </c:strRef>
                </c:tx>
                <c:spPr>
                  <a:ln w="19050" cap="rnd">
                    <a:solidFill>
                      <a:schemeClr val="bg2">
                        <a:lumMod val="60000"/>
                        <a:lumOff val="40000"/>
                      </a:schemeClr>
                    </a:solidFill>
                    <a:prstDash val="sysDot"/>
                    <a:round/>
                  </a:ln>
                  <a:effectLst/>
                </c:spPr>
                <c:marker>
                  <c:symbol val="none"/>
                </c:marker>
                <c:cat>
                  <c:numRef>
                    <c:extLst>
                      <c:ext uri="{02D57815-91ED-43cb-92C2-25804820EDAC}">
                        <c15:formulaRef>
                          <c15:sqref>'PBL OLD'!$EQ$8:$EQ$60</c15:sqref>
                        </c15:formulaRef>
                      </c:ext>
                    </c:extLst>
                    <c:numCache>
                      <c:formatCode>d\-mmm\-yy_);\(###0\);"-  ";" "@" "</c:formatCode>
                      <c:ptCount val="53"/>
                      <c:pt idx="0">
                        <c:v>45477</c:v>
                      </c:pt>
                      <c:pt idx="1">
                        <c:v>45484</c:v>
                      </c:pt>
                      <c:pt idx="2">
                        <c:v>45491</c:v>
                      </c:pt>
                      <c:pt idx="3">
                        <c:v>45498</c:v>
                      </c:pt>
                      <c:pt idx="4">
                        <c:v>45505</c:v>
                      </c:pt>
                      <c:pt idx="5">
                        <c:v>45512</c:v>
                      </c:pt>
                      <c:pt idx="6">
                        <c:v>45519</c:v>
                      </c:pt>
                      <c:pt idx="7">
                        <c:v>45526</c:v>
                      </c:pt>
                      <c:pt idx="8">
                        <c:v>45533</c:v>
                      </c:pt>
                      <c:pt idx="9">
                        <c:v>45540</c:v>
                      </c:pt>
                      <c:pt idx="10">
                        <c:v>45547</c:v>
                      </c:pt>
                      <c:pt idx="11">
                        <c:v>45554</c:v>
                      </c:pt>
                      <c:pt idx="12">
                        <c:v>45561</c:v>
                      </c:pt>
                      <c:pt idx="13">
                        <c:v>45568</c:v>
                      </c:pt>
                      <c:pt idx="14">
                        <c:v>45575</c:v>
                      </c:pt>
                      <c:pt idx="15">
                        <c:v>45582</c:v>
                      </c:pt>
                      <c:pt idx="16">
                        <c:v>45589</c:v>
                      </c:pt>
                      <c:pt idx="17">
                        <c:v>45596</c:v>
                      </c:pt>
                      <c:pt idx="18">
                        <c:v>45603</c:v>
                      </c:pt>
                      <c:pt idx="19">
                        <c:v>45610</c:v>
                      </c:pt>
                      <c:pt idx="20">
                        <c:v>45617</c:v>
                      </c:pt>
                      <c:pt idx="21">
                        <c:v>45624</c:v>
                      </c:pt>
                      <c:pt idx="22">
                        <c:v>45631</c:v>
                      </c:pt>
                      <c:pt idx="23">
                        <c:v>45638</c:v>
                      </c:pt>
                      <c:pt idx="24">
                        <c:v>45645</c:v>
                      </c:pt>
                      <c:pt idx="25">
                        <c:v>45652</c:v>
                      </c:pt>
                    </c:numCache>
                  </c:numRef>
                </c:cat>
                <c:val>
                  <c:numRef>
                    <c:extLst>
                      <c:ext uri="{02D57815-91ED-43cb-92C2-25804820EDAC}">
                        <c15:formulaRef>
                          <c15:sqref>'PBL OLD'!$CV$8:$CV$60</c15:sqref>
                        </c15:formulaRef>
                      </c:ext>
                    </c:extLst>
                    <c:numCache>
                      <c:formatCode>0.000</c:formatCode>
                      <c:ptCount val="53"/>
                      <c:pt idx="0">
                        <c:v>3.7943638869952147E-2</c:v>
                      </c:pt>
                      <c:pt idx="1">
                        <c:v>7.5887277739904294E-2</c:v>
                      </c:pt>
                      <c:pt idx="2">
                        <c:v>0.11383091660985645</c:v>
                      </c:pt>
                      <c:pt idx="3">
                        <c:v>0.15177455547980859</c:v>
                      </c:pt>
                      <c:pt idx="4">
                        <c:v>0.18971819434976073</c:v>
                      </c:pt>
                      <c:pt idx="5">
                        <c:v>0.22766183321971287</c:v>
                      </c:pt>
                      <c:pt idx="6">
                        <c:v>0.26560547208966501</c:v>
                      </c:pt>
                      <c:pt idx="7">
                        <c:v>0.30354911095961717</c:v>
                      </c:pt>
                      <c:pt idx="8">
                        <c:v>0.34149274982956934</c:v>
                      </c:pt>
                      <c:pt idx="9">
                        <c:v>0.37943638869952151</c:v>
                      </c:pt>
                      <c:pt idx="10">
                        <c:v>0.41738002756947368</c:v>
                      </c:pt>
                      <c:pt idx="11">
                        <c:v>0.45532366643942584</c:v>
                      </c:pt>
                      <c:pt idx="12">
                        <c:v>0.49326730530937801</c:v>
                      </c:pt>
                      <c:pt idx="13">
                        <c:v>0.53121094417933012</c:v>
                      </c:pt>
                      <c:pt idx="14">
                        <c:v>0.56915458304928224</c:v>
                      </c:pt>
                      <c:pt idx="15">
                        <c:v>0.60709822191923435</c:v>
                      </c:pt>
                      <c:pt idx="16">
                        <c:v>0.64504186078918646</c:v>
                      </c:pt>
                      <c:pt idx="17">
                        <c:v>0.68298549965913857</c:v>
                      </c:pt>
                      <c:pt idx="18">
                        <c:v>0.72092913852909069</c:v>
                      </c:pt>
                      <c:pt idx="19">
                        <c:v>0.7588727773990428</c:v>
                      </c:pt>
                      <c:pt idx="20">
                        <c:v>0.79681641626899491</c:v>
                      </c:pt>
                      <c:pt idx="21">
                        <c:v>0.83476005513894702</c:v>
                      </c:pt>
                      <c:pt idx="22">
                        <c:v>0.87270369400889913</c:v>
                      </c:pt>
                      <c:pt idx="23">
                        <c:v>0.91064733287885125</c:v>
                      </c:pt>
                      <c:pt idx="24">
                        <c:v>0.94859097174880336</c:v>
                      </c:pt>
                      <c:pt idx="25">
                        <c:v>0.98653461061875547</c:v>
                      </c:pt>
                      <c:pt idx="26">
                        <c:v>1.0244782494887077</c:v>
                      </c:pt>
                      <c:pt idx="27">
                        <c:v>1.0624218883586598</c:v>
                      </c:pt>
                      <c:pt idx="28">
                        <c:v>1.1003655272286119</c:v>
                      </c:pt>
                      <c:pt idx="29">
                        <c:v>1.138309166098564</c:v>
                      </c:pt>
                      <c:pt idx="30">
                        <c:v>1.1762528049685161</c:v>
                      </c:pt>
                      <c:pt idx="31">
                        <c:v>1.2141964438384683</c:v>
                      </c:pt>
                      <c:pt idx="32">
                        <c:v>1.2521400827084204</c:v>
                      </c:pt>
                      <c:pt idx="33">
                        <c:v>1.2900837215783725</c:v>
                      </c:pt>
                      <c:pt idx="34">
                        <c:v>1.3280273604483246</c:v>
                      </c:pt>
                      <c:pt idx="35">
                        <c:v>1.3659709993182767</c:v>
                      </c:pt>
                      <c:pt idx="36">
                        <c:v>1.4039146381882288</c:v>
                      </c:pt>
                      <c:pt idx="37">
                        <c:v>1.4418582770581809</c:v>
                      </c:pt>
                      <c:pt idx="38">
                        <c:v>1.479801915928133</c:v>
                      </c:pt>
                      <c:pt idx="39">
                        <c:v>1.5177455547980852</c:v>
                      </c:pt>
                      <c:pt idx="40">
                        <c:v>1.5556891936680373</c:v>
                      </c:pt>
                      <c:pt idx="41">
                        <c:v>1.5936328325379894</c:v>
                      </c:pt>
                      <c:pt idx="42">
                        <c:v>1.6315764714079415</c:v>
                      </c:pt>
                      <c:pt idx="43">
                        <c:v>1.6695201102778936</c:v>
                      </c:pt>
                      <c:pt idx="44">
                        <c:v>1.7074637491478457</c:v>
                      </c:pt>
                      <c:pt idx="45">
                        <c:v>1.7454073880177978</c:v>
                      </c:pt>
                      <c:pt idx="46">
                        <c:v>1.7833510268877499</c:v>
                      </c:pt>
                      <c:pt idx="47">
                        <c:v>1.821294665757702</c:v>
                      </c:pt>
                      <c:pt idx="48">
                        <c:v>1.8592383046276542</c:v>
                      </c:pt>
                      <c:pt idx="49">
                        <c:v>1.8971819434976063</c:v>
                      </c:pt>
                      <c:pt idx="50">
                        <c:v>1.9351255823675584</c:v>
                      </c:pt>
                      <c:pt idx="51">
                        <c:v>1.9730692212375105</c:v>
                      </c:pt>
                    </c:numCache>
                  </c:numRef>
                </c:val>
                <c:smooth val="0"/>
                <c:extLst>
                  <c:ext xmlns:c16="http://schemas.microsoft.com/office/drawing/2014/chart" uri="{C3380CC4-5D6E-409C-BE32-E72D297353CC}">
                    <c16:uniqueId val="{00000006-FE32-498A-8B84-4AC0E8432D0D}"/>
                  </c:ext>
                </c:extLst>
              </c15:ser>
            </c15:filteredLineSeries>
            <c15:filteredLineSeries>
              <c15:ser>
                <c:idx val="5"/>
                <c:order val="2"/>
                <c:tx>
                  <c:strRef>
                    <c:extLst xmlns:c15="http://schemas.microsoft.com/office/drawing/2012/chart">
                      <c:ext xmlns:c15="http://schemas.microsoft.com/office/drawing/2012/chart" uri="{02D57815-91ED-43cb-92C2-25804820EDAC}">
                        <c15:formulaRef>
                          <c15:sqref>'PBL OLD'!$CW$6:$CW$7</c15:sqref>
                        </c15:formulaRef>
                      </c:ext>
                    </c:extLst>
                    <c:strCache>
                      <c:ptCount val="2"/>
                      <c:pt idx="0">
                        <c:v>1st Percentile</c:v>
                      </c:pt>
                    </c:strCache>
                  </c:strRef>
                </c:tx>
                <c:spPr>
                  <a:ln w="19050">
                    <a:solidFill>
                      <a:schemeClr val="bg2">
                        <a:lumMod val="60000"/>
                        <a:lumOff val="40000"/>
                      </a:schemeClr>
                    </a:solidFill>
                    <a:prstDash val="sysDot"/>
                  </a:ln>
                </c:spPr>
                <c:marker>
                  <c:symbol val="none"/>
                </c:marker>
                <c:cat>
                  <c:numRef>
                    <c:extLst xmlns:c15="http://schemas.microsoft.com/office/drawing/2012/chart">
                      <c:ext xmlns:c15="http://schemas.microsoft.com/office/drawing/2012/chart" uri="{02D57815-91ED-43cb-92C2-25804820EDAC}">
                        <c15:formulaRef>
                          <c15:sqref>'PBL OLD'!$EQ$8:$EQ$60</c15:sqref>
                        </c15:formulaRef>
                      </c:ext>
                    </c:extLst>
                    <c:numCache>
                      <c:formatCode>d\-mmm\-yy_);\(###0\);"-  ";" "@" "</c:formatCode>
                      <c:ptCount val="53"/>
                      <c:pt idx="0">
                        <c:v>45477</c:v>
                      </c:pt>
                      <c:pt idx="1">
                        <c:v>45484</c:v>
                      </c:pt>
                      <c:pt idx="2">
                        <c:v>45491</c:v>
                      </c:pt>
                      <c:pt idx="3">
                        <c:v>45498</c:v>
                      </c:pt>
                      <c:pt idx="4">
                        <c:v>45505</c:v>
                      </c:pt>
                      <c:pt idx="5">
                        <c:v>45512</c:v>
                      </c:pt>
                      <c:pt idx="6">
                        <c:v>45519</c:v>
                      </c:pt>
                      <c:pt idx="7">
                        <c:v>45526</c:v>
                      </c:pt>
                      <c:pt idx="8">
                        <c:v>45533</c:v>
                      </c:pt>
                      <c:pt idx="9">
                        <c:v>45540</c:v>
                      </c:pt>
                      <c:pt idx="10">
                        <c:v>45547</c:v>
                      </c:pt>
                      <c:pt idx="11">
                        <c:v>45554</c:v>
                      </c:pt>
                      <c:pt idx="12">
                        <c:v>45561</c:v>
                      </c:pt>
                      <c:pt idx="13">
                        <c:v>45568</c:v>
                      </c:pt>
                      <c:pt idx="14">
                        <c:v>45575</c:v>
                      </c:pt>
                      <c:pt idx="15">
                        <c:v>45582</c:v>
                      </c:pt>
                      <c:pt idx="16">
                        <c:v>45589</c:v>
                      </c:pt>
                      <c:pt idx="17">
                        <c:v>45596</c:v>
                      </c:pt>
                      <c:pt idx="18">
                        <c:v>45603</c:v>
                      </c:pt>
                      <c:pt idx="19">
                        <c:v>45610</c:v>
                      </c:pt>
                      <c:pt idx="20">
                        <c:v>45617</c:v>
                      </c:pt>
                      <c:pt idx="21">
                        <c:v>45624</c:v>
                      </c:pt>
                      <c:pt idx="22">
                        <c:v>45631</c:v>
                      </c:pt>
                      <c:pt idx="23">
                        <c:v>45638</c:v>
                      </c:pt>
                      <c:pt idx="24">
                        <c:v>45645</c:v>
                      </c:pt>
                      <c:pt idx="25">
                        <c:v>45652</c:v>
                      </c:pt>
                    </c:numCache>
                  </c:numRef>
                </c:cat>
                <c:val>
                  <c:numRef>
                    <c:extLst xmlns:c15="http://schemas.microsoft.com/office/drawing/2012/chart">
                      <c:ext xmlns:c15="http://schemas.microsoft.com/office/drawing/2012/chart" uri="{02D57815-91ED-43cb-92C2-25804820EDAC}">
                        <c15:formulaRef>
                          <c15:sqref>'PBL OLD'!$CW$8:$CW$60</c15:sqref>
                        </c15:formulaRef>
                      </c:ext>
                    </c:extLst>
                    <c:numCache>
                      <c:formatCode>0.000</c:formatCode>
                      <c:ptCount val="53"/>
                      <c:pt idx="0">
                        <c:v>4.5436313528305135E-2</c:v>
                      </c:pt>
                      <c:pt idx="1">
                        <c:v>9.087262705661027E-2</c:v>
                      </c:pt>
                      <c:pt idx="2">
                        <c:v>0.13630894058491541</c:v>
                      </c:pt>
                      <c:pt idx="3">
                        <c:v>0.18174525411322054</c:v>
                      </c:pt>
                      <c:pt idx="4">
                        <c:v>0.22718156764152567</c:v>
                      </c:pt>
                      <c:pt idx="5">
                        <c:v>0.27261788116983082</c:v>
                      </c:pt>
                      <c:pt idx="6">
                        <c:v>0.31805419469813595</c:v>
                      </c:pt>
                      <c:pt idx="7">
                        <c:v>0.36349050822644108</c:v>
                      </c:pt>
                      <c:pt idx="8">
                        <c:v>0.40892682175474621</c:v>
                      </c:pt>
                      <c:pt idx="9">
                        <c:v>0.45436313528305133</c:v>
                      </c:pt>
                      <c:pt idx="10">
                        <c:v>0.49979944881135646</c:v>
                      </c:pt>
                      <c:pt idx="11">
                        <c:v>0.54523576233966164</c:v>
                      </c:pt>
                      <c:pt idx="12">
                        <c:v>0.59067207586796677</c:v>
                      </c:pt>
                      <c:pt idx="13">
                        <c:v>0.6361083893962719</c:v>
                      </c:pt>
                      <c:pt idx="14">
                        <c:v>0.68154470292457703</c:v>
                      </c:pt>
                      <c:pt idx="15">
                        <c:v>0.72698101645288216</c:v>
                      </c:pt>
                      <c:pt idx="16">
                        <c:v>0.77241732998118728</c:v>
                      </c:pt>
                      <c:pt idx="17">
                        <c:v>0.81785364350949241</c:v>
                      </c:pt>
                      <c:pt idx="18">
                        <c:v>0.86328995703779754</c:v>
                      </c:pt>
                      <c:pt idx="19">
                        <c:v>0.90872627056610267</c:v>
                      </c:pt>
                      <c:pt idx="20">
                        <c:v>0.9541625840944078</c:v>
                      </c:pt>
                      <c:pt idx="21">
                        <c:v>0.99959889762271292</c:v>
                      </c:pt>
                      <c:pt idx="22">
                        <c:v>1.0450352111510182</c:v>
                      </c:pt>
                      <c:pt idx="23">
                        <c:v>1.0904715246793233</c:v>
                      </c:pt>
                      <c:pt idx="24">
                        <c:v>1.1359078382076284</c:v>
                      </c:pt>
                      <c:pt idx="25">
                        <c:v>1.1813441517359335</c:v>
                      </c:pt>
                      <c:pt idx="26">
                        <c:v>1.2267804652642387</c:v>
                      </c:pt>
                      <c:pt idx="27">
                        <c:v>1.2722167787925438</c:v>
                      </c:pt>
                      <c:pt idx="28">
                        <c:v>1.3176530923208489</c:v>
                      </c:pt>
                      <c:pt idx="29">
                        <c:v>1.3630894058491541</c:v>
                      </c:pt>
                      <c:pt idx="30">
                        <c:v>1.4085257193774592</c:v>
                      </c:pt>
                      <c:pt idx="31">
                        <c:v>1.4539620329057643</c:v>
                      </c:pt>
                      <c:pt idx="32">
                        <c:v>1.4993983464340694</c:v>
                      </c:pt>
                      <c:pt idx="33">
                        <c:v>1.5448346599623746</c:v>
                      </c:pt>
                      <c:pt idx="34">
                        <c:v>1.5902709734906797</c:v>
                      </c:pt>
                      <c:pt idx="35">
                        <c:v>1.6357072870189848</c:v>
                      </c:pt>
                      <c:pt idx="36">
                        <c:v>1.68114360054729</c:v>
                      </c:pt>
                      <c:pt idx="37">
                        <c:v>1.7265799140755951</c:v>
                      </c:pt>
                      <c:pt idx="38">
                        <c:v>1.7720162276039002</c:v>
                      </c:pt>
                      <c:pt idx="39">
                        <c:v>1.8174525411322053</c:v>
                      </c:pt>
                      <c:pt idx="40">
                        <c:v>1.8628888546605105</c:v>
                      </c:pt>
                      <c:pt idx="41">
                        <c:v>1.9083251681888156</c:v>
                      </c:pt>
                      <c:pt idx="42">
                        <c:v>1.9537614817171207</c:v>
                      </c:pt>
                      <c:pt idx="43">
                        <c:v>1.9991977952454258</c:v>
                      </c:pt>
                      <c:pt idx="44">
                        <c:v>2.0446341087737312</c:v>
                      </c:pt>
                      <c:pt idx="45">
                        <c:v>2.0900704223020363</c:v>
                      </c:pt>
                      <c:pt idx="46">
                        <c:v>2.1355067358303415</c:v>
                      </c:pt>
                      <c:pt idx="47">
                        <c:v>2.1809430493586466</c:v>
                      </c:pt>
                      <c:pt idx="48">
                        <c:v>2.2263793628869517</c:v>
                      </c:pt>
                      <c:pt idx="49">
                        <c:v>2.2718156764152568</c:v>
                      </c:pt>
                      <c:pt idx="50">
                        <c:v>2.317251989943562</c:v>
                      </c:pt>
                      <c:pt idx="51">
                        <c:v>2.3626883034718671</c:v>
                      </c:pt>
                    </c:numCache>
                  </c:numRef>
                </c:val>
                <c:smooth val="0"/>
                <c:extLst xmlns:c15="http://schemas.microsoft.com/office/drawing/2012/chart">
                  <c:ext xmlns:c16="http://schemas.microsoft.com/office/drawing/2014/chart" uri="{C3380CC4-5D6E-409C-BE32-E72D297353CC}">
                    <c16:uniqueId val="{00000007-FE32-498A-8B84-4AC0E8432D0D}"/>
                  </c:ext>
                </c:extLst>
              </c15:ser>
            </c15:filteredLineSeries>
            <c15:filteredLineSeries>
              <c15:ser>
                <c:idx val="1"/>
                <c:order val="4"/>
                <c:tx>
                  <c:strRef>
                    <c:extLst xmlns:c15="http://schemas.microsoft.com/office/drawing/2012/chart">
                      <c:ext xmlns:c15="http://schemas.microsoft.com/office/drawing/2012/chart" uri="{02D57815-91ED-43cb-92C2-25804820EDAC}">
                        <c15:formulaRef>
                          <c15:sqref>'PBL OLD'!$CY$6:$CY$7</c15:sqref>
                        </c15:formulaRef>
                      </c:ext>
                    </c:extLst>
                    <c:strCache>
                      <c:ptCount val="2"/>
                      <c:pt idx="0">
                        <c:v>10th Percentile</c:v>
                      </c:pt>
                    </c:strCache>
                  </c:strRef>
                </c:tx>
                <c:spPr>
                  <a:ln w="19050">
                    <a:solidFill>
                      <a:schemeClr val="bg2">
                        <a:lumMod val="60000"/>
                        <a:lumOff val="40000"/>
                      </a:schemeClr>
                    </a:solidFill>
                    <a:prstDash val="sysDot"/>
                  </a:ln>
                </c:spPr>
                <c:marker>
                  <c:symbol val="none"/>
                </c:marker>
                <c:cat>
                  <c:numRef>
                    <c:extLst xmlns:c15="http://schemas.microsoft.com/office/drawing/2012/chart">
                      <c:ext xmlns:c15="http://schemas.microsoft.com/office/drawing/2012/chart" uri="{02D57815-91ED-43cb-92C2-25804820EDAC}">
                        <c15:formulaRef>
                          <c15:sqref>'PBL OLD'!$EQ$8:$EQ$60</c15:sqref>
                        </c15:formulaRef>
                      </c:ext>
                    </c:extLst>
                    <c:numCache>
                      <c:formatCode>d\-mmm\-yy_);\(###0\);"-  ";" "@" "</c:formatCode>
                      <c:ptCount val="53"/>
                      <c:pt idx="0">
                        <c:v>45477</c:v>
                      </c:pt>
                      <c:pt idx="1">
                        <c:v>45484</c:v>
                      </c:pt>
                      <c:pt idx="2">
                        <c:v>45491</c:v>
                      </c:pt>
                      <c:pt idx="3">
                        <c:v>45498</c:v>
                      </c:pt>
                      <c:pt idx="4">
                        <c:v>45505</c:v>
                      </c:pt>
                      <c:pt idx="5">
                        <c:v>45512</c:v>
                      </c:pt>
                      <c:pt idx="6">
                        <c:v>45519</c:v>
                      </c:pt>
                      <c:pt idx="7">
                        <c:v>45526</c:v>
                      </c:pt>
                      <c:pt idx="8">
                        <c:v>45533</c:v>
                      </c:pt>
                      <c:pt idx="9">
                        <c:v>45540</c:v>
                      </c:pt>
                      <c:pt idx="10">
                        <c:v>45547</c:v>
                      </c:pt>
                      <c:pt idx="11">
                        <c:v>45554</c:v>
                      </c:pt>
                      <c:pt idx="12">
                        <c:v>45561</c:v>
                      </c:pt>
                      <c:pt idx="13">
                        <c:v>45568</c:v>
                      </c:pt>
                      <c:pt idx="14">
                        <c:v>45575</c:v>
                      </c:pt>
                      <c:pt idx="15">
                        <c:v>45582</c:v>
                      </c:pt>
                      <c:pt idx="16">
                        <c:v>45589</c:v>
                      </c:pt>
                      <c:pt idx="17">
                        <c:v>45596</c:v>
                      </c:pt>
                      <c:pt idx="18">
                        <c:v>45603</c:v>
                      </c:pt>
                      <c:pt idx="19">
                        <c:v>45610</c:v>
                      </c:pt>
                      <c:pt idx="20">
                        <c:v>45617</c:v>
                      </c:pt>
                      <c:pt idx="21">
                        <c:v>45624</c:v>
                      </c:pt>
                      <c:pt idx="22">
                        <c:v>45631</c:v>
                      </c:pt>
                      <c:pt idx="23">
                        <c:v>45638</c:v>
                      </c:pt>
                      <c:pt idx="24">
                        <c:v>45645</c:v>
                      </c:pt>
                      <c:pt idx="25">
                        <c:v>45652</c:v>
                      </c:pt>
                    </c:numCache>
                  </c:numRef>
                </c:cat>
                <c:val>
                  <c:numRef>
                    <c:extLst xmlns:c15="http://schemas.microsoft.com/office/drawing/2012/chart">
                      <c:ext xmlns:c15="http://schemas.microsoft.com/office/drawing/2012/chart" uri="{02D57815-91ED-43cb-92C2-25804820EDAC}">
                        <c15:formulaRef>
                          <c15:sqref>'PBL OLD'!$CY$8:$CY$60</c15:sqref>
                        </c15:formulaRef>
                      </c:ext>
                    </c:extLst>
                    <c:numCache>
                      <c:formatCode>0.000</c:formatCode>
                      <c:ptCount val="53"/>
                      <c:pt idx="0">
                        <c:v>5.0502007292025322E-2</c:v>
                      </c:pt>
                      <c:pt idx="1">
                        <c:v>0.10100401458405064</c:v>
                      </c:pt>
                      <c:pt idx="2">
                        <c:v>0.15150602187607598</c:v>
                      </c:pt>
                      <c:pt idx="3">
                        <c:v>0.20200802916810129</c:v>
                      </c:pt>
                      <c:pt idx="4">
                        <c:v>0.2525100364601266</c:v>
                      </c:pt>
                      <c:pt idx="5">
                        <c:v>0.30301204375215191</c:v>
                      </c:pt>
                      <c:pt idx="6">
                        <c:v>0.35351405104417721</c:v>
                      </c:pt>
                      <c:pt idx="7">
                        <c:v>0.40401605833620252</c:v>
                      </c:pt>
                      <c:pt idx="8">
                        <c:v>0.45451806562822783</c:v>
                      </c:pt>
                      <c:pt idx="9">
                        <c:v>0.50502007292025319</c:v>
                      </c:pt>
                      <c:pt idx="10">
                        <c:v>0.55552208021227856</c:v>
                      </c:pt>
                      <c:pt idx="11">
                        <c:v>0.60602408750430392</c:v>
                      </c:pt>
                      <c:pt idx="12">
                        <c:v>0.65652609479632928</c:v>
                      </c:pt>
                      <c:pt idx="13">
                        <c:v>0.70702810208835465</c:v>
                      </c:pt>
                      <c:pt idx="14">
                        <c:v>0.75753010938038001</c:v>
                      </c:pt>
                      <c:pt idx="15">
                        <c:v>0.80803211667240538</c:v>
                      </c:pt>
                      <c:pt idx="16">
                        <c:v>0.85853412396443074</c:v>
                      </c:pt>
                      <c:pt idx="17">
                        <c:v>0.9090361312564561</c:v>
                      </c:pt>
                      <c:pt idx="18">
                        <c:v>0.95953813854848147</c:v>
                      </c:pt>
                      <c:pt idx="19">
                        <c:v>1.0100401458405068</c:v>
                      </c:pt>
                      <c:pt idx="20">
                        <c:v>1.0605421531325321</c:v>
                      </c:pt>
                      <c:pt idx="21">
                        <c:v>1.1110441604245573</c:v>
                      </c:pt>
                      <c:pt idx="22">
                        <c:v>1.1615461677165826</c:v>
                      </c:pt>
                      <c:pt idx="23">
                        <c:v>1.2120481750086078</c:v>
                      </c:pt>
                      <c:pt idx="24">
                        <c:v>1.2625501823006331</c:v>
                      </c:pt>
                      <c:pt idx="25">
                        <c:v>1.3130521895926583</c:v>
                      </c:pt>
                      <c:pt idx="26">
                        <c:v>1.3635541968846836</c:v>
                      </c:pt>
                      <c:pt idx="27">
                        <c:v>1.4140562041767089</c:v>
                      </c:pt>
                      <c:pt idx="28">
                        <c:v>1.4645582114687341</c:v>
                      </c:pt>
                      <c:pt idx="29">
                        <c:v>1.5150602187607594</c:v>
                      </c:pt>
                      <c:pt idx="30">
                        <c:v>1.5655622260527846</c:v>
                      </c:pt>
                      <c:pt idx="31">
                        <c:v>1.6160642333448099</c:v>
                      </c:pt>
                      <c:pt idx="32">
                        <c:v>1.6665662406368351</c:v>
                      </c:pt>
                      <c:pt idx="33">
                        <c:v>1.7170682479288604</c:v>
                      </c:pt>
                      <c:pt idx="34">
                        <c:v>1.7675702552208856</c:v>
                      </c:pt>
                      <c:pt idx="35">
                        <c:v>1.8180722625129109</c:v>
                      </c:pt>
                      <c:pt idx="36">
                        <c:v>1.8685742698049361</c:v>
                      </c:pt>
                      <c:pt idx="37">
                        <c:v>1.9190762770969614</c:v>
                      </c:pt>
                      <c:pt idx="38">
                        <c:v>1.9695782843889866</c:v>
                      </c:pt>
                      <c:pt idx="39">
                        <c:v>2.0200802916810119</c:v>
                      </c:pt>
                      <c:pt idx="40">
                        <c:v>2.0705822989730374</c:v>
                      </c:pt>
                      <c:pt idx="41">
                        <c:v>2.1210843062650628</c:v>
                      </c:pt>
                      <c:pt idx="42">
                        <c:v>2.1715863135570883</c:v>
                      </c:pt>
                      <c:pt idx="43">
                        <c:v>2.2220883208491138</c:v>
                      </c:pt>
                      <c:pt idx="44">
                        <c:v>2.2725903281411393</c:v>
                      </c:pt>
                      <c:pt idx="45">
                        <c:v>2.3230923354331647</c:v>
                      </c:pt>
                      <c:pt idx="46">
                        <c:v>2.3735943427251902</c:v>
                      </c:pt>
                      <c:pt idx="47">
                        <c:v>2.4240963500172157</c:v>
                      </c:pt>
                      <c:pt idx="48">
                        <c:v>2.4745983573092412</c:v>
                      </c:pt>
                      <c:pt idx="49">
                        <c:v>2.5251003646012666</c:v>
                      </c:pt>
                      <c:pt idx="50">
                        <c:v>2.5756023718932921</c:v>
                      </c:pt>
                      <c:pt idx="51">
                        <c:v>2.6261043791853176</c:v>
                      </c:pt>
                    </c:numCache>
                  </c:numRef>
                </c:val>
                <c:smooth val="0"/>
                <c:extLst xmlns:c15="http://schemas.microsoft.com/office/drawing/2012/chart">
                  <c:ext xmlns:c16="http://schemas.microsoft.com/office/drawing/2014/chart" uri="{C3380CC4-5D6E-409C-BE32-E72D297353CC}">
                    <c16:uniqueId val="{00000008-FE32-498A-8B84-4AC0E8432D0D}"/>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'PBL OLD'!$DC$6:$DC$7</c15:sqref>
                        </c15:formulaRef>
                      </c:ext>
                    </c:extLst>
                    <c:strCache>
                      <c:ptCount val="2"/>
                      <c:pt idx="0">
                        <c:v>90th Percentile</c:v>
                      </c:pt>
                    </c:strCache>
                  </c:strRef>
                </c:tx>
                <c:spPr>
                  <a:ln w="28575" cap="rnd">
                    <a:solidFill>
                      <a:schemeClr val="accent6"/>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'PBL OLD'!$EQ$8:$EQ$60</c15:sqref>
                        </c15:formulaRef>
                      </c:ext>
                    </c:extLst>
                    <c:numCache>
                      <c:formatCode>d\-mmm\-yy_);\(###0\);"-  ";" "@" "</c:formatCode>
                      <c:ptCount val="53"/>
                      <c:pt idx="0">
                        <c:v>45477</c:v>
                      </c:pt>
                      <c:pt idx="1">
                        <c:v>45484</c:v>
                      </c:pt>
                      <c:pt idx="2">
                        <c:v>45491</c:v>
                      </c:pt>
                      <c:pt idx="3">
                        <c:v>45498</c:v>
                      </c:pt>
                      <c:pt idx="4">
                        <c:v>45505</c:v>
                      </c:pt>
                      <c:pt idx="5">
                        <c:v>45512</c:v>
                      </c:pt>
                      <c:pt idx="6">
                        <c:v>45519</c:v>
                      </c:pt>
                      <c:pt idx="7">
                        <c:v>45526</c:v>
                      </c:pt>
                      <c:pt idx="8">
                        <c:v>45533</c:v>
                      </c:pt>
                      <c:pt idx="9">
                        <c:v>45540</c:v>
                      </c:pt>
                      <c:pt idx="10">
                        <c:v>45547</c:v>
                      </c:pt>
                      <c:pt idx="11">
                        <c:v>45554</c:v>
                      </c:pt>
                      <c:pt idx="12">
                        <c:v>45561</c:v>
                      </c:pt>
                      <c:pt idx="13">
                        <c:v>45568</c:v>
                      </c:pt>
                      <c:pt idx="14">
                        <c:v>45575</c:v>
                      </c:pt>
                      <c:pt idx="15">
                        <c:v>45582</c:v>
                      </c:pt>
                      <c:pt idx="16">
                        <c:v>45589</c:v>
                      </c:pt>
                      <c:pt idx="17">
                        <c:v>45596</c:v>
                      </c:pt>
                      <c:pt idx="18">
                        <c:v>45603</c:v>
                      </c:pt>
                      <c:pt idx="19">
                        <c:v>45610</c:v>
                      </c:pt>
                      <c:pt idx="20">
                        <c:v>45617</c:v>
                      </c:pt>
                      <c:pt idx="21">
                        <c:v>45624</c:v>
                      </c:pt>
                      <c:pt idx="22">
                        <c:v>45631</c:v>
                      </c:pt>
                      <c:pt idx="23">
                        <c:v>45638</c:v>
                      </c:pt>
                      <c:pt idx="24">
                        <c:v>45645</c:v>
                      </c:pt>
                      <c:pt idx="25">
                        <c:v>45652</c:v>
                      </c:pt>
                    </c:numCache>
                  </c:numRef>
                </c:cat>
                <c:val>
                  <c:numRef>
                    <c:extLst xmlns:c15="http://schemas.microsoft.com/office/drawing/2012/chart">
                      <c:ext xmlns:c15="http://schemas.microsoft.com/office/drawing/2012/chart" uri="{02D57815-91ED-43cb-92C2-25804820EDAC}">
                        <c15:formulaRef>
                          <c15:sqref>'PBL OLD'!$DC$8:$DC$60</c15:sqref>
                        </c15:formulaRef>
                      </c:ext>
                    </c:extLst>
                    <c:numCache>
                      <c:formatCode>0.000</c:formatCode>
                      <c:ptCount val="53"/>
                      <c:pt idx="0">
                        <c:v>7.261484324723147E-2</c:v>
                      </c:pt>
                      <c:pt idx="1">
                        <c:v>0.14522968649446294</c:v>
                      </c:pt>
                      <c:pt idx="2">
                        <c:v>0.21784452974169441</c:v>
                      </c:pt>
                      <c:pt idx="3">
                        <c:v>0.29045937298892588</c:v>
                      </c:pt>
                      <c:pt idx="4">
                        <c:v>0.36307421623615732</c:v>
                      </c:pt>
                      <c:pt idx="5">
                        <c:v>0.43568905948338876</c:v>
                      </c:pt>
                      <c:pt idx="6">
                        <c:v>0.50830390273062021</c:v>
                      </c:pt>
                      <c:pt idx="7">
                        <c:v>0.58091874597785165</c:v>
                      </c:pt>
                      <c:pt idx="8">
                        <c:v>0.65353358922508309</c:v>
                      </c:pt>
                      <c:pt idx="9">
                        <c:v>0.72614843247231453</c:v>
                      </c:pt>
                      <c:pt idx="10">
                        <c:v>0.79876327571954597</c:v>
                      </c:pt>
                      <c:pt idx="11">
                        <c:v>0.87137811896677742</c:v>
                      </c:pt>
                      <c:pt idx="12">
                        <c:v>0.94399296221400886</c:v>
                      </c:pt>
                      <c:pt idx="13">
                        <c:v>1.0166078054612404</c:v>
                      </c:pt>
                      <c:pt idx="14">
                        <c:v>1.089222648708472</c:v>
                      </c:pt>
                      <c:pt idx="15">
                        <c:v>1.1618374919557035</c:v>
                      </c:pt>
                      <c:pt idx="16">
                        <c:v>1.2344523352029351</c:v>
                      </c:pt>
                      <c:pt idx="17">
                        <c:v>1.3070671784501666</c:v>
                      </c:pt>
                      <c:pt idx="18">
                        <c:v>1.3796820216973982</c:v>
                      </c:pt>
                      <c:pt idx="19">
                        <c:v>1.4522968649446297</c:v>
                      </c:pt>
                      <c:pt idx="20">
                        <c:v>1.5249117081918613</c:v>
                      </c:pt>
                      <c:pt idx="21">
                        <c:v>1.5975265514390928</c:v>
                      </c:pt>
                      <c:pt idx="22">
                        <c:v>1.6701413946863244</c:v>
                      </c:pt>
                      <c:pt idx="23">
                        <c:v>1.7427562379335559</c:v>
                      </c:pt>
                      <c:pt idx="24">
                        <c:v>1.8153710811807875</c:v>
                      </c:pt>
                      <c:pt idx="25">
                        <c:v>1.887985924428019</c:v>
                      </c:pt>
                      <c:pt idx="26">
                        <c:v>1.9606007676752506</c:v>
                      </c:pt>
                      <c:pt idx="27">
                        <c:v>2.0332156109224822</c:v>
                      </c:pt>
                      <c:pt idx="28">
                        <c:v>2.1058304541697135</c:v>
                      </c:pt>
                      <c:pt idx="29">
                        <c:v>2.1784452974169448</c:v>
                      </c:pt>
                      <c:pt idx="30">
                        <c:v>2.2510601406641761</c:v>
                      </c:pt>
                      <c:pt idx="31">
                        <c:v>2.3236749839114075</c:v>
                      </c:pt>
                      <c:pt idx="32">
                        <c:v>2.3962898271586388</c:v>
                      </c:pt>
                      <c:pt idx="33">
                        <c:v>2.4689046704058701</c:v>
                      </c:pt>
                      <c:pt idx="34">
                        <c:v>2.5415195136531015</c:v>
                      </c:pt>
                      <c:pt idx="35">
                        <c:v>2.6141343569003328</c:v>
                      </c:pt>
                      <c:pt idx="36">
                        <c:v>2.6867492001475641</c:v>
                      </c:pt>
                      <c:pt idx="37">
                        <c:v>2.7593640433947955</c:v>
                      </c:pt>
                      <c:pt idx="38">
                        <c:v>2.8319788866420268</c:v>
                      </c:pt>
                      <c:pt idx="39">
                        <c:v>2.9045937298892581</c:v>
                      </c:pt>
                      <c:pt idx="40">
                        <c:v>2.9772085731364895</c:v>
                      </c:pt>
                      <c:pt idx="41">
                        <c:v>3.0498234163837208</c:v>
                      </c:pt>
                      <c:pt idx="42">
                        <c:v>3.1224382596309521</c:v>
                      </c:pt>
                      <c:pt idx="43">
                        <c:v>3.1950531028781834</c:v>
                      </c:pt>
                      <c:pt idx="44">
                        <c:v>3.2676679461254148</c:v>
                      </c:pt>
                      <c:pt idx="45">
                        <c:v>3.3402827893726461</c:v>
                      </c:pt>
                      <c:pt idx="46">
                        <c:v>3.4128976326198774</c:v>
                      </c:pt>
                      <c:pt idx="47">
                        <c:v>3.4855124758671088</c:v>
                      </c:pt>
                      <c:pt idx="48">
                        <c:v>3.5581273191143401</c:v>
                      </c:pt>
                      <c:pt idx="49">
                        <c:v>3.6307421623615714</c:v>
                      </c:pt>
                      <c:pt idx="50">
                        <c:v>3.7033570056088028</c:v>
                      </c:pt>
                      <c:pt idx="51">
                        <c:v>3.7759718488560341</c:v>
                      </c:pt>
                    </c:numCache>
                  </c:numRef>
                </c:val>
                <c:smooth val="0"/>
                <c:extLst xmlns:c15="http://schemas.microsoft.com/office/drawing/2012/chart">
                  <c:ext xmlns:c16="http://schemas.microsoft.com/office/drawing/2014/chart" uri="{C3380CC4-5D6E-409C-BE32-E72D297353CC}">
                    <c16:uniqueId val="{00000009-FE32-498A-8B84-4AC0E8432D0D}"/>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'PBL OLD'!$DE$6:$DE$7</c15:sqref>
                        </c15:formulaRef>
                      </c:ext>
                    </c:extLst>
                    <c:strCache>
                      <c:ptCount val="2"/>
                      <c:pt idx="0">
                        <c:v>99th Percentile</c:v>
                      </c:pt>
                    </c:strCache>
                  </c:strRef>
                </c:tx>
                <c:spPr>
                  <a:ln w="28575" cap="rnd" cmpd="sng">
                    <a:solidFill>
                      <a:schemeClr val="accent2"/>
                    </a:solidFill>
                    <a:prstDash val="sysDot"/>
                    <a:round/>
                    <a:headEnd type="none"/>
                  </a:ln>
                  <a:effectLst/>
                </c:spPr>
                <c:marker>
                  <c:symbol val="none"/>
                </c:marker>
                <c:cat>
                  <c:numRef>
                    <c:extLst xmlns:c15="http://schemas.microsoft.com/office/drawing/2012/chart">
                      <c:ext xmlns:c15="http://schemas.microsoft.com/office/drawing/2012/chart" uri="{02D57815-91ED-43cb-92C2-25804820EDAC}">
                        <c15:formulaRef>
                          <c15:sqref>'PBL OLD'!$EQ$8:$EQ$60</c15:sqref>
                        </c15:formulaRef>
                      </c:ext>
                    </c:extLst>
                    <c:numCache>
                      <c:formatCode>d\-mmm\-yy_);\(###0\);"-  ";" "@" "</c:formatCode>
                      <c:ptCount val="53"/>
                      <c:pt idx="0">
                        <c:v>45477</c:v>
                      </c:pt>
                      <c:pt idx="1">
                        <c:v>45484</c:v>
                      </c:pt>
                      <c:pt idx="2">
                        <c:v>45491</c:v>
                      </c:pt>
                      <c:pt idx="3">
                        <c:v>45498</c:v>
                      </c:pt>
                      <c:pt idx="4">
                        <c:v>45505</c:v>
                      </c:pt>
                      <c:pt idx="5">
                        <c:v>45512</c:v>
                      </c:pt>
                      <c:pt idx="6">
                        <c:v>45519</c:v>
                      </c:pt>
                      <c:pt idx="7">
                        <c:v>45526</c:v>
                      </c:pt>
                      <c:pt idx="8">
                        <c:v>45533</c:v>
                      </c:pt>
                      <c:pt idx="9">
                        <c:v>45540</c:v>
                      </c:pt>
                      <c:pt idx="10">
                        <c:v>45547</c:v>
                      </c:pt>
                      <c:pt idx="11">
                        <c:v>45554</c:v>
                      </c:pt>
                      <c:pt idx="12">
                        <c:v>45561</c:v>
                      </c:pt>
                      <c:pt idx="13">
                        <c:v>45568</c:v>
                      </c:pt>
                      <c:pt idx="14">
                        <c:v>45575</c:v>
                      </c:pt>
                      <c:pt idx="15">
                        <c:v>45582</c:v>
                      </c:pt>
                      <c:pt idx="16">
                        <c:v>45589</c:v>
                      </c:pt>
                      <c:pt idx="17">
                        <c:v>45596</c:v>
                      </c:pt>
                      <c:pt idx="18">
                        <c:v>45603</c:v>
                      </c:pt>
                      <c:pt idx="19">
                        <c:v>45610</c:v>
                      </c:pt>
                      <c:pt idx="20">
                        <c:v>45617</c:v>
                      </c:pt>
                      <c:pt idx="21">
                        <c:v>45624</c:v>
                      </c:pt>
                      <c:pt idx="22">
                        <c:v>45631</c:v>
                      </c:pt>
                      <c:pt idx="23">
                        <c:v>45638</c:v>
                      </c:pt>
                      <c:pt idx="24">
                        <c:v>45645</c:v>
                      </c:pt>
                      <c:pt idx="25">
                        <c:v>45652</c:v>
                      </c:pt>
                    </c:numCache>
                  </c:numRef>
                </c:cat>
                <c:val>
                  <c:numRef>
                    <c:extLst xmlns:c15="http://schemas.microsoft.com/office/drawing/2012/chart">
                      <c:ext xmlns:c15="http://schemas.microsoft.com/office/drawing/2012/chart" uri="{02D57815-91ED-43cb-92C2-25804820EDAC}">
                        <c15:formulaRef>
                          <c15:sqref>'PBL OLD'!$DE$8:$DE$60</c15:sqref>
                        </c15:formulaRef>
                      </c:ext>
                    </c:extLst>
                    <c:numCache>
                      <c:formatCode>0.000</c:formatCode>
                      <c:ptCount val="53"/>
                      <c:pt idx="0">
                        <c:v>8.472863847550996E-2</c:v>
                      </c:pt>
                      <c:pt idx="1">
                        <c:v>0.16945727695101992</c:v>
                      </c:pt>
                      <c:pt idx="2">
                        <c:v>0.25418591542652991</c:v>
                      </c:pt>
                      <c:pt idx="3">
                        <c:v>0.33891455390203984</c:v>
                      </c:pt>
                      <c:pt idx="4">
                        <c:v>0.42364319237754977</c:v>
                      </c:pt>
                      <c:pt idx="5">
                        <c:v>0.5083718308530597</c:v>
                      </c:pt>
                      <c:pt idx="6">
                        <c:v>0.59310046932856963</c:v>
                      </c:pt>
                      <c:pt idx="7">
                        <c:v>0.67782910780407957</c:v>
                      </c:pt>
                      <c:pt idx="8">
                        <c:v>0.7625577462795895</c:v>
                      </c:pt>
                      <c:pt idx="9">
                        <c:v>0.84728638475509943</c:v>
                      </c:pt>
                      <c:pt idx="10">
                        <c:v>0.93201502323060936</c:v>
                      </c:pt>
                      <c:pt idx="11">
                        <c:v>1.0167436617061194</c:v>
                      </c:pt>
                      <c:pt idx="12">
                        <c:v>1.1014723001816293</c:v>
                      </c:pt>
                      <c:pt idx="13">
                        <c:v>1.1862009386571393</c:v>
                      </c:pt>
                      <c:pt idx="14">
                        <c:v>1.2709295771326492</c:v>
                      </c:pt>
                      <c:pt idx="15">
                        <c:v>1.3556582156081591</c:v>
                      </c:pt>
                      <c:pt idx="16">
                        <c:v>1.4403868540836691</c:v>
                      </c:pt>
                      <c:pt idx="17">
                        <c:v>1.525115492559179</c:v>
                      </c:pt>
                      <c:pt idx="18">
                        <c:v>1.6098441310346889</c:v>
                      </c:pt>
                      <c:pt idx="19">
                        <c:v>1.6945727695101989</c:v>
                      </c:pt>
                      <c:pt idx="20">
                        <c:v>1.7793014079857088</c:v>
                      </c:pt>
                      <c:pt idx="21">
                        <c:v>1.8640300464612187</c:v>
                      </c:pt>
                      <c:pt idx="22">
                        <c:v>1.9487586849367287</c:v>
                      </c:pt>
                      <c:pt idx="23">
                        <c:v>2.0334873234122388</c:v>
                      </c:pt>
                      <c:pt idx="24">
                        <c:v>2.1182159618877487</c:v>
                      </c:pt>
                      <c:pt idx="25">
                        <c:v>2.2029446003632587</c:v>
                      </c:pt>
                      <c:pt idx="26">
                        <c:v>2.2876732388387686</c:v>
                      </c:pt>
                      <c:pt idx="27">
                        <c:v>2.3724018773142785</c:v>
                      </c:pt>
                      <c:pt idx="28">
                        <c:v>2.4571305157897885</c:v>
                      </c:pt>
                      <c:pt idx="29">
                        <c:v>2.5418591542652984</c:v>
                      </c:pt>
                      <c:pt idx="30">
                        <c:v>2.6265877927408083</c:v>
                      </c:pt>
                      <c:pt idx="31">
                        <c:v>2.7113164312163183</c:v>
                      </c:pt>
                      <c:pt idx="32">
                        <c:v>2.7960450696918282</c:v>
                      </c:pt>
                      <c:pt idx="33">
                        <c:v>2.8807737081673381</c:v>
                      </c:pt>
                      <c:pt idx="34">
                        <c:v>2.9655023466428481</c:v>
                      </c:pt>
                      <c:pt idx="35">
                        <c:v>3.050230985118358</c:v>
                      </c:pt>
                      <c:pt idx="36">
                        <c:v>3.1349596235938679</c:v>
                      </c:pt>
                      <c:pt idx="37">
                        <c:v>3.2196882620693779</c:v>
                      </c:pt>
                      <c:pt idx="38">
                        <c:v>3.3044169005448878</c:v>
                      </c:pt>
                      <c:pt idx="39">
                        <c:v>3.3891455390203977</c:v>
                      </c:pt>
                      <c:pt idx="40">
                        <c:v>3.4738741774959077</c:v>
                      </c:pt>
                      <c:pt idx="41">
                        <c:v>3.5586028159714176</c:v>
                      </c:pt>
                      <c:pt idx="42">
                        <c:v>3.6433314544469275</c:v>
                      </c:pt>
                      <c:pt idx="43">
                        <c:v>3.7280600929224375</c:v>
                      </c:pt>
                      <c:pt idx="44">
                        <c:v>3.8127887313979474</c:v>
                      </c:pt>
                      <c:pt idx="45">
                        <c:v>3.8975173698734573</c:v>
                      </c:pt>
                      <c:pt idx="46">
                        <c:v>3.9822460083489672</c:v>
                      </c:pt>
                      <c:pt idx="47">
                        <c:v>4.0669746468244776</c:v>
                      </c:pt>
                      <c:pt idx="48">
                        <c:v>4.1517032852999876</c:v>
                      </c:pt>
                      <c:pt idx="49">
                        <c:v>4.2364319237754975</c:v>
                      </c:pt>
                      <c:pt idx="50">
                        <c:v>4.3211605622510074</c:v>
                      </c:pt>
                      <c:pt idx="51">
                        <c:v>4.4058892007265174</c:v>
                      </c:pt>
                    </c:numCache>
                  </c:numRef>
                </c:val>
                <c:smooth val="0"/>
                <c:extLst xmlns:c15="http://schemas.microsoft.com/office/drawing/2012/chart">
                  <c:ext xmlns:c16="http://schemas.microsoft.com/office/drawing/2014/chart" uri="{C3380CC4-5D6E-409C-BE32-E72D297353CC}">
                    <c16:uniqueId val="{0000000A-FE32-498A-8B84-4AC0E8432D0D}"/>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'PBL OLD'!$DF$6:$DF$7</c15:sqref>
                        </c15:formulaRef>
                      </c:ext>
                    </c:extLst>
                    <c:strCache>
                      <c:ptCount val="2"/>
                      <c:pt idx="0">
                        <c:v>Max</c:v>
                      </c:pt>
                    </c:strCache>
                  </c:strRef>
                </c:tx>
                <c:marker>
                  <c:symbol val="none"/>
                </c:marker>
                <c:cat>
                  <c:numRef>
                    <c:extLst xmlns:c15="http://schemas.microsoft.com/office/drawing/2012/chart">
                      <c:ext xmlns:c15="http://schemas.microsoft.com/office/drawing/2012/chart" uri="{02D57815-91ED-43cb-92C2-25804820EDAC}">
                        <c15:formulaRef>
                          <c15:sqref>'PBL OLD'!$EQ$8:$EQ$60</c15:sqref>
                        </c15:formulaRef>
                      </c:ext>
                    </c:extLst>
                    <c:numCache>
                      <c:formatCode>d\-mmm\-yy_);\(###0\);"-  ";" "@" "</c:formatCode>
                      <c:ptCount val="53"/>
                      <c:pt idx="0">
                        <c:v>45477</c:v>
                      </c:pt>
                      <c:pt idx="1">
                        <c:v>45484</c:v>
                      </c:pt>
                      <c:pt idx="2">
                        <c:v>45491</c:v>
                      </c:pt>
                      <c:pt idx="3">
                        <c:v>45498</c:v>
                      </c:pt>
                      <c:pt idx="4">
                        <c:v>45505</c:v>
                      </c:pt>
                      <c:pt idx="5">
                        <c:v>45512</c:v>
                      </c:pt>
                      <c:pt idx="6">
                        <c:v>45519</c:v>
                      </c:pt>
                      <c:pt idx="7">
                        <c:v>45526</c:v>
                      </c:pt>
                      <c:pt idx="8">
                        <c:v>45533</c:v>
                      </c:pt>
                      <c:pt idx="9">
                        <c:v>45540</c:v>
                      </c:pt>
                      <c:pt idx="10">
                        <c:v>45547</c:v>
                      </c:pt>
                      <c:pt idx="11">
                        <c:v>45554</c:v>
                      </c:pt>
                      <c:pt idx="12">
                        <c:v>45561</c:v>
                      </c:pt>
                      <c:pt idx="13">
                        <c:v>45568</c:v>
                      </c:pt>
                      <c:pt idx="14">
                        <c:v>45575</c:v>
                      </c:pt>
                      <c:pt idx="15">
                        <c:v>45582</c:v>
                      </c:pt>
                      <c:pt idx="16">
                        <c:v>45589</c:v>
                      </c:pt>
                      <c:pt idx="17">
                        <c:v>45596</c:v>
                      </c:pt>
                      <c:pt idx="18">
                        <c:v>45603</c:v>
                      </c:pt>
                      <c:pt idx="19">
                        <c:v>45610</c:v>
                      </c:pt>
                      <c:pt idx="20">
                        <c:v>45617</c:v>
                      </c:pt>
                      <c:pt idx="21">
                        <c:v>45624</c:v>
                      </c:pt>
                      <c:pt idx="22">
                        <c:v>45631</c:v>
                      </c:pt>
                      <c:pt idx="23">
                        <c:v>45638</c:v>
                      </c:pt>
                      <c:pt idx="24">
                        <c:v>45645</c:v>
                      </c:pt>
                      <c:pt idx="25">
                        <c:v>45652</c:v>
                      </c:pt>
                    </c:numCache>
                  </c:numRef>
                </c:cat>
                <c:val>
                  <c:numRef>
                    <c:extLst xmlns:c15="http://schemas.microsoft.com/office/drawing/2012/chart">
                      <c:ext xmlns:c15="http://schemas.microsoft.com/office/drawing/2012/chart" uri="{02D57815-91ED-43cb-92C2-25804820EDAC}">
                        <c15:formulaRef>
                          <c15:sqref>'PBL OLD'!$DF$8:$DF$60</c15:sqref>
                        </c15:formulaRef>
                      </c:ext>
                    </c:extLst>
                    <c:numCache>
                      <c:formatCode>0.000</c:formatCode>
                      <c:ptCount val="53"/>
                      <c:pt idx="0">
                        <c:v>0.10288241710741779</c:v>
                      </c:pt>
                      <c:pt idx="1">
                        <c:v>0.20576483421483557</c:v>
                      </c:pt>
                      <c:pt idx="2">
                        <c:v>0.30864725132225335</c:v>
                      </c:pt>
                      <c:pt idx="3">
                        <c:v>0.41152966842967115</c:v>
                      </c:pt>
                      <c:pt idx="4">
                        <c:v>0.51441208553708895</c:v>
                      </c:pt>
                      <c:pt idx="5">
                        <c:v>0.61729450264450669</c:v>
                      </c:pt>
                      <c:pt idx="6">
                        <c:v>0.72017691975192444</c:v>
                      </c:pt>
                      <c:pt idx="7">
                        <c:v>0.82305933685934218</c:v>
                      </c:pt>
                      <c:pt idx="8">
                        <c:v>0.92594175396675993</c:v>
                      </c:pt>
                      <c:pt idx="9">
                        <c:v>1.0288241710741777</c:v>
                      </c:pt>
                      <c:pt idx="10">
                        <c:v>1.1317065881815955</c:v>
                      </c:pt>
                      <c:pt idx="11">
                        <c:v>1.2345890052890134</c:v>
                      </c:pt>
                      <c:pt idx="12">
                        <c:v>1.3374714223964312</c:v>
                      </c:pt>
                      <c:pt idx="13">
                        <c:v>1.4403538395038491</c:v>
                      </c:pt>
                      <c:pt idx="14">
                        <c:v>1.543236256611267</c:v>
                      </c:pt>
                      <c:pt idx="15">
                        <c:v>1.6461186737186848</c:v>
                      </c:pt>
                      <c:pt idx="16">
                        <c:v>1.7490010908261027</c:v>
                      </c:pt>
                      <c:pt idx="17">
                        <c:v>1.8518835079335205</c:v>
                      </c:pt>
                      <c:pt idx="18">
                        <c:v>1.9547659250409384</c:v>
                      </c:pt>
                      <c:pt idx="19">
                        <c:v>2.0576483421483562</c:v>
                      </c:pt>
                      <c:pt idx="20">
                        <c:v>2.1605307592557739</c:v>
                      </c:pt>
                      <c:pt idx="21">
                        <c:v>2.2634131763631915</c:v>
                      </c:pt>
                      <c:pt idx="22">
                        <c:v>2.3662955934706091</c:v>
                      </c:pt>
                      <c:pt idx="23">
                        <c:v>2.4691780105780268</c:v>
                      </c:pt>
                      <c:pt idx="24">
                        <c:v>2.5720604276854444</c:v>
                      </c:pt>
                      <c:pt idx="25">
                        <c:v>2.674942844792862</c:v>
                      </c:pt>
                      <c:pt idx="26">
                        <c:v>2.7778252619002797</c:v>
                      </c:pt>
                      <c:pt idx="27">
                        <c:v>2.8807076790076973</c:v>
                      </c:pt>
                      <c:pt idx="28">
                        <c:v>2.9835900961151149</c:v>
                      </c:pt>
                      <c:pt idx="29">
                        <c:v>3.0864725132225326</c:v>
                      </c:pt>
                      <c:pt idx="30">
                        <c:v>3.1893549303299502</c:v>
                      </c:pt>
                      <c:pt idx="31">
                        <c:v>3.2922373474373678</c:v>
                      </c:pt>
                      <c:pt idx="32">
                        <c:v>3.3951197645447855</c:v>
                      </c:pt>
                      <c:pt idx="33">
                        <c:v>3.4980021816522031</c:v>
                      </c:pt>
                      <c:pt idx="34">
                        <c:v>3.6008845987596207</c:v>
                      </c:pt>
                      <c:pt idx="35">
                        <c:v>3.7037670158670384</c:v>
                      </c:pt>
                      <c:pt idx="36">
                        <c:v>3.806649432974456</c:v>
                      </c:pt>
                      <c:pt idx="37">
                        <c:v>3.9095318500818736</c:v>
                      </c:pt>
                      <c:pt idx="38">
                        <c:v>4.0124142671892917</c:v>
                      </c:pt>
                      <c:pt idx="39">
                        <c:v>4.1152966842967098</c:v>
                      </c:pt>
                      <c:pt idx="40">
                        <c:v>4.2181791014041279</c:v>
                      </c:pt>
                      <c:pt idx="41">
                        <c:v>4.321061518511546</c:v>
                      </c:pt>
                      <c:pt idx="42">
                        <c:v>4.423943935618964</c:v>
                      </c:pt>
                      <c:pt idx="43">
                        <c:v>4.5268263527263821</c:v>
                      </c:pt>
                      <c:pt idx="44">
                        <c:v>4.6297087698338002</c:v>
                      </c:pt>
                      <c:pt idx="45">
                        <c:v>4.7325911869412183</c:v>
                      </c:pt>
                      <c:pt idx="46">
                        <c:v>4.8354736040486364</c:v>
                      </c:pt>
                      <c:pt idx="47">
                        <c:v>4.9383560211560544</c:v>
                      </c:pt>
                      <c:pt idx="48">
                        <c:v>5.0412384382634725</c:v>
                      </c:pt>
                      <c:pt idx="49">
                        <c:v>5.1441208553708906</c:v>
                      </c:pt>
                      <c:pt idx="50">
                        <c:v>5.2470032724783087</c:v>
                      </c:pt>
                      <c:pt idx="51">
                        <c:v>5.3498856895857267</c:v>
                      </c:pt>
                    </c:numCache>
                  </c:numRef>
                </c:val>
                <c:smooth val="0"/>
                <c:extLst xmlns:c15="http://schemas.microsoft.com/office/drawing/2012/chart">
                  <c:ext xmlns:c16="http://schemas.microsoft.com/office/drawing/2014/chart" uri="{C3380CC4-5D6E-409C-BE32-E72D297353CC}">
                    <c16:uniqueId val="{0000000B-FE32-498A-8B84-4AC0E8432D0D}"/>
                  </c:ext>
                </c:extLst>
              </c15:ser>
            </c15:filteredLineSeries>
          </c:ext>
        </c:extLst>
      </c:lineChart>
      <c:dateAx>
        <c:axId val="1388952432"/>
        <c:scaling>
          <c:orientation val="minMax"/>
        </c:scaling>
        <c:delete val="0"/>
        <c:axPos val="b"/>
        <c:numFmt formatCode="mmm\-yy_);\(###0\);&quot;-  &quot;;&quot; &quot;@&quot; &quot;" sourceLinked="0"/>
        <c:majorTickMark val="none"/>
        <c:minorTickMark val="none"/>
        <c:tickLblPos val="nextTo"/>
        <c:spPr>
          <a:noFill/>
          <a:ln w="9525" cap="flat" cmpd="sng" algn="ctr">
            <a:noFill/>
            <a:round/>
          </a:ln>
          <a:effectLst/>
        </c:spPr>
        <c:txPr>
          <a:bodyPr rot="-5400000" vert="horz"/>
          <a:lstStyle/>
          <a:p>
            <a:pPr>
              <a:defRPr/>
            </a:pPr>
            <a:endParaRPr lang="en-US"/>
          </a:p>
        </c:txPr>
        <c:crossAx val="1388953088"/>
        <c:crosses val="autoZero"/>
        <c:auto val="1"/>
        <c:lblOffset val="100"/>
        <c:baseTimeUnit val="days"/>
        <c:majorUnit val="1"/>
        <c:majorTimeUnit val="months"/>
      </c:dateAx>
      <c:valAx>
        <c:axId val="1388953088"/>
        <c:scaling>
          <c:orientation val="minMax"/>
          <c:max val="2.5"/>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vert="horz"/>
          <a:lstStyle/>
          <a:p>
            <a:pPr>
              <a:defRPr/>
            </a:pPr>
            <a:endParaRPr lang="en-US"/>
          </a:p>
        </c:txPr>
        <c:crossAx val="1388952432"/>
        <c:crosses val="autoZero"/>
        <c:crossBetween val="between"/>
      </c:valAx>
    </c:plotArea>
    <c:legend>
      <c:legendPos val="b"/>
      <c:legendEntry>
        <c:idx val="1"/>
        <c:delete val="1"/>
      </c:legendEntry>
      <c:legendEntry>
        <c:idx val="3"/>
        <c:delete val="1"/>
      </c:legendEntry>
      <c:legendEntry>
        <c:idx val="4"/>
        <c:delete val="1"/>
      </c:legendEntry>
      <c:legendEntry>
        <c:idx val="5"/>
        <c:delete val="1"/>
      </c:legendEntry>
      <c:overlay val="0"/>
      <c:spPr>
        <a:noFill/>
        <a:ln>
          <a:noFill/>
        </a:ln>
        <a:effectLst/>
      </c:spPr>
      <c:txPr>
        <a:bodyPr rot="0" vert="horz"/>
        <a:lstStyle/>
        <a:p>
          <a:pPr>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orientation="portrait"/>
  </c:printSettings>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'PBL OLD'!$CU$6:$CU$7</c:f>
              <c:strCache>
                <c:ptCount val="2"/>
                <c:pt idx="0">
                  <c:v>Actual</c:v>
                </c:pt>
              </c:strCache>
            </c:strRef>
          </c:tx>
          <c:spPr>
            <a:ln w="28575" cap="rnd">
              <a:solidFill>
                <a:schemeClr val="tx2"/>
              </a:solidFill>
              <a:round/>
            </a:ln>
            <a:effectLst/>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OLD'!$CU$8:$CU$60</c:f>
              <c:numCache>
                <c:formatCode>0.000</c:formatCode>
                <c:ptCount val="53"/>
                <c:pt idx="0">
                  <c:v>2.4383432684147156E-2</c:v>
                </c:pt>
                <c:pt idx="1">
                  <c:v>5.7456335077458197E-2</c:v>
                </c:pt>
                <c:pt idx="2">
                  <c:v>8.2897301732709039E-2</c:v>
                </c:pt>
                <c:pt idx="3">
                  <c:v>0.10634933406608696</c:v>
                </c:pt>
                <c:pt idx="4">
                  <c:v>0.13586762292789298</c:v>
                </c:pt>
                <c:pt idx="5">
                  <c:v>0.18374004427397994</c:v>
                </c:pt>
                <c:pt idx="6">
                  <c:v>0.20803473319331103</c:v>
                </c:pt>
                <c:pt idx="7">
                  <c:v>0.23891877923157193</c:v>
                </c:pt>
                <c:pt idx="8">
                  <c:v>0.28713984685163879</c:v>
                </c:pt>
                <c:pt idx="9">
                  <c:v>0.3616614278523077</c:v>
                </c:pt>
                <c:pt idx="10">
                  <c:v>0.392004627321204</c:v>
                </c:pt>
                <c:pt idx="11">
                  <c:v>0.41949779873926418</c:v>
                </c:pt>
                <c:pt idx="12">
                  <c:v>0.46306182742073576</c:v>
                </c:pt>
                <c:pt idx="13">
                  <c:v>0.52060037325672237</c:v>
                </c:pt>
                <c:pt idx="14">
                  <c:v>0.6148648724923077</c:v>
                </c:pt>
                <c:pt idx="15">
                  <c:v>0.83700126369498329</c:v>
                </c:pt>
                <c:pt idx="16">
                  <c:v>1.1825944978628762</c:v>
                </c:pt>
                <c:pt idx="17">
                  <c:v>1.2153577144507022</c:v>
                </c:pt>
                <c:pt idx="18">
                  <c:v>1.2691323901694982</c:v>
                </c:pt>
                <c:pt idx="19">
                  <c:v>1.3310424487488961</c:v>
                </c:pt>
                <c:pt idx="20">
                  <c:v>1.4175102073723076</c:v>
                </c:pt>
                <c:pt idx="21">
                  <c:v>1.4481012105839461</c:v>
                </c:pt>
                <c:pt idx="22">
                  <c:v>1.4946211055890297</c:v>
                </c:pt>
                <c:pt idx="23">
                  <c:v>1.5554005903488961</c:v>
                </c:pt>
                <c:pt idx="24">
                  <c:v>1.6472886013460868</c:v>
                </c:pt>
                <c:pt idx="25">
                  <c:v>1.8141838940449495</c:v>
                </c:pt>
                <c:pt idx="26">
                  <c:v>1.8392503831253511</c:v>
                </c:pt>
                <c:pt idx="27">
                  <c:v>1.866157764302341</c:v>
                </c:pt>
                <c:pt idx="28">
                  <c:v>1.9009749529614712</c:v>
                </c:pt>
                <c:pt idx="29">
                  <c:v>1.9519053104066888</c:v>
                </c:pt>
                <c:pt idx="30">
                  <c:v>2.0244714168671569</c:v>
                </c:pt>
                <c:pt idx="31">
                  <c:v>2.0488217174971233</c:v>
                </c:pt>
                <c:pt idx="32">
                  <c:v>2.0819389554734444</c:v>
                </c:pt>
                <c:pt idx="33">
                  <c:v>2.135068076795986</c:v>
                </c:pt>
                <c:pt idx="34">
                  <c:v>2.2086620296321069</c:v>
                </c:pt>
                <c:pt idx="35">
                  <c:v>2.2340468803692306</c:v>
                </c:pt>
                <c:pt idx="36">
                  <c:v>2.2608009917649499</c:v>
                </c:pt>
                <c:pt idx="37">
                  <c:v>2.2922285879399333</c:v>
                </c:pt>
                <c:pt idx="38">
                  <c:v>2.3232771205685618</c:v>
                </c:pt>
                <c:pt idx="39">
                  <c:v>2.3730794774674249</c:v>
                </c:pt>
                <c:pt idx="40">
                  <c:v>2.4331034888271574</c:v>
                </c:pt>
                <c:pt idx="41">
                  <c:v>2.459481893485485</c:v>
                </c:pt>
                <c:pt idx="42">
                  <c:v>2.4922966782375924</c:v>
                </c:pt>
                <c:pt idx="43">
                  <c:v>2.5430290760305017</c:v>
                </c:pt>
                <c:pt idx="44">
                  <c:v>2.5665048546627425</c:v>
                </c:pt>
                <c:pt idx="45">
                  <c:v>2.5900549864143145</c:v>
                </c:pt>
                <c:pt idx="46">
                  <c:v>2.6316794518334712</c:v>
                </c:pt>
                <c:pt idx="47">
                  <c:v>2.6865530592113069</c:v>
                </c:pt>
                <c:pt idx="48">
                  <c:v>2.7625586865996037</c:v>
                </c:pt>
                <c:pt idx="49">
                  <c:v>2.8807855607703785</c:v>
                </c:pt>
                <c:pt idx="50">
                  <c:v>3.1087288440336671</c:v>
                </c:pt>
                <c:pt idx="51">
                  <c:v>3.1350399566342553</c:v>
                </c:pt>
              </c:numCache>
            </c:numRef>
          </c:val>
          <c:smooth val="0"/>
          <c:extLst>
            <c:ext xmlns:c16="http://schemas.microsoft.com/office/drawing/2014/chart" uri="{C3380CC4-5D6E-409C-BE32-E72D297353CC}">
              <c16:uniqueId val="{00000000-A1FB-4571-8344-92D2DEBA51E6}"/>
            </c:ext>
          </c:extLst>
        </c:ser>
        <c:ser>
          <c:idx val="1"/>
          <c:order val="4"/>
          <c:tx>
            <c:strRef>
              <c:f>'PBL OLD'!$CY$6:$CY$7</c:f>
              <c:strCache>
                <c:ptCount val="2"/>
                <c:pt idx="0">
                  <c:v>10th Percentile</c:v>
                </c:pt>
              </c:strCache>
            </c:strRef>
          </c:tx>
          <c:spPr>
            <a:ln w="28575" cap="rnd" cmpd="sng">
              <a:solidFill>
                <a:schemeClr val="accent6"/>
              </a:solidFill>
              <a:prstDash val="sysDot"/>
              <a:round/>
              <a:headEnd type="none"/>
            </a:ln>
            <a:effectLst/>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OLD'!$CY$8:$CY$60</c:f>
              <c:numCache>
                <c:formatCode>0.000</c:formatCode>
                <c:ptCount val="53"/>
                <c:pt idx="0">
                  <c:v>5.0502007292025322E-2</c:v>
                </c:pt>
                <c:pt idx="1">
                  <c:v>0.10100401458405064</c:v>
                </c:pt>
                <c:pt idx="2">
                  <c:v>0.15150602187607598</c:v>
                </c:pt>
                <c:pt idx="3">
                  <c:v>0.20200802916810129</c:v>
                </c:pt>
                <c:pt idx="4">
                  <c:v>0.2525100364601266</c:v>
                </c:pt>
                <c:pt idx="5">
                  <c:v>0.30301204375215191</c:v>
                </c:pt>
                <c:pt idx="6">
                  <c:v>0.35351405104417721</c:v>
                </c:pt>
                <c:pt idx="7">
                  <c:v>0.40401605833620252</c:v>
                </c:pt>
                <c:pt idx="8">
                  <c:v>0.45451806562822783</c:v>
                </c:pt>
                <c:pt idx="9">
                  <c:v>0.50502007292025319</c:v>
                </c:pt>
                <c:pt idx="10">
                  <c:v>0.55552208021227856</c:v>
                </c:pt>
                <c:pt idx="11">
                  <c:v>0.60602408750430392</c:v>
                </c:pt>
                <c:pt idx="12">
                  <c:v>0.65652609479632928</c:v>
                </c:pt>
                <c:pt idx="13">
                  <c:v>0.70702810208835465</c:v>
                </c:pt>
                <c:pt idx="14">
                  <c:v>0.75753010938038001</c:v>
                </c:pt>
                <c:pt idx="15">
                  <c:v>0.80803211667240538</c:v>
                </c:pt>
                <c:pt idx="16">
                  <c:v>0.85853412396443074</c:v>
                </c:pt>
                <c:pt idx="17">
                  <c:v>0.9090361312564561</c:v>
                </c:pt>
                <c:pt idx="18">
                  <c:v>0.95953813854848147</c:v>
                </c:pt>
                <c:pt idx="19">
                  <c:v>1.0100401458405068</c:v>
                </c:pt>
                <c:pt idx="20">
                  <c:v>1.0605421531325321</c:v>
                </c:pt>
                <c:pt idx="21">
                  <c:v>1.1110441604245573</c:v>
                </c:pt>
                <c:pt idx="22">
                  <c:v>1.1615461677165826</c:v>
                </c:pt>
                <c:pt idx="23">
                  <c:v>1.2120481750086078</c:v>
                </c:pt>
                <c:pt idx="24">
                  <c:v>1.2625501823006331</c:v>
                </c:pt>
                <c:pt idx="25">
                  <c:v>1.3130521895926583</c:v>
                </c:pt>
                <c:pt idx="26">
                  <c:v>1.3635541968846836</c:v>
                </c:pt>
                <c:pt idx="27">
                  <c:v>1.4140562041767089</c:v>
                </c:pt>
                <c:pt idx="28">
                  <c:v>1.4645582114687341</c:v>
                </c:pt>
                <c:pt idx="29">
                  <c:v>1.5150602187607594</c:v>
                </c:pt>
                <c:pt idx="30">
                  <c:v>1.5655622260527846</c:v>
                </c:pt>
                <c:pt idx="31">
                  <c:v>1.6160642333448099</c:v>
                </c:pt>
                <c:pt idx="32">
                  <c:v>1.6665662406368351</c:v>
                </c:pt>
                <c:pt idx="33">
                  <c:v>1.7170682479288604</c:v>
                </c:pt>
                <c:pt idx="34">
                  <c:v>1.7675702552208856</c:v>
                </c:pt>
                <c:pt idx="35">
                  <c:v>1.8180722625129109</c:v>
                </c:pt>
                <c:pt idx="36">
                  <c:v>1.8685742698049361</c:v>
                </c:pt>
                <c:pt idx="37">
                  <c:v>1.9190762770969614</c:v>
                </c:pt>
                <c:pt idx="38">
                  <c:v>1.9695782843889866</c:v>
                </c:pt>
                <c:pt idx="39">
                  <c:v>2.0200802916810119</c:v>
                </c:pt>
                <c:pt idx="40">
                  <c:v>2.0705822989730374</c:v>
                </c:pt>
                <c:pt idx="41">
                  <c:v>2.1210843062650628</c:v>
                </c:pt>
                <c:pt idx="42">
                  <c:v>2.1715863135570883</c:v>
                </c:pt>
                <c:pt idx="43">
                  <c:v>2.2220883208491138</c:v>
                </c:pt>
                <c:pt idx="44">
                  <c:v>2.2725903281411393</c:v>
                </c:pt>
                <c:pt idx="45">
                  <c:v>2.3230923354331647</c:v>
                </c:pt>
                <c:pt idx="46">
                  <c:v>2.3735943427251902</c:v>
                </c:pt>
                <c:pt idx="47">
                  <c:v>2.4240963500172157</c:v>
                </c:pt>
                <c:pt idx="48">
                  <c:v>2.4745983573092412</c:v>
                </c:pt>
                <c:pt idx="49">
                  <c:v>2.5251003646012666</c:v>
                </c:pt>
                <c:pt idx="50">
                  <c:v>2.5756023718932921</c:v>
                </c:pt>
                <c:pt idx="51">
                  <c:v>2.6261043791853176</c:v>
                </c:pt>
              </c:numCache>
            </c:numRef>
          </c:val>
          <c:smooth val="0"/>
          <c:extLst xmlns:c15="http://schemas.microsoft.com/office/drawing/2012/chart">
            <c:ext xmlns:c16="http://schemas.microsoft.com/office/drawing/2014/chart" uri="{C3380CC4-5D6E-409C-BE32-E72D297353CC}">
              <c16:uniqueId val="{00000001-A1FB-4571-8344-92D2DEBA51E6}"/>
            </c:ext>
          </c:extLst>
        </c:ser>
        <c:ser>
          <c:idx val="4"/>
          <c:order val="6"/>
          <c:tx>
            <c:strRef>
              <c:f>'PBL OLD'!$DA$6:$DA$7</c:f>
              <c:strCache>
                <c:ptCount val="2"/>
                <c:pt idx="0">
                  <c:v>50th Percentile</c:v>
                </c:pt>
              </c:strCache>
            </c:strRef>
          </c:tx>
          <c:spPr>
            <a:ln w="28575">
              <a:solidFill>
                <a:schemeClr val="bg2"/>
              </a:solidFill>
              <a:prstDash val="sysDot"/>
            </a:ln>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OLD'!$DA$8:$DA$60</c:f>
              <c:numCache>
                <c:formatCode>0.000</c:formatCode>
                <c:ptCount val="53"/>
                <c:pt idx="0">
                  <c:v>6.0209708872007502E-2</c:v>
                </c:pt>
                <c:pt idx="1">
                  <c:v>0.120419417744015</c:v>
                </c:pt>
                <c:pt idx="2">
                  <c:v>0.18062912661602251</c:v>
                </c:pt>
                <c:pt idx="3">
                  <c:v>0.24083883548803001</c:v>
                </c:pt>
                <c:pt idx="4">
                  <c:v>0.30104854436003753</c:v>
                </c:pt>
                <c:pt idx="5">
                  <c:v>0.36125825323204502</c:v>
                </c:pt>
                <c:pt idx="6">
                  <c:v>0.42146796210405252</c:v>
                </c:pt>
                <c:pt idx="7">
                  <c:v>0.48167767097606001</c:v>
                </c:pt>
                <c:pt idx="8">
                  <c:v>0.54188737984806756</c:v>
                </c:pt>
                <c:pt idx="9">
                  <c:v>0.60209708872007506</c:v>
                </c:pt>
                <c:pt idx="10">
                  <c:v>0.66230679759208255</c:v>
                </c:pt>
                <c:pt idx="11">
                  <c:v>0.72251650646409005</c:v>
                </c:pt>
                <c:pt idx="12">
                  <c:v>0.78272621533609754</c:v>
                </c:pt>
                <c:pt idx="13">
                  <c:v>0.84293592420810504</c:v>
                </c:pt>
                <c:pt idx="14">
                  <c:v>0.90314563308011253</c:v>
                </c:pt>
                <c:pt idx="15">
                  <c:v>0.96335534195212003</c:v>
                </c:pt>
                <c:pt idx="16">
                  <c:v>1.0235650508241276</c:v>
                </c:pt>
                <c:pt idx="17">
                  <c:v>1.0837747596961351</c:v>
                </c:pt>
                <c:pt idx="18">
                  <c:v>1.1439844685681426</c:v>
                </c:pt>
                <c:pt idx="19">
                  <c:v>1.2041941774401501</c:v>
                </c:pt>
                <c:pt idx="20">
                  <c:v>1.2644038863121576</c:v>
                </c:pt>
                <c:pt idx="21">
                  <c:v>1.3246135951841651</c:v>
                </c:pt>
                <c:pt idx="22">
                  <c:v>1.3848233040561726</c:v>
                </c:pt>
                <c:pt idx="23">
                  <c:v>1.4450330129281801</c:v>
                </c:pt>
                <c:pt idx="24">
                  <c:v>1.5052427218001876</c:v>
                </c:pt>
                <c:pt idx="25">
                  <c:v>1.5654524306721951</c:v>
                </c:pt>
                <c:pt idx="26">
                  <c:v>1.6256621395442026</c:v>
                </c:pt>
                <c:pt idx="27">
                  <c:v>1.6858718484162101</c:v>
                </c:pt>
                <c:pt idx="28">
                  <c:v>1.7460815572882176</c:v>
                </c:pt>
                <c:pt idx="29">
                  <c:v>1.8062912661602251</c:v>
                </c:pt>
                <c:pt idx="30">
                  <c:v>1.8665009750322326</c:v>
                </c:pt>
                <c:pt idx="31">
                  <c:v>1.9267106839042401</c:v>
                </c:pt>
                <c:pt idx="32">
                  <c:v>1.9869203927762475</c:v>
                </c:pt>
                <c:pt idx="33">
                  <c:v>2.0471301016482553</c:v>
                </c:pt>
                <c:pt idx="34">
                  <c:v>2.107339810520263</c:v>
                </c:pt>
                <c:pt idx="35">
                  <c:v>2.1675495193922707</c:v>
                </c:pt>
                <c:pt idx="36">
                  <c:v>2.2277592282642784</c:v>
                </c:pt>
                <c:pt idx="37">
                  <c:v>2.2879689371362861</c:v>
                </c:pt>
                <c:pt idx="38">
                  <c:v>2.3481786460082938</c:v>
                </c:pt>
                <c:pt idx="39">
                  <c:v>2.4083883548803016</c:v>
                </c:pt>
                <c:pt idx="40">
                  <c:v>2.4685980637523093</c:v>
                </c:pt>
                <c:pt idx="41">
                  <c:v>2.528807772624317</c:v>
                </c:pt>
                <c:pt idx="42">
                  <c:v>2.5890174814963247</c:v>
                </c:pt>
                <c:pt idx="43">
                  <c:v>2.6492271903683324</c:v>
                </c:pt>
                <c:pt idx="44">
                  <c:v>2.7094368992403401</c:v>
                </c:pt>
                <c:pt idx="45">
                  <c:v>2.7696466081123479</c:v>
                </c:pt>
                <c:pt idx="46">
                  <c:v>2.8298563169843556</c:v>
                </c:pt>
                <c:pt idx="47">
                  <c:v>2.8900660258563633</c:v>
                </c:pt>
                <c:pt idx="48">
                  <c:v>2.950275734728371</c:v>
                </c:pt>
                <c:pt idx="49">
                  <c:v>3.0104854436003787</c:v>
                </c:pt>
                <c:pt idx="50">
                  <c:v>3.0706951524723864</c:v>
                </c:pt>
                <c:pt idx="51">
                  <c:v>3.1309048613443942</c:v>
                </c:pt>
              </c:numCache>
            </c:numRef>
          </c:val>
          <c:smooth val="0"/>
          <c:extLst xmlns:c15="http://schemas.microsoft.com/office/drawing/2012/chart">
            <c:ext xmlns:c16="http://schemas.microsoft.com/office/drawing/2014/chart" uri="{C3380CC4-5D6E-409C-BE32-E72D297353CC}">
              <c16:uniqueId val="{00000002-A1FB-4571-8344-92D2DEBA51E6}"/>
            </c:ext>
          </c:extLst>
        </c:ser>
        <c:ser>
          <c:idx val="8"/>
          <c:order val="8"/>
          <c:tx>
            <c:strRef>
              <c:f>'PBL OLD'!$DC$6:$DC$7</c:f>
              <c:strCache>
                <c:ptCount val="2"/>
                <c:pt idx="0">
                  <c:v>90th Percentile</c:v>
                </c:pt>
              </c:strCache>
            </c:strRef>
          </c:tx>
          <c:spPr>
            <a:ln w="28575">
              <a:solidFill>
                <a:schemeClr val="accent1"/>
              </a:solidFill>
              <a:prstDash val="sysDot"/>
            </a:ln>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OLD'!$DC$8:$DC$60</c:f>
              <c:numCache>
                <c:formatCode>0.000</c:formatCode>
                <c:ptCount val="53"/>
                <c:pt idx="0">
                  <c:v>7.261484324723147E-2</c:v>
                </c:pt>
                <c:pt idx="1">
                  <c:v>0.14522968649446294</c:v>
                </c:pt>
                <c:pt idx="2">
                  <c:v>0.21784452974169441</c:v>
                </c:pt>
                <c:pt idx="3">
                  <c:v>0.29045937298892588</c:v>
                </c:pt>
                <c:pt idx="4">
                  <c:v>0.36307421623615732</c:v>
                </c:pt>
                <c:pt idx="5">
                  <c:v>0.43568905948338876</c:v>
                </c:pt>
                <c:pt idx="6">
                  <c:v>0.50830390273062021</c:v>
                </c:pt>
                <c:pt idx="7">
                  <c:v>0.58091874597785165</c:v>
                </c:pt>
                <c:pt idx="8">
                  <c:v>0.65353358922508309</c:v>
                </c:pt>
                <c:pt idx="9">
                  <c:v>0.72614843247231453</c:v>
                </c:pt>
                <c:pt idx="10">
                  <c:v>0.79876327571954597</c:v>
                </c:pt>
                <c:pt idx="11">
                  <c:v>0.87137811896677742</c:v>
                </c:pt>
                <c:pt idx="12">
                  <c:v>0.94399296221400886</c:v>
                </c:pt>
                <c:pt idx="13">
                  <c:v>1.0166078054612404</c:v>
                </c:pt>
                <c:pt idx="14">
                  <c:v>1.089222648708472</c:v>
                </c:pt>
                <c:pt idx="15">
                  <c:v>1.1618374919557035</c:v>
                </c:pt>
                <c:pt idx="16">
                  <c:v>1.2344523352029351</c:v>
                </c:pt>
                <c:pt idx="17">
                  <c:v>1.3070671784501666</c:v>
                </c:pt>
                <c:pt idx="18">
                  <c:v>1.3796820216973982</c:v>
                </c:pt>
                <c:pt idx="19">
                  <c:v>1.4522968649446297</c:v>
                </c:pt>
                <c:pt idx="20">
                  <c:v>1.5249117081918613</c:v>
                </c:pt>
                <c:pt idx="21">
                  <c:v>1.5975265514390928</c:v>
                </c:pt>
                <c:pt idx="22">
                  <c:v>1.6701413946863244</c:v>
                </c:pt>
                <c:pt idx="23">
                  <c:v>1.7427562379335559</c:v>
                </c:pt>
                <c:pt idx="24">
                  <c:v>1.8153710811807875</c:v>
                </c:pt>
                <c:pt idx="25">
                  <c:v>1.887985924428019</c:v>
                </c:pt>
                <c:pt idx="26">
                  <c:v>1.9606007676752506</c:v>
                </c:pt>
                <c:pt idx="27">
                  <c:v>2.0332156109224822</c:v>
                </c:pt>
                <c:pt idx="28">
                  <c:v>2.1058304541697135</c:v>
                </c:pt>
                <c:pt idx="29">
                  <c:v>2.1784452974169448</c:v>
                </c:pt>
                <c:pt idx="30">
                  <c:v>2.2510601406641761</c:v>
                </c:pt>
                <c:pt idx="31">
                  <c:v>2.3236749839114075</c:v>
                </c:pt>
                <c:pt idx="32">
                  <c:v>2.3962898271586388</c:v>
                </c:pt>
                <c:pt idx="33">
                  <c:v>2.4689046704058701</c:v>
                </c:pt>
                <c:pt idx="34">
                  <c:v>2.5415195136531015</c:v>
                </c:pt>
                <c:pt idx="35">
                  <c:v>2.6141343569003328</c:v>
                </c:pt>
                <c:pt idx="36">
                  <c:v>2.6867492001475641</c:v>
                </c:pt>
                <c:pt idx="37">
                  <c:v>2.7593640433947955</c:v>
                </c:pt>
                <c:pt idx="38">
                  <c:v>2.8319788866420268</c:v>
                </c:pt>
                <c:pt idx="39">
                  <c:v>2.9045937298892581</c:v>
                </c:pt>
                <c:pt idx="40">
                  <c:v>2.9772085731364895</c:v>
                </c:pt>
                <c:pt idx="41">
                  <c:v>3.0498234163837208</c:v>
                </c:pt>
                <c:pt idx="42">
                  <c:v>3.1224382596309521</c:v>
                </c:pt>
                <c:pt idx="43">
                  <c:v>3.1950531028781834</c:v>
                </c:pt>
                <c:pt idx="44">
                  <c:v>3.2676679461254148</c:v>
                </c:pt>
                <c:pt idx="45">
                  <c:v>3.3402827893726461</c:v>
                </c:pt>
                <c:pt idx="46">
                  <c:v>3.4128976326198774</c:v>
                </c:pt>
                <c:pt idx="47">
                  <c:v>3.4855124758671088</c:v>
                </c:pt>
                <c:pt idx="48">
                  <c:v>3.5581273191143401</c:v>
                </c:pt>
                <c:pt idx="49">
                  <c:v>3.6307421623615714</c:v>
                </c:pt>
                <c:pt idx="50">
                  <c:v>3.7033570056088028</c:v>
                </c:pt>
                <c:pt idx="51">
                  <c:v>3.7759718488560341</c:v>
                </c:pt>
              </c:numCache>
            </c:numRef>
          </c:val>
          <c:smooth val="0"/>
          <c:extLst xmlns:c15="http://schemas.microsoft.com/office/drawing/2012/chart">
            <c:ext xmlns:c16="http://schemas.microsoft.com/office/drawing/2014/chart" uri="{C3380CC4-5D6E-409C-BE32-E72D297353CC}">
              <c16:uniqueId val="{00000003-A1FB-4571-8344-92D2DEBA51E6}"/>
            </c:ext>
          </c:extLst>
        </c:ser>
        <c:dLbls>
          <c:showLegendKey val="0"/>
          <c:showVal val="0"/>
          <c:showCatName val="0"/>
          <c:showSerName val="0"/>
          <c:showPercent val="0"/>
          <c:showBubbleSize val="0"/>
        </c:dLbls>
        <c:smooth val="0"/>
        <c:axId val="1388952432"/>
        <c:axId val="1388953088"/>
        <c:extLst>
          <c:ext xmlns:c15="http://schemas.microsoft.com/office/drawing/2012/chart" uri="{02D57815-91ED-43cb-92C2-25804820EDAC}">
            <c15:filteredLineSeries>
              <c15:ser>
                <c:idx val="3"/>
                <c:order val="1"/>
                <c:tx>
                  <c:strRef>
                    <c:extLst>
                      <c:ext uri="{02D57815-91ED-43cb-92C2-25804820EDAC}">
                        <c15:formulaRef>
                          <c15:sqref>'PBL OLD'!$CV$6:$CV$7</c15:sqref>
                        </c15:formulaRef>
                      </c:ext>
                    </c:extLst>
                    <c:strCache>
                      <c:ptCount val="2"/>
                      <c:pt idx="0">
                        <c:v>Min</c:v>
                      </c:pt>
                    </c:strCache>
                  </c:strRef>
                </c:tx>
                <c:marker>
                  <c:symbol val="none"/>
                </c:marker>
                <c:cat>
                  <c:numRef>
                    <c:extLst>
                      <c:ex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c:ext uri="{02D57815-91ED-43cb-92C2-25804820EDAC}">
                        <c15:formulaRef>
                          <c15:sqref>'PBL OLD'!$CV$8:$CV$60</c15:sqref>
                        </c15:formulaRef>
                      </c:ext>
                    </c:extLst>
                    <c:numCache>
                      <c:formatCode>0.000</c:formatCode>
                      <c:ptCount val="53"/>
                      <c:pt idx="0">
                        <c:v>3.7943638869952147E-2</c:v>
                      </c:pt>
                      <c:pt idx="1">
                        <c:v>7.5887277739904294E-2</c:v>
                      </c:pt>
                      <c:pt idx="2">
                        <c:v>0.11383091660985645</c:v>
                      </c:pt>
                      <c:pt idx="3">
                        <c:v>0.15177455547980859</c:v>
                      </c:pt>
                      <c:pt idx="4">
                        <c:v>0.18971819434976073</c:v>
                      </c:pt>
                      <c:pt idx="5">
                        <c:v>0.22766183321971287</c:v>
                      </c:pt>
                      <c:pt idx="6">
                        <c:v>0.26560547208966501</c:v>
                      </c:pt>
                      <c:pt idx="7">
                        <c:v>0.30354911095961717</c:v>
                      </c:pt>
                      <c:pt idx="8">
                        <c:v>0.34149274982956934</c:v>
                      </c:pt>
                      <c:pt idx="9">
                        <c:v>0.37943638869952151</c:v>
                      </c:pt>
                      <c:pt idx="10">
                        <c:v>0.41738002756947368</c:v>
                      </c:pt>
                      <c:pt idx="11">
                        <c:v>0.45532366643942584</c:v>
                      </c:pt>
                      <c:pt idx="12">
                        <c:v>0.49326730530937801</c:v>
                      </c:pt>
                      <c:pt idx="13">
                        <c:v>0.53121094417933012</c:v>
                      </c:pt>
                      <c:pt idx="14">
                        <c:v>0.56915458304928224</c:v>
                      </c:pt>
                      <c:pt idx="15">
                        <c:v>0.60709822191923435</c:v>
                      </c:pt>
                      <c:pt idx="16">
                        <c:v>0.64504186078918646</c:v>
                      </c:pt>
                      <c:pt idx="17">
                        <c:v>0.68298549965913857</c:v>
                      </c:pt>
                      <c:pt idx="18">
                        <c:v>0.72092913852909069</c:v>
                      </c:pt>
                      <c:pt idx="19">
                        <c:v>0.7588727773990428</c:v>
                      </c:pt>
                      <c:pt idx="20">
                        <c:v>0.79681641626899491</c:v>
                      </c:pt>
                      <c:pt idx="21">
                        <c:v>0.83476005513894702</c:v>
                      </c:pt>
                      <c:pt idx="22">
                        <c:v>0.87270369400889913</c:v>
                      </c:pt>
                      <c:pt idx="23">
                        <c:v>0.91064733287885125</c:v>
                      </c:pt>
                      <c:pt idx="24">
                        <c:v>0.94859097174880336</c:v>
                      </c:pt>
                      <c:pt idx="25">
                        <c:v>0.98653461061875547</c:v>
                      </c:pt>
                      <c:pt idx="26">
                        <c:v>1.0244782494887077</c:v>
                      </c:pt>
                      <c:pt idx="27">
                        <c:v>1.0624218883586598</c:v>
                      </c:pt>
                      <c:pt idx="28">
                        <c:v>1.1003655272286119</c:v>
                      </c:pt>
                      <c:pt idx="29">
                        <c:v>1.138309166098564</c:v>
                      </c:pt>
                      <c:pt idx="30">
                        <c:v>1.1762528049685161</c:v>
                      </c:pt>
                      <c:pt idx="31">
                        <c:v>1.2141964438384683</c:v>
                      </c:pt>
                      <c:pt idx="32">
                        <c:v>1.2521400827084204</c:v>
                      </c:pt>
                      <c:pt idx="33">
                        <c:v>1.2900837215783725</c:v>
                      </c:pt>
                      <c:pt idx="34">
                        <c:v>1.3280273604483246</c:v>
                      </c:pt>
                      <c:pt idx="35">
                        <c:v>1.3659709993182767</c:v>
                      </c:pt>
                      <c:pt idx="36">
                        <c:v>1.4039146381882288</c:v>
                      </c:pt>
                      <c:pt idx="37">
                        <c:v>1.4418582770581809</c:v>
                      </c:pt>
                      <c:pt idx="38">
                        <c:v>1.479801915928133</c:v>
                      </c:pt>
                      <c:pt idx="39">
                        <c:v>1.5177455547980852</c:v>
                      </c:pt>
                      <c:pt idx="40">
                        <c:v>1.5556891936680373</c:v>
                      </c:pt>
                      <c:pt idx="41">
                        <c:v>1.5936328325379894</c:v>
                      </c:pt>
                      <c:pt idx="42">
                        <c:v>1.6315764714079415</c:v>
                      </c:pt>
                      <c:pt idx="43">
                        <c:v>1.6695201102778936</c:v>
                      </c:pt>
                      <c:pt idx="44">
                        <c:v>1.7074637491478457</c:v>
                      </c:pt>
                      <c:pt idx="45">
                        <c:v>1.7454073880177978</c:v>
                      </c:pt>
                      <c:pt idx="46">
                        <c:v>1.7833510268877499</c:v>
                      </c:pt>
                      <c:pt idx="47">
                        <c:v>1.821294665757702</c:v>
                      </c:pt>
                      <c:pt idx="48">
                        <c:v>1.8592383046276542</c:v>
                      </c:pt>
                      <c:pt idx="49">
                        <c:v>1.8971819434976063</c:v>
                      </c:pt>
                      <c:pt idx="50">
                        <c:v>1.9351255823675584</c:v>
                      </c:pt>
                      <c:pt idx="51">
                        <c:v>1.9730692212375105</c:v>
                      </c:pt>
                    </c:numCache>
                  </c:numRef>
                </c:val>
                <c:smooth val="0"/>
                <c:extLst>
                  <c:ext xmlns:c16="http://schemas.microsoft.com/office/drawing/2014/chart" uri="{C3380CC4-5D6E-409C-BE32-E72D297353CC}">
                    <c16:uniqueId val="{00000004-A1FB-4571-8344-92D2DEBA51E6}"/>
                  </c:ext>
                </c:extLst>
              </c15:ser>
            </c15:filteredLineSeries>
            <c15:filteredLineSeries>
              <c15:ser>
                <c:idx val="5"/>
                <c:order val="2"/>
                <c:tx>
                  <c:strRef>
                    <c:extLst xmlns:c15="http://schemas.microsoft.com/office/drawing/2012/chart">
                      <c:ext xmlns:c15="http://schemas.microsoft.com/office/drawing/2012/chart" uri="{02D57815-91ED-43cb-92C2-25804820EDAC}">
                        <c15:formulaRef>
                          <c15:sqref>'PBL OLD'!$CW$6:$CW$7</c15:sqref>
                        </c15:formulaRef>
                      </c:ext>
                    </c:extLst>
                    <c:strCache>
                      <c:ptCount val="2"/>
                      <c:pt idx="0">
                        <c:v>1st Percentile</c:v>
                      </c:pt>
                    </c:strCache>
                  </c:strRef>
                </c:tx>
                <c:spPr>
                  <a:ln w="28575" cap="rnd">
                    <a:solidFill>
                      <a:schemeClr val="accent2"/>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OLD'!$CW$8:$CW$60</c15:sqref>
                        </c15:formulaRef>
                      </c:ext>
                    </c:extLst>
                    <c:numCache>
                      <c:formatCode>0.000</c:formatCode>
                      <c:ptCount val="53"/>
                      <c:pt idx="0">
                        <c:v>4.5436313528305135E-2</c:v>
                      </c:pt>
                      <c:pt idx="1">
                        <c:v>9.087262705661027E-2</c:v>
                      </c:pt>
                      <c:pt idx="2">
                        <c:v>0.13630894058491541</c:v>
                      </c:pt>
                      <c:pt idx="3">
                        <c:v>0.18174525411322054</c:v>
                      </c:pt>
                      <c:pt idx="4">
                        <c:v>0.22718156764152567</c:v>
                      </c:pt>
                      <c:pt idx="5">
                        <c:v>0.27261788116983082</c:v>
                      </c:pt>
                      <c:pt idx="6">
                        <c:v>0.31805419469813595</c:v>
                      </c:pt>
                      <c:pt idx="7">
                        <c:v>0.36349050822644108</c:v>
                      </c:pt>
                      <c:pt idx="8">
                        <c:v>0.40892682175474621</c:v>
                      </c:pt>
                      <c:pt idx="9">
                        <c:v>0.45436313528305133</c:v>
                      </c:pt>
                      <c:pt idx="10">
                        <c:v>0.49979944881135646</c:v>
                      </c:pt>
                      <c:pt idx="11">
                        <c:v>0.54523576233966164</c:v>
                      </c:pt>
                      <c:pt idx="12">
                        <c:v>0.59067207586796677</c:v>
                      </c:pt>
                      <c:pt idx="13">
                        <c:v>0.6361083893962719</c:v>
                      </c:pt>
                      <c:pt idx="14">
                        <c:v>0.68154470292457703</c:v>
                      </c:pt>
                      <c:pt idx="15">
                        <c:v>0.72698101645288216</c:v>
                      </c:pt>
                      <c:pt idx="16">
                        <c:v>0.77241732998118728</c:v>
                      </c:pt>
                      <c:pt idx="17">
                        <c:v>0.81785364350949241</c:v>
                      </c:pt>
                      <c:pt idx="18">
                        <c:v>0.86328995703779754</c:v>
                      </c:pt>
                      <c:pt idx="19">
                        <c:v>0.90872627056610267</c:v>
                      </c:pt>
                      <c:pt idx="20">
                        <c:v>0.9541625840944078</c:v>
                      </c:pt>
                      <c:pt idx="21">
                        <c:v>0.99959889762271292</c:v>
                      </c:pt>
                      <c:pt idx="22">
                        <c:v>1.0450352111510182</c:v>
                      </c:pt>
                      <c:pt idx="23">
                        <c:v>1.0904715246793233</c:v>
                      </c:pt>
                      <c:pt idx="24">
                        <c:v>1.1359078382076284</c:v>
                      </c:pt>
                      <c:pt idx="25">
                        <c:v>1.1813441517359335</c:v>
                      </c:pt>
                      <c:pt idx="26">
                        <c:v>1.2267804652642387</c:v>
                      </c:pt>
                      <c:pt idx="27">
                        <c:v>1.2722167787925438</c:v>
                      </c:pt>
                      <c:pt idx="28">
                        <c:v>1.3176530923208489</c:v>
                      </c:pt>
                      <c:pt idx="29">
                        <c:v>1.3630894058491541</c:v>
                      </c:pt>
                      <c:pt idx="30">
                        <c:v>1.4085257193774592</c:v>
                      </c:pt>
                      <c:pt idx="31">
                        <c:v>1.4539620329057643</c:v>
                      </c:pt>
                      <c:pt idx="32">
                        <c:v>1.4993983464340694</c:v>
                      </c:pt>
                      <c:pt idx="33">
                        <c:v>1.5448346599623746</c:v>
                      </c:pt>
                      <c:pt idx="34">
                        <c:v>1.5902709734906797</c:v>
                      </c:pt>
                      <c:pt idx="35">
                        <c:v>1.6357072870189848</c:v>
                      </c:pt>
                      <c:pt idx="36">
                        <c:v>1.68114360054729</c:v>
                      </c:pt>
                      <c:pt idx="37">
                        <c:v>1.7265799140755951</c:v>
                      </c:pt>
                      <c:pt idx="38">
                        <c:v>1.7720162276039002</c:v>
                      </c:pt>
                      <c:pt idx="39">
                        <c:v>1.8174525411322053</c:v>
                      </c:pt>
                      <c:pt idx="40">
                        <c:v>1.8628888546605105</c:v>
                      </c:pt>
                      <c:pt idx="41">
                        <c:v>1.9083251681888156</c:v>
                      </c:pt>
                      <c:pt idx="42">
                        <c:v>1.9537614817171207</c:v>
                      </c:pt>
                      <c:pt idx="43">
                        <c:v>1.9991977952454258</c:v>
                      </c:pt>
                      <c:pt idx="44">
                        <c:v>2.0446341087737312</c:v>
                      </c:pt>
                      <c:pt idx="45">
                        <c:v>2.0900704223020363</c:v>
                      </c:pt>
                      <c:pt idx="46">
                        <c:v>2.1355067358303415</c:v>
                      </c:pt>
                      <c:pt idx="47">
                        <c:v>2.1809430493586466</c:v>
                      </c:pt>
                      <c:pt idx="48">
                        <c:v>2.2263793628869517</c:v>
                      </c:pt>
                      <c:pt idx="49">
                        <c:v>2.2718156764152568</c:v>
                      </c:pt>
                      <c:pt idx="50">
                        <c:v>2.317251989943562</c:v>
                      </c:pt>
                      <c:pt idx="51">
                        <c:v>2.3626883034718671</c:v>
                      </c:pt>
                    </c:numCache>
                  </c:numRef>
                </c:val>
                <c:smooth val="0"/>
                <c:extLst xmlns:c15="http://schemas.microsoft.com/office/drawing/2012/chart">
                  <c:ext xmlns:c16="http://schemas.microsoft.com/office/drawing/2014/chart" uri="{C3380CC4-5D6E-409C-BE32-E72D297353CC}">
                    <c16:uniqueId val="{00000005-A1FB-4571-8344-92D2DEBA51E6}"/>
                  </c:ext>
                </c:extLst>
              </c15:ser>
            </c15:filteredLineSeries>
            <c15:filteredLineSeries>
              <c15:ser>
                <c:idx val="7"/>
                <c:order val="3"/>
                <c:tx>
                  <c:strRef>
                    <c:extLst xmlns:c15="http://schemas.microsoft.com/office/drawing/2012/chart">
                      <c:ext xmlns:c15="http://schemas.microsoft.com/office/drawing/2012/chart" uri="{02D57815-91ED-43cb-92C2-25804820EDAC}">
                        <c15:formulaRef>
                          <c15:sqref>'PBL OLD'!$CX$6:$CX$7</c15:sqref>
                        </c15:formulaRef>
                      </c:ext>
                    </c:extLst>
                    <c:strCache>
                      <c:ptCount val="2"/>
                      <c:pt idx="0">
                        <c:v>5th Percentile</c:v>
                      </c:pt>
                    </c:strCache>
                  </c:strRef>
                </c:tx>
                <c:spPr>
                  <a:ln w="28575" cap="rnd">
                    <a:solidFill>
                      <a:schemeClr val="bg2"/>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OLD'!$CX$8:$CX$60</c15:sqref>
                        </c15:formulaRef>
                      </c:ext>
                    </c:extLst>
                    <c:numCache>
                      <c:formatCode>0.000</c:formatCode>
                      <c:ptCount val="53"/>
                      <c:pt idx="0">
                        <c:v>4.8416818848466985E-2</c:v>
                      </c:pt>
                      <c:pt idx="1">
                        <c:v>9.6833637696933969E-2</c:v>
                      </c:pt>
                      <c:pt idx="2">
                        <c:v>0.14525045654540095</c:v>
                      </c:pt>
                      <c:pt idx="3">
                        <c:v>0.19366727539386794</c:v>
                      </c:pt>
                      <c:pt idx="4">
                        <c:v>0.24208409424233493</c:v>
                      </c:pt>
                      <c:pt idx="5">
                        <c:v>0.29050091309080189</c:v>
                      </c:pt>
                      <c:pt idx="6">
                        <c:v>0.33891773193926888</c:v>
                      </c:pt>
                      <c:pt idx="7">
                        <c:v>0.38733455078773588</c:v>
                      </c:pt>
                      <c:pt idx="8">
                        <c:v>0.43575136963620287</c:v>
                      </c:pt>
                      <c:pt idx="9">
                        <c:v>0.48416818848466986</c:v>
                      </c:pt>
                      <c:pt idx="10">
                        <c:v>0.53258500733313685</c:v>
                      </c:pt>
                      <c:pt idx="11">
                        <c:v>0.58100182618160379</c:v>
                      </c:pt>
                      <c:pt idx="12">
                        <c:v>0.62941864503007072</c:v>
                      </c:pt>
                      <c:pt idx="13">
                        <c:v>0.67783546387853766</c:v>
                      </c:pt>
                      <c:pt idx="14">
                        <c:v>0.72625228272700459</c:v>
                      </c:pt>
                      <c:pt idx="15">
                        <c:v>0.77466910157547153</c:v>
                      </c:pt>
                      <c:pt idx="16">
                        <c:v>0.82308592042393847</c:v>
                      </c:pt>
                      <c:pt idx="17">
                        <c:v>0.8715027392724054</c:v>
                      </c:pt>
                      <c:pt idx="18">
                        <c:v>0.91991955812087234</c:v>
                      </c:pt>
                      <c:pt idx="19">
                        <c:v>0.96833637696933927</c:v>
                      </c:pt>
                      <c:pt idx="20">
                        <c:v>1.0167531958178062</c:v>
                      </c:pt>
                      <c:pt idx="21">
                        <c:v>1.0651700146662733</c:v>
                      </c:pt>
                      <c:pt idx="22">
                        <c:v>1.1135868335147403</c:v>
                      </c:pt>
                      <c:pt idx="23">
                        <c:v>1.1620036523632074</c:v>
                      </c:pt>
                      <c:pt idx="24">
                        <c:v>1.2104204712116744</c:v>
                      </c:pt>
                      <c:pt idx="25">
                        <c:v>1.2588372900601414</c:v>
                      </c:pt>
                      <c:pt idx="26">
                        <c:v>1.3072541089086085</c:v>
                      </c:pt>
                      <c:pt idx="27">
                        <c:v>1.3556709277570755</c:v>
                      </c:pt>
                      <c:pt idx="28">
                        <c:v>1.4040877466055426</c:v>
                      </c:pt>
                      <c:pt idx="29">
                        <c:v>1.4525045654540096</c:v>
                      </c:pt>
                      <c:pt idx="30">
                        <c:v>1.5009213843024767</c:v>
                      </c:pt>
                      <c:pt idx="31">
                        <c:v>1.5493382031509437</c:v>
                      </c:pt>
                      <c:pt idx="32">
                        <c:v>1.5977550219994108</c:v>
                      </c:pt>
                      <c:pt idx="33">
                        <c:v>1.6461718408478778</c:v>
                      </c:pt>
                      <c:pt idx="34">
                        <c:v>1.6945886596963449</c:v>
                      </c:pt>
                      <c:pt idx="35">
                        <c:v>1.7430054785448119</c:v>
                      </c:pt>
                      <c:pt idx="36">
                        <c:v>1.791422297393279</c:v>
                      </c:pt>
                      <c:pt idx="37">
                        <c:v>1.839839116241746</c:v>
                      </c:pt>
                      <c:pt idx="38">
                        <c:v>1.8882559350902131</c:v>
                      </c:pt>
                      <c:pt idx="39">
                        <c:v>1.9366727539386801</c:v>
                      </c:pt>
                      <c:pt idx="40">
                        <c:v>1.9850895727871471</c:v>
                      </c:pt>
                      <c:pt idx="41">
                        <c:v>2.0335063916356142</c:v>
                      </c:pt>
                      <c:pt idx="42">
                        <c:v>2.081923210484081</c:v>
                      </c:pt>
                      <c:pt idx="43">
                        <c:v>2.1303400293325478</c:v>
                      </c:pt>
                      <c:pt idx="44">
                        <c:v>2.1787568481810147</c:v>
                      </c:pt>
                      <c:pt idx="45">
                        <c:v>2.2271736670294815</c:v>
                      </c:pt>
                      <c:pt idx="46">
                        <c:v>2.2755904858779483</c:v>
                      </c:pt>
                      <c:pt idx="47">
                        <c:v>2.3240073047264151</c:v>
                      </c:pt>
                      <c:pt idx="48">
                        <c:v>2.372424123574882</c:v>
                      </c:pt>
                      <c:pt idx="49">
                        <c:v>2.4208409424233488</c:v>
                      </c:pt>
                      <c:pt idx="50">
                        <c:v>2.4692577612718156</c:v>
                      </c:pt>
                      <c:pt idx="51">
                        <c:v>2.5176745801202824</c:v>
                      </c:pt>
                    </c:numCache>
                  </c:numRef>
                </c:val>
                <c:smooth val="0"/>
                <c:extLst xmlns:c15="http://schemas.microsoft.com/office/drawing/2012/chart">
                  <c:ext xmlns:c16="http://schemas.microsoft.com/office/drawing/2014/chart" uri="{C3380CC4-5D6E-409C-BE32-E72D297353CC}">
                    <c16:uniqueId val="{00000006-A1FB-4571-8344-92D2DEBA51E6}"/>
                  </c:ext>
                </c:extLst>
              </c15:ser>
            </c15:filteredLineSeries>
            <c15:filteredLineSeries>
              <c15:ser>
                <c:idx val="2"/>
                <c:order val="5"/>
                <c:tx>
                  <c:strRef>
                    <c:extLst xmlns:c15="http://schemas.microsoft.com/office/drawing/2012/chart">
                      <c:ext xmlns:c15="http://schemas.microsoft.com/office/drawing/2012/chart" uri="{02D57815-91ED-43cb-92C2-25804820EDAC}">
                        <c15:formulaRef>
                          <c15:sqref>'PBL OLD'!$CZ$6:$CZ$7</c15:sqref>
                        </c15:formulaRef>
                      </c:ext>
                    </c:extLst>
                    <c:strCache>
                      <c:ptCount val="2"/>
                      <c:pt idx="0">
                        <c:v>25th Percentile</c:v>
                      </c:pt>
                    </c:strCache>
                  </c:strRef>
                </c:tx>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OLD'!$CZ$8:$CZ$60</c15:sqref>
                        </c15:formulaRef>
                      </c:ext>
                    </c:extLst>
                    <c:numCache>
                      <c:formatCode>0.000</c:formatCode>
                      <c:ptCount val="53"/>
                      <c:pt idx="0">
                        <c:v>5.470863400459542E-2</c:v>
                      </c:pt>
                      <c:pt idx="1">
                        <c:v>0.10941726800919084</c:v>
                      </c:pt>
                      <c:pt idx="2">
                        <c:v>0.16412590201378627</c:v>
                      </c:pt>
                      <c:pt idx="3">
                        <c:v>0.21883453601838168</c:v>
                      </c:pt>
                      <c:pt idx="4">
                        <c:v>0.27354317002297712</c:v>
                      </c:pt>
                      <c:pt idx="5">
                        <c:v>0.32825180402757254</c:v>
                      </c:pt>
                      <c:pt idx="6">
                        <c:v>0.38296043803216795</c:v>
                      </c:pt>
                      <c:pt idx="7">
                        <c:v>0.43766907203676336</c:v>
                      </c:pt>
                      <c:pt idx="8">
                        <c:v>0.49237770604135878</c:v>
                      </c:pt>
                      <c:pt idx="9">
                        <c:v>0.54708634004595424</c:v>
                      </c:pt>
                      <c:pt idx="10">
                        <c:v>0.60179497405054971</c:v>
                      </c:pt>
                      <c:pt idx="11">
                        <c:v>0.65650360805514518</c:v>
                      </c:pt>
                      <c:pt idx="12">
                        <c:v>0.71121224205974065</c:v>
                      </c:pt>
                      <c:pt idx="13">
                        <c:v>0.76592087606433612</c:v>
                      </c:pt>
                      <c:pt idx="14">
                        <c:v>0.82062951006893159</c:v>
                      </c:pt>
                      <c:pt idx="15">
                        <c:v>0.87533814407352706</c:v>
                      </c:pt>
                      <c:pt idx="16">
                        <c:v>0.93004677807812253</c:v>
                      </c:pt>
                      <c:pt idx="17">
                        <c:v>0.984755412082718</c:v>
                      </c:pt>
                      <c:pt idx="18">
                        <c:v>1.0394640460873135</c:v>
                      </c:pt>
                      <c:pt idx="19">
                        <c:v>1.0941726800919089</c:v>
                      </c:pt>
                      <c:pt idx="20">
                        <c:v>1.1488813140965044</c:v>
                      </c:pt>
                      <c:pt idx="21">
                        <c:v>1.2035899481010999</c:v>
                      </c:pt>
                      <c:pt idx="22">
                        <c:v>1.2582985821056953</c:v>
                      </c:pt>
                      <c:pt idx="23">
                        <c:v>1.3130072161102908</c:v>
                      </c:pt>
                      <c:pt idx="24">
                        <c:v>1.3677158501148863</c:v>
                      </c:pt>
                      <c:pt idx="25">
                        <c:v>1.4224244841194817</c:v>
                      </c:pt>
                      <c:pt idx="26">
                        <c:v>1.4771331181240772</c:v>
                      </c:pt>
                      <c:pt idx="27">
                        <c:v>1.5318417521286727</c:v>
                      </c:pt>
                      <c:pt idx="28">
                        <c:v>1.5865503861332682</c:v>
                      </c:pt>
                      <c:pt idx="29">
                        <c:v>1.6412590201378636</c:v>
                      </c:pt>
                      <c:pt idx="30">
                        <c:v>1.6959676541424591</c:v>
                      </c:pt>
                      <c:pt idx="31">
                        <c:v>1.7506762881470546</c:v>
                      </c:pt>
                      <c:pt idx="32">
                        <c:v>1.80538492215165</c:v>
                      </c:pt>
                      <c:pt idx="33">
                        <c:v>1.8600935561562455</c:v>
                      </c:pt>
                      <c:pt idx="34">
                        <c:v>1.914802190160841</c:v>
                      </c:pt>
                      <c:pt idx="35">
                        <c:v>1.9695108241654364</c:v>
                      </c:pt>
                      <c:pt idx="36">
                        <c:v>2.0242194581700317</c:v>
                      </c:pt>
                      <c:pt idx="37">
                        <c:v>2.0789280921746269</c:v>
                      </c:pt>
                      <c:pt idx="38">
                        <c:v>2.1336367261792222</c:v>
                      </c:pt>
                      <c:pt idx="39">
                        <c:v>2.1883453601838174</c:v>
                      </c:pt>
                      <c:pt idx="40">
                        <c:v>2.2430539941884127</c:v>
                      </c:pt>
                      <c:pt idx="41">
                        <c:v>2.2977626281930079</c:v>
                      </c:pt>
                      <c:pt idx="42">
                        <c:v>2.3524712621976032</c:v>
                      </c:pt>
                      <c:pt idx="43">
                        <c:v>2.4071798962021984</c:v>
                      </c:pt>
                      <c:pt idx="44">
                        <c:v>2.4618885302067937</c:v>
                      </c:pt>
                      <c:pt idx="45">
                        <c:v>2.5165971642113889</c:v>
                      </c:pt>
                      <c:pt idx="46">
                        <c:v>2.5713057982159842</c:v>
                      </c:pt>
                      <c:pt idx="47">
                        <c:v>2.6260144322205794</c:v>
                      </c:pt>
                      <c:pt idx="48">
                        <c:v>2.6807230662251746</c:v>
                      </c:pt>
                      <c:pt idx="49">
                        <c:v>2.7354317002297699</c:v>
                      </c:pt>
                      <c:pt idx="50">
                        <c:v>2.7901403342343651</c:v>
                      </c:pt>
                      <c:pt idx="51">
                        <c:v>2.8448489682389604</c:v>
                      </c:pt>
                    </c:numCache>
                  </c:numRef>
                </c:val>
                <c:smooth val="0"/>
                <c:extLst xmlns:c15="http://schemas.microsoft.com/office/drawing/2012/chart">
                  <c:ext xmlns:c16="http://schemas.microsoft.com/office/drawing/2014/chart" uri="{C3380CC4-5D6E-409C-BE32-E72D297353CC}">
                    <c16:uniqueId val="{00000007-A1FB-4571-8344-92D2DEBA51E6}"/>
                  </c:ext>
                </c:extLst>
              </c15:ser>
            </c15:filteredLineSeries>
            <c15:filteredLineSeries>
              <c15:ser>
                <c:idx val="6"/>
                <c:order val="7"/>
                <c:tx>
                  <c:strRef>
                    <c:extLst xmlns:c15="http://schemas.microsoft.com/office/drawing/2012/chart">
                      <c:ext xmlns:c15="http://schemas.microsoft.com/office/drawing/2012/chart" uri="{02D57815-91ED-43cb-92C2-25804820EDAC}">
                        <c15:formulaRef>
                          <c15:sqref>'PBL OLD'!$DB$6:$DB$7</c15:sqref>
                        </c15:formulaRef>
                      </c:ext>
                    </c:extLst>
                    <c:strCache>
                      <c:ptCount val="2"/>
                      <c:pt idx="0">
                        <c:v>75th Percentile</c:v>
                      </c:pt>
                    </c:strCache>
                  </c:strRef>
                </c:tx>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OLD'!$DB$8:$DB$60</c15:sqref>
                        </c15:formulaRef>
                      </c:ext>
                    </c:extLst>
                    <c:numCache>
                      <c:formatCode>0.000</c:formatCode>
                      <c:ptCount val="53"/>
                      <c:pt idx="0">
                        <c:v>6.6232533541717833E-2</c:v>
                      </c:pt>
                      <c:pt idx="1">
                        <c:v>0.13246506708343567</c:v>
                      </c:pt>
                      <c:pt idx="2">
                        <c:v>0.19869760062515351</c:v>
                      </c:pt>
                      <c:pt idx="3">
                        <c:v>0.26493013416687133</c:v>
                      </c:pt>
                      <c:pt idx="4">
                        <c:v>0.33116266770858915</c:v>
                      </c:pt>
                      <c:pt idx="5">
                        <c:v>0.39739520125030697</c:v>
                      </c:pt>
                      <c:pt idx="6">
                        <c:v>0.46362773479202479</c:v>
                      </c:pt>
                      <c:pt idx="7">
                        <c:v>0.52986026833374267</c:v>
                      </c:pt>
                      <c:pt idx="8">
                        <c:v>0.59609280187546054</c:v>
                      </c:pt>
                      <c:pt idx="9">
                        <c:v>0.66232533541717842</c:v>
                      </c:pt>
                      <c:pt idx="10">
                        <c:v>0.72855786895889629</c:v>
                      </c:pt>
                      <c:pt idx="11">
                        <c:v>0.79479040250061417</c:v>
                      </c:pt>
                      <c:pt idx="12">
                        <c:v>0.86102293604233204</c:v>
                      </c:pt>
                      <c:pt idx="13">
                        <c:v>0.92725546958404992</c:v>
                      </c:pt>
                      <c:pt idx="14">
                        <c:v>0.99348800312576779</c:v>
                      </c:pt>
                      <c:pt idx="15">
                        <c:v>1.0597205366674856</c:v>
                      </c:pt>
                      <c:pt idx="16">
                        <c:v>1.1259530702092033</c:v>
                      </c:pt>
                      <c:pt idx="17">
                        <c:v>1.1921856037509211</c:v>
                      </c:pt>
                      <c:pt idx="18">
                        <c:v>1.2584181372926388</c:v>
                      </c:pt>
                      <c:pt idx="19">
                        <c:v>1.3246506708343566</c:v>
                      </c:pt>
                      <c:pt idx="20">
                        <c:v>1.3908832043760744</c:v>
                      </c:pt>
                      <c:pt idx="21">
                        <c:v>1.4571157379177921</c:v>
                      </c:pt>
                      <c:pt idx="22">
                        <c:v>1.5233482714595099</c:v>
                      </c:pt>
                      <c:pt idx="23">
                        <c:v>1.5895808050012277</c:v>
                      </c:pt>
                      <c:pt idx="24">
                        <c:v>1.6558133385429454</c:v>
                      </c:pt>
                      <c:pt idx="25">
                        <c:v>1.7220458720846632</c:v>
                      </c:pt>
                      <c:pt idx="26">
                        <c:v>1.788278405626381</c:v>
                      </c:pt>
                      <c:pt idx="27">
                        <c:v>1.8545109391680987</c:v>
                      </c:pt>
                      <c:pt idx="28">
                        <c:v>1.9207434727098165</c:v>
                      </c:pt>
                      <c:pt idx="29">
                        <c:v>1.9869760062515343</c:v>
                      </c:pt>
                      <c:pt idx="30">
                        <c:v>2.053208539793252</c:v>
                      </c:pt>
                      <c:pt idx="31">
                        <c:v>2.1194410733349698</c:v>
                      </c:pt>
                      <c:pt idx="32">
                        <c:v>2.1856736068766875</c:v>
                      </c:pt>
                      <c:pt idx="33">
                        <c:v>2.2519061404184053</c:v>
                      </c:pt>
                      <c:pt idx="34">
                        <c:v>2.3181386739601231</c:v>
                      </c:pt>
                      <c:pt idx="35">
                        <c:v>2.3843712075018408</c:v>
                      </c:pt>
                      <c:pt idx="36">
                        <c:v>2.4506037410435586</c:v>
                      </c:pt>
                      <c:pt idx="37">
                        <c:v>2.5168362745852764</c:v>
                      </c:pt>
                      <c:pt idx="38">
                        <c:v>2.5830688081269941</c:v>
                      </c:pt>
                      <c:pt idx="39">
                        <c:v>2.6493013416687119</c:v>
                      </c:pt>
                      <c:pt idx="40">
                        <c:v>2.7155338752104297</c:v>
                      </c:pt>
                      <c:pt idx="41">
                        <c:v>2.7817664087521474</c:v>
                      </c:pt>
                      <c:pt idx="42">
                        <c:v>2.8479989422938652</c:v>
                      </c:pt>
                      <c:pt idx="43">
                        <c:v>2.914231475835583</c:v>
                      </c:pt>
                      <c:pt idx="44">
                        <c:v>2.9804640093773007</c:v>
                      </c:pt>
                      <c:pt idx="45">
                        <c:v>3.0466965429190185</c:v>
                      </c:pt>
                      <c:pt idx="46">
                        <c:v>3.1129290764607362</c:v>
                      </c:pt>
                      <c:pt idx="47">
                        <c:v>3.179161610002454</c:v>
                      </c:pt>
                      <c:pt idx="48">
                        <c:v>3.2453941435441718</c:v>
                      </c:pt>
                      <c:pt idx="49">
                        <c:v>3.3116266770858895</c:v>
                      </c:pt>
                      <c:pt idx="50">
                        <c:v>3.3778592106276073</c:v>
                      </c:pt>
                      <c:pt idx="51">
                        <c:v>3.4440917441693251</c:v>
                      </c:pt>
                    </c:numCache>
                  </c:numRef>
                </c:val>
                <c:smooth val="0"/>
                <c:extLst xmlns:c15="http://schemas.microsoft.com/office/drawing/2012/chart">
                  <c:ext xmlns:c16="http://schemas.microsoft.com/office/drawing/2014/chart" uri="{C3380CC4-5D6E-409C-BE32-E72D297353CC}">
                    <c16:uniqueId val="{00000008-A1FB-4571-8344-92D2DEBA51E6}"/>
                  </c:ext>
                </c:extLst>
              </c15:ser>
            </c15:filteredLineSeries>
            <c15:filteredLineSeries>
              <c15:ser>
                <c:idx val="9"/>
                <c:order val="9"/>
                <c:tx>
                  <c:strRef>
                    <c:extLst xmlns:c15="http://schemas.microsoft.com/office/drawing/2012/chart">
                      <c:ext xmlns:c15="http://schemas.microsoft.com/office/drawing/2012/chart" uri="{02D57815-91ED-43cb-92C2-25804820EDAC}">
                        <c15:formulaRef>
                          <c15:sqref>'PBL OLD'!$DD$6:$DD$7</c15:sqref>
                        </c15:formulaRef>
                      </c:ext>
                    </c:extLst>
                    <c:strCache>
                      <c:ptCount val="2"/>
                      <c:pt idx="0">
                        <c:v>95th Percentile</c:v>
                      </c:pt>
                    </c:strCache>
                  </c:strRef>
                </c:tx>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OLD'!$DD$8:$DD$60</c15:sqref>
                        </c15:formulaRef>
                      </c:ext>
                    </c:extLst>
                    <c:numCache>
                      <c:formatCode>0.000</c:formatCode>
                      <c:ptCount val="53"/>
                      <c:pt idx="0">
                        <c:v>7.643445292523153E-2</c:v>
                      </c:pt>
                      <c:pt idx="1">
                        <c:v>0.15286890585046306</c:v>
                      </c:pt>
                      <c:pt idx="2">
                        <c:v>0.22930335877569458</c:v>
                      </c:pt>
                      <c:pt idx="3">
                        <c:v>0.30573781170092612</c:v>
                      </c:pt>
                      <c:pt idx="4">
                        <c:v>0.38217226462615767</c:v>
                      </c:pt>
                      <c:pt idx="5">
                        <c:v>0.45860671755138921</c:v>
                      </c:pt>
                      <c:pt idx="6">
                        <c:v>0.5350411704766207</c:v>
                      </c:pt>
                      <c:pt idx="7">
                        <c:v>0.61147562340185224</c:v>
                      </c:pt>
                      <c:pt idx="8">
                        <c:v>0.68791007632708379</c:v>
                      </c:pt>
                      <c:pt idx="9">
                        <c:v>0.76434452925231533</c:v>
                      </c:pt>
                      <c:pt idx="10">
                        <c:v>0.84077898217754687</c:v>
                      </c:pt>
                      <c:pt idx="11">
                        <c:v>0.91721343510277842</c:v>
                      </c:pt>
                      <c:pt idx="12">
                        <c:v>0.99364788802800996</c:v>
                      </c:pt>
                      <c:pt idx="13">
                        <c:v>1.0700823409532414</c:v>
                      </c:pt>
                      <c:pt idx="14">
                        <c:v>1.1465167938784728</c:v>
                      </c:pt>
                      <c:pt idx="15">
                        <c:v>1.2229512468037043</c:v>
                      </c:pt>
                      <c:pt idx="16">
                        <c:v>1.2993856997289357</c:v>
                      </c:pt>
                      <c:pt idx="17">
                        <c:v>1.3758201526541671</c:v>
                      </c:pt>
                      <c:pt idx="18">
                        <c:v>1.4522546055793986</c:v>
                      </c:pt>
                      <c:pt idx="19">
                        <c:v>1.52868905850463</c:v>
                      </c:pt>
                      <c:pt idx="20">
                        <c:v>1.6051235114298614</c:v>
                      </c:pt>
                      <c:pt idx="21">
                        <c:v>1.6815579643550929</c:v>
                      </c:pt>
                      <c:pt idx="22">
                        <c:v>1.7579924172803243</c:v>
                      </c:pt>
                      <c:pt idx="23">
                        <c:v>1.8344268702055557</c:v>
                      </c:pt>
                      <c:pt idx="24">
                        <c:v>1.9108613231307872</c:v>
                      </c:pt>
                      <c:pt idx="25">
                        <c:v>1.9872957760560186</c:v>
                      </c:pt>
                      <c:pt idx="26">
                        <c:v>2.06373022898125</c:v>
                      </c:pt>
                      <c:pt idx="27">
                        <c:v>2.1401646819064815</c:v>
                      </c:pt>
                      <c:pt idx="28">
                        <c:v>2.2165991348317129</c:v>
                      </c:pt>
                      <c:pt idx="29">
                        <c:v>2.2930335877569443</c:v>
                      </c:pt>
                      <c:pt idx="30">
                        <c:v>2.3694680406821758</c:v>
                      </c:pt>
                      <c:pt idx="31">
                        <c:v>2.4459024936074072</c:v>
                      </c:pt>
                      <c:pt idx="32">
                        <c:v>2.5223369465326386</c:v>
                      </c:pt>
                      <c:pt idx="33">
                        <c:v>2.5987713994578701</c:v>
                      </c:pt>
                      <c:pt idx="34">
                        <c:v>2.6752058523831015</c:v>
                      </c:pt>
                      <c:pt idx="35">
                        <c:v>2.7516403053083329</c:v>
                      </c:pt>
                      <c:pt idx="36">
                        <c:v>2.8280747582335644</c:v>
                      </c:pt>
                      <c:pt idx="37">
                        <c:v>2.9045092111587958</c:v>
                      </c:pt>
                      <c:pt idx="38">
                        <c:v>2.9809436640840272</c:v>
                      </c:pt>
                      <c:pt idx="39">
                        <c:v>3.0573781170092587</c:v>
                      </c:pt>
                      <c:pt idx="40">
                        <c:v>3.1338125699344901</c:v>
                      </c:pt>
                      <c:pt idx="41">
                        <c:v>3.2102470228597215</c:v>
                      </c:pt>
                      <c:pt idx="42">
                        <c:v>3.286681475784953</c:v>
                      </c:pt>
                      <c:pt idx="43">
                        <c:v>3.3631159287101844</c:v>
                      </c:pt>
                      <c:pt idx="44">
                        <c:v>3.4395503816354158</c:v>
                      </c:pt>
                      <c:pt idx="45">
                        <c:v>3.5159848345606473</c:v>
                      </c:pt>
                      <c:pt idx="46">
                        <c:v>3.5924192874858787</c:v>
                      </c:pt>
                      <c:pt idx="47">
                        <c:v>3.6688537404111101</c:v>
                      </c:pt>
                      <c:pt idx="48">
                        <c:v>3.7452881933363416</c:v>
                      </c:pt>
                      <c:pt idx="49">
                        <c:v>3.821722646261573</c:v>
                      </c:pt>
                      <c:pt idx="50">
                        <c:v>3.8981570991868044</c:v>
                      </c:pt>
                      <c:pt idx="51">
                        <c:v>3.9745915521120359</c:v>
                      </c:pt>
                    </c:numCache>
                  </c:numRef>
                </c:val>
                <c:smooth val="0"/>
                <c:extLst xmlns:c15="http://schemas.microsoft.com/office/drawing/2012/chart">
                  <c:ext xmlns:c16="http://schemas.microsoft.com/office/drawing/2014/chart" uri="{C3380CC4-5D6E-409C-BE32-E72D297353CC}">
                    <c16:uniqueId val="{00000009-A1FB-4571-8344-92D2DEBA51E6}"/>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'PBL OLD'!$DE$6:$DE$7</c15:sqref>
                        </c15:formulaRef>
                      </c:ext>
                    </c:extLst>
                    <c:strCache>
                      <c:ptCount val="2"/>
                      <c:pt idx="0">
                        <c:v>99th Percentile</c:v>
                      </c:pt>
                    </c:strCache>
                  </c:strRef>
                </c:tx>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OLD'!$DE$8:$DE$60</c15:sqref>
                        </c15:formulaRef>
                      </c:ext>
                    </c:extLst>
                    <c:numCache>
                      <c:formatCode>0.000</c:formatCode>
                      <c:ptCount val="53"/>
                      <c:pt idx="0">
                        <c:v>8.472863847550996E-2</c:v>
                      </c:pt>
                      <c:pt idx="1">
                        <c:v>0.16945727695101992</c:v>
                      </c:pt>
                      <c:pt idx="2">
                        <c:v>0.25418591542652991</c:v>
                      </c:pt>
                      <c:pt idx="3">
                        <c:v>0.33891455390203984</c:v>
                      </c:pt>
                      <c:pt idx="4">
                        <c:v>0.42364319237754977</c:v>
                      </c:pt>
                      <c:pt idx="5">
                        <c:v>0.5083718308530597</c:v>
                      </c:pt>
                      <c:pt idx="6">
                        <c:v>0.59310046932856963</c:v>
                      </c:pt>
                      <c:pt idx="7">
                        <c:v>0.67782910780407957</c:v>
                      </c:pt>
                      <c:pt idx="8">
                        <c:v>0.7625577462795895</c:v>
                      </c:pt>
                      <c:pt idx="9">
                        <c:v>0.84728638475509943</c:v>
                      </c:pt>
                      <c:pt idx="10">
                        <c:v>0.93201502323060936</c:v>
                      </c:pt>
                      <c:pt idx="11">
                        <c:v>1.0167436617061194</c:v>
                      </c:pt>
                      <c:pt idx="12">
                        <c:v>1.1014723001816293</c:v>
                      </c:pt>
                      <c:pt idx="13">
                        <c:v>1.1862009386571393</c:v>
                      </c:pt>
                      <c:pt idx="14">
                        <c:v>1.2709295771326492</c:v>
                      </c:pt>
                      <c:pt idx="15">
                        <c:v>1.3556582156081591</c:v>
                      </c:pt>
                      <c:pt idx="16">
                        <c:v>1.4403868540836691</c:v>
                      </c:pt>
                      <c:pt idx="17">
                        <c:v>1.525115492559179</c:v>
                      </c:pt>
                      <c:pt idx="18">
                        <c:v>1.6098441310346889</c:v>
                      </c:pt>
                      <c:pt idx="19">
                        <c:v>1.6945727695101989</c:v>
                      </c:pt>
                      <c:pt idx="20">
                        <c:v>1.7793014079857088</c:v>
                      </c:pt>
                      <c:pt idx="21">
                        <c:v>1.8640300464612187</c:v>
                      </c:pt>
                      <c:pt idx="22">
                        <c:v>1.9487586849367287</c:v>
                      </c:pt>
                      <c:pt idx="23">
                        <c:v>2.0334873234122388</c:v>
                      </c:pt>
                      <c:pt idx="24">
                        <c:v>2.1182159618877487</c:v>
                      </c:pt>
                      <c:pt idx="25">
                        <c:v>2.2029446003632587</c:v>
                      </c:pt>
                      <c:pt idx="26">
                        <c:v>2.2876732388387686</c:v>
                      </c:pt>
                      <c:pt idx="27">
                        <c:v>2.3724018773142785</c:v>
                      </c:pt>
                      <c:pt idx="28">
                        <c:v>2.4571305157897885</c:v>
                      </c:pt>
                      <c:pt idx="29">
                        <c:v>2.5418591542652984</c:v>
                      </c:pt>
                      <c:pt idx="30">
                        <c:v>2.6265877927408083</c:v>
                      </c:pt>
                      <c:pt idx="31">
                        <c:v>2.7113164312163183</c:v>
                      </c:pt>
                      <c:pt idx="32">
                        <c:v>2.7960450696918282</c:v>
                      </c:pt>
                      <c:pt idx="33">
                        <c:v>2.8807737081673381</c:v>
                      </c:pt>
                      <c:pt idx="34">
                        <c:v>2.9655023466428481</c:v>
                      </c:pt>
                      <c:pt idx="35">
                        <c:v>3.050230985118358</c:v>
                      </c:pt>
                      <c:pt idx="36">
                        <c:v>3.1349596235938679</c:v>
                      </c:pt>
                      <c:pt idx="37">
                        <c:v>3.2196882620693779</c:v>
                      </c:pt>
                      <c:pt idx="38">
                        <c:v>3.3044169005448878</c:v>
                      </c:pt>
                      <c:pt idx="39">
                        <c:v>3.3891455390203977</c:v>
                      </c:pt>
                      <c:pt idx="40">
                        <c:v>3.4738741774959077</c:v>
                      </c:pt>
                      <c:pt idx="41">
                        <c:v>3.5586028159714176</c:v>
                      </c:pt>
                      <c:pt idx="42">
                        <c:v>3.6433314544469275</c:v>
                      </c:pt>
                      <c:pt idx="43">
                        <c:v>3.7280600929224375</c:v>
                      </c:pt>
                      <c:pt idx="44">
                        <c:v>3.8127887313979474</c:v>
                      </c:pt>
                      <c:pt idx="45">
                        <c:v>3.8975173698734573</c:v>
                      </c:pt>
                      <c:pt idx="46">
                        <c:v>3.9822460083489672</c:v>
                      </c:pt>
                      <c:pt idx="47">
                        <c:v>4.0669746468244776</c:v>
                      </c:pt>
                      <c:pt idx="48">
                        <c:v>4.1517032852999876</c:v>
                      </c:pt>
                      <c:pt idx="49">
                        <c:v>4.2364319237754975</c:v>
                      </c:pt>
                      <c:pt idx="50">
                        <c:v>4.3211605622510074</c:v>
                      </c:pt>
                      <c:pt idx="51">
                        <c:v>4.4058892007265174</c:v>
                      </c:pt>
                    </c:numCache>
                  </c:numRef>
                </c:val>
                <c:smooth val="0"/>
                <c:extLst xmlns:c15="http://schemas.microsoft.com/office/drawing/2012/chart">
                  <c:ext xmlns:c16="http://schemas.microsoft.com/office/drawing/2014/chart" uri="{C3380CC4-5D6E-409C-BE32-E72D297353CC}">
                    <c16:uniqueId val="{0000000A-A1FB-4571-8344-92D2DEBA51E6}"/>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'PBL OLD'!$DF$6:$DF$7</c15:sqref>
                        </c15:formulaRef>
                      </c:ext>
                    </c:extLst>
                    <c:strCache>
                      <c:ptCount val="2"/>
                      <c:pt idx="0">
                        <c:v>Max</c:v>
                      </c:pt>
                    </c:strCache>
                  </c:strRef>
                </c:tx>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OLD'!$DF$8:$DF$60</c15:sqref>
                        </c15:formulaRef>
                      </c:ext>
                    </c:extLst>
                    <c:numCache>
                      <c:formatCode>0.000</c:formatCode>
                      <c:ptCount val="53"/>
                      <c:pt idx="0">
                        <c:v>0.10288241710741779</c:v>
                      </c:pt>
                      <c:pt idx="1">
                        <c:v>0.20576483421483557</c:v>
                      </c:pt>
                      <c:pt idx="2">
                        <c:v>0.30864725132225335</c:v>
                      </c:pt>
                      <c:pt idx="3">
                        <c:v>0.41152966842967115</c:v>
                      </c:pt>
                      <c:pt idx="4">
                        <c:v>0.51441208553708895</c:v>
                      </c:pt>
                      <c:pt idx="5">
                        <c:v>0.61729450264450669</c:v>
                      </c:pt>
                      <c:pt idx="6">
                        <c:v>0.72017691975192444</c:v>
                      </c:pt>
                      <c:pt idx="7">
                        <c:v>0.82305933685934218</c:v>
                      </c:pt>
                      <c:pt idx="8">
                        <c:v>0.92594175396675993</c:v>
                      </c:pt>
                      <c:pt idx="9">
                        <c:v>1.0288241710741777</c:v>
                      </c:pt>
                      <c:pt idx="10">
                        <c:v>1.1317065881815955</c:v>
                      </c:pt>
                      <c:pt idx="11">
                        <c:v>1.2345890052890134</c:v>
                      </c:pt>
                      <c:pt idx="12">
                        <c:v>1.3374714223964312</c:v>
                      </c:pt>
                      <c:pt idx="13">
                        <c:v>1.4403538395038491</c:v>
                      </c:pt>
                      <c:pt idx="14">
                        <c:v>1.543236256611267</c:v>
                      </c:pt>
                      <c:pt idx="15">
                        <c:v>1.6461186737186848</c:v>
                      </c:pt>
                      <c:pt idx="16">
                        <c:v>1.7490010908261027</c:v>
                      </c:pt>
                      <c:pt idx="17">
                        <c:v>1.8518835079335205</c:v>
                      </c:pt>
                      <c:pt idx="18">
                        <c:v>1.9547659250409384</c:v>
                      </c:pt>
                      <c:pt idx="19">
                        <c:v>2.0576483421483562</c:v>
                      </c:pt>
                      <c:pt idx="20">
                        <c:v>2.1605307592557739</c:v>
                      </c:pt>
                      <c:pt idx="21">
                        <c:v>2.2634131763631915</c:v>
                      </c:pt>
                      <c:pt idx="22">
                        <c:v>2.3662955934706091</c:v>
                      </c:pt>
                      <c:pt idx="23">
                        <c:v>2.4691780105780268</c:v>
                      </c:pt>
                      <c:pt idx="24">
                        <c:v>2.5720604276854444</c:v>
                      </c:pt>
                      <c:pt idx="25">
                        <c:v>2.674942844792862</c:v>
                      </c:pt>
                      <c:pt idx="26">
                        <c:v>2.7778252619002797</c:v>
                      </c:pt>
                      <c:pt idx="27">
                        <c:v>2.8807076790076973</c:v>
                      </c:pt>
                      <c:pt idx="28">
                        <c:v>2.9835900961151149</c:v>
                      </c:pt>
                      <c:pt idx="29">
                        <c:v>3.0864725132225326</c:v>
                      </c:pt>
                      <c:pt idx="30">
                        <c:v>3.1893549303299502</c:v>
                      </c:pt>
                      <c:pt idx="31">
                        <c:v>3.2922373474373678</c:v>
                      </c:pt>
                      <c:pt idx="32">
                        <c:v>3.3951197645447855</c:v>
                      </c:pt>
                      <c:pt idx="33">
                        <c:v>3.4980021816522031</c:v>
                      </c:pt>
                      <c:pt idx="34">
                        <c:v>3.6008845987596207</c:v>
                      </c:pt>
                      <c:pt idx="35">
                        <c:v>3.7037670158670384</c:v>
                      </c:pt>
                      <c:pt idx="36">
                        <c:v>3.806649432974456</c:v>
                      </c:pt>
                      <c:pt idx="37">
                        <c:v>3.9095318500818736</c:v>
                      </c:pt>
                      <c:pt idx="38">
                        <c:v>4.0124142671892917</c:v>
                      </c:pt>
                      <c:pt idx="39">
                        <c:v>4.1152966842967098</c:v>
                      </c:pt>
                      <c:pt idx="40">
                        <c:v>4.2181791014041279</c:v>
                      </c:pt>
                      <c:pt idx="41">
                        <c:v>4.321061518511546</c:v>
                      </c:pt>
                      <c:pt idx="42">
                        <c:v>4.423943935618964</c:v>
                      </c:pt>
                      <c:pt idx="43">
                        <c:v>4.5268263527263821</c:v>
                      </c:pt>
                      <c:pt idx="44">
                        <c:v>4.6297087698338002</c:v>
                      </c:pt>
                      <c:pt idx="45">
                        <c:v>4.7325911869412183</c:v>
                      </c:pt>
                      <c:pt idx="46">
                        <c:v>4.8354736040486364</c:v>
                      </c:pt>
                      <c:pt idx="47">
                        <c:v>4.9383560211560544</c:v>
                      </c:pt>
                      <c:pt idx="48">
                        <c:v>5.0412384382634725</c:v>
                      </c:pt>
                      <c:pt idx="49">
                        <c:v>5.1441208553708906</c:v>
                      </c:pt>
                      <c:pt idx="50">
                        <c:v>5.2470032724783087</c:v>
                      </c:pt>
                      <c:pt idx="51">
                        <c:v>5.3498856895857267</c:v>
                      </c:pt>
                    </c:numCache>
                  </c:numRef>
                </c:val>
                <c:smooth val="0"/>
                <c:extLst xmlns:c15="http://schemas.microsoft.com/office/drawing/2012/chart">
                  <c:ext xmlns:c16="http://schemas.microsoft.com/office/drawing/2014/chart" uri="{C3380CC4-5D6E-409C-BE32-E72D297353CC}">
                    <c16:uniqueId val="{0000000B-A1FB-4571-8344-92D2DEBA51E6}"/>
                  </c:ext>
                </c:extLst>
              </c15:ser>
            </c15:filteredLineSeries>
          </c:ext>
        </c:extLst>
      </c:lineChart>
      <c:dateAx>
        <c:axId val="1388952432"/>
        <c:scaling>
          <c:orientation val="minMax"/>
        </c:scaling>
        <c:delete val="0"/>
        <c:axPos val="b"/>
        <c:numFmt formatCode="d\-mmm\-yy_);\(###0\);&quot;-  &quot;;&quot; &quot;@&quot; &quot;"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3088"/>
        <c:crosses val="autoZero"/>
        <c:auto val="1"/>
        <c:lblOffset val="100"/>
        <c:baseTimeUnit val="days"/>
        <c:majorUnit val="3"/>
        <c:majorTimeUnit val="months"/>
      </c:dateAx>
      <c:valAx>
        <c:axId val="1388953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Ticket Sales ($b)</a:t>
                </a:r>
              </a:p>
            </c:rich>
          </c:tx>
          <c:overlay val="0"/>
          <c:spPr>
            <a:noFill/>
            <a:ln>
              <a:noFill/>
            </a:ln>
            <a:effectLst/>
          </c:sp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2432"/>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'PBL OLD'!$CU$6:$CU$7</c:f>
              <c:strCache>
                <c:ptCount val="2"/>
                <c:pt idx="0">
                  <c:v>Actual</c:v>
                </c:pt>
              </c:strCache>
            </c:strRef>
          </c:tx>
          <c:spPr>
            <a:ln w="28575" cap="rnd">
              <a:solidFill>
                <a:schemeClr val="tx2"/>
              </a:solidFill>
              <a:round/>
            </a:ln>
            <a:effectLst/>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OLD'!$CU$8:$CU$60</c:f>
              <c:numCache>
                <c:formatCode>0.000</c:formatCode>
                <c:ptCount val="53"/>
                <c:pt idx="0">
                  <c:v>2.4383432684147156E-2</c:v>
                </c:pt>
                <c:pt idx="1">
                  <c:v>5.7456335077458197E-2</c:v>
                </c:pt>
                <c:pt idx="2">
                  <c:v>8.2897301732709039E-2</c:v>
                </c:pt>
                <c:pt idx="3">
                  <c:v>0.10634933406608696</c:v>
                </c:pt>
                <c:pt idx="4">
                  <c:v>0.13586762292789298</c:v>
                </c:pt>
                <c:pt idx="5">
                  <c:v>0.18374004427397994</c:v>
                </c:pt>
                <c:pt idx="6">
                  <c:v>0.20803473319331103</c:v>
                </c:pt>
                <c:pt idx="7">
                  <c:v>0.23891877923157193</c:v>
                </c:pt>
                <c:pt idx="8">
                  <c:v>0.28713984685163879</c:v>
                </c:pt>
                <c:pt idx="9">
                  <c:v>0.3616614278523077</c:v>
                </c:pt>
                <c:pt idx="10">
                  <c:v>0.392004627321204</c:v>
                </c:pt>
                <c:pt idx="11">
                  <c:v>0.41949779873926418</c:v>
                </c:pt>
                <c:pt idx="12">
                  <c:v>0.46306182742073576</c:v>
                </c:pt>
                <c:pt idx="13">
                  <c:v>0.52060037325672237</c:v>
                </c:pt>
                <c:pt idx="14">
                  <c:v>0.6148648724923077</c:v>
                </c:pt>
                <c:pt idx="15">
                  <c:v>0.83700126369498329</c:v>
                </c:pt>
                <c:pt idx="16">
                  <c:v>1.1825944978628762</c:v>
                </c:pt>
                <c:pt idx="17">
                  <c:v>1.2153577144507022</c:v>
                </c:pt>
                <c:pt idx="18">
                  <c:v>1.2691323901694982</c:v>
                </c:pt>
                <c:pt idx="19">
                  <c:v>1.3310424487488961</c:v>
                </c:pt>
                <c:pt idx="20">
                  <c:v>1.4175102073723076</c:v>
                </c:pt>
                <c:pt idx="21">
                  <c:v>1.4481012105839461</c:v>
                </c:pt>
                <c:pt idx="22">
                  <c:v>1.4946211055890297</c:v>
                </c:pt>
                <c:pt idx="23">
                  <c:v>1.5554005903488961</c:v>
                </c:pt>
                <c:pt idx="24">
                  <c:v>1.6472886013460868</c:v>
                </c:pt>
                <c:pt idx="25">
                  <c:v>1.8141838940449495</c:v>
                </c:pt>
                <c:pt idx="26">
                  <c:v>1.8392503831253511</c:v>
                </c:pt>
                <c:pt idx="27">
                  <c:v>1.866157764302341</c:v>
                </c:pt>
                <c:pt idx="28">
                  <c:v>1.9009749529614712</c:v>
                </c:pt>
                <c:pt idx="29">
                  <c:v>1.9519053104066888</c:v>
                </c:pt>
                <c:pt idx="30">
                  <c:v>2.0244714168671569</c:v>
                </c:pt>
                <c:pt idx="31">
                  <c:v>2.0488217174971233</c:v>
                </c:pt>
                <c:pt idx="32">
                  <c:v>2.0819389554734444</c:v>
                </c:pt>
                <c:pt idx="33">
                  <c:v>2.135068076795986</c:v>
                </c:pt>
                <c:pt idx="34">
                  <c:v>2.2086620296321069</c:v>
                </c:pt>
                <c:pt idx="35">
                  <c:v>2.2340468803692306</c:v>
                </c:pt>
                <c:pt idx="36">
                  <c:v>2.2608009917649499</c:v>
                </c:pt>
                <c:pt idx="37">
                  <c:v>2.2922285879399333</c:v>
                </c:pt>
                <c:pt idx="38">
                  <c:v>2.3232771205685618</c:v>
                </c:pt>
                <c:pt idx="39">
                  <c:v>2.3730794774674249</c:v>
                </c:pt>
                <c:pt idx="40">
                  <c:v>2.4331034888271574</c:v>
                </c:pt>
                <c:pt idx="41">
                  <c:v>2.459481893485485</c:v>
                </c:pt>
                <c:pt idx="42">
                  <c:v>2.4922966782375924</c:v>
                </c:pt>
                <c:pt idx="43">
                  <c:v>2.5430290760305017</c:v>
                </c:pt>
                <c:pt idx="44">
                  <c:v>2.5665048546627425</c:v>
                </c:pt>
                <c:pt idx="45">
                  <c:v>2.5900549864143145</c:v>
                </c:pt>
                <c:pt idx="46">
                  <c:v>2.6316794518334712</c:v>
                </c:pt>
                <c:pt idx="47">
                  <c:v>2.6865530592113069</c:v>
                </c:pt>
                <c:pt idx="48">
                  <c:v>2.7625586865996037</c:v>
                </c:pt>
                <c:pt idx="49">
                  <c:v>2.8807855607703785</c:v>
                </c:pt>
                <c:pt idx="50">
                  <c:v>3.1087288440336671</c:v>
                </c:pt>
                <c:pt idx="51">
                  <c:v>3.1350399566342553</c:v>
                </c:pt>
              </c:numCache>
            </c:numRef>
          </c:val>
          <c:smooth val="0"/>
          <c:extLst>
            <c:ext xmlns:c16="http://schemas.microsoft.com/office/drawing/2014/chart" uri="{C3380CC4-5D6E-409C-BE32-E72D297353CC}">
              <c16:uniqueId val="{00000000-7F51-416B-96C3-AA89D0A4E3AB}"/>
            </c:ext>
          </c:extLst>
        </c:ser>
        <c:ser>
          <c:idx val="2"/>
          <c:order val="5"/>
          <c:tx>
            <c:v>25/50/75th percentile</c:v>
          </c:tx>
          <c:spPr>
            <a:ln w="28575">
              <a:solidFill>
                <a:schemeClr val="bg2">
                  <a:lumMod val="60000"/>
                  <a:lumOff val="40000"/>
                </a:schemeClr>
              </a:solidFill>
              <a:prstDash val="sysDot"/>
            </a:ln>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OLD'!$CZ$8:$CZ$60</c:f>
              <c:numCache>
                <c:formatCode>0.000</c:formatCode>
                <c:ptCount val="53"/>
                <c:pt idx="0">
                  <c:v>5.470863400459542E-2</c:v>
                </c:pt>
                <c:pt idx="1">
                  <c:v>0.10941726800919084</c:v>
                </c:pt>
                <c:pt idx="2">
                  <c:v>0.16412590201378627</c:v>
                </c:pt>
                <c:pt idx="3">
                  <c:v>0.21883453601838168</c:v>
                </c:pt>
                <c:pt idx="4">
                  <c:v>0.27354317002297712</c:v>
                </c:pt>
                <c:pt idx="5">
                  <c:v>0.32825180402757254</c:v>
                </c:pt>
                <c:pt idx="6">
                  <c:v>0.38296043803216795</c:v>
                </c:pt>
                <c:pt idx="7">
                  <c:v>0.43766907203676336</c:v>
                </c:pt>
                <c:pt idx="8">
                  <c:v>0.49237770604135878</c:v>
                </c:pt>
                <c:pt idx="9">
                  <c:v>0.54708634004595424</c:v>
                </c:pt>
                <c:pt idx="10">
                  <c:v>0.60179497405054971</c:v>
                </c:pt>
                <c:pt idx="11">
                  <c:v>0.65650360805514518</c:v>
                </c:pt>
                <c:pt idx="12">
                  <c:v>0.71121224205974065</c:v>
                </c:pt>
                <c:pt idx="13">
                  <c:v>0.76592087606433612</c:v>
                </c:pt>
                <c:pt idx="14">
                  <c:v>0.82062951006893159</c:v>
                </c:pt>
                <c:pt idx="15">
                  <c:v>0.87533814407352706</c:v>
                </c:pt>
                <c:pt idx="16">
                  <c:v>0.93004677807812253</c:v>
                </c:pt>
                <c:pt idx="17">
                  <c:v>0.984755412082718</c:v>
                </c:pt>
                <c:pt idx="18">
                  <c:v>1.0394640460873135</c:v>
                </c:pt>
                <c:pt idx="19">
                  <c:v>1.0941726800919089</c:v>
                </c:pt>
                <c:pt idx="20">
                  <c:v>1.1488813140965044</c:v>
                </c:pt>
                <c:pt idx="21">
                  <c:v>1.2035899481010999</c:v>
                </c:pt>
                <c:pt idx="22">
                  <c:v>1.2582985821056953</c:v>
                </c:pt>
                <c:pt idx="23">
                  <c:v>1.3130072161102908</c:v>
                </c:pt>
                <c:pt idx="24">
                  <c:v>1.3677158501148863</c:v>
                </c:pt>
                <c:pt idx="25">
                  <c:v>1.4224244841194817</c:v>
                </c:pt>
                <c:pt idx="26">
                  <c:v>1.4771331181240772</c:v>
                </c:pt>
                <c:pt idx="27">
                  <c:v>1.5318417521286727</c:v>
                </c:pt>
                <c:pt idx="28">
                  <c:v>1.5865503861332682</c:v>
                </c:pt>
                <c:pt idx="29">
                  <c:v>1.6412590201378636</c:v>
                </c:pt>
                <c:pt idx="30">
                  <c:v>1.6959676541424591</c:v>
                </c:pt>
                <c:pt idx="31">
                  <c:v>1.7506762881470546</c:v>
                </c:pt>
                <c:pt idx="32">
                  <c:v>1.80538492215165</c:v>
                </c:pt>
                <c:pt idx="33">
                  <c:v>1.8600935561562455</c:v>
                </c:pt>
                <c:pt idx="34">
                  <c:v>1.914802190160841</c:v>
                </c:pt>
                <c:pt idx="35">
                  <c:v>1.9695108241654364</c:v>
                </c:pt>
                <c:pt idx="36">
                  <c:v>2.0242194581700317</c:v>
                </c:pt>
                <c:pt idx="37">
                  <c:v>2.0789280921746269</c:v>
                </c:pt>
                <c:pt idx="38">
                  <c:v>2.1336367261792222</c:v>
                </c:pt>
                <c:pt idx="39">
                  <c:v>2.1883453601838174</c:v>
                </c:pt>
                <c:pt idx="40">
                  <c:v>2.2430539941884127</c:v>
                </c:pt>
                <c:pt idx="41">
                  <c:v>2.2977626281930079</c:v>
                </c:pt>
                <c:pt idx="42">
                  <c:v>2.3524712621976032</c:v>
                </c:pt>
                <c:pt idx="43">
                  <c:v>2.4071798962021984</c:v>
                </c:pt>
                <c:pt idx="44">
                  <c:v>2.4618885302067937</c:v>
                </c:pt>
                <c:pt idx="45">
                  <c:v>2.5165971642113889</c:v>
                </c:pt>
                <c:pt idx="46">
                  <c:v>2.5713057982159842</c:v>
                </c:pt>
                <c:pt idx="47">
                  <c:v>2.6260144322205794</c:v>
                </c:pt>
                <c:pt idx="48">
                  <c:v>2.6807230662251746</c:v>
                </c:pt>
                <c:pt idx="49">
                  <c:v>2.7354317002297699</c:v>
                </c:pt>
                <c:pt idx="50">
                  <c:v>2.7901403342343651</c:v>
                </c:pt>
                <c:pt idx="51">
                  <c:v>2.8448489682389604</c:v>
                </c:pt>
              </c:numCache>
            </c:numRef>
          </c:val>
          <c:smooth val="0"/>
          <c:extLst>
            <c:ext xmlns:c16="http://schemas.microsoft.com/office/drawing/2014/chart" uri="{C3380CC4-5D6E-409C-BE32-E72D297353CC}">
              <c16:uniqueId val="{00000001-7F51-416B-96C3-AA89D0A4E3AB}"/>
            </c:ext>
          </c:extLst>
        </c:ser>
        <c:ser>
          <c:idx val="4"/>
          <c:order val="6"/>
          <c:tx>
            <c:strRef>
              <c:f>'PBL OLD'!$DA$6:$DA$7</c:f>
              <c:strCache>
                <c:ptCount val="2"/>
                <c:pt idx="0">
                  <c:v>50th Percentile</c:v>
                </c:pt>
              </c:strCache>
            </c:strRef>
          </c:tx>
          <c:spPr>
            <a:ln w="28575">
              <a:solidFill>
                <a:schemeClr val="bg2">
                  <a:lumMod val="60000"/>
                  <a:lumOff val="40000"/>
                </a:schemeClr>
              </a:solidFill>
              <a:prstDash val="sysDot"/>
            </a:ln>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OLD'!$DA$8:$DA$60</c:f>
              <c:numCache>
                <c:formatCode>0.000</c:formatCode>
                <c:ptCount val="53"/>
                <c:pt idx="0">
                  <c:v>6.0209708872007502E-2</c:v>
                </c:pt>
                <c:pt idx="1">
                  <c:v>0.120419417744015</c:v>
                </c:pt>
                <c:pt idx="2">
                  <c:v>0.18062912661602251</c:v>
                </c:pt>
                <c:pt idx="3">
                  <c:v>0.24083883548803001</c:v>
                </c:pt>
                <c:pt idx="4">
                  <c:v>0.30104854436003753</c:v>
                </c:pt>
                <c:pt idx="5">
                  <c:v>0.36125825323204502</c:v>
                </c:pt>
                <c:pt idx="6">
                  <c:v>0.42146796210405252</c:v>
                </c:pt>
                <c:pt idx="7">
                  <c:v>0.48167767097606001</c:v>
                </c:pt>
                <c:pt idx="8">
                  <c:v>0.54188737984806756</c:v>
                </c:pt>
                <c:pt idx="9">
                  <c:v>0.60209708872007506</c:v>
                </c:pt>
                <c:pt idx="10">
                  <c:v>0.66230679759208255</c:v>
                </c:pt>
                <c:pt idx="11">
                  <c:v>0.72251650646409005</c:v>
                </c:pt>
                <c:pt idx="12">
                  <c:v>0.78272621533609754</c:v>
                </c:pt>
                <c:pt idx="13">
                  <c:v>0.84293592420810504</c:v>
                </c:pt>
                <c:pt idx="14">
                  <c:v>0.90314563308011253</c:v>
                </c:pt>
                <c:pt idx="15">
                  <c:v>0.96335534195212003</c:v>
                </c:pt>
                <c:pt idx="16">
                  <c:v>1.0235650508241276</c:v>
                </c:pt>
                <c:pt idx="17">
                  <c:v>1.0837747596961351</c:v>
                </c:pt>
                <c:pt idx="18">
                  <c:v>1.1439844685681426</c:v>
                </c:pt>
                <c:pt idx="19">
                  <c:v>1.2041941774401501</c:v>
                </c:pt>
                <c:pt idx="20">
                  <c:v>1.2644038863121576</c:v>
                </c:pt>
                <c:pt idx="21">
                  <c:v>1.3246135951841651</c:v>
                </c:pt>
                <c:pt idx="22">
                  <c:v>1.3848233040561726</c:v>
                </c:pt>
                <c:pt idx="23">
                  <c:v>1.4450330129281801</c:v>
                </c:pt>
                <c:pt idx="24">
                  <c:v>1.5052427218001876</c:v>
                </c:pt>
                <c:pt idx="25">
                  <c:v>1.5654524306721951</c:v>
                </c:pt>
                <c:pt idx="26">
                  <c:v>1.6256621395442026</c:v>
                </c:pt>
                <c:pt idx="27">
                  <c:v>1.6858718484162101</c:v>
                </c:pt>
                <c:pt idx="28">
                  <c:v>1.7460815572882176</c:v>
                </c:pt>
                <c:pt idx="29">
                  <c:v>1.8062912661602251</c:v>
                </c:pt>
                <c:pt idx="30">
                  <c:v>1.8665009750322326</c:v>
                </c:pt>
                <c:pt idx="31">
                  <c:v>1.9267106839042401</c:v>
                </c:pt>
                <c:pt idx="32">
                  <c:v>1.9869203927762475</c:v>
                </c:pt>
                <c:pt idx="33">
                  <c:v>2.0471301016482553</c:v>
                </c:pt>
                <c:pt idx="34">
                  <c:v>2.107339810520263</c:v>
                </c:pt>
                <c:pt idx="35">
                  <c:v>2.1675495193922707</c:v>
                </c:pt>
                <c:pt idx="36">
                  <c:v>2.2277592282642784</c:v>
                </c:pt>
                <c:pt idx="37">
                  <c:v>2.2879689371362861</c:v>
                </c:pt>
                <c:pt idx="38">
                  <c:v>2.3481786460082938</c:v>
                </c:pt>
                <c:pt idx="39">
                  <c:v>2.4083883548803016</c:v>
                </c:pt>
                <c:pt idx="40">
                  <c:v>2.4685980637523093</c:v>
                </c:pt>
                <c:pt idx="41">
                  <c:v>2.528807772624317</c:v>
                </c:pt>
                <c:pt idx="42">
                  <c:v>2.5890174814963247</c:v>
                </c:pt>
                <c:pt idx="43">
                  <c:v>2.6492271903683324</c:v>
                </c:pt>
                <c:pt idx="44">
                  <c:v>2.7094368992403401</c:v>
                </c:pt>
                <c:pt idx="45">
                  <c:v>2.7696466081123479</c:v>
                </c:pt>
                <c:pt idx="46">
                  <c:v>2.8298563169843556</c:v>
                </c:pt>
                <c:pt idx="47">
                  <c:v>2.8900660258563633</c:v>
                </c:pt>
                <c:pt idx="48">
                  <c:v>2.950275734728371</c:v>
                </c:pt>
                <c:pt idx="49">
                  <c:v>3.0104854436003787</c:v>
                </c:pt>
                <c:pt idx="50">
                  <c:v>3.0706951524723864</c:v>
                </c:pt>
                <c:pt idx="51">
                  <c:v>3.1309048613443942</c:v>
                </c:pt>
              </c:numCache>
            </c:numRef>
          </c:val>
          <c:smooth val="0"/>
          <c:extLst>
            <c:ext xmlns:c16="http://schemas.microsoft.com/office/drawing/2014/chart" uri="{C3380CC4-5D6E-409C-BE32-E72D297353CC}">
              <c16:uniqueId val="{00000002-7F51-416B-96C3-AA89D0A4E3AB}"/>
            </c:ext>
          </c:extLst>
        </c:ser>
        <c:ser>
          <c:idx val="6"/>
          <c:order val="7"/>
          <c:tx>
            <c:strRef>
              <c:f>'PBL OLD'!$DB$6:$DB$7</c:f>
              <c:strCache>
                <c:ptCount val="2"/>
                <c:pt idx="0">
                  <c:v>75th Percentile</c:v>
                </c:pt>
              </c:strCache>
            </c:strRef>
          </c:tx>
          <c:spPr>
            <a:ln w="28575">
              <a:solidFill>
                <a:schemeClr val="bg2">
                  <a:lumMod val="60000"/>
                  <a:lumOff val="40000"/>
                </a:schemeClr>
              </a:solidFill>
              <a:prstDash val="sysDot"/>
            </a:ln>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OLD'!$DB$8:$DB$60</c:f>
              <c:numCache>
                <c:formatCode>0.000</c:formatCode>
                <c:ptCount val="53"/>
                <c:pt idx="0">
                  <c:v>6.6232533541717833E-2</c:v>
                </c:pt>
                <c:pt idx="1">
                  <c:v>0.13246506708343567</c:v>
                </c:pt>
                <c:pt idx="2">
                  <c:v>0.19869760062515351</c:v>
                </c:pt>
                <c:pt idx="3">
                  <c:v>0.26493013416687133</c:v>
                </c:pt>
                <c:pt idx="4">
                  <c:v>0.33116266770858915</c:v>
                </c:pt>
                <c:pt idx="5">
                  <c:v>0.39739520125030697</c:v>
                </c:pt>
                <c:pt idx="6">
                  <c:v>0.46362773479202479</c:v>
                </c:pt>
                <c:pt idx="7">
                  <c:v>0.52986026833374267</c:v>
                </c:pt>
                <c:pt idx="8">
                  <c:v>0.59609280187546054</c:v>
                </c:pt>
                <c:pt idx="9">
                  <c:v>0.66232533541717842</c:v>
                </c:pt>
                <c:pt idx="10">
                  <c:v>0.72855786895889629</c:v>
                </c:pt>
                <c:pt idx="11">
                  <c:v>0.79479040250061417</c:v>
                </c:pt>
                <c:pt idx="12">
                  <c:v>0.86102293604233204</c:v>
                </c:pt>
                <c:pt idx="13">
                  <c:v>0.92725546958404992</c:v>
                </c:pt>
                <c:pt idx="14">
                  <c:v>0.99348800312576779</c:v>
                </c:pt>
                <c:pt idx="15">
                  <c:v>1.0597205366674856</c:v>
                </c:pt>
                <c:pt idx="16">
                  <c:v>1.1259530702092033</c:v>
                </c:pt>
                <c:pt idx="17">
                  <c:v>1.1921856037509211</c:v>
                </c:pt>
                <c:pt idx="18">
                  <c:v>1.2584181372926388</c:v>
                </c:pt>
                <c:pt idx="19">
                  <c:v>1.3246506708343566</c:v>
                </c:pt>
                <c:pt idx="20">
                  <c:v>1.3908832043760744</c:v>
                </c:pt>
                <c:pt idx="21">
                  <c:v>1.4571157379177921</c:v>
                </c:pt>
                <c:pt idx="22">
                  <c:v>1.5233482714595099</c:v>
                </c:pt>
                <c:pt idx="23">
                  <c:v>1.5895808050012277</c:v>
                </c:pt>
                <c:pt idx="24">
                  <c:v>1.6558133385429454</c:v>
                </c:pt>
                <c:pt idx="25">
                  <c:v>1.7220458720846632</c:v>
                </c:pt>
                <c:pt idx="26">
                  <c:v>1.788278405626381</c:v>
                </c:pt>
                <c:pt idx="27">
                  <c:v>1.8545109391680987</c:v>
                </c:pt>
                <c:pt idx="28">
                  <c:v>1.9207434727098165</c:v>
                </c:pt>
                <c:pt idx="29">
                  <c:v>1.9869760062515343</c:v>
                </c:pt>
                <c:pt idx="30">
                  <c:v>2.053208539793252</c:v>
                </c:pt>
                <c:pt idx="31">
                  <c:v>2.1194410733349698</c:v>
                </c:pt>
                <c:pt idx="32">
                  <c:v>2.1856736068766875</c:v>
                </c:pt>
                <c:pt idx="33">
                  <c:v>2.2519061404184053</c:v>
                </c:pt>
                <c:pt idx="34">
                  <c:v>2.3181386739601231</c:v>
                </c:pt>
                <c:pt idx="35">
                  <c:v>2.3843712075018408</c:v>
                </c:pt>
                <c:pt idx="36">
                  <c:v>2.4506037410435586</c:v>
                </c:pt>
                <c:pt idx="37">
                  <c:v>2.5168362745852764</c:v>
                </c:pt>
                <c:pt idx="38">
                  <c:v>2.5830688081269941</c:v>
                </c:pt>
                <c:pt idx="39">
                  <c:v>2.6493013416687119</c:v>
                </c:pt>
                <c:pt idx="40">
                  <c:v>2.7155338752104297</c:v>
                </c:pt>
                <c:pt idx="41">
                  <c:v>2.7817664087521474</c:v>
                </c:pt>
                <c:pt idx="42">
                  <c:v>2.8479989422938652</c:v>
                </c:pt>
                <c:pt idx="43">
                  <c:v>2.914231475835583</c:v>
                </c:pt>
                <c:pt idx="44">
                  <c:v>2.9804640093773007</c:v>
                </c:pt>
                <c:pt idx="45">
                  <c:v>3.0466965429190185</c:v>
                </c:pt>
                <c:pt idx="46">
                  <c:v>3.1129290764607362</c:v>
                </c:pt>
                <c:pt idx="47">
                  <c:v>3.179161610002454</c:v>
                </c:pt>
                <c:pt idx="48">
                  <c:v>3.2453941435441718</c:v>
                </c:pt>
                <c:pt idx="49">
                  <c:v>3.3116266770858895</c:v>
                </c:pt>
                <c:pt idx="50">
                  <c:v>3.3778592106276073</c:v>
                </c:pt>
                <c:pt idx="51">
                  <c:v>3.4440917441693251</c:v>
                </c:pt>
              </c:numCache>
            </c:numRef>
          </c:val>
          <c:smooth val="0"/>
          <c:extLst xmlns:c15="http://schemas.microsoft.com/office/drawing/2012/chart">
            <c:ext xmlns:c16="http://schemas.microsoft.com/office/drawing/2014/chart" uri="{C3380CC4-5D6E-409C-BE32-E72D297353CC}">
              <c16:uniqueId val="{00000003-7F51-416B-96C3-AA89D0A4E3AB}"/>
            </c:ext>
          </c:extLst>
        </c:ser>
        <c:dLbls>
          <c:showLegendKey val="0"/>
          <c:showVal val="0"/>
          <c:showCatName val="0"/>
          <c:showSerName val="0"/>
          <c:showPercent val="0"/>
          <c:showBubbleSize val="0"/>
        </c:dLbls>
        <c:smooth val="0"/>
        <c:axId val="1388952432"/>
        <c:axId val="1388953088"/>
        <c:extLst>
          <c:ext xmlns:c15="http://schemas.microsoft.com/office/drawing/2012/chart" uri="{02D57815-91ED-43cb-92C2-25804820EDAC}">
            <c15:filteredLineSeries>
              <c15:ser>
                <c:idx val="3"/>
                <c:order val="1"/>
                <c:tx>
                  <c:strRef>
                    <c:extLst>
                      <c:ext uri="{02D57815-91ED-43cb-92C2-25804820EDAC}">
                        <c15:formulaRef>
                          <c15:sqref>'PBL OLD'!$CV$6:$CV$7</c15:sqref>
                        </c15:formulaRef>
                      </c:ext>
                    </c:extLst>
                    <c:strCache>
                      <c:ptCount val="2"/>
                      <c:pt idx="0">
                        <c:v>Min</c:v>
                      </c:pt>
                    </c:strCache>
                  </c:strRef>
                </c:tx>
                <c:marker>
                  <c:symbol val="none"/>
                </c:marker>
                <c:cat>
                  <c:numRef>
                    <c:extLst>
                      <c:ex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c:ext uri="{02D57815-91ED-43cb-92C2-25804820EDAC}">
                        <c15:formulaRef>
                          <c15:sqref>'PBL OLD'!$CV$8:$CV$60</c15:sqref>
                        </c15:formulaRef>
                      </c:ext>
                    </c:extLst>
                    <c:numCache>
                      <c:formatCode>0.000</c:formatCode>
                      <c:ptCount val="53"/>
                      <c:pt idx="0">
                        <c:v>3.7943638869952147E-2</c:v>
                      </c:pt>
                      <c:pt idx="1">
                        <c:v>7.5887277739904294E-2</c:v>
                      </c:pt>
                      <c:pt idx="2">
                        <c:v>0.11383091660985645</c:v>
                      </c:pt>
                      <c:pt idx="3">
                        <c:v>0.15177455547980859</c:v>
                      </c:pt>
                      <c:pt idx="4">
                        <c:v>0.18971819434976073</c:v>
                      </c:pt>
                      <c:pt idx="5">
                        <c:v>0.22766183321971287</c:v>
                      </c:pt>
                      <c:pt idx="6">
                        <c:v>0.26560547208966501</c:v>
                      </c:pt>
                      <c:pt idx="7">
                        <c:v>0.30354911095961717</c:v>
                      </c:pt>
                      <c:pt idx="8">
                        <c:v>0.34149274982956934</c:v>
                      </c:pt>
                      <c:pt idx="9">
                        <c:v>0.37943638869952151</c:v>
                      </c:pt>
                      <c:pt idx="10">
                        <c:v>0.41738002756947368</c:v>
                      </c:pt>
                      <c:pt idx="11">
                        <c:v>0.45532366643942584</c:v>
                      </c:pt>
                      <c:pt idx="12">
                        <c:v>0.49326730530937801</c:v>
                      </c:pt>
                      <c:pt idx="13">
                        <c:v>0.53121094417933012</c:v>
                      </c:pt>
                      <c:pt idx="14">
                        <c:v>0.56915458304928224</c:v>
                      </c:pt>
                      <c:pt idx="15">
                        <c:v>0.60709822191923435</c:v>
                      </c:pt>
                      <c:pt idx="16">
                        <c:v>0.64504186078918646</c:v>
                      </c:pt>
                      <c:pt idx="17">
                        <c:v>0.68298549965913857</c:v>
                      </c:pt>
                      <c:pt idx="18">
                        <c:v>0.72092913852909069</c:v>
                      </c:pt>
                      <c:pt idx="19">
                        <c:v>0.7588727773990428</c:v>
                      </c:pt>
                      <c:pt idx="20">
                        <c:v>0.79681641626899491</c:v>
                      </c:pt>
                      <c:pt idx="21">
                        <c:v>0.83476005513894702</c:v>
                      </c:pt>
                      <c:pt idx="22">
                        <c:v>0.87270369400889913</c:v>
                      </c:pt>
                      <c:pt idx="23">
                        <c:v>0.91064733287885125</c:v>
                      </c:pt>
                      <c:pt idx="24">
                        <c:v>0.94859097174880336</c:v>
                      </c:pt>
                      <c:pt idx="25">
                        <c:v>0.98653461061875547</c:v>
                      </c:pt>
                      <c:pt idx="26">
                        <c:v>1.0244782494887077</c:v>
                      </c:pt>
                      <c:pt idx="27">
                        <c:v>1.0624218883586598</c:v>
                      </c:pt>
                      <c:pt idx="28">
                        <c:v>1.1003655272286119</c:v>
                      </c:pt>
                      <c:pt idx="29">
                        <c:v>1.138309166098564</c:v>
                      </c:pt>
                      <c:pt idx="30">
                        <c:v>1.1762528049685161</c:v>
                      </c:pt>
                      <c:pt idx="31">
                        <c:v>1.2141964438384683</c:v>
                      </c:pt>
                      <c:pt idx="32">
                        <c:v>1.2521400827084204</c:v>
                      </c:pt>
                      <c:pt idx="33">
                        <c:v>1.2900837215783725</c:v>
                      </c:pt>
                      <c:pt idx="34">
                        <c:v>1.3280273604483246</c:v>
                      </c:pt>
                      <c:pt idx="35">
                        <c:v>1.3659709993182767</c:v>
                      </c:pt>
                      <c:pt idx="36">
                        <c:v>1.4039146381882288</c:v>
                      </c:pt>
                      <c:pt idx="37">
                        <c:v>1.4418582770581809</c:v>
                      </c:pt>
                      <c:pt idx="38">
                        <c:v>1.479801915928133</c:v>
                      </c:pt>
                      <c:pt idx="39">
                        <c:v>1.5177455547980852</c:v>
                      </c:pt>
                      <c:pt idx="40">
                        <c:v>1.5556891936680373</c:v>
                      </c:pt>
                      <c:pt idx="41">
                        <c:v>1.5936328325379894</c:v>
                      </c:pt>
                      <c:pt idx="42">
                        <c:v>1.6315764714079415</c:v>
                      </c:pt>
                      <c:pt idx="43">
                        <c:v>1.6695201102778936</c:v>
                      </c:pt>
                      <c:pt idx="44">
                        <c:v>1.7074637491478457</c:v>
                      </c:pt>
                      <c:pt idx="45">
                        <c:v>1.7454073880177978</c:v>
                      </c:pt>
                      <c:pt idx="46">
                        <c:v>1.7833510268877499</c:v>
                      </c:pt>
                      <c:pt idx="47">
                        <c:v>1.821294665757702</c:v>
                      </c:pt>
                      <c:pt idx="48">
                        <c:v>1.8592383046276542</c:v>
                      </c:pt>
                      <c:pt idx="49">
                        <c:v>1.8971819434976063</c:v>
                      </c:pt>
                      <c:pt idx="50">
                        <c:v>1.9351255823675584</c:v>
                      </c:pt>
                      <c:pt idx="51">
                        <c:v>1.9730692212375105</c:v>
                      </c:pt>
                    </c:numCache>
                  </c:numRef>
                </c:val>
                <c:smooth val="0"/>
                <c:extLst>
                  <c:ext xmlns:c16="http://schemas.microsoft.com/office/drawing/2014/chart" uri="{C3380CC4-5D6E-409C-BE32-E72D297353CC}">
                    <c16:uniqueId val="{00000004-7F51-416B-96C3-AA89D0A4E3AB}"/>
                  </c:ext>
                </c:extLst>
              </c15:ser>
            </c15:filteredLineSeries>
            <c15:filteredLineSeries>
              <c15:ser>
                <c:idx val="5"/>
                <c:order val="2"/>
                <c:tx>
                  <c:strRef>
                    <c:extLst xmlns:c15="http://schemas.microsoft.com/office/drawing/2012/chart">
                      <c:ext xmlns:c15="http://schemas.microsoft.com/office/drawing/2012/chart" uri="{02D57815-91ED-43cb-92C2-25804820EDAC}">
                        <c15:formulaRef>
                          <c15:sqref>'PBL OLD'!$CW$6:$CW$7</c15:sqref>
                        </c15:formulaRef>
                      </c:ext>
                    </c:extLst>
                    <c:strCache>
                      <c:ptCount val="2"/>
                      <c:pt idx="0">
                        <c:v>1st Percentile</c:v>
                      </c:pt>
                    </c:strCache>
                  </c:strRef>
                </c:tx>
                <c:spPr>
                  <a:ln w="28575" cap="rnd">
                    <a:solidFill>
                      <a:schemeClr val="accent6"/>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OLD'!$CW$8:$CW$60</c15:sqref>
                        </c15:formulaRef>
                      </c:ext>
                    </c:extLst>
                    <c:numCache>
                      <c:formatCode>0.000</c:formatCode>
                      <c:ptCount val="53"/>
                      <c:pt idx="0">
                        <c:v>4.5436313528305135E-2</c:v>
                      </c:pt>
                      <c:pt idx="1">
                        <c:v>9.087262705661027E-2</c:v>
                      </c:pt>
                      <c:pt idx="2">
                        <c:v>0.13630894058491541</c:v>
                      </c:pt>
                      <c:pt idx="3">
                        <c:v>0.18174525411322054</c:v>
                      </c:pt>
                      <c:pt idx="4">
                        <c:v>0.22718156764152567</c:v>
                      </c:pt>
                      <c:pt idx="5">
                        <c:v>0.27261788116983082</c:v>
                      </c:pt>
                      <c:pt idx="6">
                        <c:v>0.31805419469813595</c:v>
                      </c:pt>
                      <c:pt idx="7">
                        <c:v>0.36349050822644108</c:v>
                      </c:pt>
                      <c:pt idx="8">
                        <c:v>0.40892682175474621</c:v>
                      </c:pt>
                      <c:pt idx="9">
                        <c:v>0.45436313528305133</c:v>
                      </c:pt>
                      <c:pt idx="10">
                        <c:v>0.49979944881135646</c:v>
                      </c:pt>
                      <c:pt idx="11">
                        <c:v>0.54523576233966164</c:v>
                      </c:pt>
                      <c:pt idx="12">
                        <c:v>0.59067207586796677</c:v>
                      </c:pt>
                      <c:pt idx="13">
                        <c:v>0.6361083893962719</c:v>
                      </c:pt>
                      <c:pt idx="14">
                        <c:v>0.68154470292457703</c:v>
                      </c:pt>
                      <c:pt idx="15">
                        <c:v>0.72698101645288216</c:v>
                      </c:pt>
                      <c:pt idx="16">
                        <c:v>0.77241732998118728</c:v>
                      </c:pt>
                      <c:pt idx="17">
                        <c:v>0.81785364350949241</c:v>
                      </c:pt>
                      <c:pt idx="18">
                        <c:v>0.86328995703779754</c:v>
                      </c:pt>
                      <c:pt idx="19">
                        <c:v>0.90872627056610267</c:v>
                      </c:pt>
                      <c:pt idx="20">
                        <c:v>0.9541625840944078</c:v>
                      </c:pt>
                      <c:pt idx="21">
                        <c:v>0.99959889762271292</c:v>
                      </c:pt>
                      <c:pt idx="22">
                        <c:v>1.0450352111510182</c:v>
                      </c:pt>
                      <c:pt idx="23">
                        <c:v>1.0904715246793233</c:v>
                      </c:pt>
                      <c:pt idx="24">
                        <c:v>1.1359078382076284</c:v>
                      </c:pt>
                      <c:pt idx="25">
                        <c:v>1.1813441517359335</c:v>
                      </c:pt>
                      <c:pt idx="26">
                        <c:v>1.2267804652642387</c:v>
                      </c:pt>
                      <c:pt idx="27">
                        <c:v>1.2722167787925438</c:v>
                      </c:pt>
                      <c:pt idx="28">
                        <c:v>1.3176530923208489</c:v>
                      </c:pt>
                      <c:pt idx="29">
                        <c:v>1.3630894058491541</c:v>
                      </c:pt>
                      <c:pt idx="30">
                        <c:v>1.4085257193774592</c:v>
                      </c:pt>
                      <c:pt idx="31">
                        <c:v>1.4539620329057643</c:v>
                      </c:pt>
                      <c:pt idx="32">
                        <c:v>1.4993983464340694</c:v>
                      </c:pt>
                      <c:pt idx="33">
                        <c:v>1.5448346599623746</c:v>
                      </c:pt>
                      <c:pt idx="34">
                        <c:v>1.5902709734906797</c:v>
                      </c:pt>
                      <c:pt idx="35">
                        <c:v>1.6357072870189848</c:v>
                      </c:pt>
                      <c:pt idx="36">
                        <c:v>1.68114360054729</c:v>
                      </c:pt>
                      <c:pt idx="37">
                        <c:v>1.7265799140755951</c:v>
                      </c:pt>
                      <c:pt idx="38">
                        <c:v>1.7720162276039002</c:v>
                      </c:pt>
                      <c:pt idx="39">
                        <c:v>1.8174525411322053</c:v>
                      </c:pt>
                      <c:pt idx="40">
                        <c:v>1.8628888546605105</c:v>
                      </c:pt>
                      <c:pt idx="41">
                        <c:v>1.9083251681888156</c:v>
                      </c:pt>
                      <c:pt idx="42">
                        <c:v>1.9537614817171207</c:v>
                      </c:pt>
                      <c:pt idx="43">
                        <c:v>1.9991977952454258</c:v>
                      </c:pt>
                      <c:pt idx="44">
                        <c:v>2.0446341087737312</c:v>
                      </c:pt>
                      <c:pt idx="45">
                        <c:v>2.0900704223020363</c:v>
                      </c:pt>
                      <c:pt idx="46">
                        <c:v>2.1355067358303415</c:v>
                      </c:pt>
                      <c:pt idx="47">
                        <c:v>2.1809430493586466</c:v>
                      </c:pt>
                      <c:pt idx="48">
                        <c:v>2.2263793628869517</c:v>
                      </c:pt>
                      <c:pt idx="49">
                        <c:v>2.2718156764152568</c:v>
                      </c:pt>
                      <c:pt idx="50">
                        <c:v>2.317251989943562</c:v>
                      </c:pt>
                      <c:pt idx="51">
                        <c:v>2.3626883034718671</c:v>
                      </c:pt>
                    </c:numCache>
                  </c:numRef>
                </c:val>
                <c:smooth val="0"/>
                <c:extLst xmlns:c15="http://schemas.microsoft.com/office/drawing/2012/chart">
                  <c:ext xmlns:c16="http://schemas.microsoft.com/office/drawing/2014/chart" uri="{C3380CC4-5D6E-409C-BE32-E72D297353CC}">
                    <c16:uniqueId val="{00000005-7F51-416B-96C3-AA89D0A4E3AB}"/>
                  </c:ext>
                </c:extLst>
              </c15:ser>
            </c15:filteredLineSeries>
            <c15:filteredLineSeries>
              <c15:ser>
                <c:idx val="7"/>
                <c:order val="3"/>
                <c:tx>
                  <c:strRef>
                    <c:extLst xmlns:c15="http://schemas.microsoft.com/office/drawing/2012/chart">
                      <c:ext xmlns:c15="http://schemas.microsoft.com/office/drawing/2012/chart" uri="{02D57815-91ED-43cb-92C2-25804820EDAC}">
                        <c15:formulaRef>
                          <c15:sqref>'PBL OLD'!$CX$6:$CX$7</c15:sqref>
                        </c15:formulaRef>
                      </c:ext>
                    </c:extLst>
                    <c:strCache>
                      <c:ptCount val="2"/>
                      <c:pt idx="0">
                        <c:v>5th Percentile</c:v>
                      </c:pt>
                    </c:strCache>
                  </c:strRef>
                </c:tx>
                <c:spPr>
                  <a:ln w="28575" cap="rnd">
                    <a:solidFill>
                      <a:schemeClr val="accent6"/>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OLD'!$CX$8:$CX$60</c15:sqref>
                        </c15:formulaRef>
                      </c:ext>
                    </c:extLst>
                    <c:numCache>
                      <c:formatCode>0.000</c:formatCode>
                      <c:ptCount val="53"/>
                      <c:pt idx="0">
                        <c:v>4.8416818848466985E-2</c:v>
                      </c:pt>
                      <c:pt idx="1">
                        <c:v>9.6833637696933969E-2</c:v>
                      </c:pt>
                      <c:pt idx="2">
                        <c:v>0.14525045654540095</c:v>
                      </c:pt>
                      <c:pt idx="3">
                        <c:v>0.19366727539386794</c:v>
                      </c:pt>
                      <c:pt idx="4">
                        <c:v>0.24208409424233493</c:v>
                      </c:pt>
                      <c:pt idx="5">
                        <c:v>0.29050091309080189</c:v>
                      </c:pt>
                      <c:pt idx="6">
                        <c:v>0.33891773193926888</c:v>
                      </c:pt>
                      <c:pt idx="7">
                        <c:v>0.38733455078773588</c:v>
                      </c:pt>
                      <c:pt idx="8">
                        <c:v>0.43575136963620287</c:v>
                      </c:pt>
                      <c:pt idx="9">
                        <c:v>0.48416818848466986</c:v>
                      </c:pt>
                      <c:pt idx="10">
                        <c:v>0.53258500733313685</c:v>
                      </c:pt>
                      <c:pt idx="11">
                        <c:v>0.58100182618160379</c:v>
                      </c:pt>
                      <c:pt idx="12">
                        <c:v>0.62941864503007072</c:v>
                      </c:pt>
                      <c:pt idx="13">
                        <c:v>0.67783546387853766</c:v>
                      </c:pt>
                      <c:pt idx="14">
                        <c:v>0.72625228272700459</c:v>
                      </c:pt>
                      <c:pt idx="15">
                        <c:v>0.77466910157547153</c:v>
                      </c:pt>
                      <c:pt idx="16">
                        <c:v>0.82308592042393847</c:v>
                      </c:pt>
                      <c:pt idx="17">
                        <c:v>0.8715027392724054</c:v>
                      </c:pt>
                      <c:pt idx="18">
                        <c:v>0.91991955812087234</c:v>
                      </c:pt>
                      <c:pt idx="19">
                        <c:v>0.96833637696933927</c:v>
                      </c:pt>
                      <c:pt idx="20">
                        <c:v>1.0167531958178062</c:v>
                      </c:pt>
                      <c:pt idx="21">
                        <c:v>1.0651700146662733</c:v>
                      </c:pt>
                      <c:pt idx="22">
                        <c:v>1.1135868335147403</c:v>
                      </c:pt>
                      <c:pt idx="23">
                        <c:v>1.1620036523632074</c:v>
                      </c:pt>
                      <c:pt idx="24">
                        <c:v>1.2104204712116744</c:v>
                      </c:pt>
                      <c:pt idx="25">
                        <c:v>1.2588372900601414</c:v>
                      </c:pt>
                      <c:pt idx="26">
                        <c:v>1.3072541089086085</c:v>
                      </c:pt>
                      <c:pt idx="27">
                        <c:v>1.3556709277570755</c:v>
                      </c:pt>
                      <c:pt idx="28">
                        <c:v>1.4040877466055426</c:v>
                      </c:pt>
                      <c:pt idx="29">
                        <c:v>1.4525045654540096</c:v>
                      </c:pt>
                      <c:pt idx="30">
                        <c:v>1.5009213843024767</c:v>
                      </c:pt>
                      <c:pt idx="31">
                        <c:v>1.5493382031509437</c:v>
                      </c:pt>
                      <c:pt idx="32">
                        <c:v>1.5977550219994108</c:v>
                      </c:pt>
                      <c:pt idx="33">
                        <c:v>1.6461718408478778</c:v>
                      </c:pt>
                      <c:pt idx="34">
                        <c:v>1.6945886596963449</c:v>
                      </c:pt>
                      <c:pt idx="35">
                        <c:v>1.7430054785448119</c:v>
                      </c:pt>
                      <c:pt idx="36">
                        <c:v>1.791422297393279</c:v>
                      </c:pt>
                      <c:pt idx="37">
                        <c:v>1.839839116241746</c:v>
                      </c:pt>
                      <c:pt idx="38">
                        <c:v>1.8882559350902131</c:v>
                      </c:pt>
                      <c:pt idx="39">
                        <c:v>1.9366727539386801</c:v>
                      </c:pt>
                      <c:pt idx="40">
                        <c:v>1.9850895727871471</c:v>
                      </c:pt>
                      <c:pt idx="41">
                        <c:v>2.0335063916356142</c:v>
                      </c:pt>
                      <c:pt idx="42">
                        <c:v>2.081923210484081</c:v>
                      </c:pt>
                      <c:pt idx="43">
                        <c:v>2.1303400293325478</c:v>
                      </c:pt>
                      <c:pt idx="44">
                        <c:v>2.1787568481810147</c:v>
                      </c:pt>
                      <c:pt idx="45">
                        <c:v>2.2271736670294815</c:v>
                      </c:pt>
                      <c:pt idx="46">
                        <c:v>2.2755904858779483</c:v>
                      </c:pt>
                      <c:pt idx="47">
                        <c:v>2.3240073047264151</c:v>
                      </c:pt>
                      <c:pt idx="48">
                        <c:v>2.372424123574882</c:v>
                      </c:pt>
                      <c:pt idx="49">
                        <c:v>2.4208409424233488</c:v>
                      </c:pt>
                      <c:pt idx="50">
                        <c:v>2.4692577612718156</c:v>
                      </c:pt>
                      <c:pt idx="51">
                        <c:v>2.5176745801202824</c:v>
                      </c:pt>
                    </c:numCache>
                  </c:numRef>
                </c:val>
                <c:smooth val="0"/>
                <c:extLst xmlns:c15="http://schemas.microsoft.com/office/drawing/2012/chart">
                  <c:ext xmlns:c16="http://schemas.microsoft.com/office/drawing/2014/chart" uri="{C3380CC4-5D6E-409C-BE32-E72D297353CC}">
                    <c16:uniqueId val="{00000006-7F51-416B-96C3-AA89D0A4E3AB}"/>
                  </c:ext>
                </c:extLst>
              </c15:ser>
            </c15:filteredLineSeries>
            <c15:filteredLineSeries>
              <c15:ser>
                <c:idx val="1"/>
                <c:order val="4"/>
                <c:tx>
                  <c:strRef>
                    <c:extLst xmlns:c15="http://schemas.microsoft.com/office/drawing/2012/chart">
                      <c:ext xmlns:c15="http://schemas.microsoft.com/office/drawing/2012/chart" uri="{02D57815-91ED-43cb-92C2-25804820EDAC}">
                        <c15:formulaRef>
                          <c15:sqref>'PBL OLD'!$CY$6:$CY$7</c15:sqref>
                        </c15:formulaRef>
                      </c:ext>
                    </c:extLst>
                    <c:strCache>
                      <c:ptCount val="2"/>
                      <c:pt idx="0">
                        <c:v>10th Percentile</c:v>
                      </c:pt>
                    </c:strCache>
                  </c:strRef>
                </c:tx>
                <c:spPr>
                  <a:ln w="28575" cap="rnd" cmpd="sng">
                    <a:solidFill>
                      <a:schemeClr val="accent2"/>
                    </a:solidFill>
                    <a:prstDash val="sysDot"/>
                    <a:round/>
                    <a:headEnd type="none"/>
                  </a:ln>
                  <a:effectLst/>
                </c:spPr>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OLD'!$CY$8:$CY$60</c15:sqref>
                        </c15:formulaRef>
                      </c:ext>
                    </c:extLst>
                    <c:numCache>
                      <c:formatCode>0.000</c:formatCode>
                      <c:ptCount val="53"/>
                      <c:pt idx="0">
                        <c:v>5.0502007292025322E-2</c:v>
                      </c:pt>
                      <c:pt idx="1">
                        <c:v>0.10100401458405064</c:v>
                      </c:pt>
                      <c:pt idx="2">
                        <c:v>0.15150602187607598</c:v>
                      </c:pt>
                      <c:pt idx="3">
                        <c:v>0.20200802916810129</c:v>
                      </c:pt>
                      <c:pt idx="4">
                        <c:v>0.2525100364601266</c:v>
                      </c:pt>
                      <c:pt idx="5">
                        <c:v>0.30301204375215191</c:v>
                      </c:pt>
                      <c:pt idx="6">
                        <c:v>0.35351405104417721</c:v>
                      </c:pt>
                      <c:pt idx="7">
                        <c:v>0.40401605833620252</c:v>
                      </c:pt>
                      <c:pt idx="8">
                        <c:v>0.45451806562822783</c:v>
                      </c:pt>
                      <c:pt idx="9">
                        <c:v>0.50502007292025319</c:v>
                      </c:pt>
                      <c:pt idx="10">
                        <c:v>0.55552208021227856</c:v>
                      </c:pt>
                      <c:pt idx="11">
                        <c:v>0.60602408750430392</c:v>
                      </c:pt>
                      <c:pt idx="12">
                        <c:v>0.65652609479632928</c:v>
                      </c:pt>
                      <c:pt idx="13">
                        <c:v>0.70702810208835465</c:v>
                      </c:pt>
                      <c:pt idx="14">
                        <c:v>0.75753010938038001</c:v>
                      </c:pt>
                      <c:pt idx="15">
                        <c:v>0.80803211667240538</c:v>
                      </c:pt>
                      <c:pt idx="16">
                        <c:v>0.85853412396443074</c:v>
                      </c:pt>
                      <c:pt idx="17">
                        <c:v>0.9090361312564561</c:v>
                      </c:pt>
                      <c:pt idx="18">
                        <c:v>0.95953813854848147</c:v>
                      </c:pt>
                      <c:pt idx="19">
                        <c:v>1.0100401458405068</c:v>
                      </c:pt>
                      <c:pt idx="20">
                        <c:v>1.0605421531325321</c:v>
                      </c:pt>
                      <c:pt idx="21">
                        <c:v>1.1110441604245573</c:v>
                      </c:pt>
                      <c:pt idx="22">
                        <c:v>1.1615461677165826</c:v>
                      </c:pt>
                      <c:pt idx="23">
                        <c:v>1.2120481750086078</c:v>
                      </c:pt>
                      <c:pt idx="24">
                        <c:v>1.2625501823006331</c:v>
                      </c:pt>
                      <c:pt idx="25">
                        <c:v>1.3130521895926583</c:v>
                      </c:pt>
                      <c:pt idx="26">
                        <c:v>1.3635541968846836</c:v>
                      </c:pt>
                      <c:pt idx="27">
                        <c:v>1.4140562041767089</c:v>
                      </c:pt>
                      <c:pt idx="28">
                        <c:v>1.4645582114687341</c:v>
                      </c:pt>
                      <c:pt idx="29">
                        <c:v>1.5150602187607594</c:v>
                      </c:pt>
                      <c:pt idx="30">
                        <c:v>1.5655622260527846</c:v>
                      </c:pt>
                      <c:pt idx="31">
                        <c:v>1.6160642333448099</c:v>
                      </c:pt>
                      <c:pt idx="32">
                        <c:v>1.6665662406368351</c:v>
                      </c:pt>
                      <c:pt idx="33">
                        <c:v>1.7170682479288604</c:v>
                      </c:pt>
                      <c:pt idx="34">
                        <c:v>1.7675702552208856</c:v>
                      </c:pt>
                      <c:pt idx="35">
                        <c:v>1.8180722625129109</c:v>
                      </c:pt>
                      <c:pt idx="36">
                        <c:v>1.8685742698049361</c:v>
                      </c:pt>
                      <c:pt idx="37">
                        <c:v>1.9190762770969614</c:v>
                      </c:pt>
                      <c:pt idx="38">
                        <c:v>1.9695782843889866</c:v>
                      </c:pt>
                      <c:pt idx="39">
                        <c:v>2.0200802916810119</c:v>
                      </c:pt>
                      <c:pt idx="40">
                        <c:v>2.0705822989730374</c:v>
                      </c:pt>
                      <c:pt idx="41">
                        <c:v>2.1210843062650628</c:v>
                      </c:pt>
                      <c:pt idx="42">
                        <c:v>2.1715863135570883</c:v>
                      </c:pt>
                      <c:pt idx="43">
                        <c:v>2.2220883208491138</c:v>
                      </c:pt>
                      <c:pt idx="44">
                        <c:v>2.2725903281411393</c:v>
                      </c:pt>
                      <c:pt idx="45">
                        <c:v>2.3230923354331647</c:v>
                      </c:pt>
                      <c:pt idx="46">
                        <c:v>2.3735943427251902</c:v>
                      </c:pt>
                      <c:pt idx="47">
                        <c:v>2.4240963500172157</c:v>
                      </c:pt>
                      <c:pt idx="48">
                        <c:v>2.4745983573092412</c:v>
                      </c:pt>
                      <c:pt idx="49">
                        <c:v>2.5251003646012666</c:v>
                      </c:pt>
                      <c:pt idx="50">
                        <c:v>2.5756023718932921</c:v>
                      </c:pt>
                      <c:pt idx="51">
                        <c:v>2.6261043791853176</c:v>
                      </c:pt>
                    </c:numCache>
                  </c:numRef>
                </c:val>
                <c:smooth val="0"/>
                <c:extLst xmlns:c15="http://schemas.microsoft.com/office/drawing/2012/chart">
                  <c:ext xmlns:c16="http://schemas.microsoft.com/office/drawing/2014/chart" uri="{C3380CC4-5D6E-409C-BE32-E72D297353CC}">
                    <c16:uniqueId val="{00000007-7F51-416B-96C3-AA89D0A4E3AB}"/>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'PBL OLD'!$DC$6:$DC$7</c15:sqref>
                        </c15:formulaRef>
                      </c:ext>
                    </c:extLst>
                    <c:strCache>
                      <c:ptCount val="2"/>
                      <c:pt idx="0">
                        <c:v>90th Percentile</c:v>
                      </c:pt>
                    </c:strCache>
                  </c:strRef>
                </c:tx>
                <c:spPr>
                  <a:ln w="28575">
                    <a:solidFill>
                      <a:schemeClr val="accent1"/>
                    </a:solidFill>
                    <a:prstDash val="sysDot"/>
                  </a:ln>
                </c:spPr>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OLD'!$DC$8:$DC$60</c15:sqref>
                        </c15:formulaRef>
                      </c:ext>
                    </c:extLst>
                    <c:numCache>
                      <c:formatCode>0.000</c:formatCode>
                      <c:ptCount val="53"/>
                      <c:pt idx="0">
                        <c:v>7.261484324723147E-2</c:v>
                      </c:pt>
                      <c:pt idx="1">
                        <c:v>0.14522968649446294</c:v>
                      </c:pt>
                      <c:pt idx="2">
                        <c:v>0.21784452974169441</c:v>
                      </c:pt>
                      <c:pt idx="3">
                        <c:v>0.29045937298892588</c:v>
                      </c:pt>
                      <c:pt idx="4">
                        <c:v>0.36307421623615732</c:v>
                      </c:pt>
                      <c:pt idx="5">
                        <c:v>0.43568905948338876</c:v>
                      </c:pt>
                      <c:pt idx="6">
                        <c:v>0.50830390273062021</c:v>
                      </c:pt>
                      <c:pt idx="7">
                        <c:v>0.58091874597785165</c:v>
                      </c:pt>
                      <c:pt idx="8">
                        <c:v>0.65353358922508309</c:v>
                      </c:pt>
                      <c:pt idx="9">
                        <c:v>0.72614843247231453</c:v>
                      </c:pt>
                      <c:pt idx="10">
                        <c:v>0.79876327571954597</c:v>
                      </c:pt>
                      <c:pt idx="11">
                        <c:v>0.87137811896677742</c:v>
                      </c:pt>
                      <c:pt idx="12">
                        <c:v>0.94399296221400886</c:v>
                      </c:pt>
                      <c:pt idx="13">
                        <c:v>1.0166078054612404</c:v>
                      </c:pt>
                      <c:pt idx="14">
                        <c:v>1.089222648708472</c:v>
                      </c:pt>
                      <c:pt idx="15">
                        <c:v>1.1618374919557035</c:v>
                      </c:pt>
                      <c:pt idx="16">
                        <c:v>1.2344523352029351</c:v>
                      </c:pt>
                      <c:pt idx="17">
                        <c:v>1.3070671784501666</c:v>
                      </c:pt>
                      <c:pt idx="18">
                        <c:v>1.3796820216973982</c:v>
                      </c:pt>
                      <c:pt idx="19">
                        <c:v>1.4522968649446297</c:v>
                      </c:pt>
                      <c:pt idx="20">
                        <c:v>1.5249117081918613</c:v>
                      </c:pt>
                      <c:pt idx="21">
                        <c:v>1.5975265514390928</c:v>
                      </c:pt>
                      <c:pt idx="22">
                        <c:v>1.6701413946863244</c:v>
                      </c:pt>
                      <c:pt idx="23">
                        <c:v>1.7427562379335559</c:v>
                      </c:pt>
                      <c:pt idx="24">
                        <c:v>1.8153710811807875</c:v>
                      </c:pt>
                      <c:pt idx="25">
                        <c:v>1.887985924428019</c:v>
                      </c:pt>
                      <c:pt idx="26">
                        <c:v>1.9606007676752506</c:v>
                      </c:pt>
                      <c:pt idx="27">
                        <c:v>2.0332156109224822</c:v>
                      </c:pt>
                      <c:pt idx="28">
                        <c:v>2.1058304541697135</c:v>
                      </c:pt>
                      <c:pt idx="29">
                        <c:v>2.1784452974169448</c:v>
                      </c:pt>
                      <c:pt idx="30">
                        <c:v>2.2510601406641761</c:v>
                      </c:pt>
                      <c:pt idx="31">
                        <c:v>2.3236749839114075</c:v>
                      </c:pt>
                      <c:pt idx="32">
                        <c:v>2.3962898271586388</c:v>
                      </c:pt>
                      <c:pt idx="33">
                        <c:v>2.4689046704058701</c:v>
                      </c:pt>
                      <c:pt idx="34">
                        <c:v>2.5415195136531015</c:v>
                      </c:pt>
                      <c:pt idx="35">
                        <c:v>2.6141343569003328</c:v>
                      </c:pt>
                      <c:pt idx="36">
                        <c:v>2.6867492001475641</c:v>
                      </c:pt>
                      <c:pt idx="37">
                        <c:v>2.7593640433947955</c:v>
                      </c:pt>
                      <c:pt idx="38">
                        <c:v>2.8319788866420268</c:v>
                      </c:pt>
                      <c:pt idx="39">
                        <c:v>2.9045937298892581</c:v>
                      </c:pt>
                      <c:pt idx="40">
                        <c:v>2.9772085731364895</c:v>
                      </c:pt>
                      <c:pt idx="41">
                        <c:v>3.0498234163837208</c:v>
                      </c:pt>
                      <c:pt idx="42">
                        <c:v>3.1224382596309521</c:v>
                      </c:pt>
                      <c:pt idx="43">
                        <c:v>3.1950531028781834</c:v>
                      </c:pt>
                      <c:pt idx="44">
                        <c:v>3.2676679461254148</c:v>
                      </c:pt>
                      <c:pt idx="45">
                        <c:v>3.3402827893726461</c:v>
                      </c:pt>
                      <c:pt idx="46">
                        <c:v>3.4128976326198774</c:v>
                      </c:pt>
                      <c:pt idx="47">
                        <c:v>3.4855124758671088</c:v>
                      </c:pt>
                      <c:pt idx="48">
                        <c:v>3.5581273191143401</c:v>
                      </c:pt>
                      <c:pt idx="49">
                        <c:v>3.6307421623615714</c:v>
                      </c:pt>
                      <c:pt idx="50">
                        <c:v>3.7033570056088028</c:v>
                      </c:pt>
                      <c:pt idx="51">
                        <c:v>3.7759718488560341</c:v>
                      </c:pt>
                    </c:numCache>
                  </c:numRef>
                </c:val>
                <c:smooth val="0"/>
                <c:extLst xmlns:c15="http://schemas.microsoft.com/office/drawing/2012/chart">
                  <c:ext xmlns:c16="http://schemas.microsoft.com/office/drawing/2014/chart" uri="{C3380CC4-5D6E-409C-BE32-E72D297353CC}">
                    <c16:uniqueId val="{00000008-7F51-416B-96C3-AA89D0A4E3AB}"/>
                  </c:ext>
                </c:extLst>
              </c15:ser>
            </c15:filteredLineSeries>
            <c15:filteredLineSeries>
              <c15:ser>
                <c:idx val="9"/>
                <c:order val="9"/>
                <c:tx>
                  <c:strRef>
                    <c:extLst xmlns:c15="http://schemas.microsoft.com/office/drawing/2012/chart">
                      <c:ext xmlns:c15="http://schemas.microsoft.com/office/drawing/2012/chart" uri="{02D57815-91ED-43cb-92C2-25804820EDAC}">
                        <c15:formulaRef>
                          <c15:sqref>'PBL OLD'!$DD$6:$DD$7</c15:sqref>
                        </c15:formulaRef>
                      </c:ext>
                    </c:extLst>
                    <c:strCache>
                      <c:ptCount val="2"/>
                      <c:pt idx="0">
                        <c:v>95th Percentile</c:v>
                      </c:pt>
                    </c:strCache>
                  </c:strRef>
                </c:tx>
                <c:spPr>
                  <a:ln w="28575">
                    <a:solidFill>
                      <a:schemeClr val="accent1"/>
                    </a:solidFill>
                    <a:prstDash val="sysDot"/>
                  </a:ln>
                </c:spPr>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OLD'!$DD$8:$DD$60</c15:sqref>
                        </c15:formulaRef>
                      </c:ext>
                    </c:extLst>
                    <c:numCache>
                      <c:formatCode>0.000</c:formatCode>
                      <c:ptCount val="53"/>
                      <c:pt idx="0">
                        <c:v>7.643445292523153E-2</c:v>
                      </c:pt>
                      <c:pt idx="1">
                        <c:v>0.15286890585046306</c:v>
                      </c:pt>
                      <c:pt idx="2">
                        <c:v>0.22930335877569458</c:v>
                      </c:pt>
                      <c:pt idx="3">
                        <c:v>0.30573781170092612</c:v>
                      </c:pt>
                      <c:pt idx="4">
                        <c:v>0.38217226462615767</c:v>
                      </c:pt>
                      <c:pt idx="5">
                        <c:v>0.45860671755138921</c:v>
                      </c:pt>
                      <c:pt idx="6">
                        <c:v>0.5350411704766207</c:v>
                      </c:pt>
                      <c:pt idx="7">
                        <c:v>0.61147562340185224</c:v>
                      </c:pt>
                      <c:pt idx="8">
                        <c:v>0.68791007632708379</c:v>
                      </c:pt>
                      <c:pt idx="9">
                        <c:v>0.76434452925231533</c:v>
                      </c:pt>
                      <c:pt idx="10">
                        <c:v>0.84077898217754687</c:v>
                      </c:pt>
                      <c:pt idx="11">
                        <c:v>0.91721343510277842</c:v>
                      </c:pt>
                      <c:pt idx="12">
                        <c:v>0.99364788802800996</c:v>
                      </c:pt>
                      <c:pt idx="13">
                        <c:v>1.0700823409532414</c:v>
                      </c:pt>
                      <c:pt idx="14">
                        <c:v>1.1465167938784728</c:v>
                      </c:pt>
                      <c:pt idx="15">
                        <c:v>1.2229512468037043</c:v>
                      </c:pt>
                      <c:pt idx="16">
                        <c:v>1.2993856997289357</c:v>
                      </c:pt>
                      <c:pt idx="17">
                        <c:v>1.3758201526541671</c:v>
                      </c:pt>
                      <c:pt idx="18">
                        <c:v>1.4522546055793986</c:v>
                      </c:pt>
                      <c:pt idx="19">
                        <c:v>1.52868905850463</c:v>
                      </c:pt>
                      <c:pt idx="20">
                        <c:v>1.6051235114298614</c:v>
                      </c:pt>
                      <c:pt idx="21">
                        <c:v>1.6815579643550929</c:v>
                      </c:pt>
                      <c:pt idx="22">
                        <c:v>1.7579924172803243</c:v>
                      </c:pt>
                      <c:pt idx="23">
                        <c:v>1.8344268702055557</c:v>
                      </c:pt>
                      <c:pt idx="24">
                        <c:v>1.9108613231307872</c:v>
                      </c:pt>
                      <c:pt idx="25">
                        <c:v>1.9872957760560186</c:v>
                      </c:pt>
                      <c:pt idx="26">
                        <c:v>2.06373022898125</c:v>
                      </c:pt>
                      <c:pt idx="27">
                        <c:v>2.1401646819064815</c:v>
                      </c:pt>
                      <c:pt idx="28">
                        <c:v>2.2165991348317129</c:v>
                      </c:pt>
                      <c:pt idx="29">
                        <c:v>2.2930335877569443</c:v>
                      </c:pt>
                      <c:pt idx="30">
                        <c:v>2.3694680406821758</c:v>
                      </c:pt>
                      <c:pt idx="31">
                        <c:v>2.4459024936074072</c:v>
                      </c:pt>
                      <c:pt idx="32">
                        <c:v>2.5223369465326386</c:v>
                      </c:pt>
                      <c:pt idx="33">
                        <c:v>2.5987713994578701</c:v>
                      </c:pt>
                      <c:pt idx="34">
                        <c:v>2.6752058523831015</c:v>
                      </c:pt>
                      <c:pt idx="35">
                        <c:v>2.7516403053083329</c:v>
                      </c:pt>
                      <c:pt idx="36">
                        <c:v>2.8280747582335644</c:v>
                      </c:pt>
                      <c:pt idx="37">
                        <c:v>2.9045092111587958</c:v>
                      </c:pt>
                      <c:pt idx="38">
                        <c:v>2.9809436640840272</c:v>
                      </c:pt>
                      <c:pt idx="39">
                        <c:v>3.0573781170092587</c:v>
                      </c:pt>
                      <c:pt idx="40">
                        <c:v>3.1338125699344901</c:v>
                      </c:pt>
                      <c:pt idx="41">
                        <c:v>3.2102470228597215</c:v>
                      </c:pt>
                      <c:pt idx="42">
                        <c:v>3.286681475784953</c:v>
                      </c:pt>
                      <c:pt idx="43">
                        <c:v>3.3631159287101844</c:v>
                      </c:pt>
                      <c:pt idx="44">
                        <c:v>3.4395503816354158</c:v>
                      </c:pt>
                      <c:pt idx="45">
                        <c:v>3.5159848345606473</c:v>
                      </c:pt>
                      <c:pt idx="46">
                        <c:v>3.5924192874858787</c:v>
                      </c:pt>
                      <c:pt idx="47">
                        <c:v>3.6688537404111101</c:v>
                      </c:pt>
                      <c:pt idx="48">
                        <c:v>3.7452881933363416</c:v>
                      </c:pt>
                      <c:pt idx="49">
                        <c:v>3.821722646261573</c:v>
                      </c:pt>
                      <c:pt idx="50">
                        <c:v>3.8981570991868044</c:v>
                      </c:pt>
                      <c:pt idx="51">
                        <c:v>3.9745915521120359</c:v>
                      </c:pt>
                    </c:numCache>
                  </c:numRef>
                </c:val>
                <c:smooth val="0"/>
                <c:extLst xmlns:c15="http://schemas.microsoft.com/office/drawing/2012/chart">
                  <c:ext xmlns:c16="http://schemas.microsoft.com/office/drawing/2014/chart" uri="{C3380CC4-5D6E-409C-BE32-E72D297353CC}">
                    <c16:uniqueId val="{00000009-7F51-416B-96C3-AA89D0A4E3AB}"/>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'PBL OLD'!$DE$6:$DE$7</c15:sqref>
                        </c15:formulaRef>
                      </c:ext>
                    </c:extLst>
                    <c:strCache>
                      <c:ptCount val="2"/>
                      <c:pt idx="0">
                        <c:v>99th Percentile</c:v>
                      </c:pt>
                    </c:strCache>
                  </c:strRef>
                </c:tx>
                <c:spPr>
                  <a:ln w="28575">
                    <a:solidFill>
                      <a:schemeClr val="accent1"/>
                    </a:solidFill>
                    <a:prstDash val="sysDot"/>
                  </a:ln>
                </c:spPr>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OLD'!$DE$8:$DE$60</c15:sqref>
                        </c15:formulaRef>
                      </c:ext>
                    </c:extLst>
                    <c:numCache>
                      <c:formatCode>0.000</c:formatCode>
                      <c:ptCount val="53"/>
                      <c:pt idx="0">
                        <c:v>8.472863847550996E-2</c:v>
                      </c:pt>
                      <c:pt idx="1">
                        <c:v>0.16945727695101992</c:v>
                      </c:pt>
                      <c:pt idx="2">
                        <c:v>0.25418591542652991</c:v>
                      </c:pt>
                      <c:pt idx="3">
                        <c:v>0.33891455390203984</c:v>
                      </c:pt>
                      <c:pt idx="4">
                        <c:v>0.42364319237754977</c:v>
                      </c:pt>
                      <c:pt idx="5">
                        <c:v>0.5083718308530597</c:v>
                      </c:pt>
                      <c:pt idx="6">
                        <c:v>0.59310046932856963</c:v>
                      </c:pt>
                      <c:pt idx="7">
                        <c:v>0.67782910780407957</c:v>
                      </c:pt>
                      <c:pt idx="8">
                        <c:v>0.7625577462795895</c:v>
                      </c:pt>
                      <c:pt idx="9">
                        <c:v>0.84728638475509943</c:v>
                      </c:pt>
                      <c:pt idx="10">
                        <c:v>0.93201502323060936</c:v>
                      </c:pt>
                      <c:pt idx="11">
                        <c:v>1.0167436617061194</c:v>
                      </c:pt>
                      <c:pt idx="12">
                        <c:v>1.1014723001816293</c:v>
                      </c:pt>
                      <c:pt idx="13">
                        <c:v>1.1862009386571393</c:v>
                      </c:pt>
                      <c:pt idx="14">
                        <c:v>1.2709295771326492</c:v>
                      </c:pt>
                      <c:pt idx="15">
                        <c:v>1.3556582156081591</c:v>
                      </c:pt>
                      <c:pt idx="16">
                        <c:v>1.4403868540836691</c:v>
                      </c:pt>
                      <c:pt idx="17">
                        <c:v>1.525115492559179</c:v>
                      </c:pt>
                      <c:pt idx="18">
                        <c:v>1.6098441310346889</c:v>
                      </c:pt>
                      <c:pt idx="19">
                        <c:v>1.6945727695101989</c:v>
                      </c:pt>
                      <c:pt idx="20">
                        <c:v>1.7793014079857088</c:v>
                      </c:pt>
                      <c:pt idx="21">
                        <c:v>1.8640300464612187</c:v>
                      </c:pt>
                      <c:pt idx="22">
                        <c:v>1.9487586849367287</c:v>
                      </c:pt>
                      <c:pt idx="23">
                        <c:v>2.0334873234122388</c:v>
                      </c:pt>
                      <c:pt idx="24">
                        <c:v>2.1182159618877487</c:v>
                      </c:pt>
                      <c:pt idx="25">
                        <c:v>2.2029446003632587</c:v>
                      </c:pt>
                      <c:pt idx="26">
                        <c:v>2.2876732388387686</c:v>
                      </c:pt>
                      <c:pt idx="27">
                        <c:v>2.3724018773142785</c:v>
                      </c:pt>
                      <c:pt idx="28">
                        <c:v>2.4571305157897885</c:v>
                      </c:pt>
                      <c:pt idx="29">
                        <c:v>2.5418591542652984</c:v>
                      </c:pt>
                      <c:pt idx="30">
                        <c:v>2.6265877927408083</c:v>
                      </c:pt>
                      <c:pt idx="31">
                        <c:v>2.7113164312163183</c:v>
                      </c:pt>
                      <c:pt idx="32">
                        <c:v>2.7960450696918282</c:v>
                      </c:pt>
                      <c:pt idx="33">
                        <c:v>2.8807737081673381</c:v>
                      </c:pt>
                      <c:pt idx="34">
                        <c:v>2.9655023466428481</c:v>
                      </c:pt>
                      <c:pt idx="35">
                        <c:v>3.050230985118358</c:v>
                      </c:pt>
                      <c:pt idx="36">
                        <c:v>3.1349596235938679</c:v>
                      </c:pt>
                      <c:pt idx="37">
                        <c:v>3.2196882620693779</c:v>
                      </c:pt>
                      <c:pt idx="38">
                        <c:v>3.3044169005448878</c:v>
                      </c:pt>
                      <c:pt idx="39">
                        <c:v>3.3891455390203977</c:v>
                      </c:pt>
                      <c:pt idx="40">
                        <c:v>3.4738741774959077</c:v>
                      </c:pt>
                      <c:pt idx="41">
                        <c:v>3.5586028159714176</c:v>
                      </c:pt>
                      <c:pt idx="42">
                        <c:v>3.6433314544469275</c:v>
                      </c:pt>
                      <c:pt idx="43">
                        <c:v>3.7280600929224375</c:v>
                      </c:pt>
                      <c:pt idx="44">
                        <c:v>3.8127887313979474</c:v>
                      </c:pt>
                      <c:pt idx="45">
                        <c:v>3.8975173698734573</c:v>
                      </c:pt>
                      <c:pt idx="46">
                        <c:v>3.9822460083489672</c:v>
                      </c:pt>
                      <c:pt idx="47">
                        <c:v>4.0669746468244776</c:v>
                      </c:pt>
                      <c:pt idx="48">
                        <c:v>4.1517032852999876</c:v>
                      </c:pt>
                      <c:pt idx="49">
                        <c:v>4.2364319237754975</c:v>
                      </c:pt>
                      <c:pt idx="50">
                        <c:v>4.3211605622510074</c:v>
                      </c:pt>
                      <c:pt idx="51">
                        <c:v>4.4058892007265174</c:v>
                      </c:pt>
                    </c:numCache>
                  </c:numRef>
                </c:val>
                <c:smooth val="0"/>
                <c:extLst xmlns:c15="http://schemas.microsoft.com/office/drawing/2012/chart">
                  <c:ext xmlns:c16="http://schemas.microsoft.com/office/drawing/2014/chart" uri="{C3380CC4-5D6E-409C-BE32-E72D297353CC}">
                    <c16:uniqueId val="{0000000A-7F51-416B-96C3-AA89D0A4E3AB}"/>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'PBL OLD'!$DF$6:$DF$7</c15:sqref>
                        </c15:formulaRef>
                      </c:ext>
                    </c:extLst>
                    <c:strCache>
                      <c:ptCount val="2"/>
                      <c:pt idx="0">
                        <c:v>Max</c:v>
                      </c:pt>
                    </c:strCache>
                  </c:strRef>
                </c:tx>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OLD'!$DF$8:$DF$60</c15:sqref>
                        </c15:formulaRef>
                      </c:ext>
                    </c:extLst>
                    <c:numCache>
                      <c:formatCode>0.000</c:formatCode>
                      <c:ptCount val="53"/>
                      <c:pt idx="0">
                        <c:v>0.10288241710741779</c:v>
                      </c:pt>
                      <c:pt idx="1">
                        <c:v>0.20576483421483557</c:v>
                      </c:pt>
                      <c:pt idx="2">
                        <c:v>0.30864725132225335</c:v>
                      </c:pt>
                      <c:pt idx="3">
                        <c:v>0.41152966842967115</c:v>
                      </c:pt>
                      <c:pt idx="4">
                        <c:v>0.51441208553708895</c:v>
                      </c:pt>
                      <c:pt idx="5">
                        <c:v>0.61729450264450669</c:v>
                      </c:pt>
                      <c:pt idx="6">
                        <c:v>0.72017691975192444</c:v>
                      </c:pt>
                      <c:pt idx="7">
                        <c:v>0.82305933685934218</c:v>
                      </c:pt>
                      <c:pt idx="8">
                        <c:v>0.92594175396675993</c:v>
                      </c:pt>
                      <c:pt idx="9">
                        <c:v>1.0288241710741777</c:v>
                      </c:pt>
                      <c:pt idx="10">
                        <c:v>1.1317065881815955</c:v>
                      </c:pt>
                      <c:pt idx="11">
                        <c:v>1.2345890052890134</c:v>
                      </c:pt>
                      <c:pt idx="12">
                        <c:v>1.3374714223964312</c:v>
                      </c:pt>
                      <c:pt idx="13">
                        <c:v>1.4403538395038491</c:v>
                      </c:pt>
                      <c:pt idx="14">
                        <c:v>1.543236256611267</c:v>
                      </c:pt>
                      <c:pt idx="15">
                        <c:v>1.6461186737186848</c:v>
                      </c:pt>
                      <c:pt idx="16">
                        <c:v>1.7490010908261027</c:v>
                      </c:pt>
                      <c:pt idx="17">
                        <c:v>1.8518835079335205</c:v>
                      </c:pt>
                      <c:pt idx="18">
                        <c:v>1.9547659250409384</c:v>
                      </c:pt>
                      <c:pt idx="19">
                        <c:v>2.0576483421483562</c:v>
                      </c:pt>
                      <c:pt idx="20">
                        <c:v>2.1605307592557739</c:v>
                      </c:pt>
                      <c:pt idx="21">
                        <c:v>2.2634131763631915</c:v>
                      </c:pt>
                      <c:pt idx="22">
                        <c:v>2.3662955934706091</c:v>
                      </c:pt>
                      <c:pt idx="23">
                        <c:v>2.4691780105780268</c:v>
                      </c:pt>
                      <c:pt idx="24">
                        <c:v>2.5720604276854444</c:v>
                      </c:pt>
                      <c:pt idx="25">
                        <c:v>2.674942844792862</c:v>
                      </c:pt>
                      <c:pt idx="26">
                        <c:v>2.7778252619002797</c:v>
                      </c:pt>
                      <c:pt idx="27">
                        <c:v>2.8807076790076973</c:v>
                      </c:pt>
                      <c:pt idx="28">
                        <c:v>2.9835900961151149</c:v>
                      </c:pt>
                      <c:pt idx="29">
                        <c:v>3.0864725132225326</c:v>
                      </c:pt>
                      <c:pt idx="30">
                        <c:v>3.1893549303299502</c:v>
                      </c:pt>
                      <c:pt idx="31">
                        <c:v>3.2922373474373678</c:v>
                      </c:pt>
                      <c:pt idx="32">
                        <c:v>3.3951197645447855</c:v>
                      </c:pt>
                      <c:pt idx="33">
                        <c:v>3.4980021816522031</c:v>
                      </c:pt>
                      <c:pt idx="34">
                        <c:v>3.6008845987596207</c:v>
                      </c:pt>
                      <c:pt idx="35">
                        <c:v>3.7037670158670384</c:v>
                      </c:pt>
                      <c:pt idx="36">
                        <c:v>3.806649432974456</c:v>
                      </c:pt>
                      <c:pt idx="37">
                        <c:v>3.9095318500818736</c:v>
                      </c:pt>
                      <c:pt idx="38">
                        <c:v>4.0124142671892917</c:v>
                      </c:pt>
                      <c:pt idx="39">
                        <c:v>4.1152966842967098</c:v>
                      </c:pt>
                      <c:pt idx="40">
                        <c:v>4.2181791014041279</c:v>
                      </c:pt>
                      <c:pt idx="41">
                        <c:v>4.321061518511546</c:v>
                      </c:pt>
                      <c:pt idx="42">
                        <c:v>4.423943935618964</c:v>
                      </c:pt>
                      <c:pt idx="43">
                        <c:v>4.5268263527263821</c:v>
                      </c:pt>
                      <c:pt idx="44">
                        <c:v>4.6297087698338002</c:v>
                      </c:pt>
                      <c:pt idx="45">
                        <c:v>4.7325911869412183</c:v>
                      </c:pt>
                      <c:pt idx="46">
                        <c:v>4.8354736040486364</c:v>
                      </c:pt>
                      <c:pt idx="47">
                        <c:v>4.9383560211560544</c:v>
                      </c:pt>
                      <c:pt idx="48">
                        <c:v>5.0412384382634725</c:v>
                      </c:pt>
                      <c:pt idx="49">
                        <c:v>5.1441208553708906</c:v>
                      </c:pt>
                      <c:pt idx="50">
                        <c:v>5.2470032724783087</c:v>
                      </c:pt>
                      <c:pt idx="51">
                        <c:v>5.3498856895857267</c:v>
                      </c:pt>
                    </c:numCache>
                  </c:numRef>
                </c:val>
                <c:smooth val="0"/>
                <c:extLst xmlns:c15="http://schemas.microsoft.com/office/drawing/2012/chart">
                  <c:ext xmlns:c16="http://schemas.microsoft.com/office/drawing/2014/chart" uri="{C3380CC4-5D6E-409C-BE32-E72D297353CC}">
                    <c16:uniqueId val="{0000000B-7F51-416B-96C3-AA89D0A4E3AB}"/>
                  </c:ext>
                </c:extLst>
              </c15:ser>
            </c15:filteredLineSeries>
          </c:ext>
        </c:extLst>
      </c:lineChart>
      <c:dateAx>
        <c:axId val="1388952432"/>
        <c:scaling>
          <c:orientation val="minMax"/>
        </c:scaling>
        <c:delete val="0"/>
        <c:axPos val="b"/>
        <c:numFmt formatCode="mmm\-yy_);\(###0\);&quot;-  &quot;;&quot; &quot;@&quot; &quot;" sourceLinked="0"/>
        <c:majorTickMark val="none"/>
        <c:minorTickMark val="none"/>
        <c:tickLblPos val="nextTo"/>
        <c:spPr>
          <a:noFill/>
          <a:ln w="9525" cap="flat" cmpd="sng" algn="ctr">
            <a:noFill/>
            <a:round/>
          </a:ln>
          <a:effectLst/>
        </c:spPr>
        <c:txPr>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3088"/>
        <c:crosses val="autoZero"/>
        <c:auto val="1"/>
        <c:lblOffset val="100"/>
        <c:baseTimeUnit val="days"/>
        <c:majorUnit val="1"/>
        <c:majorTimeUnit val="months"/>
      </c:dateAx>
      <c:valAx>
        <c:axId val="13889530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2432"/>
        <c:crosses val="autoZero"/>
        <c:crossBetween val="between"/>
      </c:valAx>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orientation="portrait"/>
  </c:printSettings>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'PBL OLD'!$CU$6:$CU$7</c:f>
              <c:strCache>
                <c:ptCount val="2"/>
                <c:pt idx="0">
                  <c:v>Actual</c:v>
                </c:pt>
              </c:strCache>
            </c:strRef>
          </c:tx>
          <c:spPr>
            <a:ln w="28575" cap="rnd">
              <a:solidFill>
                <a:schemeClr val="tx2"/>
              </a:solidFill>
              <a:round/>
            </a:ln>
            <a:effectLst/>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OLD'!$CU$8:$CU$60</c:f>
              <c:numCache>
                <c:formatCode>0.000</c:formatCode>
                <c:ptCount val="53"/>
                <c:pt idx="0">
                  <c:v>2.4383432684147156E-2</c:v>
                </c:pt>
                <c:pt idx="1">
                  <c:v>5.7456335077458197E-2</c:v>
                </c:pt>
                <c:pt idx="2">
                  <c:v>8.2897301732709039E-2</c:v>
                </c:pt>
                <c:pt idx="3">
                  <c:v>0.10634933406608696</c:v>
                </c:pt>
                <c:pt idx="4">
                  <c:v>0.13586762292789298</c:v>
                </c:pt>
                <c:pt idx="5">
                  <c:v>0.18374004427397994</c:v>
                </c:pt>
                <c:pt idx="6">
                  <c:v>0.20803473319331103</c:v>
                </c:pt>
                <c:pt idx="7">
                  <c:v>0.23891877923157193</c:v>
                </c:pt>
                <c:pt idx="8">
                  <c:v>0.28713984685163879</c:v>
                </c:pt>
                <c:pt idx="9">
                  <c:v>0.3616614278523077</c:v>
                </c:pt>
                <c:pt idx="10">
                  <c:v>0.392004627321204</c:v>
                </c:pt>
                <c:pt idx="11">
                  <c:v>0.41949779873926418</c:v>
                </c:pt>
                <c:pt idx="12">
                  <c:v>0.46306182742073576</c:v>
                </c:pt>
                <c:pt idx="13">
                  <c:v>0.52060037325672237</c:v>
                </c:pt>
                <c:pt idx="14">
                  <c:v>0.6148648724923077</c:v>
                </c:pt>
                <c:pt idx="15">
                  <c:v>0.83700126369498329</c:v>
                </c:pt>
                <c:pt idx="16">
                  <c:v>1.1825944978628762</c:v>
                </c:pt>
                <c:pt idx="17">
                  <c:v>1.2153577144507022</c:v>
                </c:pt>
                <c:pt idx="18">
                  <c:v>1.2691323901694982</c:v>
                </c:pt>
                <c:pt idx="19">
                  <c:v>1.3310424487488961</c:v>
                </c:pt>
                <c:pt idx="20">
                  <c:v>1.4175102073723076</c:v>
                </c:pt>
                <c:pt idx="21">
                  <c:v>1.4481012105839461</c:v>
                </c:pt>
                <c:pt idx="22">
                  <c:v>1.4946211055890297</c:v>
                </c:pt>
                <c:pt idx="23">
                  <c:v>1.5554005903488961</c:v>
                </c:pt>
                <c:pt idx="24">
                  <c:v>1.6472886013460868</c:v>
                </c:pt>
                <c:pt idx="25">
                  <c:v>1.8141838940449495</c:v>
                </c:pt>
                <c:pt idx="26">
                  <c:v>1.8392503831253511</c:v>
                </c:pt>
                <c:pt idx="27">
                  <c:v>1.866157764302341</c:v>
                </c:pt>
                <c:pt idx="28">
                  <c:v>1.9009749529614712</c:v>
                </c:pt>
                <c:pt idx="29">
                  <c:v>1.9519053104066888</c:v>
                </c:pt>
                <c:pt idx="30">
                  <c:v>2.0244714168671569</c:v>
                </c:pt>
                <c:pt idx="31">
                  <c:v>2.0488217174971233</c:v>
                </c:pt>
                <c:pt idx="32">
                  <c:v>2.0819389554734444</c:v>
                </c:pt>
                <c:pt idx="33">
                  <c:v>2.135068076795986</c:v>
                </c:pt>
                <c:pt idx="34">
                  <c:v>2.2086620296321069</c:v>
                </c:pt>
                <c:pt idx="35">
                  <c:v>2.2340468803692306</c:v>
                </c:pt>
                <c:pt idx="36">
                  <c:v>2.2608009917649499</c:v>
                </c:pt>
                <c:pt idx="37">
                  <c:v>2.2922285879399333</c:v>
                </c:pt>
                <c:pt idx="38">
                  <c:v>2.3232771205685618</c:v>
                </c:pt>
                <c:pt idx="39">
                  <c:v>2.3730794774674249</c:v>
                </c:pt>
                <c:pt idx="40">
                  <c:v>2.4331034888271574</c:v>
                </c:pt>
                <c:pt idx="41">
                  <c:v>2.459481893485485</c:v>
                </c:pt>
                <c:pt idx="42">
                  <c:v>2.4922966782375924</c:v>
                </c:pt>
                <c:pt idx="43">
                  <c:v>2.5430290760305017</c:v>
                </c:pt>
                <c:pt idx="44">
                  <c:v>2.5665048546627425</c:v>
                </c:pt>
                <c:pt idx="45">
                  <c:v>2.5900549864143145</c:v>
                </c:pt>
                <c:pt idx="46">
                  <c:v>2.6316794518334712</c:v>
                </c:pt>
                <c:pt idx="47">
                  <c:v>2.6865530592113069</c:v>
                </c:pt>
                <c:pt idx="48">
                  <c:v>2.7625586865996037</c:v>
                </c:pt>
                <c:pt idx="49">
                  <c:v>2.8807855607703785</c:v>
                </c:pt>
                <c:pt idx="50">
                  <c:v>3.1087288440336671</c:v>
                </c:pt>
                <c:pt idx="51">
                  <c:v>3.1350399566342553</c:v>
                </c:pt>
              </c:numCache>
            </c:numRef>
          </c:val>
          <c:smooth val="0"/>
          <c:extLst>
            <c:ext xmlns:c16="http://schemas.microsoft.com/office/drawing/2014/chart" uri="{C3380CC4-5D6E-409C-BE32-E72D297353CC}">
              <c16:uniqueId val="{00000000-586B-4DD3-9499-912C7CE46BE6}"/>
            </c:ext>
          </c:extLst>
        </c:ser>
        <c:ser>
          <c:idx val="7"/>
          <c:order val="3"/>
          <c:tx>
            <c:strRef>
              <c:f>'PBL OLD'!$CX$6:$CX$7</c:f>
              <c:strCache>
                <c:ptCount val="2"/>
                <c:pt idx="0">
                  <c:v>5th Percentile</c:v>
                </c:pt>
              </c:strCache>
            </c:strRef>
          </c:tx>
          <c:spPr>
            <a:ln w="28575" cap="rnd">
              <a:solidFill>
                <a:schemeClr val="bg2"/>
              </a:solidFill>
              <a:prstDash val="sysDot"/>
              <a:round/>
            </a:ln>
            <a:effectLst/>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OLD'!$CX$8:$CX$60</c:f>
              <c:numCache>
                <c:formatCode>0.000</c:formatCode>
                <c:ptCount val="53"/>
                <c:pt idx="0">
                  <c:v>4.8416818848466985E-2</c:v>
                </c:pt>
                <c:pt idx="1">
                  <c:v>9.6833637696933969E-2</c:v>
                </c:pt>
                <c:pt idx="2">
                  <c:v>0.14525045654540095</c:v>
                </c:pt>
                <c:pt idx="3">
                  <c:v>0.19366727539386794</c:v>
                </c:pt>
                <c:pt idx="4">
                  <c:v>0.24208409424233493</c:v>
                </c:pt>
                <c:pt idx="5">
                  <c:v>0.29050091309080189</c:v>
                </c:pt>
                <c:pt idx="6">
                  <c:v>0.33891773193926888</c:v>
                </c:pt>
                <c:pt idx="7">
                  <c:v>0.38733455078773588</c:v>
                </c:pt>
                <c:pt idx="8">
                  <c:v>0.43575136963620287</c:v>
                </c:pt>
                <c:pt idx="9">
                  <c:v>0.48416818848466986</c:v>
                </c:pt>
                <c:pt idx="10">
                  <c:v>0.53258500733313685</c:v>
                </c:pt>
                <c:pt idx="11">
                  <c:v>0.58100182618160379</c:v>
                </c:pt>
                <c:pt idx="12">
                  <c:v>0.62941864503007072</c:v>
                </c:pt>
                <c:pt idx="13">
                  <c:v>0.67783546387853766</c:v>
                </c:pt>
                <c:pt idx="14">
                  <c:v>0.72625228272700459</c:v>
                </c:pt>
                <c:pt idx="15">
                  <c:v>0.77466910157547153</c:v>
                </c:pt>
                <c:pt idx="16">
                  <c:v>0.82308592042393847</c:v>
                </c:pt>
                <c:pt idx="17">
                  <c:v>0.8715027392724054</c:v>
                </c:pt>
                <c:pt idx="18">
                  <c:v>0.91991955812087234</c:v>
                </c:pt>
                <c:pt idx="19">
                  <c:v>0.96833637696933927</c:v>
                </c:pt>
                <c:pt idx="20">
                  <c:v>1.0167531958178062</c:v>
                </c:pt>
                <c:pt idx="21">
                  <c:v>1.0651700146662733</c:v>
                </c:pt>
                <c:pt idx="22">
                  <c:v>1.1135868335147403</c:v>
                </c:pt>
                <c:pt idx="23">
                  <c:v>1.1620036523632074</c:v>
                </c:pt>
                <c:pt idx="24">
                  <c:v>1.2104204712116744</c:v>
                </c:pt>
                <c:pt idx="25">
                  <c:v>1.2588372900601414</c:v>
                </c:pt>
                <c:pt idx="26">
                  <c:v>1.3072541089086085</c:v>
                </c:pt>
                <c:pt idx="27">
                  <c:v>1.3556709277570755</c:v>
                </c:pt>
                <c:pt idx="28">
                  <c:v>1.4040877466055426</c:v>
                </c:pt>
                <c:pt idx="29">
                  <c:v>1.4525045654540096</c:v>
                </c:pt>
                <c:pt idx="30">
                  <c:v>1.5009213843024767</c:v>
                </c:pt>
                <c:pt idx="31">
                  <c:v>1.5493382031509437</c:v>
                </c:pt>
                <c:pt idx="32">
                  <c:v>1.5977550219994108</c:v>
                </c:pt>
                <c:pt idx="33">
                  <c:v>1.6461718408478778</c:v>
                </c:pt>
                <c:pt idx="34">
                  <c:v>1.6945886596963449</c:v>
                </c:pt>
                <c:pt idx="35">
                  <c:v>1.7430054785448119</c:v>
                </c:pt>
                <c:pt idx="36">
                  <c:v>1.791422297393279</c:v>
                </c:pt>
                <c:pt idx="37">
                  <c:v>1.839839116241746</c:v>
                </c:pt>
                <c:pt idx="38">
                  <c:v>1.8882559350902131</c:v>
                </c:pt>
                <c:pt idx="39">
                  <c:v>1.9366727539386801</c:v>
                </c:pt>
                <c:pt idx="40">
                  <c:v>1.9850895727871471</c:v>
                </c:pt>
                <c:pt idx="41">
                  <c:v>2.0335063916356142</c:v>
                </c:pt>
                <c:pt idx="42">
                  <c:v>2.081923210484081</c:v>
                </c:pt>
                <c:pt idx="43">
                  <c:v>2.1303400293325478</c:v>
                </c:pt>
                <c:pt idx="44">
                  <c:v>2.1787568481810147</c:v>
                </c:pt>
                <c:pt idx="45">
                  <c:v>2.2271736670294815</c:v>
                </c:pt>
                <c:pt idx="46">
                  <c:v>2.2755904858779483</c:v>
                </c:pt>
                <c:pt idx="47">
                  <c:v>2.3240073047264151</c:v>
                </c:pt>
                <c:pt idx="48">
                  <c:v>2.372424123574882</c:v>
                </c:pt>
                <c:pt idx="49">
                  <c:v>2.4208409424233488</c:v>
                </c:pt>
                <c:pt idx="50">
                  <c:v>2.4692577612718156</c:v>
                </c:pt>
                <c:pt idx="51">
                  <c:v>2.5176745801202824</c:v>
                </c:pt>
              </c:numCache>
            </c:numRef>
          </c:val>
          <c:smooth val="0"/>
          <c:extLst xmlns:c15="http://schemas.microsoft.com/office/drawing/2012/chart">
            <c:ext xmlns:c16="http://schemas.microsoft.com/office/drawing/2014/chart" uri="{C3380CC4-5D6E-409C-BE32-E72D297353CC}">
              <c16:uniqueId val="{00000001-586B-4DD3-9499-912C7CE46BE6}"/>
            </c:ext>
          </c:extLst>
        </c:ser>
        <c:ser>
          <c:idx val="2"/>
          <c:order val="5"/>
          <c:tx>
            <c:v>5/25/50/75/95th percentile</c:v>
          </c:tx>
          <c:spPr>
            <a:ln w="28575">
              <a:solidFill>
                <a:schemeClr val="bg2"/>
              </a:solidFill>
              <a:prstDash val="sysDot"/>
            </a:ln>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OLD'!$CZ$8:$CZ$60</c:f>
              <c:numCache>
                <c:formatCode>0.000</c:formatCode>
                <c:ptCount val="53"/>
                <c:pt idx="0">
                  <c:v>5.470863400459542E-2</c:v>
                </c:pt>
                <c:pt idx="1">
                  <c:v>0.10941726800919084</c:v>
                </c:pt>
                <c:pt idx="2">
                  <c:v>0.16412590201378627</c:v>
                </c:pt>
                <c:pt idx="3">
                  <c:v>0.21883453601838168</c:v>
                </c:pt>
                <c:pt idx="4">
                  <c:v>0.27354317002297712</c:v>
                </c:pt>
                <c:pt idx="5">
                  <c:v>0.32825180402757254</c:v>
                </c:pt>
                <c:pt idx="6">
                  <c:v>0.38296043803216795</c:v>
                </c:pt>
                <c:pt idx="7">
                  <c:v>0.43766907203676336</c:v>
                </c:pt>
                <c:pt idx="8">
                  <c:v>0.49237770604135878</c:v>
                </c:pt>
                <c:pt idx="9">
                  <c:v>0.54708634004595424</c:v>
                </c:pt>
                <c:pt idx="10">
                  <c:v>0.60179497405054971</c:v>
                </c:pt>
                <c:pt idx="11">
                  <c:v>0.65650360805514518</c:v>
                </c:pt>
                <c:pt idx="12">
                  <c:v>0.71121224205974065</c:v>
                </c:pt>
                <c:pt idx="13">
                  <c:v>0.76592087606433612</c:v>
                </c:pt>
                <c:pt idx="14">
                  <c:v>0.82062951006893159</c:v>
                </c:pt>
                <c:pt idx="15">
                  <c:v>0.87533814407352706</c:v>
                </c:pt>
                <c:pt idx="16">
                  <c:v>0.93004677807812253</c:v>
                </c:pt>
                <c:pt idx="17">
                  <c:v>0.984755412082718</c:v>
                </c:pt>
                <c:pt idx="18">
                  <c:v>1.0394640460873135</c:v>
                </c:pt>
                <c:pt idx="19">
                  <c:v>1.0941726800919089</c:v>
                </c:pt>
                <c:pt idx="20">
                  <c:v>1.1488813140965044</c:v>
                </c:pt>
                <c:pt idx="21">
                  <c:v>1.2035899481010999</c:v>
                </c:pt>
                <c:pt idx="22">
                  <c:v>1.2582985821056953</c:v>
                </c:pt>
                <c:pt idx="23">
                  <c:v>1.3130072161102908</c:v>
                </c:pt>
                <c:pt idx="24">
                  <c:v>1.3677158501148863</c:v>
                </c:pt>
                <c:pt idx="25">
                  <c:v>1.4224244841194817</c:v>
                </c:pt>
                <c:pt idx="26">
                  <c:v>1.4771331181240772</c:v>
                </c:pt>
                <c:pt idx="27">
                  <c:v>1.5318417521286727</c:v>
                </c:pt>
                <c:pt idx="28">
                  <c:v>1.5865503861332682</c:v>
                </c:pt>
                <c:pt idx="29">
                  <c:v>1.6412590201378636</c:v>
                </c:pt>
                <c:pt idx="30">
                  <c:v>1.6959676541424591</c:v>
                </c:pt>
                <c:pt idx="31">
                  <c:v>1.7506762881470546</c:v>
                </c:pt>
                <c:pt idx="32">
                  <c:v>1.80538492215165</c:v>
                </c:pt>
                <c:pt idx="33">
                  <c:v>1.8600935561562455</c:v>
                </c:pt>
                <c:pt idx="34">
                  <c:v>1.914802190160841</c:v>
                </c:pt>
                <c:pt idx="35">
                  <c:v>1.9695108241654364</c:v>
                </c:pt>
                <c:pt idx="36">
                  <c:v>2.0242194581700317</c:v>
                </c:pt>
                <c:pt idx="37">
                  <c:v>2.0789280921746269</c:v>
                </c:pt>
                <c:pt idx="38">
                  <c:v>2.1336367261792222</c:v>
                </c:pt>
                <c:pt idx="39">
                  <c:v>2.1883453601838174</c:v>
                </c:pt>
                <c:pt idx="40">
                  <c:v>2.2430539941884127</c:v>
                </c:pt>
                <c:pt idx="41">
                  <c:v>2.2977626281930079</c:v>
                </c:pt>
                <c:pt idx="42">
                  <c:v>2.3524712621976032</c:v>
                </c:pt>
                <c:pt idx="43">
                  <c:v>2.4071798962021984</c:v>
                </c:pt>
                <c:pt idx="44">
                  <c:v>2.4618885302067937</c:v>
                </c:pt>
                <c:pt idx="45">
                  <c:v>2.5165971642113889</c:v>
                </c:pt>
                <c:pt idx="46">
                  <c:v>2.5713057982159842</c:v>
                </c:pt>
                <c:pt idx="47">
                  <c:v>2.6260144322205794</c:v>
                </c:pt>
                <c:pt idx="48">
                  <c:v>2.6807230662251746</c:v>
                </c:pt>
                <c:pt idx="49">
                  <c:v>2.7354317002297699</c:v>
                </c:pt>
                <c:pt idx="50">
                  <c:v>2.7901403342343651</c:v>
                </c:pt>
                <c:pt idx="51">
                  <c:v>2.8448489682389604</c:v>
                </c:pt>
              </c:numCache>
            </c:numRef>
          </c:val>
          <c:smooth val="0"/>
          <c:extLst>
            <c:ext xmlns:c16="http://schemas.microsoft.com/office/drawing/2014/chart" uri="{C3380CC4-5D6E-409C-BE32-E72D297353CC}">
              <c16:uniqueId val="{00000002-586B-4DD3-9499-912C7CE46BE6}"/>
            </c:ext>
          </c:extLst>
        </c:ser>
        <c:ser>
          <c:idx val="4"/>
          <c:order val="6"/>
          <c:tx>
            <c:strRef>
              <c:f>'PBL OLD'!$DA$6:$DA$7</c:f>
              <c:strCache>
                <c:ptCount val="2"/>
                <c:pt idx="0">
                  <c:v>50th Percentile</c:v>
                </c:pt>
              </c:strCache>
            </c:strRef>
          </c:tx>
          <c:spPr>
            <a:ln w="28575">
              <a:solidFill>
                <a:schemeClr val="bg2"/>
              </a:solidFill>
              <a:prstDash val="sysDot"/>
            </a:ln>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OLD'!$DA$8:$DA$60</c:f>
              <c:numCache>
                <c:formatCode>0.000</c:formatCode>
                <c:ptCount val="53"/>
                <c:pt idx="0">
                  <c:v>6.0209708872007502E-2</c:v>
                </c:pt>
                <c:pt idx="1">
                  <c:v>0.120419417744015</c:v>
                </c:pt>
                <c:pt idx="2">
                  <c:v>0.18062912661602251</c:v>
                </c:pt>
                <c:pt idx="3">
                  <c:v>0.24083883548803001</c:v>
                </c:pt>
                <c:pt idx="4">
                  <c:v>0.30104854436003753</c:v>
                </c:pt>
                <c:pt idx="5">
                  <c:v>0.36125825323204502</c:v>
                </c:pt>
                <c:pt idx="6">
                  <c:v>0.42146796210405252</c:v>
                </c:pt>
                <c:pt idx="7">
                  <c:v>0.48167767097606001</c:v>
                </c:pt>
                <c:pt idx="8">
                  <c:v>0.54188737984806756</c:v>
                </c:pt>
                <c:pt idx="9">
                  <c:v>0.60209708872007506</c:v>
                </c:pt>
                <c:pt idx="10">
                  <c:v>0.66230679759208255</c:v>
                </c:pt>
                <c:pt idx="11">
                  <c:v>0.72251650646409005</c:v>
                </c:pt>
                <c:pt idx="12">
                  <c:v>0.78272621533609754</c:v>
                </c:pt>
                <c:pt idx="13">
                  <c:v>0.84293592420810504</c:v>
                </c:pt>
                <c:pt idx="14">
                  <c:v>0.90314563308011253</c:v>
                </c:pt>
                <c:pt idx="15">
                  <c:v>0.96335534195212003</c:v>
                </c:pt>
                <c:pt idx="16">
                  <c:v>1.0235650508241276</c:v>
                </c:pt>
                <c:pt idx="17">
                  <c:v>1.0837747596961351</c:v>
                </c:pt>
                <c:pt idx="18">
                  <c:v>1.1439844685681426</c:v>
                </c:pt>
                <c:pt idx="19">
                  <c:v>1.2041941774401501</c:v>
                </c:pt>
                <c:pt idx="20">
                  <c:v>1.2644038863121576</c:v>
                </c:pt>
                <c:pt idx="21">
                  <c:v>1.3246135951841651</c:v>
                </c:pt>
                <c:pt idx="22">
                  <c:v>1.3848233040561726</c:v>
                </c:pt>
                <c:pt idx="23">
                  <c:v>1.4450330129281801</c:v>
                </c:pt>
                <c:pt idx="24">
                  <c:v>1.5052427218001876</c:v>
                </c:pt>
                <c:pt idx="25">
                  <c:v>1.5654524306721951</c:v>
                </c:pt>
                <c:pt idx="26">
                  <c:v>1.6256621395442026</c:v>
                </c:pt>
                <c:pt idx="27">
                  <c:v>1.6858718484162101</c:v>
                </c:pt>
                <c:pt idx="28">
                  <c:v>1.7460815572882176</c:v>
                </c:pt>
                <c:pt idx="29">
                  <c:v>1.8062912661602251</c:v>
                </c:pt>
                <c:pt idx="30">
                  <c:v>1.8665009750322326</c:v>
                </c:pt>
                <c:pt idx="31">
                  <c:v>1.9267106839042401</c:v>
                </c:pt>
                <c:pt idx="32">
                  <c:v>1.9869203927762475</c:v>
                </c:pt>
                <c:pt idx="33">
                  <c:v>2.0471301016482553</c:v>
                </c:pt>
                <c:pt idx="34">
                  <c:v>2.107339810520263</c:v>
                </c:pt>
                <c:pt idx="35">
                  <c:v>2.1675495193922707</c:v>
                </c:pt>
                <c:pt idx="36">
                  <c:v>2.2277592282642784</c:v>
                </c:pt>
                <c:pt idx="37">
                  <c:v>2.2879689371362861</c:v>
                </c:pt>
                <c:pt idx="38">
                  <c:v>2.3481786460082938</c:v>
                </c:pt>
                <c:pt idx="39">
                  <c:v>2.4083883548803016</c:v>
                </c:pt>
                <c:pt idx="40">
                  <c:v>2.4685980637523093</c:v>
                </c:pt>
                <c:pt idx="41">
                  <c:v>2.528807772624317</c:v>
                </c:pt>
                <c:pt idx="42">
                  <c:v>2.5890174814963247</c:v>
                </c:pt>
                <c:pt idx="43">
                  <c:v>2.6492271903683324</c:v>
                </c:pt>
                <c:pt idx="44">
                  <c:v>2.7094368992403401</c:v>
                </c:pt>
                <c:pt idx="45">
                  <c:v>2.7696466081123479</c:v>
                </c:pt>
                <c:pt idx="46">
                  <c:v>2.8298563169843556</c:v>
                </c:pt>
                <c:pt idx="47">
                  <c:v>2.8900660258563633</c:v>
                </c:pt>
                <c:pt idx="48">
                  <c:v>2.950275734728371</c:v>
                </c:pt>
                <c:pt idx="49">
                  <c:v>3.0104854436003787</c:v>
                </c:pt>
                <c:pt idx="50">
                  <c:v>3.0706951524723864</c:v>
                </c:pt>
                <c:pt idx="51">
                  <c:v>3.1309048613443942</c:v>
                </c:pt>
              </c:numCache>
            </c:numRef>
          </c:val>
          <c:smooth val="0"/>
          <c:extLst>
            <c:ext xmlns:c16="http://schemas.microsoft.com/office/drawing/2014/chart" uri="{C3380CC4-5D6E-409C-BE32-E72D297353CC}">
              <c16:uniqueId val="{00000003-586B-4DD3-9499-912C7CE46BE6}"/>
            </c:ext>
          </c:extLst>
        </c:ser>
        <c:ser>
          <c:idx val="6"/>
          <c:order val="7"/>
          <c:tx>
            <c:strRef>
              <c:f>'PBL OLD'!$DB$6:$DB$7</c:f>
              <c:strCache>
                <c:ptCount val="2"/>
                <c:pt idx="0">
                  <c:v>75th Percentile</c:v>
                </c:pt>
              </c:strCache>
            </c:strRef>
          </c:tx>
          <c:spPr>
            <a:ln w="28575">
              <a:solidFill>
                <a:schemeClr val="bg2"/>
              </a:solidFill>
              <a:prstDash val="sysDot"/>
            </a:ln>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OLD'!$DB$8:$DB$60</c:f>
              <c:numCache>
                <c:formatCode>0.000</c:formatCode>
                <c:ptCount val="53"/>
                <c:pt idx="0">
                  <c:v>6.6232533541717833E-2</c:v>
                </c:pt>
                <c:pt idx="1">
                  <c:v>0.13246506708343567</c:v>
                </c:pt>
                <c:pt idx="2">
                  <c:v>0.19869760062515351</c:v>
                </c:pt>
                <c:pt idx="3">
                  <c:v>0.26493013416687133</c:v>
                </c:pt>
                <c:pt idx="4">
                  <c:v>0.33116266770858915</c:v>
                </c:pt>
                <c:pt idx="5">
                  <c:v>0.39739520125030697</c:v>
                </c:pt>
                <c:pt idx="6">
                  <c:v>0.46362773479202479</c:v>
                </c:pt>
                <c:pt idx="7">
                  <c:v>0.52986026833374267</c:v>
                </c:pt>
                <c:pt idx="8">
                  <c:v>0.59609280187546054</c:v>
                </c:pt>
                <c:pt idx="9">
                  <c:v>0.66232533541717842</c:v>
                </c:pt>
                <c:pt idx="10">
                  <c:v>0.72855786895889629</c:v>
                </c:pt>
                <c:pt idx="11">
                  <c:v>0.79479040250061417</c:v>
                </c:pt>
                <c:pt idx="12">
                  <c:v>0.86102293604233204</c:v>
                </c:pt>
                <c:pt idx="13">
                  <c:v>0.92725546958404992</c:v>
                </c:pt>
                <c:pt idx="14">
                  <c:v>0.99348800312576779</c:v>
                </c:pt>
                <c:pt idx="15">
                  <c:v>1.0597205366674856</c:v>
                </c:pt>
                <c:pt idx="16">
                  <c:v>1.1259530702092033</c:v>
                </c:pt>
                <c:pt idx="17">
                  <c:v>1.1921856037509211</c:v>
                </c:pt>
                <c:pt idx="18">
                  <c:v>1.2584181372926388</c:v>
                </c:pt>
                <c:pt idx="19">
                  <c:v>1.3246506708343566</c:v>
                </c:pt>
                <c:pt idx="20">
                  <c:v>1.3908832043760744</c:v>
                </c:pt>
                <c:pt idx="21">
                  <c:v>1.4571157379177921</c:v>
                </c:pt>
                <c:pt idx="22">
                  <c:v>1.5233482714595099</c:v>
                </c:pt>
                <c:pt idx="23">
                  <c:v>1.5895808050012277</c:v>
                </c:pt>
                <c:pt idx="24">
                  <c:v>1.6558133385429454</c:v>
                </c:pt>
                <c:pt idx="25">
                  <c:v>1.7220458720846632</c:v>
                </c:pt>
                <c:pt idx="26">
                  <c:v>1.788278405626381</c:v>
                </c:pt>
                <c:pt idx="27">
                  <c:v>1.8545109391680987</c:v>
                </c:pt>
                <c:pt idx="28">
                  <c:v>1.9207434727098165</c:v>
                </c:pt>
                <c:pt idx="29">
                  <c:v>1.9869760062515343</c:v>
                </c:pt>
                <c:pt idx="30">
                  <c:v>2.053208539793252</c:v>
                </c:pt>
                <c:pt idx="31">
                  <c:v>2.1194410733349698</c:v>
                </c:pt>
                <c:pt idx="32">
                  <c:v>2.1856736068766875</c:v>
                </c:pt>
                <c:pt idx="33">
                  <c:v>2.2519061404184053</c:v>
                </c:pt>
                <c:pt idx="34">
                  <c:v>2.3181386739601231</c:v>
                </c:pt>
                <c:pt idx="35">
                  <c:v>2.3843712075018408</c:v>
                </c:pt>
                <c:pt idx="36">
                  <c:v>2.4506037410435586</c:v>
                </c:pt>
                <c:pt idx="37">
                  <c:v>2.5168362745852764</c:v>
                </c:pt>
                <c:pt idx="38">
                  <c:v>2.5830688081269941</c:v>
                </c:pt>
                <c:pt idx="39">
                  <c:v>2.6493013416687119</c:v>
                </c:pt>
                <c:pt idx="40">
                  <c:v>2.7155338752104297</c:v>
                </c:pt>
                <c:pt idx="41">
                  <c:v>2.7817664087521474</c:v>
                </c:pt>
                <c:pt idx="42">
                  <c:v>2.8479989422938652</c:v>
                </c:pt>
                <c:pt idx="43">
                  <c:v>2.914231475835583</c:v>
                </c:pt>
                <c:pt idx="44">
                  <c:v>2.9804640093773007</c:v>
                </c:pt>
                <c:pt idx="45">
                  <c:v>3.0466965429190185</c:v>
                </c:pt>
                <c:pt idx="46">
                  <c:v>3.1129290764607362</c:v>
                </c:pt>
                <c:pt idx="47">
                  <c:v>3.179161610002454</c:v>
                </c:pt>
                <c:pt idx="48">
                  <c:v>3.2453941435441718</c:v>
                </c:pt>
                <c:pt idx="49">
                  <c:v>3.3116266770858895</c:v>
                </c:pt>
                <c:pt idx="50">
                  <c:v>3.3778592106276073</c:v>
                </c:pt>
                <c:pt idx="51">
                  <c:v>3.4440917441693251</c:v>
                </c:pt>
              </c:numCache>
            </c:numRef>
          </c:val>
          <c:smooth val="0"/>
          <c:extLst xmlns:c15="http://schemas.microsoft.com/office/drawing/2012/chart">
            <c:ext xmlns:c16="http://schemas.microsoft.com/office/drawing/2014/chart" uri="{C3380CC4-5D6E-409C-BE32-E72D297353CC}">
              <c16:uniqueId val="{00000004-586B-4DD3-9499-912C7CE46BE6}"/>
            </c:ext>
          </c:extLst>
        </c:ser>
        <c:ser>
          <c:idx val="9"/>
          <c:order val="9"/>
          <c:tx>
            <c:strRef>
              <c:f>'PBL OLD'!$DD$6:$DD$7</c:f>
              <c:strCache>
                <c:ptCount val="2"/>
                <c:pt idx="0">
                  <c:v>95th Percentile</c:v>
                </c:pt>
              </c:strCache>
            </c:strRef>
          </c:tx>
          <c:spPr>
            <a:ln w="28575">
              <a:solidFill>
                <a:schemeClr val="bg2"/>
              </a:solidFill>
              <a:prstDash val="sysDot"/>
            </a:ln>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OLD'!$DD$8:$DD$60</c:f>
              <c:numCache>
                <c:formatCode>0.000</c:formatCode>
                <c:ptCount val="53"/>
                <c:pt idx="0">
                  <c:v>7.643445292523153E-2</c:v>
                </c:pt>
                <c:pt idx="1">
                  <c:v>0.15286890585046306</c:v>
                </c:pt>
                <c:pt idx="2">
                  <c:v>0.22930335877569458</c:v>
                </c:pt>
                <c:pt idx="3">
                  <c:v>0.30573781170092612</c:v>
                </c:pt>
                <c:pt idx="4">
                  <c:v>0.38217226462615767</c:v>
                </c:pt>
                <c:pt idx="5">
                  <c:v>0.45860671755138921</c:v>
                </c:pt>
                <c:pt idx="6">
                  <c:v>0.5350411704766207</c:v>
                </c:pt>
                <c:pt idx="7">
                  <c:v>0.61147562340185224</c:v>
                </c:pt>
                <c:pt idx="8">
                  <c:v>0.68791007632708379</c:v>
                </c:pt>
                <c:pt idx="9">
                  <c:v>0.76434452925231533</c:v>
                </c:pt>
                <c:pt idx="10">
                  <c:v>0.84077898217754687</c:v>
                </c:pt>
                <c:pt idx="11">
                  <c:v>0.91721343510277842</c:v>
                </c:pt>
                <c:pt idx="12">
                  <c:v>0.99364788802800996</c:v>
                </c:pt>
                <c:pt idx="13">
                  <c:v>1.0700823409532414</c:v>
                </c:pt>
                <c:pt idx="14">
                  <c:v>1.1465167938784728</c:v>
                </c:pt>
                <c:pt idx="15">
                  <c:v>1.2229512468037043</c:v>
                </c:pt>
                <c:pt idx="16">
                  <c:v>1.2993856997289357</c:v>
                </c:pt>
                <c:pt idx="17">
                  <c:v>1.3758201526541671</c:v>
                </c:pt>
                <c:pt idx="18">
                  <c:v>1.4522546055793986</c:v>
                </c:pt>
                <c:pt idx="19">
                  <c:v>1.52868905850463</c:v>
                </c:pt>
                <c:pt idx="20">
                  <c:v>1.6051235114298614</c:v>
                </c:pt>
                <c:pt idx="21">
                  <c:v>1.6815579643550929</c:v>
                </c:pt>
                <c:pt idx="22">
                  <c:v>1.7579924172803243</c:v>
                </c:pt>
                <c:pt idx="23">
                  <c:v>1.8344268702055557</c:v>
                </c:pt>
                <c:pt idx="24">
                  <c:v>1.9108613231307872</c:v>
                </c:pt>
                <c:pt idx="25">
                  <c:v>1.9872957760560186</c:v>
                </c:pt>
                <c:pt idx="26">
                  <c:v>2.06373022898125</c:v>
                </c:pt>
                <c:pt idx="27">
                  <c:v>2.1401646819064815</c:v>
                </c:pt>
                <c:pt idx="28">
                  <c:v>2.2165991348317129</c:v>
                </c:pt>
                <c:pt idx="29">
                  <c:v>2.2930335877569443</c:v>
                </c:pt>
                <c:pt idx="30">
                  <c:v>2.3694680406821758</c:v>
                </c:pt>
                <c:pt idx="31">
                  <c:v>2.4459024936074072</c:v>
                </c:pt>
                <c:pt idx="32">
                  <c:v>2.5223369465326386</c:v>
                </c:pt>
                <c:pt idx="33">
                  <c:v>2.5987713994578701</c:v>
                </c:pt>
                <c:pt idx="34">
                  <c:v>2.6752058523831015</c:v>
                </c:pt>
                <c:pt idx="35">
                  <c:v>2.7516403053083329</c:v>
                </c:pt>
                <c:pt idx="36">
                  <c:v>2.8280747582335644</c:v>
                </c:pt>
                <c:pt idx="37">
                  <c:v>2.9045092111587958</c:v>
                </c:pt>
                <c:pt idx="38">
                  <c:v>2.9809436640840272</c:v>
                </c:pt>
                <c:pt idx="39">
                  <c:v>3.0573781170092587</c:v>
                </c:pt>
                <c:pt idx="40">
                  <c:v>3.1338125699344901</c:v>
                </c:pt>
                <c:pt idx="41">
                  <c:v>3.2102470228597215</c:v>
                </c:pt>
                <c:pt idx="42">
                  <c:v>3.286681475784953</c:v>
                </c:pt>
                <c:pt idx="43">
                  <c:v>3.3631159287101844</c:v>
                </c:pt>
                <c:pt idx="44">
                  <c:v>3.4395503816354158</c:v>
                </c:pt>
                <c:pt idx="45">
                  <c:v>3.5159848345606473</c:v>
                </c:pt>
                <c:pt idx="46">
                  <c:v>3.5924192874858787</c:v>
                </c:pt>
                <c:pt idx="47">
                  <c:v>3.6688537404111101</c:v>
                </c:pt>
                <c:pt idx="48">
                  <c:v>3.7452881933363416</c:v>
                </c:pt>
                <c:pt idx="49">
                  <c:v>3.821722646261573</c:v>
                </c:pt>
                <c:pt idx="50">
                  <c:v>3.8981570991868044</c:v>
                </c:pt>
                <c:pt idx="51">
                  <c:v>3.9745915521120359</c:v>
                </c:pt>
              </c:numCache>
            </c:numRef>
          </c:val>
          <c:smooth val="0"/>
          <c:extLst xmlns:c15="http://schemas.microsoft.com/office/drawing/2012/chart">
            <c:ext xmlns:c16="http://schemas.microsoft.com/office/drawing/2014/chart" uri="{C3380CC4-5D6E-409C-BE32-E72D297353CC}">
              <c16:uniqueId val="{00000005-586B-4DD3-9499-912C7CE46BE6}"/>
            </c:ext>
          </c:extLst>
        </c:ser>
        <c:dLbls>
          <c:showLegendKey val="0"/>
          <c:showVal val="0"/>
          <c:showCatName val="0"/>
          <c:showSerName val="0"/>
          <c:showPercent val="0"/>
          <c:showBubbleSize val="0"/>
        </c:dLbls>
        <c:smooth val="0"/>
        <c:axId val="1388952432"/>
        <c:axId val="1388953088"/>
        <c:extLst>
          <c:ext xmlns:c15="http://schemas.microsoft.com/office/drawing/2012/chart" uri="{02D57815-91ED-43cb-92C2-25804820EDAC}">
            <c15:filteredLineSeries>
              <c15:ser>
                <c:idx val="3"/>
                <c:order val="1"/>
                <c:tx>
                  <c:strRef>
                    <c:extLst>
                      <c:ext uri="{02D57815-91ED-43cb-92C2-25804820EDAC}">
                        <c15:formulaRef>
                          <c15:sqref>'PBL OLD'!$CV$6:$CV$7</c15:sqref>
                        </c15:formulaRef>
                      </c:ext>
                    </c:extLst>
                    <c:strCache>
                      <c:ptCount val="2"/>
                      <c:pt idx="0">
                        <c:v>Min</c:v>
                      </c:pt>
                    </c:strCache>
                  </c:strRef>
                </c:tx>
                <c:marker>
                  <c:symbol val="none"/>
                </c:marker>
                <c:cat>
                  <c:numRef>
                    <c:extLst>
                      <c:ex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c:ext uri="{02D57815-91ED-43cb-92C2-25804820EDAC}">
                        <c15:formulaRef>
                          <c15:sqref>'PBL OLD'!$CV$8:$CV$60</c15:sqref>
                        </c15:formulaRef>
                      </c:ext>
                    </c:extLst>
                    <c:numCache>
                      <c:formatCode>0.000</c:formatCode>
                      <c:ptCount val="53"/>
                      <c:pt idx="0">
                        <c:v>3.7943638869952147E-2</c:v>
                      </c:pt>
                      <c:pt idx="1">
                        <c:v>7.5887277739904294E-2</c:v>
                      </c:pt>
                      <c:pt idx="2">
                        <c:v>0.11383091660985645</c:v>
                      </c:pt>
                      <c:pt idx="3">
                        <c:v>0.15177455547980859</c:v>
                      </c:pt>
                      <c:pt idx="4">
                        <c:v>0.18971819434976073</c:v>
                      </c:pt>
                      <c:pt idx="5">
                        <c:v>0.22766183321971287</c:v>
                      </c:pt>
                      <c:pt idx="6">
                        <c:v>0.26560547208966501</c:v>
                      </c:pt>
                      <c:pt idx="7">
                        <c:v>0.30354911095961717</c:v>
                      </c:pt>
                      <c:pt idx="8">
                        <c:v>0.34149274982956934</c:v>
                      </c:pt>
                      <c:pt idx="9">
                        <c:v>0.37943638869952151</c:v>
                      </c:pt>
                      <c:pt idx="10">
                        <c:v>0.41738002756947368</c:v>
                      </c:pt>
                      <c:pt idx="11">
                        <c:v>0.45532366643942584</c:v>
                      </c:pt>
                      <c:pt idx="12">
                        <c:v>0.49326730530937801</c:v>
                      </c:pt>
                      <c:pt idx="13">
                        <c:v>0.53121094417933012</c:v>
                      </c:pt>
                      <c:pt idx="14">
                        <c:v>0.56915458304928224</c:v>
                      </c:pt>
                      <c:pt idx="15">
                        <c:v>0.60709822191923435</c:v>
                      </c:pt>
                      <c:pt idx="16">
                        <c:v>0.64504186078918646</c:v>
                      </c:pt>
                      <c:pt idx="17">
                        <c:v>0.68298549965913857</c:v>
                      </c:pt>
                      <c:pt idx="18">
                        <c:v>0.72092913852909069</c:v>
                      </c:pt>
                      <c:pt idx="19">
                        <c:v>0.7588727773990428</c:v>
                      </c:pt>
                      <c:pt idx="20">
                        <c:v>0.79681641626899491</c:v>
                      </c:pt>
                      <c:pt idx="21">
                        <c:v>0.83476005513894702</c:v>
                      </c:pt>
                      <c:pt idx="22">
                        <c:v>0.87270369400889913</c:v>
                      </c:pt>
                      <c:pt idx="23">
                        <c:v>0.91064733287885125</c:v>
                      </c:pt>
                      <c:pt idx="24">
                        <c:v>0.94859097174880336</c:v>
                      </c:pt>
                      <c:pt idx="25">
                        <c:v>0.98653461061875547</c:v>
                      </c:pt>
                      <c:pt idx="26">
                        <c:v>1.0244782494887077</c:v>
                      </c:pt>
                      <c:pt idx="27">
                        <c:v>1.0624218883586598</c:v>
                      </c:pt>
                      <c:pt idx="28">
                        <c:v>1.1003655272286119</c:v>
                      </c:pt>
                      <c:pt idx="29">
                        <c:v>1.138309166098564</c:v>
                      </c:pt>
                      <c:pt idx="30">
                        <c:v>1.1762528049685161</c:v>
                      </c:pt>
                      <c:pt idx="31">
                        <c:v>1.2141964438384683</c:v>
                      </c:pt>
                      <c:pt idx="32">
                        <c:v>1.2521400827084204</c:v>
                      </c:pt>
                      <c:pt idx="33">
                        <c:v>1.2900837215783725</c:v>
                      </c:pt>
                      <c:pt idx="34">
                        <c:v>1.3280273604483246</c:v>
                      </c:pt>
                      <c:pt idx="35">
                        <c:v>1.3659709993182767</c:v>
                      </c:pt>
                      <c:pt idx="36">
                        <c:v>1.4039146381882288</c:v>
                      </c:pt>
                      <c:pt idx="37">
                        <c:v>1.4418582770581809</c:v>
                      </c:pt>
                      <c:pt idx="38">
                        <c:v>1.479801915928133</c:v>
                      </c:pt>
                      <c:pt idx="39">
                        <c:v>1.5177455547980852</c:v>
                      </c:pt>
                      <c:pt idx="40">
                        <c:v>1.5556891936680373</c:v>
                      </c:pt>
                      <c:pt idx="41">
                        <c:v>1.5936328325379894</c:v>
                      </c:pt>
                      <c:pt idx="42">
                        <c:v>1.6315764714079415</c:v>
                      </c:pt>
                      <c:pt idx="43">
                        <c:v>1.6695201102778936</c:v>
                      </c:pt>
                      <c:pt idx="44">
                        <c:v>1.7074637491478457</c:v>
                      </c:pt>
                      <c:pt idx="45">
                        <c:v>1.7454073880177978</c:v>
                      </c:pt>
                      <c:pt idx="46">
                        <c:v>1.7833510268877499</c:v>
                      </c:pt>
                      <c:pt idx="47">
                        <c:v>1.821294665757702</c:v>
                      </c:pt>
                      <c:pt idx="48">
                        <c:v>1.8592383046276542</c:v>
                      </c:pt>
                      <c:pt idx="49">
                        <c:v>1.8971819434976063</c:v>
                      </c:pt>
                      <c:pt idx="50">
                        <c:v>1.9351255823675584</c:v>
                      </c:pt>
                      <c:pt idx="51">
                        <c:v>1.9730692212375105</c:v>
                      </c:pt>
                    </c:numCache>
                  </c:numRef>
                </c:val>
                <c:smooth val="0"/>
                <c:extLst>
                  <c:ext xmlns:c16="http://schemas.microsoft.com/office/drawing/2014/chart" uri="{C3380CC4-5D6E-409C-BE32-E72D297353CC}">
                    <c16:uniqueId val="{00000006-586B-4DD3-9499-912C7CE46BE6}"/>
                  </c:ext>
                </c:extLst>
              </c15:ser>
            </c15:filteredLineSeries>
            <c15:filteredLineSeries>
              <c15:ser>
                <c:idx val="5"/>
                <c:order val="2"/>
                <c:tx>
                  <c:strRef>
                    <c:extLst xmlns:c15="http://schemas.microsoft.com/office/drawing/2012/chart">
                      <c:ext xmlns:c15="http://schemas.microsoft.com/office/drawing/2012/chart" uri="{02D57815-91ED-43cb-92C2-25804820EDAC}">
                        <c15:formulaRef>
                          <c15:sqref>'PBL OLD'!$CW$6:$CW$7</c15:sqref>
                        </c15:formulaRef>
                      </c:ext>
                    </c:extLst>
                    <c:strCache>
                      <c:ptCount val="2"/>
                      <c:pt idx="0">
                        <c:v>1st Percentile</c:v>
                      </c:pt>
                    </c:strCache>
                  </c:strRef>
                </c:tx>
                <c:spPr>
                  <a:ln w="28575" cap="rnd">
                    <a:solidFill>
                      <a:schemeClr val="accent6"/>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OLD'!$CW$8:$CW$60</c15:sqref>
                        </c15:formulaRef>
                      </c:ext>
                    </c:extLst>
                    <c:numCache>
                      <c:formatCode>0.000</c:formatCode>
                      <c:ptCount val="53"/>
                      <c:pt idx="0">
                        <c:v>4.5436313528305135E-2</c:v>
                      </c:pt>
                      <c:pt idx="1">
                        <c:v>9.087262705661027E-2</c:v>
                      </c:pt>
                      <c:pt idx="2">
                        <c:v>0.13630894058491541</c:v>
                      </c:pt>
                      <c:pt idx="3">
                        <c:v>0.18174525411322054</c:v>
                      </c:pt>
                      <c:pt idx="4">
                        <c:v>0.22718156764152567</c:v>
                      </c:pt>
                      <c:pt idx="5">
                        <c:v>0.27261788116983082</c:v>
                      </c:pt>
                      <c:pt idx="6">
                        <c:v>0.31805419469813595</c:v>
                      </c:pt>
                      <c:pt idx="7">
                        <c:v>0.36349050822644108</c:v>
                      </c:pt>
                      <c:pt idx="8">
                        <c:v>0.40892682175474621</c:v>
                      </c:pt>
                      <c:pt idx="9">
                        <c:v>0.45436313528305133</c:v>
                      </c:pt>
                      <c:pt idx="10">
                        <c:v>0.49979944881135646</c:v>
                      </c:pt>
                      <c:pt idx="11">
                        <c:v>0.54523576233966164</c:v>
                      </c:pt>
                      <c:pt idx="12">
                        <c:v>0.59067207586796677</c:v>
                      </c:pt>
                      <c:pt idx="13">
                        <c:v>0.6361083893962719</c:v>
                      </c:pt>
                      <c:pt idx="14">
                        <c:v>0.68154470292457703</c:v>
                      </c:pt>
                      <c:pt idx="15">
                        <c:v>0.72698101645288216</c:v>
                      </c:pt>
                      <c:pt idx="16">
                        <c:v>0.77241732998118728</c:v>
                      </c:pt>
                      <c:pt idx="17">
                        <c:v>0.81785364350949241</c:v>
                      </c:pt>
                      <c:pt idx="18">
                        <c:v>0.86328995703779754</c:v>
                      </c:pt>
                      <c:pt idx="19">
                        <c:v>0.90872627056610267</c:v>
                      </c:pt>
                      <c:pt idx="20">
                        <c:v>0.9541625840944078</c:v>
                      </c:pt>
                      <c:pt idx="21">
                        <c:v>0.99959889762271292</c:v>
                      </c:pt>
                      <c:pt idx="22">
                        <c:v>1.0450352111510182</c:v>
                      </c:pt>
                      <c:pt idx="23">
                        <c:v>1.0904715246793233</c:v>
                      </c:pt>
                      <c:pt idx="24">
                        <c:v>1.1359078382076284</c:v>
                      </c:pt>
                      <c:pt idx="25">
                        <c:v>1.1813441517359335</c:v>
                      </c:pt>
                      <c:pt idx="26">
                        <c:v>1.2267804652642387</c:v>
                      </c:pt>
                      <c:pt idx="27">
                        <c:v>1.2722167787925438</c:v>
                      </c:pt>
                      <c:pt idx="28">
                        <c:v>1.3176530923208489</c:v>
                      </c:pt>
                      <c:pt idx="29">
                        <c:v>1.3630894058491541</c:v>
                      </c:pt>
                      <c:pt idx="30">
                        <c:v>1.4085257193774592</c:v>
                      </c:pt>
                      <c:pt idx="31">
                        <c:v>1.4539620329057643</c:v>
                      </c:pt>
                      <c:pt idx="32">
                        <c:v>1.4993983464340694</c:v>
                      </c:pt>
                      <c:pt idx="33">
                        <c:v>1.5448346599623746</c:v>
                      </c:pt>
                      <c:pt idx="34">
                        <c:v>1.5902709734906797</c:v>
                      </c:pt>
                      <c:pt idx="35">
                        <c:v>1.6357072870189848</c:v>
                      </c:pt>
                      <c:pt idx="36">
                        <c:v>1.68114360054729</c:v>
                      </c:pt>
                      <c:pt idx="37">
                        <c:v>1.7265799140755951</c:v>
                      </c:pt>
                      <c:pt idx="38">
                        <c:v>1.7720162276039002</c:v>
                      </c:pt>
                      <c:pt idx="39">
                        <c:v>1.8174525411322053</c:v>
                      </c:pt>
                      <c:pt idx="40">
                        <c:v>1.8628888546605105</c:v>
                      </c:pt>
                      <c:pt idx="41">
                        <c:v>1.9083251681888156</c:v>
                      </c:pt>
                      <c:pt idx="42">
                        <c:v>1.9537614817171207</c:v>
                      </c:pt>
                      <c:pt idx="43">
                        <c:v>1.9991977952454258</c:v>
                      </c:pt>
                      <c:pt idx="44">
                        <c:v>2.0446341087737312</c:v>
                      </c:pt>
                      <c:pt idx="45">
                        <c:v>2.0900704223020363</c:v>
                      </c:pt>
                      <c:pt idx="46">
                        <c:v>2.1355067358303415</c:v>
                      </c:pt>
                      <c:pt idx="47">
                        <c:v>2.1809430493586466</c:v>
                      </c:pt>
                      <c:pt idx="48">
                        <c:v>2.2263793628869517</c:v>
                      </c:pt>
                      <c:pt idx="49">
                        <c:v>2.2718156764152568</c:v>
                      </c:pt>
                      <c:pt idx="50">
                        <c:v>2.317251989943562</c:v>
                      </c:pt>
                      <c:pt idx="51">
                        <c:v>2.3626883034718671</c:v>
                      </c:pt>
                    </c:numCache>
                  </c:numRef>
                </c:val>
                <c:smooth val="0"/>
                <c:extLst xmlns:c15="http://schemas.microsoft.com/office/drawing/2012/chart">
                  <c:ext xmlns:c16="http://schemas.microsoft.com/office/drawing/2014/chart" uri="{C3380CC4-5D6E-409C-BE32-E72D297353CC}">
                    <c16:uniqueId val="{00000007-586B-4DD3-9499-912C7CE46BE6}"/>
                  </c:ext>
                </c:extLst>
              </c15:ser>
            </c15:filteredLineSeries>
            <c15:filteredLineSeries>
              <c15:ser>
                <c:idx val="1"/>
                <c:order val="4"/>
                <c:tx>
                  <c:strRef>
                    <c:extLst xmlns:c15="http://schemas.microsoft.com/office/drawing/2012/chart">
                      <c:ext xmlns:c15="http://schemas.microsoft.com/office/drawing/2012/chart" uri="{02D57815-91ED-43cb-92C2-25804820EDAC}">
                        <c15:formulaRef>
                          <c15:sqref>'PBL OLD'!$CY$6:$CY$7</c15:sqref>
                        </c15:formulaRef>
                      </c:ext>
                    </c:extLst>
                    <c:strCache>
                      <c:ptCount val="2"/>
                      <c:pt idx="0">
                        <c:v>10th Percentile</c:v>
                      </c:pt>
                    </c:strCache>
                  </c:strRef>
                </c:tx>
                <c:spPr>
                  <a:ln w="28575" cap="rnd" cmpd="sng">
                    <a:solidFill>
                      <a:schemeClr val="accent2"/>
                    </a:solidFill>
                    <a:prstDash val="sysDot"/>
                    <a:round/>
                    <a:headEnd type="none"/>
                  </a:ln>
                  <a:effectLst/>
                </c:spPr>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OLD'!$CY$8:$CY$60</c15:sqref>
                        </c15:formulaRef>
                      </c:ext>
                    </c:extLst>
                    <c:numCache>
                      <c:formatCode>0.000</c:formatCode>
                      <c:ptCount val="53"/>
                      <c:pt idx="0">
                        <c:v>5.0502007292025322E-2</c:v>
                      </c:pt>
                      <c:pt idx="1">
                        <c:v>0.10100401458405064</c:v>
                      </c:pt>
                      <c:pt idx="2">
                        <c:v>0.15150602187607598</c:v>
                      </c:pt>
                      <c:pt idx="3">
                        <c:v>0.20200802916810129</c:v>
                      </c:pt>
                      <c:pt idx="4">
                        <c:v>0.2525100364601266</c:v>
                      </c:pt>
                      <c:pt idx="5">
                        <c:v>0.30301204375215191</c:v>
                      </c:pt>
                      <c:pt idx="6">
                        <c:v>0.35351405104417721</c:v>
                      </c:pt>
                      <c:pt idx="7">
                        <c:v>0.40401605833620252</c:v>
                      </c:pt>
                      <c:pt idx="8">
                        <c:v>0.45451806562822783</c:v>
                      </c:pt>
                      <c:pt idx="9">
                        <c:v>0.50502007292025319</c:v>
                      </c:pt>
                      <c:pt idx="10">
                        <c:v>0.55552208021227856</c:v>
                      </c:pt>
                      <c:pt idx="11">
                        <c:v>0.60602408750430392</c:v>
                      </c:pt>
                      <c:pt idx="12">
                        <c:v>0.65652609479632928</c:v>
                      </c:pt>
                      <c:pt idx="13">
                        <c:v>0.70702810208835465</c:v>
                      </c:pt>
                      <c:pt idx="14">
                        <c:v>0.75753010938038001</c:v>
                      </c:pt>
                      <c:pt idx="15">
                        <c:v>0.80803211667240538</c:v>
                      </c:pt>
                      <c:pt idx="16">
                        <c:v>0.85853412396443074</c:v>
                      </c:pt>
                      <c:pt idx="17">
                        <c:v>0.9090361312564561</c:v>
                      </c:pt>
                      <c:pt idx="18">
                        <c:v>0.95953813854848147</c:v>
                      </c:pt>
                      <c:pt idx="19">
                        <c:v>1.0100401458405068</c:v>
                      </c:pt>
                      <c:pt idx="20">
                        <c:v>1.0605421531325321</c:v>
                      </c:pt>
                      <c:pt idx="21">
                        <c:v>1.1110441604245573</c:v>
                      </c:pt>
                      <c:pt idx="22">
                        <c:v>1.1615461677165826</c:v>
                      </c:pt>
                      <c:pt idx="23">
                        <c:v>1.2120481750086078</c:v>
                      </c:pt>
                      <c:pt idx="24">
                        <c:v>1.2625501823006331</c:v>
                      </c:pt>
                      <c:pt idx="25">
                        <c:v>1.3130521895926583</c:v>
                      </c:pt>
                      <c:pt idx="26">
                        <c:v>1.3635541968846836</c:v>
                      </c:pt>
                      <c:pt idx="27">
                        <c:v>1.4140562041767089</c:v>
                      </c:pt>
                      <c:pt idx="28">
                        <c:v>1.4645582114687341</c:v>
                      </c:pt>
                      <c:pt idx="29">
                        <c:v>1.5150602187607594</c:v>
                      </c:pt>
                      <c:pt idx="30">
                        <c:v>1.5655622260527846</c:v>
                      </c:pt>
                      <c:pt idx="31">
                        <c:v>1.6160642333448099</c:v>
                      </c:pt>
                      <c:pt idx="32">
                        <c:v>1.6665662406368351</c:v>
                      </c:pt>
                      <c:pt idx="33">
                        <c:v>1.7170682479288604</c:v>
                      </c:pt>
                      <c:pt idx="34">
                        <c:v>1.7675702552208856</c:v>
                      </c:pt>
                      <c:pt idx="35">
                        <c:v>1.8180722625129109</c:v>
                      </c:pt>
                      <c:pt idx="36">
                        <c:v>1.8685742698049361</c:v>
                      </c:pt>
                      <c:pt idx="37">
                        <c:v>1.9190762770969614</c:v>
                      </c:pt>
                      <c:pt idx="38">
                        <c:v>1.9695782843889866</c:v>
                      </c:pt>
                      <c:pt idx="39">
                        <c:v>2.0200802916810119</c:v>
                      </c:pt>
                      <c:pt idx="40">
                        <c:v>2.0705822989730374</c:v>
                      </c:pt>
                      <c:pt idx="41">
                        <c:v>2.1210843062650628</c:v>
                      </c:pt>
                      <c:pt idx="42">
                        <c:v>2.1715863135570883</c:v>
                      </c:pt>
                      <c:pt idx="43">
                        <c:v>2.2220883208491138</c:v>
                      </c:pt>
                      <c:pt idx="44">
                        <c:v>2.2725903281411393</c:v>
                      </c:pt>
                      <c:pt idx="45">
                        <c:v>2.3230923354331647</c:v>
                      </c:pt>
                      <c:pt idx="46">
                        <c:v>2.3735943427251902</c:v>
                      </c:pt>
                      <c:pt idx="47">
                        <c:v>2.4240963500172157</c:v>
                      </c:pt>
                      <c:pt idx="48">
                        <c:v>2.4745983573092412</c:v>
                      </c:pt>
                      <c:pt idx="49">
                        <c:v>2.5251003646012666</c:v>
                      </c:pt>
                      <c:pt idx="50">
                        <c:v>2.5756023718932921</c:v>
                      </c:pt>
                      <c:pt idx="51">
                        <c:v>2.6261043791853176</c:v>
                      </c:pt>
                    </c:numCache>
                  </c:numRef>
                </c:val>
                <c:smooth val="0"/>
                <c:extLst xmlns:c15="http://schemas.microsoft.com/office/drawing/2012/chart">
                  <c:ext xmlns:c16="http://schemas.microsoft.com/office/drawing/2014/chart" uri="{C3380CC4-5D6E-409C-BE32-E72D297353CC}">
                    <c16:uniqueId val="{00000008-586B-4DD3-9499-912C7CE46BE6}"/>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'PBL OLD'!$DC$6:$DC$7</c15:sqref>
                        </c15:formulaRef>
                      </c:ext>
                    </c:extLst>
                    <c:strCache>
                      <c:ptCount val="2"/>
                      <c:pt idx="0">
                        <c:v>90th Percentile</c:v>
                      </c:pt>
                    </c:strCache>
                  </c:strRef>
                </c:tx>
                <c:spPr>
                  <a:ln w="28575">
                    <a:solidFill>
                      <a:schemeClr val="accent1"/>
                    </a:solidFill>
                    <a:prstDash val="sysDot"/>
                  </a:ln>
                </c:spPr>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OLD'!$DC$8:$DC$60</c15:sqref>
                        </c15:formulaRef>
                      </c:ext>
                    </c:extLst>
                    <c:numCache>
                      <c:formatCode>0.000</c:formatCode>
                      <c:ptCount val="53"/>
                      <c:pt idx="0">
                        <c:v>7.261484324723147E-2</c:v>
                      </c:pt>
                      <c:pt idx="1">
                        <c:v>0.14522968649446294</c:v>
                      </c:pt>
                      <c:pt idx="2">
                        <c:v>0.21784452974169441</c:v>
                      </c:pt>
                      <c:pt idx="3">
                        <c:v>0.29045937298892588</c:v>
                      </c:pt>
                      <c:pt idx="4">
                        <c:v>0.36307421623615732</c:v>
                      </c:pt>
                      <c:pt idx="5">
                        <c:v>0.43568905948338876</c:v>
                      </c:pt>
                      <c:pt idx="6">
                        <c:v>0.50830390273062021</c:v>
                      </c:pt>
                      <c:pt idx="7">
                        <c:v>0.58091874597785165</c:v>
                      </c:pt>
                      <c:pt idx="8">
                        <c:v>0.65353358922508309</c:v>
                      </c:pt>
                      <c:pt idx="9">
                        <c:v>0.72614843247231453</c:v>
                      </c:pt>
                      <c:pt idx="10">
                        <c:v>0.79876327571954597</c:v>
                      </c:pt>
                      <c:pt idx="11">
                        <c:v>0.87137811896677742</c:v>
                      </c:pt>
                      <c:pt idx="12">
                        <c:v>0.94399296221400886</c:v>
                      </c:pt>
                      <c:pt idx="13">
                        <c:v>1.0166078054612404</c:v>
                      </c:pt>
                      <c:pt idx="14">
                        <c:v>1.089222648708472</c:v>
                      </c:pt>
                      <c:pt idx="15">
                        <c:v>1.1618374919557035</c:v>
                      </c:pt>
                      <c:pt idx="16">
                        <c:v>1.2344523352029351</c:v>
                      </c:pt>
                      <c:pt idx="17">
                        <c:v>1.3070671784501666</c:v>
                      </c:pt>
                      <c:pt idx="18">
                        <c:v>1.3796820216973982</c:v>
                      </c:pt>
                      <c:pt idx="19">
                        <c:v>1.4522968649446297</c:v>
                      </c:pt>
                      <c:pt idx="20">
                        <c:v>1.5249117081918613</c:v>
                      </c:pt>
                      <c:pt idx="21">
                        <c:v>1.5975265514390928</c:v>
                      </c:pt>
                      <c:pt idx="22">
                        <c:v>1.6701413946863244</c:v>
                      </c:pt>
                      <c:pt idx="23">
                        <c:v>1.7427562379335559</c:v>
                      </c:pt>
                      <c:pt idx="24">
                        <c:v>1.8153710811807875</c:v>
                      </c:pt>
                      <c:pt idx="25">
                        <c:v>1.887985924428019</c:v>
                      </c:pt>
                      <c:pt idx="26">
                        <c:v>1.9606007676752506</c:v>
                      </c:pt>
                      <c:pt idx="27">
                        <c:v>2.0332156109224822</c:v>
                      </c:pt>
                      <c:pt idx="28">
                        <c:v>2.1058304541697135</c:v>
                      </c:pt>
                      <c:pt idx="29">
                        <c:v>2.1784452974169448</c:v>
                      </c:pt>
                      <c:pt idx="30">
                        <c:v>2.2510601406641761</c:v>
                      </c:pt>
                      <c:pt idx="31">
                        <c:v>2.3236749839114075</c:v>
                      </c:pt>
                      <c:pt idx="32">
                        <c:v>2.3962898271586388</c:v>
                      </c:pt>
                      <c:pt idx="33">
                        <c:v>2.4689046704058701</c:v>
                      </c:pt>
                      <c:pt idx="34">
                        <c:v>2.5415195136531015</c:v>
                      </c:pt>
                      <c:pt idx="35">
                        <c:v>2.6141343569003328</c:v>
                      </c:pt>
                      <c:pt idx="36">
                        <c:v>2.6867492001475641</c:v>
                      </c:pt>
                      <c:pt idx="37">
                        <c:v>2.7593640433947955</c:v>
                      </c:pt>
                      <c:pt idx="38">
                        <c:v>2.8319788866420268</c:v>
                      </c:pt>
                      <c:pt idx="39">
                        <c:v>2.9045937298892581</c:v>
                      </c:pt>
                      <c:pt idx="40">
                        <c:v>2.9772085731364895</c:v>
                      </c:pt>
                      <c:pt idx="41">
                        <c:v>3.0498234163837208</c:v>
                      </c:pt>
                      <c:pt idx="42">
                        <c:v>3.1224382596309521</c:v>
                      </c:pt>
                      <c:pt idx="43">
                        <c:v>3.1950531028781834</c:v>
                      </c:pt>
                      <c:pt idx="44">
                        <c:v>3.2676679461254148</c:v>
                      </c:pt>
                      <c:pt idx="45">
                        <c:v>3.3402827893726461</c:v>
                      </c:pt>
                      <c:pt idx="46">
                        <c:v>3.4128976326198774</c:v>
                      </c:pt>
                      <c:pt idx="47">
                        <c:v>3.4855124758671088</c:v>
                      </c:pt>
                      <c:pt idx="48">
                        <c:v>3.5581273191143401</c:v>
                      </c:pt>
                      <c:pt idx="49">
                        <c:v>3.6307421623615714</c:v>
                      </c:pt>
                      <c:pt idx="50">
                        <c:v>3.7033570056088028</c:v>
                      </c:pt>
                      <c:pt idx="51">
                        <c:v>3.7759718488560341</c:v>
                      </c:pt>
                    </c:numCache>
                  </c:numRef>
                </c:val>
                <c:smooth val="0"/>
                <c:extLst xmlns:c15="http://schemas.microsoft.com/office/drawing/2012/chart">
                  <c:ext xmlns:c16="http://schemas.microsoft.com/office/drawing/2014/chart" uri="{C3380CC4-5D6E-409C-BE32-E72D297353CC}">
                    <c16:uniqueId val="{00000009-586B-4DD3-9499-912C7CE46BE6}"/>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'PBL OLD'!$DE$6:$DE$7</c15:sqref>
                        </c15:formulaRef>
                      </c:ext>
                    </c:extLst>
                    <c:strCache>
                      <c:ptCount val="2"/>
                      <c:pt idx="0">
                        <c:v>99th Percentile</c:v>
                      </c:pt>
                    </c:strCache>
                  </c:strRef>
                </c:tx>
                <c:spPr>
                  <a:ln w="28575">
                    <a:solidFill>
                      <a:schemeClr val="accent1"/>
                    </a:solidFill>
                    <a:prstDash val="sysDot"/>
                  </a:ln>
                </c:spPr>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OLD'!$DE$8:$DE$60</c15:sqref>
                        </c15:formulaRef>
                      </c:ext>
                    </c:extLst>
                    <c:numCache>
                      <c:formatCode>0.000</c:formatCode>
                      <c:ptCount val="53"/>
                      <c:pt idx="0">
                        <c:v>8.472863847550996E-2</c:v>
                      </c:pt>
                      <c:pt idx="1">
                        <c:v>0.16945727695101992</c:v>
                      </c:pt>
                      <c:pt idx="2">
                        <c:v>0.25418591542652991</c:v>
                      </c:pt>
                      <c:pt idx="3">
                        <c:v>0.33891455390203984</c:v>
                      </c:pt>
                      <c:pt idx="4">
                        <c:v>0.42364319237754977</c:v>
                      </c:pt>
                      <c:pt idx="5">
                        <c:v>0.5083718308530597</c:v>
                      </c:pt>
                      <c:pt idx="6">
                        <c:v>0.59310046932856963</c:v>
                      </c:pt>
                      <c:pt idx="7">
                        <c:v>0.67782910780407957</c:v>
                      </c:pt>
                      <c:pt idx="8">
                        <c:v>0.7625577462795895</c:v>
                      </c:pt>
                      <c:pt idx="9">
                        <c:v>0.84728638475509943</c:v>
                      </c:pt>
                      <c:pt idx="10">
                        <c:v>0.93201502323060936</c:v>
                      </c:pt>
                      <c:pt idx="11">
                        <c:v>1.0167436617061194</c:v>
                      </c:pt>
                      <c:pt idx="12">
                        <c:v>1.1014723001816293</c:v>
                      </c:pt>
                      <c:pt idx="13">
                        <c:v>1.1862009386571393</c:v>
                      </c:pt>
                      <c:pt idx="14">
                        <c:v>1.2709295771326492</c:v>
                      </c:pt>
                      <c:pt idx="15">
                        <c:v>1.3556582156081591</c:v>
                      </c:pt>
                      <c:pt idx="16">
                        <c:v>1.4403868540836691</c:v>
                      </c:pt>
                      <c:pt idx="17">
                        <c:v>1.525115492559179</c:v>
                      </c:pt>
                      <c:pt idx="18">
                        <c:v>1.6098441310346889</c:v>
                      </c:pt>
                      <c:pt idx="19">
                        <c:v>1.6945727695101989</c:v>
                      </c:pt>
                      <c:pt idx="20">
                        <c:v>1.7793014079857088</c:v>
                      </c:pt>
                      <c:pt idx="21">
                        <c:v>1.8640300464612187</c:v>
                      </c:pt>
                      <c:pt idx="22">
                        <c:v>1.9487586849367287</c:v>
                      </c:pt>
                      <c:pt idx="23">
                        <c:v>2.0334873234122388</c:v>
                      </c:pt>
                      <c:pt idx="24">
                        <c:v>2.1182159618877487</c:v>
                      </c:pt>
                      <c:pt idx="25">
                        <c:v>2.2029446003632587</c:v>
                      </c:pt>
                      <c:pt idx="26">
                        <c:v>2.2876732388387686</c:v>
                      </c:pt>
                      <c:pt idx="27">
                        <c:v>2.3724018773142785</c:v>
                      </c:pt>
                      <c:pt idx="28">
                        <c:v>2.4571305157897885</c:v>
                      </c:pt>
                      <c:pt idx="29">
                        <c:v>2.5418591542652984</c:v>
                      </c:pt>
                      <c:pt idx="30">
                        <c:v>2.6265877927408083</c:v>
                      </c:pt>
                      <c:pt idx="31">
                        <c:v>2.7113164312163183</c:v>
                      </c:pt>
                      <c:pt idx="32">
                        <c:v>2.7960450696918282</c:v>
                      </c:pt>
                      <c:pt idx="33">
                        <c:v>2.8807737081673381</c:v>
                      </c:pt>
                      <c:pt idx="34">
                        <c:v>2.9655023466428481</c:v>
                      </c:pt>
                      <c:pt idx="35">
                        <c:v>3.050230985118358</c:v>
                      </c:pt>
                      <c:pt idx="36">
                        <c:v>3.1349596235938679</c:v>
                      </c:pt>
                      <c:pt idx="37">
                        <c:v>3.2196882620693779</c:v>
                      </c:pt>
                      <c:pt idx="38">
                        <c:v>3.3044169005448878</c:v>
                      </c:pt>
                      <c:pt idx="39">
                        <c:v>3.3891455390203977</c:v>
                      </c:pt>
                      <c:pt idx="40">
                        <c:v>3.4738741774959077</c:v>
                      </c:pt>
                      <c:pt idx="41">
                        <c:v>3.5586028159714176</c:v>
                      </c:pt>
                      <c:pt idx="42">
                        <c:v>3.6433314544469275</c:v>
                      </c:pt>
                      <c:pt idx="43">
                        <c:v>3.7280600929224375</c:v>
                      </c:pt>
                      <c:pt idx="44">
                        <c:v>3.8127887313979474</c:v>
                      </c:pt>
                      <c:pt idx="45">
                        <c:v>3.8975173698734573</c:v>
                      </c:pt>
                      <c:pt idx="46">
                        <c:v>3.9822460083489672</c:v>
                      </c:pt>
                      <c:pt idx="47">
                        <c:v>4.0669746468244776</c:v>
                      </c:pt>
                      <c:pt idx="48">
                        <c:v>4.1517032852999876</c:v>
                      </c:pt>
                      <c:pt idx="49">
                        <c:v>4.2364319237754975</c:v>
                      </c:pt>
                      <c:pt idx="50">
                        <c:v>4.3211605622510074</c:v>
                      </c:pt>
                      <c:pt idx="51">
                        <c:v>4.4058892007265174</c:v>
                      </c:pt>
                    </c:numCache>
                  </c:numRef>
                </c:val>
                <c:smooth val="0"/>
                <c:extLst xmlns:c15="http://schemas.microsoft.com/office/drawing/2012/chart">
                  <c:ext xmlns:c16="http://schemas.microsoft.com/office/drawing/2014/chart" uri="{C3380CC4-5D6E-409C-BE32-E72D297353CC}">
                    <c16:uniqueId val="{0000000A-586B-4DD3-9499-912C7CE46BE6}"/>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'PBL OLD'!$DF$6:$DF$7</c15:sqref>
                        </c15:formulaRef>
                      </c:ext>
                    </c:extLst>
                    <c:strCache>
                      <c:ptCount val="2"/>
                      <c:pt idx="0">
                        <c:v>Max</c:v>
                      </c:pt>
                    </c:strCache>
                  </c:strRef>
                </c:tx>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OLD'!$DF$8:$DF$60</c15:sqref>
                        </c15:formulaRef>
                      </c:ext>
                    </c:extLst>
                    <c:numCache>
                      <c:formatCode>0.000</c:formatCode>
                      <c:ptCount val="53"/>
                      <c:pt idx="0">
                        <c:v>0.10288241710741779</c:v>
                      </c:pt>
                      <c:pt idx="1">
                        <c:v>0.20576483421483557</c:v>
                      </c:pt>
                      <c:pt idx="2">
                        <c:v>0.30864725132225335</c:v>
                      </c:pt>
                      <c:pt idx="3">
                        <c:v>0.41152966842967115</c:v>
                      </c:pt>
                      <c:pt idx="4">
                        <c:v>0.51441208553708895</c:v>
                      </c:pt>
                      <c:pt idx="5">
                        <c:v>0.61729450264450669</c:v>
                      </c:pt>
                      <c:pt idx="6">
                        <c:v>0.72017691975192444</c:v>
                      </c:pt>
                      <c:pt idx="7">
                        <c:v>0.82305933685934218</c:v>
                      </c:pt>
                      <c:pt idx="8">
                        <c:v>0.92594175396675993</c:v>
                      </c:pt>
                      <c:pt idx="9">
                        <c:v>1.0288241710741777</c:v>
                      </c:pt>
                      <c:pt idx="10">
                        <c:v>1.1317065881815955</c:v>
                      </c:pt>
                      <c:pt idx="11">
                        <c:v>1.2345890052890134</c:v>
                      </c:pt>
                      <c:pt idx="12">
                        <c:v>1.3374714223964312</c:v>
                      </c:pt>
                      <c:pt idx="13">
                        <c:v>1.4403538395038491</c:v>
                      </c:pt>
                      <c:pt idx="14">
                        <c:v>1.543236256611267</c:v>
                      </c:pt>
                      <c:pt idx="15">
                        <c:v>1.6461186737186848</c:v>
                      </c:pt>
                      <c:pt idx="16">
                        <c:v>1.7490010908261027</c:v>
                      </c:pt>
                      <c:pt idx="17">
                        <c:v>1.8518835079335205</c:v>
                      </c:pt>
                      <c:pt idx="18">
                        <c:v>1.9547659250409384</c:v>
                      </c:pt>
                      <c:pt idx="19">
                        <c:v>2.0576483421483562</c:v>
                      </c:pt>
                      <c:pt idx="20">
                        <c:v>2.1605307592557739</c:v>
                      </c:pt>
                      <c:pt idx="21">
                        <c:v>2.2634131763631915</c:v>
                      </c:pt>
                      <c:pt idx="22">
                        <c:v>2.3662955934706091</c:v>
                      </c:pt>
                      <c:pt idx="23">
                        <c:v>2.4691780105780268</c:v>
                      </c:pt>
                      <c:pt idx="24">
                        <c:v>2.5720604276854444</c:v>
                      </c:pt>
                      <c:pt idx="25">
                        <c:v>2.674942844792862</c:v>
                      </c:pt>
                      <c:pt idx="26">
                        <c:v>2.7778252619002797</c:v>
                      </c:pt>
                      <c:pt idx="27">
                        <c:v>2.8807076790076973</c:v>
                      </c:pt>
                      <c:pt idx="28">
                        <c:v>2.9835900961151149</c:v>
                      </c:pt>
                      <c:pt idx="29">
                        <c:v>3.0864725132225326</c:v>
                      </c:pt>
                      <c:pt idx="30">
                        <c:v>3.1893549303299502</c:v>
                      </c:pt>
                      <c:pt idx="31">
                        <c:v>3.2922373474373678</c:v>
                      </c:pt>
                      <c:pt idx="32">
                        <c:v>3.3951197645447855</c:v>
                      </c:pt>
                      <c:pt idx="33">
                        <c:v>3.4980021816522031</c:v>
                      </c:pt>
                      <c:pt idx="34">
                        <c:v>3.6008845987596207</c:v>
                      </c:pt>
                      <c:pt idx="35">
                        <c:v>3.7037670158670384</c:v>
                      </c:pt>
                      <c:pt idx="36">
                        <c:v>3.806649432974456</c:v>
                      </c:pt>
                      <c:pt idx="37">
                        <c:v>3.9095318500818736</c:v>
                      </c:pt>
                      <c:pt idx="38">
                        <c:v>4.0124142671892917</c:v>
                      </c:pt>
                      <c:pt idx="39">
                        <c:v>4.1152966842967098</c:v>
                      </c:pt>
                      <c:pt idx="40">
                        <c:v>4.2181791014041279</c:v>
                      </c:pt>
                      <c:pt idx="41">
                        <c:v>4.321061518511546</c:v>
                      </c:pt>
                      <c:pt idx="42">
                        <c:v>4.423943935618964</c:v>
                      </c:pt>
                      <c:pt idx="43">
                        <c:v>4.5268263527263821</c:v>
                      </c:pt>
                      <c:pt idx="44">
                        <c:v>4.6297087698338002</c:v>
                      </c:pt>
                      <c:pt idx="45">
                        <c:v>4.7325911869412183</c:v>
                      </c:pt>
                      <c:pt idx="46">
                        <c:v>4.8354736040486364</c:v>
                      </c:pt>
                      <c:pt idx="47">
                        <c:v>4.9383560211560544</c:v>
                      </c:pt>
                      <c:pt idx="48">
                        <c:v>5.0412384382634725</c:v>
                      </c:pt>
                      <c:pt idx="49">
                        <c:v>5.1441208553708906</c:v>
                      </c:pt>
                      <c:pt idx="50">
                        <c:v>5.2470032724783087</c:v>
                      </c:pt>
                      <c:pt idx="51">
                        <c:v>5.3498856895857267</c:v>
                      </c:pt>
                    </c:numCache>
                  </c:numRef>
                </c:val>
                <c:smooth val="0"/>
                <c:extLst xmlns:c15="http://schemas.microsoft.com/office/drawing/2012/chart">
                  <c:ext xmlns:c16="http://schemas.microsoft.com/office/drawing/2014/chart" uri="{C3380CC4-5D6E-409C-BE32-E72D297353CC}">
                    <c16:uniqueId val="{0000000B-586B-4DD3-9499-912C7CE46BE6}"/>
                  </c:ext>
                </c:extLst>
              </c15:ser>
            </c15:filteredLineSeries>
          </c:ext>
        </c:extLst>
      </c:lineChart>
      <c:dateAx>
        <c:axId val="1388952432"/>
        <c:scaling>
          <c:orientation val="minMax"/>
        </c:scaling>
        <c:delete val="0"/>
        <c:axPos val="b"/>
        <c:numFmt formatCode="mmm\-yy_);\(###0\);&quot;-  &quot;;&quot; &quot;@&quot; &quot;" sourceLinked="0"/>
        <c:majorTickMark val="none"/>
        <c:minorTickMark val="none"/>
        <c:tickLblPos val="nextTo"/>
        <c:spPr>
          <a:noFill/>
          <a:ln w="9525" cap="flat" cmpd="sng" algn="ctr">
            <a:noFill/>
            <a:round/>
          </a:ln>
          <a:effectLst/>
        </c:spPr>
        <c:txPr>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3088"/>
        <c:crosses val="autoZero"/>
        <c:auto val="1"/>
        <c:lblOffset val="100"/>
        <c:baseTimeUnit val="days"/>
        <c:majorUnit val="1"/>
        <c:majorTimeUnit val="months"/>
      </c:dateAx>
      <c:valAx>
        <c:axId val="13889530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2432"/>
        <c:crosses val="autoZero"/>
        <c:crossBetween val="between"/>
      </c:valAx>
    </c:plotArea>
    <c:legend>
      <c:legendPos val="b"/>
      <c:legendEntry>
        <c:idx val="1"/>
        <c:delete val="1"/>
      </c:legendEntry>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orientation="portrait"/>
  </c:printSettings>
</c:chartSpace>
</file>

<file path=xl/charts/chart1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'PBL OLD'!$CU$6:$CU$7</c:f>
              <c:strCache>
                <c:ptCount val="2"/>
                <c:pt idx="0">
                  <c:v>Actual</c:v>
                </c:pt>
              </c:strCache>
            </c:strRef>
          </c:tx>
          <c:spPr>
            <a:ln>
              <a:solidFill>
                <a:schemeClr val="tx2"/>
              </a:solidFill>
            </a:ln>
          </c:spPr>
          <c:marker>
            <c:symbol val="none"/>
          </c:marker>
          <c:cat>
            <c:numRef>
              <c:f>'PBL OLD'!$DR$8:$DR$60</c:f>
              <c:numCache>
                <c:formatCode>d\-mmm\-yy_);\(###0\);"-  ";" "@" "</c:formatCode>
                <c:ptCount val="53"/>
                <c:pt idx="0">
                  <c:v>45113</c:v>
                </c:pt>
                <c:pt idx="1">
                  <c:v>45120</c:v>
                </c:pt>
                <c:pt idx="2">
                  <c:v>45127</c:v>
                </c:pt>
                <c:pt idx="3">
                  <c:v>45134</c:v>
                </c:pt>
                <c:pt idx="4">
                  <c:v>45141</c:v>
                </c:pt>
                <c:pt idx="5">
                  <c:v>45148</c:v>
                </c:pt>
                <c:pt idx="6">
                  <c:v>45155</c:v>
                </c:pt>
                <c:pt idx="7">
                  <c:v>45162</c:v>
                </c:pt>
                <c:pt idx="8">
                  <c:v>45169</c:v>
                </c:pt>
                <c:pt idx="9">
                  <c:v>45176</c:v>
                </c:pt>
                <c:pt idx="10">
                  <c:v>45183</c:v>
                </c:pt>
                <c:pt idx="11">
                  <c:v>45190</c:v>
                </c:pt>
                <c:pt idx="12">
                  <c:v>45197</c:v>
                </c:pt>
                <c:pt idx="13">
                  <c:v>45204</c:v>
                </c:pt>
                <c:pt idx="14">
                  <c:v>45211</c:v>
                </c:pt>
                <c:pt idx="15">
                  <c:v>45218</c:v>
                </c:pt>
                <c:pt idx="16">
                  <c:v>45225</c:v>
                </c:pt>
                <c:pt idx="17">
                  <c:v>45232</c:v>
                </c:pt>
                <c:pt idx="18">
                  <c:v>45239</c:v>
                </c:pt>
                <c:pt idx="19">
                  <c:v>45246</c:v>
                </c:pt>
                <c:pt idx="20">
                  <c:v>45253</c:v>
                </c:pt>
                <c:pt idx="21">
                  <c:v>45260</c:v>
                </c:pt>
                <c:pt idx="22">
                  <c:v>45267</c:v>
                </c:pt>
                <c:pt idx="23">
                  <c:v>45274</c:v>
                </c:pt>
                <c:pt idx="24">
                  <c:v>45281</c:v>
                </c:pt>
                <c:pt idx="25">
                  <c:v>45288</c:v>
                </c:pt>
                <c:pt idx="26">
                  <c:v>45295</c:v>
                </c:pt>
                <c:pt idx="27">
                  <c:v>45302</c:v>
                </c:pt>
                <c:pt idx="28">
                  <c:v>45309</c:v>
                </c:pt>
                <c:pt idx="29">
                  <c:v>45316</c:v>
                </c:pt>
                <c:pt idx="30">
                  <c:v>45323</c:v>
                </c:pt>
                <c:pt idx="31">
                  <c:v>45330</c:v>
                </c:pt>
                <c:pt idx="32">
                  <c:v>45337</c:v>
                </c:pt>
                <c:pt idx="33">
                  <c:v>45344</c:v>
                </c:pt>
                <c:pt idx="34">
                  <c:v>45351</c:v>
                </c:pt>
                <c:pt idx="35">
                  <c:v>45358</c:v>
                </c:pt>
                <c:pt idx="36">
                  <c:v>45365</c:v>
                </c:pt>
                <c:pt idx="37">
                  <c:v>45372</c:v>
                </c:pt>
                <c:pt idx="38">
                  <c:v>45379</c:v>
                </c:pt>
                <c:pt idx="39">
                  <c:v>45386</c:v>
                </c:pt>
                <c:pt idx="40">
                  <c:v>45393</c:v>
                </c:pt>
                <c:pt idx="41">
                  <c:v>45400</c:v>
                </c:pt>
                <c:pt idx="42">
                  <c:v>45407</c:v>
                </c:pt>
                <c:pt idx="43">
                  <c:v>45414</c:v>
                </c:pt>
                <c:pt idx="44">
                  <c:v>45421</c:v>
                </c:pt>
                <c:pt idx="45">
                  <c:v>45428</c:v>
                </c:pt>
                <c:pt idx="46">
                  <c:v>45435</c:v>
                </c:pt>
                <c:pt idx="47">
                  <c:v>45442</c:v>
                </c:pt>
                <c:pt idx="48">
                  <c:v>45449</c:v>
                </c:pt>
                <c:pt idx="49">
                  <c:v>45456</c:v>
                </c:pt>
                <c:pt idx="50">
                  <c:v>45463</c:v>
                </c:pt>
                <c:pt idx="51">
                  <c:v>45470</c:v>
                </c:pt>
              </c:numCache>
            </c:numRef>
          </c:cat>
          <c:val>
            <c:numRef>
              <c:f>'PBL OLD'!$DS$8:$DS$60</c:f>
              <c:numCache>
                <c:formatCode>0.000</c:formatCode>
                <c:ptCount val="53"/>
                <c:pt idx="0">
                  <c:v>4.1984194000000002E-2</c:v>
                </c:pt>
                <c:pt idx="1">
                  <c:v>9.6656646999999998E-2</c:v>
                </c:pt>
                <c:pt idx="2">
                  <c:v>0.17864053799999999</c:v>
                </c:pt>
                <c:pt idx="3">
                  <c:v>0.29270090199999999</c:v>
                </c:pt>
                <c:pt idx="4">
                  <c:v>0.50403623399999997</c:v>
                </c:pt>
                <c:pt idx="5">
                  <c:v>0.531901603</c:v>
                </c:pt>
                <c:pt idx="6">
                  <c:v>0.57346186099999996</c:v>
                </c:pt>
                <c:pt idx="7">
                  <c:v>0.63140233700000004</c:v>
                </c:pt>
                <c:pt idx="8">
                  <c:v>0.71185856199999997</c:v>
                </c:pt>
                <c:pt idx="9">
                  <c:v>0.73910995300000004</c:v>
                </c:pt>
                <c:pt idx="10">
                  <c:v>0.78255309299999998</c:v>
                </c:pt>
                <c:pt idx="11">
                  <c:v>0.83881109899999995</c:v>
                </c:pt>
                <c:pt idx="12">
                  <c:v>0.915140913</c:v>
                </c:pt>
                <c:pt idx="13">
                  <c:v>1.030205882</c:v>
                </c:pt>
                <c:pt idx="14">
                  <c:v>1.0570804819999999</c:v>
                </c:pt>
                <c:pt idx="15">
                  <c:v>1.0952677770000001</c:v>
                </c:pt>
                <c:pt idx="16">
                  <c:v>1.1506577950000001</c:v>
                </c:pt>
                <c:pt idx="17">
                  <c:v>1.2292180699999999</c:v>
                </c:pt>
                <c:pt idx="18">
                  <c:v>1.262217449</c:v>
                </c:pt>
                <c:pt idx="19">
                  <c:v>1.2960779819999999</c:v>
                </c:pt>
                <c:pt idx="20">
                  <c:v>1.346875869</c:v>
                </c:pt>
                <c:pt idx="21">
                  <c:v>1.378413192</c:v>
                </c:pt>
                <c:pt idx="22">
                  <c:v>1.42463859</c:v>
                </c:pt>
                <c:pt idx="23">
                  <c:v>1.480372759</c:v>
                </c:pt>
                <c:pt idx="24">
                  <c:v>1.5120827539999999</c:v>
                </c:pt>
                <c:pt idx="25">
                  <c:v>1.5581673469999999</c:v>
                </c:pt>
                <c:pt idx="26">
                  <c:v>1.6188438279999999</c:v>
                </c:pt>
                <c:pt idx="27">
                  <c:v>1.709401205</c:v>
                </c:pt>
                <c:pt idx="28">
                  <c:v>1.9183912460000001</c:v>
                </c:pt>
                <c:pt idx="29">
                  <c:v>2.220953304</c:v>
                </c:pt>
                <c:pt idx="30">
                  <c:v>2.6324167479999998</c:v>
                </c:pt>
                <c:pt idx="31">
                  <c:v>2.662108135</c:v>
                </c:pt>
                <c:pt idx="32">
                  <c:v>2.6907703039999999</c:v>
                </c:pt>
                <c:pt idx="33">
                  <c:v>2.7190100350000002</c:v>
                </c:pt>
                <c:pt idx="34">
                  <c:v>2.7637315569999998</c:v>
                </c:pt>
                <c:pt idx="35">
                  <c:v>2.8187013190000001</c:v>
                </c:pt>
                <c:pt idx="36">
                  <c:v>2.890000203</c:v>
                </c:pt>
                <c:pt idx="37">
                  <c:v>2.9166336959999999</c:v>
                </c:pt>
                <c:pt idx="38">
                  <c:v>2.9554189179999999</c:v>
                </c:pt>
                <c:pt idx="39">
                  <c:v>3.0007856679999998</c:v>
                </c:pt>
                <c:pt idx="40">
                  <c:v>3.0273462790000001</c:v>
                </c:pt>
                <c:pt idx="41">
                  <c:v>3.0689810190000002</c:v>
                </c:pt>
                <c:pt idx="42">
                  <c:v>3.119123428</c:v>
                </c:pt>
                <c:pt idx="43">
                  <c:v>3.1932187930000002</c:v>
                </c:pt>
                <c:pt idx="44">
                  <c:v>3.298268196</c:v>
                </c:pt>
                <c:pt idx="45">
                  <c:v>3.487323102</c:v>
                </c:pt>
                <c:pt idx="46">
                  <c:v>3.7497074480000001</c:v>
                </c:pt>
                <c:pt idx="47">
                  <c:v>3.7782164119999999</c:v>
                </c:pt>
                <c:pt idx="48">
                  <c:v>3.822214695</c:v>
                </c:pt>
                <c:pt idx="49">
                  <c:v>3.8776135549999999</c:v>
                </c:pt>
                <c:pt idx="50">
                  <c:v>3.951835483</c:v>
                </c:pt>
                <c:pt idx="51">
                  <c:v>3.9781259059999998</c:v>
                </c:pt>
              </c:numCache>
            </c:numRef>
          </c:val>
          <c:smooth val="0"/>
          <c:extLst>
            <c:ext xmlns:c16="http://schemas.microsoft.com/office/drawing/2014/chart" uri="{C3380CC4-5D6E-409C-BE32-E72D297353CC}">
              <c16:uniqueId val="{00000000-A0B3-47B1-8186-FBB62F4CB585}"/>
            </c:ext>
          </c:extLst>
        </c:ser>
        <c:ser>
          <c:idx val="7"/>
          <c:order val="3"/>
          <c:tx>
            <c:strRef>
              <c:f>'PBL OLD'!$CX$6:$CX$7</c:f>
              <c:strCache>
                <c:ptCount val="2"/>
                <c:pt idx="0">
                  <c:v>5th Percentile</c:v>
                </c:pt>
              </c:strCache>
            </c:strRef>
          </c:tx>
          <c:spPr>
            <a:ln>
              <a:solidFill>
                <a:schemeClr val="bg2">
                  <a:lumMod val="60000"/>
                  <a:lumOff val="40000"/>
                </a:schemeClr>
              </a:solidFill>
              <a:prstDash val="sysDot"/>
            </a:ln>
          </c:spPr>
          <c:marker>
            <c:symbol val="none"/>
          </c:marker>
          <c:cat>
            <c:numRef>
              <c:f>'PBL OLD'!$DR$8:$DR$60</c:f>
              <c:numCache>
                <c:formatCode>d\-mmm\-yy_);\(###0\);"-  ";" "@" "</c:formatCode>
                <c:ptCount val="53"/>
                <c:pt idx="0">
                  <c:v>45113</c:v>
                </c:pt>
                <c:pt idx="1">
                  <c:v>45120</c:v>
                </c:pt>
                <c:pt idx="2">
                  <c:v>45127</c:v>
                </c:pt>
                <c:pt idx="3">
                  <c:v>45134</c:v>
                </c:pt>
                <c:pt idx="4">
                  <c:v>45141</c:v>
                </c:pt>
                <c:pt idx="5">
                  <c:v>45148</c:v>
                </c:pt>
                <c:pt idx="6">
                  <c:v>45155</c:v>
                </c:pt>
                <c:pt idx="7">
                  <c:v>45162</c:v>
                </c:pt>
                <c:pt idx="8">
                  <c:v>45169</c:v>
                </c:pt>
                <c:pt idx="9">
                  <c:v>45176</c:v>
                </c:pt>
                <c:pt idx="10">
                  <c:v>45183</c:v>
                </c:pt>
                <c:pt idx="11">
                  <c:v>45190</c:v>
                </c:pt>
                <c:pt idx="12">
                  <c:v>45197</c:v>
                </c:pt>
                <c:pt idx="13">
                  <c:v>45204</c:v>
                </c:pt>
                <c:pt idx="14">
                  <c:v>45211</c:v>
                </c:pt>
                <c:pt idx="15">
                  <c:v>45218</c:v>
                </c:pt>
                <c:pt idx="16">
                  <c:v>45225</c:v>
                </c:pt>
                <c:pt idx="17">
                  <c:v>45232</c:v>
                </c:pt>
                <c:pt idx="18">
                  <c:v>45239</c:v>
                </c:pt>
                <c:pt idx="19">
                  <c:v>45246</c:v>
                </c:pt>
                <c:pt idx="20">
                  <c:v>45253</c:v>
                </c:pt>
                <c:pt idx="21">
                  <c:v>45260</c:v>
                </c:pt>
                <c:pt idx="22">
                  <c:v>45267</c:v>
                </c:pt>
                <c:pt idx="23">
                  <c:v>45274</c:v>
                </c:pt>
                <c:pt idx="24">
                  <c:v>45281</c:v>
                </c:pt>
                <c:pt idx="25">
                  <c:v>45288</c:v>
                </c:pt>
                <c:pt idx="26">
                  <c:v>45295</c:v>
                </c:pt>
                <c:pt idx="27">
                  <c:v>45302</c:v>
                </c:pt>
                <c:pt idx="28">
                  <c:v>45309</c:v>
                </c:pt>
                <c:pt idx="29">
                  <c:v>45316</c:v>
                </c:pt>
                <c:pt idx="30">
                  <c:v>45323</c:v>
                </c:pt>
                <c:pt idx="31">
                  <c:v>45330</c:v>
                </c:pt>
                <c:pt idx="32">
                  <c:v>45337</c:v>
                </c:pt>
                <c:pt idx="33">
                  <c:v>45344</c:v>
                </c:pt>
                <c:pt idx="34">
                  <c:v>45351</c:v>
                </c:pt>
                <c:pt idx="35">
                  <c:v>45358</c:v>
                </c:pt>
                <c:pt idx="36">
                  <c:v>45365</c:v>
                </c:pt>
                <c:pt idx="37">
                  <c:v>45372</c:v>
                </c:pt>
                <c:pt idx="38">
                  <c:v>45379</c:v>
                </c:pt>
                <c:pt idx="39">
                  <c:v>45386</c:v>
                </c:pt>
                <c:pt idx="40">
                  <c:v>45393</c:v>
                </c:pt>
                <c:pt idx="41">
                  <c:v>45400</c:v>
                </c:pt>
                <c:pt idx="42">
                  <c:v>45407</c:v>
                </c:pt>
                <c:pt idx="43">
                  <c:v>45414</c:v>
                </c:pt>
                <c:pt idx="44">
                  <c:v>45421</c:v>
                </c:pt>
                <c:pt idx="45">
                  <c:v>45428</c:v>
                </c:pt>
                <c:pt idx="46">
                  <c:v>45435</c:v>
                </c:pt>
                <c:pt idx="47">
                  <c:v>45442</c:v>
                </c:pt>
                <c:pt idx="48">
                  <c:v>45449</c:v>
                </c:pt>
                <c:pt idx="49">
                  <c:v>45456</c:v>
                </c:pt>
                <c:pt idx="50">
                  <c:v>45463</c:v>
                </c:pt>
                <c:pt idx="51">
                  <c:v>45470</c:v>
                </c:pt>
              </c:numCache>
            </c:numRef>
          </c:cat>
          <c:val>
            <c:numRef>
              <c:f>'PBL OLD'!$DV$8:$DV$60</c:f>
              <c:numCache>
                <c:formatCode>0.000</c:formatCode>
                <c:ptCount val="53"/>
                <c:pt idx="0">
                  <c:v>5.230066075730555E-2</c:v>
                </c:pt>
                <c:pt idx="1">
                  <c:v>0.1046013215146111</c:v>
                </c:pt>
                <c:pt idx="2">
                  <c:v>0.15690198227191665</c:v>
                </c:pt>
                <c:pt idx="3">
                  <c:v>0.2092026430292222</c:v>
                </c:pt>
                <c:pt idx="4">
                  <c:v>0.26150330378652775</c:v>
                </c:pt>
                <c:pt idx="5">
                  <c:v>0.3138039645438333</c:v>
                </c:pt>
                <c:pt idx="6">
                  <c:v>0.36610462530113885</c:v>
                </c:pt>
                <c:pt idx="7">
                  <c:v>0.4184052860584444</c:v>
                </c:pt>
                <c:pt idx="8">
                  <c:v>0.47070594681574995</c:v>
                </c:pt>
                <c:pt idx="9">
                  <c:v>0.5230066075730555</c:v>
                </c:pt>
                <c:pt idx="10">
                  <c:v>0.57530726833036105</c:v>
                </c:pt>
                <c:pt idx="11">
                  <c:v>0.62760792908766661</c:v>
                </c:pt>
                <c:pt idx="12">
                  <c:v>0.67990858984497216</c:v>
                </c:pt>
                <c:pt idx="13">
                  <c:v>0.73220925060227771</c:v>
                </c:pt>
                <c:pt idx="14">
                  <c:v>0.78450991135958326</c:v>
                </c:pt>
                <c:pt idx="15">
                  <c:v>0.83681057211688881</c:v>
                </c:pt>
                <c:pt idx="16">
                  <c:v>0.88911123287419436</c:v>
                </c:pt>
                <c:pt idx="17">
                  <c:v>0.94141189363149991</c:v>
                </c:pt>
                <c:pt idx="18">
                  <c:v>0.99371255438880546</c:v>
                </c:pt>
                <c:pt idx="19">
                  <c:v>1.046013215146111</c:v>
                </c:pt>
                <c:pt idx="20">
                  <c:v>1.0983138759034166</c:v>
                </c:pt>
                <c:pt idx="21">
                  <c:v>1.1506145366607221</c:v>
                </c:pt>
                <c:pt idx="22">
                  <c:v>1.2029151974180277</c:v>
                </c:pt>
                <c:pt idx="23">
                  <c:v>1.2552158581753332</c:v>
                </c:pt>
                <c:pt idx="24">
                  <c:v>1.3075165189326388</c:v>
                </c:pt>
                <c:pt idx="25">
                  <c:v>1.3598171796899443</c:v>
                </c:pt>
                <c:pt idx="26">
                  <c:v>1.4121178404472499</c:v>
                </c:pt>
                <c:pt idx="27">
                  <c:v>1.4644185012045554</c:v>
                </c:pt>
                <c:pt idx="28">
                  <c:v>1.516719161961861</c:v>
                </c:pt>
                <c:pt idx="29">
                  <c:v>1.5690198227191665</c:v>
                </c:pt>
                <c:pt idx="30">
                  <c:v>1.6213204834764721</c:v>
                </c:pt>
                <c:pt idx="31">
                  <c:v>1.6736211442337776</c:v>
                </c:pt>
                <c:pt idx="32">
                  <c:v>1.7259218049910832</c:v>
                </c:pt>
                <c:pt idx="33">
                  <c:v>1.7782224657483887</c:v>
                </c:pt>
                <c:pt idx="34">
                  <c:v>1.8305231265056943</c:v>
                </c:pt>
                <c:pt idx="35">
                  <c:v>1.8828237872629998</c:v>
                </c:pt>
                <c:pt idx="36">
                  <c:v>1.9351244480203054</c:v>
                </c:pt>
                <c:pt idx="37">
                  <c:v>1.9874251087776109</c:v>
                </c:pt>
                <c:pt idx="38">
                  <c:v>2.0397257695349165</c:v>
                </c:pt>
                <c:pt idx="39">
                  <c:v>2.092026430292222</c:v>
                </c:pt>
                <c:pt idx="40">
                  <c:v>2.1443270910495276</c:v>
                </c:pt>
                <c:pt idx="41">
                  <c:v>2.1966277518068331</c:v>
                </c:pt>
                <c:pt idx="42">
                  <c:v>2.2489284125641387</c:v>
                </c:pt>
                <c:pt idx="43">
                  <c:v>2.3012290733214442</c:v>
                </c:pt>
                <c:pt idx="44">
                  <c:v>2.3535297340787498</c:v>
                </c:pt>
                <c:pt idx="45">
                  <c:v>2.4058303948360553</c:v>
                </c:pt>
                <c:pt idx="46">
                  <c:v>2.4581310555933609</c:v>
                </c:pt>
                <c:pt idx="47">
                  <c:v>2.5104317163506664</c:v>
                </c:pt>
                <c:pt idx="48">
                  <c:v>2.562732377107972</c:v>
                </c:pt>
                <c:pt idx="49">
                  <c:v>2.6150330378652775</c:v>
                </c:pt>
                <c:pt idx="50">
                  <c:v>2.6673336986225831</c:v>
                </c:pt>
                <c:pt idx="51">
                  <c:v>2.7196343593798886</c:v>
                </c:pt>
              </c:numCache>
            </c:numRef>
          </c:val>
          <c:smooth val="0"/>
          <c:extLst xmlns:c15="http://schemas.microsoft.com/office/drawing/2012/chart">
            <c:ext xmlns:c16="http://schemas.microsoft.com/office/drawing/2014/chart" uri="{C3380CC4-5D6E-409C-BE32-E72D297353CC}">
              <c16:uniqueId val="{00000001-A0B3-47B1-8186-FBB62F4CB585}"/>
            </c:ext>
          </c:extLst>
        </c:ser>
        <c:ser>
          <c:idx val="2"/>
          <c:order val="5"/>
          <c:tx>
            <c:v>5/25/50/75/95th percentile</c:v>
          </c:tx>
          <c:spPr>
            <a:ln>
              <a:solidFill>
                <a:schemeClr val="bg2">
                  <a:lumMod val="60000"/>
                  <a:lumOff val="40000"/>
                </a:schemeClr>
              </a:solidFill>
              <a:prstDash val="sysDot"/>
            </a:ln>
          </c:spPr>
          <c:marker>
            <c:symbol val="none"/>
          </c:marker>
          <c:cat>
            <c:numRef>
              <c:f>'PBL OLD'!$DR$8:$DR$60</c:f>
              <c:numCache>
                <c:formatCode>d\-mmm\-yy_);\(###0\);"-  ";" "@" "</c:formatCode>
                <c:ptCount val="53"/>
                <c:pt idx="0">
                  <c:v>45113</c:v>
                </c:pt>
                <c:pt idx="1">
                  <c:v>45120</c:v>
                </c:pt>
                <c:pt idx="2">
                  <c:v>45127</c:v>
                </c:pt>
                <c:pt idx="3">
                  <c:v>45134</c:v>
                </c:pt>
                <c:pt idx="4">
                  <c:v>45141</c:v>
                </c:pt>
                <c:pt idx="5">
                  <c:v>45148</c:v>
                </c:pt>
                <c:pt idx="6">
                  <c:v>45155</c:v>
                </c:pt>
                <c:pt idx="7">
                  <c:v>45162</c:v>
                </c:pt>
                <c:pt idx="8">
                  <c:v>45169</c:v>
                </c:pt>
                <c:pt idx="9">
                  <c:v>45176</c:v>
                </c:pt>
                <c:pt idx="10">
                  <c:v>45183</c:v>
                </c:pt>
                <c:pt idx="11">
                  <c:v>45190</c:v>
                </c:pt>
                <c:pt idx="12">
                  <c:v>45197</c:v>
                </c:pt>
                <c:pt idx="13">
                  <c:v>45204</c:v>
                </c:pt>
                <c:pt idx="14">
                  <c:v>45211</c:v>
                </c:pt>
                <c:pt idx="15">
                  <c:v>45218</c:v>
                </c:pt>
                <c:pt idx="16">
                  <c:v>45225</c:v>
                </c:pt>
                <c:pt idx="17">
                  <c:v>45232</c:v>
                </c:pt>
                <c:pt idx="18">
                  <c:v>45239</c:v>
                </c:pt>
                <c:pt idx="19">
                  <c:v>45246</c:v>
                </c:pt>
                <c:pt idx="20">
                  <c:v>45253</c:v>
                </c:pt>
                <c:pt idx="21">
                  <c:v>45260</c:v>
                </c:pt>
                <c:pt idx="22">
                  <c:v>45267</c:v>
                </c:pt>
                <c:pt idx="23">
                  <c:v>45274</c:v>
                </c:pt>
                <c:pt idx="24">
                  <c:v>45281</c:v>
                </c:pt>
                <c:pt idx="25">
                  <c:v>45288</c:v>
                </c:pt>
                <c:pt idx="26">
                  <c:v>45295</c:v>
                </c:pt>
                <c:pt idx="27">
                  <c:v>45302</c:v>
                </c:pt>
                <c:pt idx="28">
                  <c:v>45309</c:v>
                </c:pt>
                <c:pt idx="29">
                  <c:v>45316</c:v>
                </c:pt>
                <c:pt idx="30">
                  <c:v>45323</c:v>
                </c:pt>
                <c:pt idx="31">
                  <c:v>45330</c:v>
                </c:pt>
                <c:pt idx="32">
                  <c:v>45337</c:v>
                </c:pt>
                <c:pt idx="33">
                  <c:v>45344</c:v>
                </c:pt>
                <c:pt idx="34">
                  <c:v>45351</c:v>
                </c:pt>
                <c:pt idx="35">
                  <c:v>45358</c:v>
                </c:pt>
                <c:pt idx="36">
                  <c:v>45365</c:v>
                </c:pt>
                <c:pt idx="37">
                  <c:v>45372</c:v>
                </c:pt>
                <c:pt idx="38">
                  <c:v>45379</c:v>
                </c:pt>
                <c:pt idx="39">
                  <c:v>45386</c:v>
                </c:pt>
                <c:pt idx="40">
                  <c:v>45393</c:v>
                </c:pt>
                <c:pt idx="41">
                  <c:v>45400</c:v>
                </c:pt>
                <c:pt idx="42">
                  <c:v>45407</c:v>
                </c:pt>
                <c:pt idx="43">
                  <c:v>45414</c:v>
                </c:pt>
                <c:pt idx="44">
                  <c:v>45421</c:v>
                </c:pt>
                <c:pt idx="45">
                  <c:v>45428</c:v>
                </c:pt>
                <c:pt idx="46">
                  <c:v>45435</c:v>
                </c:pt>
                <c:pt idx="47">
                  <c:v>45442</c:v>
                </c:pt>
                <c:pt idx="48">
                  <c:v>45449</c:v>
                </c:pt>
                <c:pt idx="49">
                  <c:v>45456</c:v>
                </c:pt>
                <c:pt idx="50">
                  <c:v>45463</c:v>
                </c:pt>
                <c:pt idx="51">
                  <c:v>45470</c:v>
                </c:pt>
              </c:numCache>
            </c:numRef>
          </c:cat>
          <c:val>
            <c:numRef>
              <c:f>'PBL OLD'!$DX$8:$DX$60</c:f>
              <c:numCache>
                <c:formatCode>0.000</c:formatCode>
                <c:ptCount val="53"/>
                <c:pt idx="0">
                  <c:v>5.9377952349780674E-2</c:v>
                </c:pt>
                <c:pt idx="1">
                  <c:v>0.11875590469956135</c:v>
                </c:pt>
                <c:pt idx="2">
                  <c:v>0.17813385704934204</c:v>
                </c:pt>
                <c:pt idx="3">
                  <c:v>0.2375118093991227</c:v>
                </c:pt>
                <c:pt idx="4">
                  <c:v>0.29688976174890336</c:v>
                </c:pt>
                <c:pt idx="5">
                  <c:v>0.35626771409868402</c:v>
                </c:pt>
                <c:pt idx="6">
                  <c:v>0.41564566644846468</c:v>
                </c:pt>
                <c:pt idx="7">
                  <c:v>0.47502361879824534</c:v>
                </c:pt>
                <c:pt idx="8">
                  <c:v>0.534401571148026</c:v>
                </c:pt>
                <c:pt idx="9">
                  <c:v>0.59377952349780672</c:v>
                </c:pt>
                <c:pt idx="10">
                  <c:v>0.65315747584758743</c:v>
                </c:pt>
                <c:pt idx="11">
                  <c:v>0.71253542819736815</c:v>
                </c:pt>
                <c:pt idx="12">
                  <c:v>0.77191338054714886</c:v>
                </c:pt>
                <c:pt idx="13">
                  <c:v>0.83129133289692958</c:v>
                </c:pt>
                <c:pt idx="14">
                  <c:v>0.8906692852467103</c:v>
                </c:pt>
                <c:pt idx="15">
                  <c:v>0.95004723759649101</c:v>
                </c:pt>
                <c:pt idx="16">
                  <c:v>1.0094251899462716</c:v>
                </c:pt>
                <c:pt idx="17">
                  <c:v>1.0688031422960522</c:v>
                </c:pt>
                <c:pt idx="18">
                  <c:v>1.1281810946458328</c:v>
                </c:pt>
                <c:pt idx="19">
                  <c:v>1.1875590469956134</c:v>
                </c:pt>
                <c:pt idx="20">
                  <c:v>1.246936999345394</c:v>
                </c:pt>
                <c:pt idx="21">
                  <c:v>1.3063149516951746</c:v>
                </c:pt>
                <c:pt idx="22">
                  <c:v>1.3656929040449552</c:v>
                </c:pt>
                <c:pt idx="23">
                  <c:v>1.4250708563947359</c:v>
                </c:pt>
                <c:pt idx="24">
                  <c:v>1.4844488087445165</c:v>
                </c:pt>
                <c:pt idx="25">
                  <c:v>1.5438267610942971</c:v>
                </c:pt>
                <c:pt idx="26">
                  <c:v>1.6032047134440777</c:v>
                </c:pt>
                <c:pt idx="27">
                  <c:v>1.6625826657938583</c:v>
                </c:pt>
                <c:pt idx="28">
                  <c:v>1.7219606181436389</c:v>
                </c:pt>
                <c:pt idx="29">
                  <c:v>1.7813385704934195</c:v>
                </c:pt>
                <c:pt idx="30">
                  <c:v>1.8407165228432001</c:v>
                </c:pt>
                <c:pt idx="31">
                  <c:v>1.9000944751929807</c:v>
                </c:pt>
                <c:pt idx="32">
                  <c:v>1.9594724275427613</c:v>
                </c:pt>
                <c:pt idx="33">
                  <c:v>2.0188503798925419</c:v>
                </c:pt>
                <c:pt idx="34">
                  <c:v>2.0782283322423227</c:v>
                </c:pt>
                <c:pt idx="35">
                  <c:v>2.1376062845921036</c:v>
                </c:pt>
                <c:pt idx="36">
                  <c:v>2.1969842369418844</c:v>
                </c:pt>
                <c:pt idx="37">
                  <c:v>2.2563621892916652</c:v>
                </c:pt>
                <c:pt idx="38">
                  <c:v>2.315740141641446</c:v>
                </c:pt>
                <c:pt idx="39">
                  <c:v>2.3751180939912269</c:v>
                </c:pt>
                <c:pt idx="40">
                  <c:v>2.4344960463410077</c:v>
                </c:pt>
                <c:pt idx="41">
                  <c:v>2.4938739986907885</c:v>
                </c:pt>
                <c:pt idx="42">
                  <c:v>2.5532519510405693</c:v>
                </c:pt>
                <c:pt idx="43">
                  <c:v>2.6126299033903502</c:v>
                </c:pt>
                <c:pt idx="44">
                  <c:v>2.672007855740131</c:v>
                </c:pt>
                <c:pt idx="45">
                  <c:v>2.7313858080899118</c:v>
                </c:pt>
                <c:pt idx="46">
                  <c:v>2.7907637604396927</c:v>
                </c:pt>
                <c:pt idx="47">
                  <c:v>2.8501417127894735</c:v>
                </c:pt>
                <c:pt idx="48">
                  <c:v>2.9095196651392543</c:v>
                </c:pt>
                <c:pt idx="49">
                  <c:v>2.9688976174890351</c:v>
                </c:pt>
                <c:pt idx="50">
                  <c:v>3.028275569838816</c:v>
                </c:pt>
                <c:pt idx="51">
                  <c:v>3.0876535221885968</c:v>
                </c:pt>
              </c:numCache>
            </c:numRef>
          </c:val>
          <c:smooth val="0"/>
          <c:extLst>
            <c:ext xmlns:c16="http://schemas.microsoft.com/office/drawing/2014/chart" uri="{C3380CC4-5D6E-409C-BE32-E72D297353CC}">
              <c16:uniqueId val="{00000002-A0B3-47B1-8186-FBB62F4CB585}"/>
            </c:ext>
          </c:extLst>
        </c:ser>
        <c:ser>
          <c:idx val="4"/>
          <c:order val="6"/>
          <c:tx>
            <c:strRef>
              <c:f>'PBL OLD'!$DA$6:$DA$7</c:f>
              <c:strCache>
                <c:ptCount val="2"/>
                <c:pt idx="0">
                  <c:v>50th Percentile</c:v>
                </c:pt>
              </c:strCache>
            </c:strRef>
          </c:tx>
          <c:spPr>
            <a:ln>
              <a:solidFill>
                <a:schemeClr val="bg2">
                  <a:lumMod val="60000"/>
                  <a:lumOff val="40000"/>
                </a:schemeClr>
              </a:solidFill>
              <a:prstDash val="sysDot"/>
            </a:ln>
          </c:spPr>
          <c:marker>
            <c:symbol val="none"/>
          </c:marker>
          <c:cat>
            <c:numRef>
              <c:f>'PBL OLD'!$DR$8:$DR$60</c:f>
              <c:numCache>
                <c:formatCode>d\-mmm\-yy_);\(###0\);"-  ";" "@" "</c:formatCode>
                <c:ptCount val="53"/>
                <c:pt idx="0">
                  <c:v>45113</c:v>
                </c:pt>
                <c:pt idx="1">
                  <c:v>45120</c:v>
                </c:pt>
                <c:pt idx="2">
                  <c:v>45127</c:v>
                </c:pt>
                <c:pt idx="3">
                  <c:v>45134</c:v>
                </c:pt>
                <c:pt idx="4">
                  <c:v>45141</c:v>
                </c:pt>
                <c:pt idx="5">
                  <c:v>45148</c:v>
                </c:pt>
                <c:pt idx="6">
                  <c:v>45155</c:v>
                </c:pt>
                <c:pt idx="7">
                  <c:v>45162</c:v>
                </c:pt>
                <c:pt idx="8">
                  <c:v>45169</c:v>
                </c:pt>
                <c:pt idx="9">
                  <c:v>45176</c:v>
                </c:pt>
                <c:pt idx="10">
                  <c:v>45183</c:v>
                </c:pt>
                <c:pt idx="11">
                  <c:v>45190</c:v>
                </c:pt>
                <c:pt idx="12">
                  <c:v>45197</c:v>
                </c:pt>
                <c:pt idx="13">
                  <c:v>45204</c:v>
                </c:pt>
                <c:pt idx="14">
                  <c:v>45211</c:v>
                </c:pt>
                <c:pt idx="15">
                  <c:v>45218</c:v>
                </c:pt>
                <c:pt idx="16">
                  <c:v>45225</c:v>
                </c:pt>
                <c:pt idx="17">
                  <c:v>45232</c:v>
                </c:pt>
                <c:pt idx="18">
                  <c:v>45239</c:v>
                </c:pt>
                <c:pt idx="19">
                  <c:v>45246</c:v>
                </c:pt>
                <c:pt idx="20">
                  <c:v>45253</c:v>
                </c:pt>
                <c:pt idx="21">
                  <c:v>45260</c:v>
                </c:pt>
                <c:pt idx="22">
                  <c:v>45267</c:v>
                </c:pt>
                <c:pt idx="23">
                  <c:v>45274</c:v>
                </c:pt>
                <c:pt idx="24">
                  <c:v>45281</c:v>
                </c:pt>
                <c:pt idx="25">
                  <c:v>45288</c:v>
                </c:pt>
                <c:pt idx="26">
                  <c:v>45295</c:v>
                </c:pt>
                <c:pt idx="27">
                  <c:v>45302</c:v>
                </c:pt>
                <c:pt idx="28">
                  <c:v>45309</c:v>
                </c:pt>
                <c:pt idx="29">
                  <c:v>45316</c:v>
                </c:pt>
                <c:pt idx="30">
                  <c:v>45323</c:v>
                </c:pt>
                <c:pt idx="31">
                  <c:v>45330</c:v>
                </c:pt>
                <c:pt idx="32">
                  <c:v>45337</c:v>
                </c:pt>
                <c:pt idx="33">
                  <c:v>45344</c:v>
                </c:pt>
                <c:pt idx="34">
                  <c:v>45351</c:v>
                </c:pt>
                <c:pt idx="35">
                  <c:v>45358</c:v>
                </c:pt>
                <c:pt idx="36">
                  <c:v>45365</c:v>
                </c:pt>
                <c:pt idx="37">
                  <c:v>45372</c:v>
                </c:pt>
                <c:pt idx="38">
                  <c:v>45379</c:v>
                </c:pt>
                <c:pt idx="39">
                  <c:v>45386</c:v>
                </c:pt>
                <c:pt idx="40">
                  <c:v>45393</c:v>
                </c:pt>
                <c:pt idx="41">
                  <c:v>45400</c:v>
                </c:pt>
                <c:pt idx="42">
                  <c:v>45407</c:v>
                </c:pt>
                <c:pt idx="43">
                  <c:v>45414</c:v>
                </c:pt>
                <c:pt idx="44">
                  <c:v>45421</c:v>
                </c:pt>
                <c:pt idx="45">
                  <c:v>45428</c:v>
                </c:pt>
                <c:pt idx="46">
                  <c:v>45435</c:v>
                </c:pt>
                <c:pt idx="47">
                  <c:v>45442</c:v>
                </c:pt>
                <c:pt idx="48">
                  <c:v>45449</c:v>
                </c:pt>
                <c:pt idx="49">
                  <c:v>45456</c:v>
                </c:pt>
                <c:pt idx="50">
                  <c:v>45463</c:v>
                </c:pt>
                <c:pt idx="51">
                  <c:v>45470</c:v>
                </c:pt>
              </c:numCache>
            </c:numRef>
          </c:cat>
          <c:val>
            <c:numRef>
              <c:f>'PBL OLD'!$DY$8:$DY$60</c:f>
              <c:numCache>
                <c:formatCode>0.000</c:formatCode>
                <c:ptCount val="53"/>
                <c:pt idx="0">
                  <c:v>6.5253310923088309E-2</c:v>
                </c:pt>
                <c:pt idx="1">
                  <c:v>0.13050662184617662</c:v>
                </c:pt>
                <c:pt idx="2">
                  <c:v>0.19575993276926493</c:v>
                </c:pt>
                <c:pt idx="3">
                  <c:v>0.26101324369235324</c:v>
                </c:pt>
                <c:pt idx="4">
                  <c:v>0.32626655461544152</c:v>
                </c:pt>
                <c:pt idx="5">
                  <c:v>0.3915198655385298</c:v>
                </c:pt>
                <c:pt idx="6">
                  <c:v>0.45677317646161808</c:v>
                </c:pt>
                <c:pt idx="7">
                  <c:v>0.52202648738470636</c:v>
                </c:pt>
                <c:pt idx="8">
                  <c:v>0.58727979830779464</c:v>
                </c:pt>
                <c:pt idx="9">
                  <c:v>0.65253310923088292</c:v>
                </c:pt>
                <c:pt idx="10">
                  <c:v>0.71778642015397121</c:v>
                </c:pt>
                <c:pt idx="11">
                  <c:v>0.78303973107705949</c:v>
                </c:pt>
                <c:pt idx="12">
                  <c:v>0.84829304200014777</c:v>
                </c:pt>
                <c:pt idx="13">
                  <c:v>0.91354635292323605</c:v>
                </c:pt>
                <c:pt idx="14">
                  <c:v>0.97879966384632433</c:v>
                </c:pt>
                <c:pt idx="15">
                  <c:v>1.0440529747694127</c:v>
                </c:pt>
                <c:pt idx="16">
                  <c:v>1.1093062856925011</c:v>
                </c:pt>
                <c:pt idx="17">
                  <c:v>1.1745595966155895</c:v>
                </c:pt>
                <c:pt idx="18">
                  <c:v>1.2398129075386779</c:v>
                </c:pt>
                <c:pt idx="19">
                  <c:v>1.3050662184617663</c:v>
                </c:pt>
                <c:pt idx="20">
                  <c:v>1.3703195293848547</c:v>
                </c:pt>
                <c:pt idx="21">
                  <c:v>1.4355728403079431</c:v>
                </c:pt>
                <c:pt idx="22">
                  <c:v>1.5008261512310315</c:v>
                </c:pt>
                <c:pt idx="23">
                  <c:v>1.5660794621541199</c:v>
                </c:pt>
                <c:pt idx="24">
                  <c:v>1.6313327730772083</c:v>
                </c:pt>
                <c:pt idx="25">
                  <c:v>1.6965860840002966</c:v>
                </c:pt>
                <c:pt idx="26">
                  <c:v>1.761839394923385</c:v>
                </c:pt>
                <c:pt idx="27">
                  <c:v>1.8270927058464734</c:v>
                </c:pt>
                <c:pt idx="28">
                  <c:v>1.8923460167695618</c:v>
                </c:pt>
                <c:pt idx="29">
                  <c:v>1.9575993276926502</c:v>
                </c:pt>
                <c:pt idx="30">
                  <c:v>2.0228526386157384</c:v>
                </c:pt>
                <c:pt idx="31">
                  <c:v>2.0881059495388268</c:v>
                </c:pt>
                <c:pt idx="32">
                  <c:v>2.1533592604619152</c:v>
                </c:pt>
                <c:pt idx="33">
                  <c:v>2.2186125713850036</c:v>
                </c:pt>
                <c:pt idx="34">
                  <c:v>2.283865882308092</c:v>
                </c:pt>
                <c:pt idx="35">
                  <c:v>2.3491191932311803</c:v>
                </c:pt>
                <c:pt idx="36">
                  <c:v>2.4143725041542687</c:v>
                </c:pt>
                <c:pt idx="37">
                  <c:v>2.4796258150773571</c:v>
                </c:pt>
                <c:pt idx="38">
                  <c:v>2.5448791260004455</c:v>
                </c:pt>
                <c:pt idx="39">
                  <c:v>2.6101324369235339</c:v>
                </c:pt>
                <c:pt idx="40">
                  <c:v>2.6753857478466223</c:v>
                </c:pt>
                <c:pt idx="41">
                  <c:v>2.7406390587697107</c:v>
                </c:pt>
                <c:pt idx="42">
                  <c:v>2.8058923696927991</c:v>
                </c:pt>
                <c:pt idx="43">
                  <c:v>2.8711456806158875</c:v>
                </c:pt>
                <c:pt idx="44">
                  <c:v>2.9363989915389759</c:v>
                </c:pt>
                <c:pt idx="45">
                  <c:v>3.0016523024620643</c:v>
                </c:pt>
                <c:pt idx="46">
                  <c:v>3.0669056133851527</c:v>
                </c:pt>
                <c:pt idx="47">
                  <c:v>3.1321589243082411</c:v>
                </c:pt>
                <c:pt idx="48">
                  <c:v>3.1974122352313294</c:v>
                </c:pt>
                <c:pt idx="49">
                  <c:v>3.2626655461544178</c:v>
                </c:pt>
                <c:pt idx="50">
                  <c:v>3.3279188570775062</c:v>
                </c:pt>
                <c:pt idx="51">
                  <c:v>3.3931721680005946</c:v>
                </c:pt>
              </c:numCache>
            </c:numRef>
          </c:val>
          <c:smooth val="0"/>
          <c:extLst>
            <c:ext xmlns:c16="http://schemas.microsoft.com/office/drawing/2014/chart" uri="{C3380CC4-5D6E-409C-BE32-E72D297353CC}">
              <c16:uniqueId val="{00000003-A0B3-47B1-8186-FBB62F4CB585}"/>
            </c:ext>
          </c:extLst>
        </c:ser>
        <c:ser>
          <c:idx val="6"/>
          <c:order val="7"/>
          <c:tx>
            <c:strRef>
              <c:f>'PBL OLD'!$DB$6:$DB$7</c:f>
              <c:strCache>
                <c:ptCount val="2"/>
                <c:pt idx="0">
                  <c:v>75th Percentile</c:v>
                </c:pt>
              </c:strCache>
            </c:strRef>
          </c:tx>
          <c:spPr>
            <a:ln>
              <a:solidFill>
                <a:schemeClr val="bg2">
                  <a:lumMod val="60000"/>
                  <a:lumOff val="40000"/>
                </a:schemeClr>
              </a:solidFill>
              <a:prstDash val="sysDot"/>
            </a:ln>
          </c:spPr>
          <c:marker>
            <c:symbol val="none"/>
          </c:marker>
          <c:cat>
            <c:numRef>
              <c:f>'PBL OLD'!$DR$8:$DR$60</c:f>
              <c:numCache>
                <c:formatCode>d\-mmm\-yy_);\(###0\);"-  ";" "@" "</c:formatCode>
                <c:ptCount val="53"/>
                <c:pt idx="0">
                  <c:v>45113</c:v>
                </c:pt>
                <c:pt idx="1">
                  <c:v>45120</c:v>
                </c:pt>
                <c:pt idx="2">
                  <c:v>45127</c:v>
                </c:pt>
                <c:pt idx="3">
                  <c:v>45134</c:v>
                </c:pt>
                <c:pt idx="4">
                  <c:v>45141</c:v>
                </c:pt>
                <c:pt idx="5">
                  <c:v>45148</c:v>
                </c:pt>
                <c:pt idx="6">
                  <c:v>45155</c:v>
                </c:pt>
                <c:pt idx="7">
                  <c:v>45162</c:v>
                </c:pt>
                <c:pt idx="8">
                  <c:v>45169</c:v>
                </c:pt>
                <c:pt idx="9">
                  <c:v>45176</c:v>
                </c:pt>
                <c:pt idx="10">
                  <c:v>45183</c:v>
                </c:pt>
                <c:pt idx="11">
                  <c:v>45190</c:v>
                </c:pt>
                <c:pt idx="12">
                  <c:v>45197</c:v>
                </c:pt>
                <c:pt idx="13">
                  <c:v>45204</c:v>
                </c:pt>
                <c:pt idx="14">
                  <c:v>45211</c:v>
                </c:pt>
                <c:pt idx="15">
                  <c:v>45218</c:v>
                </c:pt>
                <c:pt idx="16">
                  <c:v>45225</c:v>
                </c:pt>
                <c:pt idx="17">
                  <c:v>45232</c:v>
                </c:pt>
                <c:pt idx="18">
                  <c:v>45239</c:v>
                </c:pt>
                <c:pt idx="19">
                  <c:v>45246</c:v>
                </c:pt>
                <c:pt idx="20">
                  <c:v>45253</c:v>
                </c:pt>
                <c:pt idx="21">
                  <c:v>45260</c:v>
                </c:pt>
                <c:pt idx="22">
                  <c:v>45267</c:v>
                </c:pt>
                <c:pt idx="23">
                  <c:v>45274</c:v>
                </c:pt>
                <c:pt idx="24">
                  <c:v>45281</c:v>
                </c:pt>
                <c:pt idx="25">
                  <c:v>45288</c:v>
                </c:pt>
                <c:pt idx="26">
                  <c:v>45295</c:v>
                </c:pt>
                <c:pt idx="27">
                  <c:v>45302</c:v>
                </c:pt>
                <c:pt idx="28">
                  <c:v>45309</c:v>
                </c:pt>
                <c:pt idx="29">
                  <c:v>45316</c:v>
                </c:pt>
                <c:pt idx="30">
                  <c:v>45323</c:v>
                </c:pt>
                <c:pt idx="31">
                  <c:v>45330</c:v>
                </c:pt>
                <c:pt idx="32">
                  <c:v>45337</c:v>
                </c:pt>
                <c:pt idx="33">
                  <c:v>45344</c:v>
                </c:pt>
                <c:pt idx="34">
                  <c:v>45351</c:v>
                </c:pt>
                <c:pt idx="35">
                  <c:v>45358</c:v>
                </c:pt>
                <c:pt idx="36">
                  <c:v>45365</c:v>
                </c:pt>
                <c:pt idx="37">
                  <c:v>45372</c:v>
                </c:pt>
                <c:pt idx="38">
                  <c:v>45379</c:v>
                </c:pt>
                <c:pt idx="39">
                  <c:v>45386</c:v>
                </c:pt>
                <c:pt idx="40">
                  <c:v>45393</c:v>
                </c:pt>
                <c:pt idx="41">
                  <c:v>45400</c:v>
                </c:pt>
                <c:pt idx="42">
                  <c:v>45407</c:v>
                </c:pt>
                <c:pt idx="43">
                  <c:v>45414</c:v>
                </c:pt>
                <c:pt idx="44">
                  <c:v>45421</c:v>
                </c:pt>
                <c:pt idx="45">
                  <c:v>45428</c:v>
                </c:pt>
                <c:pt idx="46">
                  <c:v>45435</c:v>
                </c:pt>
                <c:pt idx="47">
                  <c:v>45442</c:v>
                </c:pt>
                <c:pt idx="48">
                  <c:v>45449</c:v>
                </c:pt>
                <c:pt idx="49">
                  <c:v>45456</c:v>
                </c:pt>
                <c:pt idx="50">
                  <c:v>45463</c:v>
                </c:pt>
                <c:pt idx="51">
                  <c:v>45470</c:v>
                </c:pt>
              </c:numCache>
            </c:numRef>
          </c:cat>
          <c:val>
            <c:numRef>
              <c:f>'PBL OLD'!$DZ$8:$DZ$60</c:f>
              <c:numCache>
                <c:formatCode>0.000</c:formatCode>
                <c:ptCount val="53"/>
                <c:pt idx="0">
                  <c:v>7.1894065150539782E-2</c:v>
                </c:pt>
                <c:pt idx="1">
                  <c:v>0.14378813030107956</c:v>
                </c:pt>
                <c:pt idx="2">
                  <c:v>0.21568219545161935</c:v>
                </c:pt>
                <c:pt idx="3">
                  <c:v>0.28757626060215913</c:v>
                </c:pt>
                <c:pt idx="4">
                  <c:v>0.35947032575269888</c:v>
                </c:pt>
                <c:pt idx="5">
                  <c:v>0.43136439090323864</c:v>
                </c:pt>
                <c:pt idx="6">
                  <c:v>0.50325845605377839</c:v>
                </c:pt>
                <c:pt idx="7">
                  <c:v>0.57515252120431815</c:v>
                </c:pt>
                <c:pt idx="8">
                  <c:v>0.6470465863548579</c:v>
                </c:pt>
                <c:pt idx="9">
                  <c:v>0.71894065150539765</c:v>
                </c:pt>
                <c:pt idx="10">
                  <c:v>0.79083471665593741</c:v>
                </c:pt>
                <c:pt idx="11">
                  <c:v>0.86272878180647716</c:v>
                </c:pt>
                <c:pt idx="12">
                  <c:v>0.93462284695701692</c:v>
                </c:pt>
                <c:pt idx="13">
                  <c:v>1.0065169121075568</c:v>
                </c:pt>
                <c:pt idx="14">
                  <c:v>1.0784109772580965</c:v>
                </c:pt>
                <c:pt idx="15">
                  <c:v>1.1503050424086363</c:v>
                </c:pt>
                <c:pt idx="16">
                  <c:v>1.222199107559176</c:v>
                </c:pt>
                <c:pt idx="17">
                  <c:v>1.2940931727097158</c:v>
                </c:pt>
                <c:pt idx="18">
                  <c:v>1.3659872378602556</c:v>
                </c:pt>
                <c:pt idx="19">
                  <c:v>1.4378813030107953</c:v>
                </c:pt>
                <c:pt idx="20">
                  <c:v>1.5097753681613351</c:v>
                </c:pt>
                <c:pt idx="21">
                  <c:v>1.5816694333118748</c:v>
                </c:pt>
                <c:pt idx="22">
                  <c:v>1.6535634984624146</c:v>
                </c:pt>
                <c:pt idx="23">
                  <c:v>1.7254575636129543</c:v>
                </c:pt>
                <c:pt idx="24">
                  <c:v>1.7973516287634941</c:v>
                </c:pt>
                <c:pt idx="25">
                  <c:v>1.8692456939140338</c:v>
                </c:pt>
                <c:pt idx="26">
                  <c:v>1.9411397590645736</c:v>
                </c:pt>
                <c:pt idx="27">
                  <c:v>2.0130338242151136</c:v>
                </c:pt>
                <c:pt idx="28">
                  <c:v>2.0849278893656535</c:v>
                </c:pt>
                <c:pt idx="29">
                  <c:v>2.1568219545161935</c:v>
                </c:pt>
                <c:pt idx="30">
                  <c:v>2.2287160196667335</c:v>
                </c:pt>
                <c:pt idx="31">
                  <c:v>2.3006100848172735</c:v>
                </c:pt>
                <c:pt idx="32">
                  <c:v>2.3725041499678134</c:v>
                </c:pt>
                <c:pt idx="33">
                  <c:v>2.4443982151183534</c:v>
                </c:pt>
                <c:pt idx="34">
                  <c:v>2.5162922802688934</c:v>
                </c:pt>
                <c:pt idx="35">
                  <c:v>2.5881863454194334</c:v>
                </c:pt>
                <c:pt idx="36">
                  <c:v>2.6600804105699734</c:v>
                </c:pt>
                <c:pt idx="37">
                  <c:v>2.7319744757205133</c:v>
                </c:pt>
                <c:pt idx="38">
                  <c:v>2.8038685408710533</c:v>
                </c:pt>
                <c:pt idx="39">
                  <c:v>2.8757626060215933</c:v>
                </c:pt>
                <c:pt idx="40">
                  <c:v>2.9476566711721333</c:v>
                </c:pt>
                <c:pt idx="41">
                  <c:v>3.0195507363226732</c:v>
                </c:pt>
                <c:pt idx="42">
                  <c:v>3.0914448014732132</c:v>
                </c:pt>
                <c:pt idx="43">
                  <c:v>3.1633388666237532</c:v>
                </c:pt>
                <c:pt idx="44">
                  <c:v>3.2352329317742932</c:v>
                </c:pt>
                <c:pt idx="45">
                  <c:v>3.3071269969248331</c:v>
                </c:pt>
                <c:pt idx="46">
                  <c:v>3.3790210620753731</c:v>
                </c:pt>
                <c:pt idx="47">
                  <c:v>3.4509151272259131</c:v>
                </c:pt>
                <c:pt idx="48">
                  <c:v>3.5228091923764531</c:v>
                </c:pt>
                <c:pt idx="49">
                  <c:v>3.594703257526993</c:v>
                </c:pt>
                <c:pt idx="50">
                  <c:v>3.666597322677533</c:v>
                </c:pt>
                <c:pt idx="51">
                  <c:v>3.738491387828073</c:v>
                </c:pt>
              </c:numCache>
            </c:numRef>
          </c:val>
          <c:smooth val="0"/>
          <c:extLst xmlns:c15="http://schemas.microsoft.com/office/drawing/2012/chart">
            <c:ext xmlns:c16="http://schemas.microsoft.com/office/drawing/2014/chart" uri="{C3380CC4-5D6E-409C-BE32-E72D297353CC}">
              <c16:uniqueId val="{00000004-A0B3-47B1-8186-FBB62F4CB585}"/>
            </c:ext>
          </c:extLst>
        </c:ser>
        <c:ser>
          <c:idx val="9"/>
          <c:order val="9"/>
          <c:tx>
            <c:strRef>
              <c:f>'PBL OLD'!$DD$6:$DD$7</c:f>
              <c:strCache>
                <c:ptCount val="2"/>
                <c:pt idx="0">
                  <c:v>95th Percentile</c:v>
                </c:pt>
              </c:strCache>
            </c:strRef>
          </c:tx>
          <c:spPr>
            <a:ln>
              <a:solidFill>
                <a:schemeClr val="bg2">
                  <a:lumMod val="60000"/>
                  <a:lumOff val="40000"/>
                </a:schemeClr>
              </a:solidFill>
              <a:prstDash val="sysDot"/>
            </a:ln>
          </c:spPr>
          <c:marker>
            <c:symbol val="none"/>
          </c:marker>
          <c:cat>
            <c:numRef>
              <c:f>'PBL OLD'!$DR$8:$DR$60</c:f>
              <c:numCache>
                <c:formatCode>d\-mmm\-yy_);\(###0\);"-  ";" "@" "</c:formatCode>
                <c:ptCount val="53"/>
                <c:pt idx="0">
                  <c:v>45113</c:v>
                </c:pt>
                <c:pt idx="1">
                  <c:v>45120</c:v>
                </c:pt>
                <c:pt idx="2">
                  <c:v>45127</c:v>
                </c:pt>
                <c:pt idx="3">
                  <c:v>45134</c:v>
                </c:pt>
                <c:pt idx="4">
                  <c:v>45141</c:v>
                </c:pt>
                <c:pt idx="5">
                  <c:v>45148</c:v>
                </c:pt>
                <c:pt idx="6">
                  <c:v>45155</c:v>
                </c:pt>
                <c:pt idx="7">
                  <c:v>45162</c:v>
                </c:pt>
                <c:pt idx="8">
                  <c:v>45169</c:v>
                </c:pt>
                <c:pt idx="9">
                  <c:v>45176</c:v>
                </c:pt>
                <c:pt idx="10">
                  <c:v>45183</c:v>
                </c:pt>
                <c:pt idx="11">
                  <c:v>45190</c:v>
                </c:pt>
                <c:pt idx="12">
                  <c:v>45197</c:v>
                </c:pt>
                <c:pt idx="13">
                  <c:v>45204</c:v>
                </c:pt>
                <c:pt idx="14">
                  <c:v>45211</c:v>
                </c:pt>
                <c:pt idx="15">
                  <c:v>45218</c:v>
                </c:pt>
                <c:pt idx="16">
                  <c:v>45225</c:v>
                </c:pt>
                <c:pt idx="17">
                  <c:v>45232</c:v>
                </c:pt>
                <c:pt idx="18">
                  <c:v>45239</c:v>
                </c:pt>
                <c:pt idx="19">
                  <c:v>45246</c:v>
                </c:pt>
                <c:pt idx="20">
                  <c:v>45253</c:v>
                </c:pt>
                <c:pt idx="21">
                  <c:v>45260</c:v>
                </c:pt>
                <c:pt idx="22">
                  <c:v>45267</c:v>
                </c:pt>
                <c:pt idx="23">
                  <c:v>45274</c:v>
                </c:pt>
                <c:pt idx="24">
                  <c:v>45281</c:v>
                </c:pt>
                <c:pt idx="25">
                  <c:v>45288</c:v>
                </c:pt>
                <c:pt idx="26">
                  <c:v>45295</c:v>
                </c:pt>
                <c:pt idx="27">
                  <c:v>45302</c:v>
                </c:pt>
                <c:pt idx="28">
                  <c:v>45309</c:v>
                </c:pt>
                <c:pt idx="29">
                  <c:v>45316</c:v>
                </c:pt>
                <c:pt idx="30">
                  <c:v>45323</c:v>
                </c:pt>
                <c:pt idx="31">
                  <c:v>45330</c:v>
                </c:pt>
                <c:pt idx="32">
                  <c:v>45337</c:v>
                </c:pt>
                <c:pt idx="33">
                  <c:v>45344</c:v>
                </c:pt>
                <c:pt idx="34">
                  <c:v>45351</c:v>
                </c:pt>
                <c:pt idx="35">
                  <c:v>45358</c:v>
                </c:pt>
                <c:pt idx="36">
                  <c:v>45365</c:v>
                </c:pt>
                <c:pt idx="37">
                  <c:v>45372</c:v>
                </c:pt>
                <c:pt idx="38">
                  <c:v>45379</c:v>
                </c:pt>
                <c:pt idx="39">
                  <c:v>45386</c:v>
                </c:pt>
                <c:pt idx="40">
                  <c:v>45393</c:v>
                </c:pt>
                <c:pt idx="41">
                  <c:v>45400</c:v>
                </c:pt>
                <c:pt idx="42">
                  <c:v>45407</c:v>
                </c:pt>
                <c:pt idx="43">
                  <c:v>45414</c:v>
                </c:pt>
                <c:pt idx="44">
                  <c:v>45421</c:v>
                </c:pt>
                <c:pt idx="45">
                  <c:v>45428</c:v>
                </c:pt>
                <c:pt idx="46">
                  <c:v>45435</c:v>
                </c:pt>
                <c:pt idx="47">
                  <c:v>45442</c:v>
                </c:pt>
                <c:pt idx="48">
                  <c:v>45449</c:v>
                </c:pt>
                <c:pt idx="49">
                  <c:v>45456</c:v>
                </c:pt>
                <c:pt idx="50">
                  <c:v>45463</c:v>
                </c:pt>
                <c:pt idx="51">
                  <c:v>45470</c:v>
                </c:pt>
              </c:numCache>
            </c:numRef>
          </c:cat>
          <c:val>
            <c:numRef>
              <c:f>'PBL OLD'!$EB$8:$EB$60</c:f>
              <c:numCache>
                <c:formatCode>0.000</c:formatCode>
                <c:ptCount val="53"/>
                <c:pt idx="0">
                  <c:v>8.3229444639050673E-2</c:v>
                </c:pt>
                <c:pt idx="1">
                  <c:v>0.16645888927810135</c:v>
                </c:pt>
                <c:pt idx="2">
                  <c:v>0.24968833391715201</c:v>
                </c:pt>
                <c:pt idx="3">
                  <c:v>0.33291777855620269</c:v>
                </c:pt>
                <c:pt idx="4">
                  <c:v>0.41614722319525338</c:v>
                </c:pt>
                <c:pt idx="5">
                  <c:v>0.49937666783430407</c:v>
                </c:pt>
                <c:pt idx="6">
                  <c:v>0.5826061124733547</c:v>
                </c:pt>
                <c:pt idx="7">
                  <c:v>0.66583555711240539</c:v>
                </c:pt>
                <c:pt idx="8">
                  <c:v>0.74906500175145607</c:v>
                </c:pt>
                <c:pt idx="9">
                  <c:v>0.83229444639050676</c:v>
                </c:pt>
                <c:pt idx="10">
                  <c:v>0.91552389102955745</c:v>
                </c:pt>
                <c:pt idx="11">
                  <c:v>0.99875333566860813</c:v>
                </c:pt>
                <c:pt idx="12">
                  <c:v>1.0819827803076587</c:v>
                </c:pt>
                <c:pt idx="13">
                  <c:v>1.1652122249467094</c:v>
                </c:pt>
                <c:pt idx="14">
                  <c:v>1.2484416695857601</c:v>
                </c:pt>
                <c:pt idx="15">
                  <c:v>1.3316711142248108</c:v>
                </c:pt>
                <c:pt idx="16">
                  <c:v>1.4149005588638615</c:v>
                </c:pt>
                <c:pt idx="17">
                  <c:v>1.4981300035029121</c:v>
                </c:pt>
                <c:pt idx="18">
                  <c:v>1.5813594481419628</c:v>
                </c:pt>
                <c:pt idx="19">
                  <c:v>1.6645888927810135</c:v>
                </c:pt>
                <c:pt idx="20">
                  <c:v>1.7478183374200642</c:v>
                </c:pt>
                <c:pt idx="21">
                  <c:v>1.8310477820591149</c:v>
                </c:pt>
                <c:pt idx="22">
                  <c:v>1.9142772266981656</c:v>
                </c:pt>
                <c:pt idx="23">
                  <c:v>1.9975066713372163</c:v>
                </c:pt>
                <c:pt idx="24">
                  <c:v>2.0807361159762667</c:v>
                </c:pt>
                <c:pt idx="25">
                  <c:v>2.1639655606153174</c:v>
                </c:pt>
                <c:pt idx="26">
                  <c:v>2.2471950052543681</c:v>
                </c:pt>
                <c:pt idx="27">
                  <c:v>2.3304244498934188</c:v>
                </c:pt>
                <c:pt idx="28">
                  <c:v>2.4136538945324695</c:v>
                </c:pt>
                <c:pt idx="29">
                  <c:v>2.4968833391715202</c:v>
                </c:pt>
                <c:pt idx="30">
                  <c:v>2.5801127838105709</c:v>
                </c:pt>
                <c:pt idx="31">
                  <c:v>2.6633422284496215</c:v>
                </c:pt>
                <c:pt idx="32">
                  <c:v>2.7465716730886722</c:v>
                </c:pt>
                <c:pt idx="33">
                  <c:v>2.8298011177277229</c:v>
                </c:pt>
                <c:pt idx="34">
                  <c:v>2.9130305623667736</c:v>
                </c:pt>
                <c:pt idx="35">
                  <c:v>2.9962600070058243</c:v>
                </c:pt>
                <c:pt idx="36">
                  <c:v>3.079489451644875</c:v>
                </c:pt>
                <c:pt idx="37">
                  <c:v>3.1627188962839257</c:v>
                </c:pt>
                <c:pt idx="38">
                  <c:v>3.2459483409229763</c:v>
                </c:pt>
                <c:pt idx="39">
                  <c:v>3.329177785562027</c:v>
                </c:pt>
                <c:pt idx="40">
                  <c:v>3.4124072302010777</c:v>
                </c:pt>
                <c:pt idx="41">
                  <c:v>3.4956366748401284</c:v>
                </c:pt>
                <c:pt idx="42">
                  <c:v>3.5788661194791791</c:v>
                </c:pt>
                <c:pt idx="43">
                  <c:v>3.6620955641182298</c:v>
                </c:pt>
                <c:pt idx="44">
                  <c:v>3.7453250087572805</c:v>
                </c:pt>
                <c:pt idx="45">
                  <c:v>3.8285544533963312</c:v>
                </c:pt>
                <c:pt idx="46">
                  <c:v>3.9117838980353818</c:v>
                </c:pt>
                <c:pt idx="47">
                  <c:v>3.9950133426744325</c:v>
                </c:pt>
                <c:pt idx="48">
                  <c:v>4.0782427873134832</c:v>
                </c:pt>
                <c:pt idx="49">
                  <c:v>4.1614722319525335</c:v>
                </c:pt>
                <c:pt idx="50">
                  <c:v>4.2447016765915837</c:v>
                </c:pt>
                <c:pt idx="51">
                  <c:v>4.3279311212306339</c:v>
                </c:pt>
              </c:numCache>
            </c:numRef>
          </c:val>
          <c:smooth val="0"/>
          <c:extLst xmlns:c15="http://schemas.microsoft.com/office/drawing/2012/chart">
            <c:ext xmlns:c16="http://schemas.microsoft.com/office/drawing/2014/chart" uri="{C3380CC4-5D6E-409C-BE32-E72D297353CC}">
              <c16:uniqueId val="{00000005-A0B3-47B1-8186-FBB62F4CB585}"/>
            </c:ext>
          </c:extLst>
        </c:ser>
        <c:dLbls>
          <c:showLegendKey val="0"/>
          <c:showVal val="0"/>
          <c:showCatName val="0"/>
          <c:showSerName val="0"/>
          <c:showPercent val="0"/>
          <c:showBubbleSize val="0"/>
        </c:dLbls>
        <c:smooth val="0"/>
        <c:axId val="1388952432"/>
        <c:axId val="1388953088"/>
        <c:extLst>
          <c:ext xmlns:c15="http://schemas.microsoft.com/office/drawing/2012/chart" uri="{02D57815-91ED-43cb-92C2-25804820EDAC}">
            <c15:filteredLineSeries>
              <c15:ser>
                <c:idx val="3"/>
                <c:order val="1"/>
                <c:tx>
                  <c:strRef>
                    <c:extLst>
                      <c:ext uri="{02D57815-91ED-43cb-92C2-25804820EDAC}">
                        <c15:formulaRef>
                          <c15:sqref>'PBL OLD'!$CV$6:$CV$7</c15:sqref>
                        </c15:formulaRef>
                      </c:ext>
                    </c:extLst>
                    <c:strCache>
                      <c:ptCount val="2"/>
                      <c:pt idx="0">
                        <c:v>Min</c:v>
                      </c:pt>
                    </c:strCache>
                  </c:strRef>
                </c:tx>
                <c:marker>
                  <c:symbol val="none"/>
                </c:marker>
                <c:cat>
                  <c:numRef>
                    <c:extLst>
                      <c:ext uri="{02D57815-91ED-43cb-92C2-25804820EDAC}">
                        <c15:formulaRef>
                          <c15:sqref>'PBL OLD'!$DR$8:$DR$60</c15:sqref>
                        </c15:formulaRef>
                      </c:ext>
                    </c:extLst>
                    <c:numCache>
                      <c:formatCode>d\-mmm\-yy_);\(###0\);"-  ";" "@" "</c:formatCode>
                      <c:ptCount val="53"/>
                      <c:pt idx="0">
                        <c:v>45113</c:v>
                      </c:pt>
                      <c:pt idx="1">
                        <c:v>45120</c:v>
                      </c:pt>
                      <c:pt idx="2">
                        <c:v>45127</c:v>
                      </c:pt>
                      <c:pt idx="3">
                        <c:v>45134</c:v>
                      </c:pt>
                      <c:pt idx="4">
                        <c:v>45141</c:v>
                      </c:pt>
                      <c:pt idx="5">
                        <c:v>45148</c:v>
                      </c:pt>
                      <c:pt idx="6">
                        <c:v>45155</c:v>
                      </c:pt>
                      <c:pt idx="7">
                        <c:v>45162</c:v>
                      </c:pt>
                      <c:pt idx="8">
                        <c:v>45169</c:v>
                      </c:pt>
                      <c:pt idx="9">
                        <c:v>45176</c:v>
                      </c:pt>
                      <c:pt idx="10">
                        <c:v>45183</c:v>
                      </c:pt>
                      <c:pt idx="11">
                        <c:v>45190</c:v>
                      </c:pt>
                      <c:pt idx="12">
                        <c:v>45197</c:v>
                      </c:pt>
                      <c:pt idx="13">
                        <c:v>45204</c:v>
                      </c:pt>
                      <c:pt idx="14">
                        <c:v>45211</c:v>
                      </c:pt>
                      <c:pt idx="15">
                        <c:v>45218</c:v>
                      </c:pt>
                      <c:pt idx="16">
                        <c:v>45225</c:v>
                      </c:pt>
                      <c:pt idx="17">
                        <c:v>45232</c:v>
                      </c:pt>
                      <c:pt idx="18">
                        <c:v>45239</c:v>
                      </c:pt>
                      <c:pt idx="19">
                        <c:v>45246</c:v>
                      </c:pt>
                      <c:pt idx="20">
                        <c:v>45253</c:v>
                      </c:pt>
                      <c:pt idx="21">
                        <c:v>45260</c:v>
                      </c:pt>
                      <c:pt idx="22">
                        <c:v>45267</c:v>
                      </c:pt>
                      <c:pt idx="23">
                        <c:v>45274</c:v>
                      </c:pt>
                      <c:pt idx="24">
                        <c:v>45281</c:v>
                      </c:pt>
                      <c:pt idx="25">
                        <c:v>45288</c:v>
                      </c:pt>
                      <c:pt idx="26">
                        <c:v>45295</c:v>
                      </c:pt>
                      <c:pt idx="27">
                        <c:v>45302</c:v>
                      </c:pt>
                      <c:pt idx="28">
                        <c:v>45309</c:v>
                      </c:pt>
                      <c:pt idx="29">
                        <c:v>45316</c:v>
                      </c:pt>
                      <c:pt idx="30">
                        <c:v>45323</c:v>
                      </c:pt>
                      <c:pt idx="31">
                        <c:v>45330</c:v>
                      </c:pt>
                      <c:pt idx="32">
                        <c:v>45337</c:v>
                      </c:pt>
                      <c:pt idx="33">
                        <c:v>45344</c:v>
                      </c:pt>
                      <c:pt idx="34">
                        <c:v>45351</c:v>
                      </c:pt>
                      <c:pt idx="35">
                        <c:v>45358</c:v>
                      </c:pt>
                      <c:pt idx="36">
                        <c:v>45365</c:v>
                      </c:pt>
                      <c:pt idx="37">
                        <c:v>45372</c:v>
                      </c:pt>
                      <c:pt idx="38">
                        <c:v>45379</c:v>
                      </c:pt>
                      <c:pt idx="39">
                        <c:v>45386</c:v>
                      </c:pt>
                      <c:pt idx="40">
                        <c:v>45393</c:v>
                      </c:pt>
                      <c:pt idx="41">
                        <c:v>45400</c:v>
                      </c:pt>
                      <c:pt idx="42">
                        <c:v>45407</c:v>
                      </c:pt>
                      <c:pt idx="43">
                        <c:v>45414</c:v>
                      </c:pt>
                      <c:pt idx="44">
                        <c:v>45421</c:v>
                      </c:pt>
                      <c:pt idx="45">
                        <c:v>45428</c:v>
                      </c:pt>
                      <c:pt idx="46">
                        <c:v>45435</c:v>
                      </c:pt>
                      <c:pt idx="47">
                        <c:v>45442</c:v>
                      </c:pt>
                      <c:pt idx="48">
                        <c:v>45449</c:v>
                      </c:pt>
                      <c:pt idx="49">
                        <c:v>45456</c:v>
                      </c:pt>
                      <c:pt idx="50">
                        <c:v>45463</c:v>
                      </c:pt>
                      <c:pt idx="51">
                        <c:v>45470</c:v>
                      </c:pt>
                    </c:numCache>
                  </c:numRef>
                </c:cat>
                <c:val>
                  <c:numRef>
                    <c:extLst>
                      <c:ext uri="{02D57815-91ED-43cb-92C2-25804820EDAC}">
                        <c15:formulaRef>
                          <c15:sqref>'PBL OLD'!$CV$8:$CV$60</c15:sqref>
                        </c15:formulaRef>
                      </c:ext>
                    </c:extLst>
                    <c:numCache>
                      <c:formatCode>0.000</c:formatCode>
                      <c:ptCount val="53"/>
                      <c:pt idx="0">
                        <c:v>3.7943638869952147E-2</c:v>
                      </c:pt>
                      <c:pt idx="1">
                        <c:v>7.5887277739904294E-2</c:v>
                      </c:pt>
                      <c:pt idx="2">
                        <c:v>0.11383091660985645</c:v>
                      </c:pt>
                      <c:pt idx="3">
                        <c:v>0.15177455547980859</c:v>
                      </c:pt>
                      <c:pt idx="4">
                        <c:v>0.18971819434976073</c:v>
                      </c:pt>
                      <c:pt idx="5">
                        <c:v>0.22766183321971287</c:v>
                      </c:pt>
                      <c:pt idx="6">
                        <c:v>0.26560547208966501</c:v>
                      </c:pt>
                      <c:pt idx="7">
                        <c:v>0.30354911095961717</c:v>
                      </c:pt>
                      <c:pt idx="8">
                        <c:v>0.34149274982956934</c:v>
                      </c:pt>
                      <c:pt idx="9">
                        <c:v>0.37943638869952151</c:v>
                      </c:pt>
                      <c:pt idx="10">
                        <c:v>0.41738002756947368</c:v>
                      </c:pt>
                      <c:pt idx="11">
                        <c:v>0.45532366643942584</c:v>
                      </c:pt>
                      <c:pt idx="12">
                        <c:v>0.49326730530937801</c:v>
                      </c:pt>
                      <c:pt idx="13">
                        <c:v>0.53121094417933012</c:v>
                      </c:pt>
                      <c:pt idx="14">
                        <c:v>0.56915458304928224</c:v>
                      </c:pt>
                      <c:pt idx="15">
                        <c:v>0.60709822191923435</c:v>
                      </c:pt>
                      <c:pt idx="16">
                        <c:v>0.64504186078918646</c:v>
                      </c:pt>
                      <c:pt idx="17">
                        <c:v>0.68298549965913857</c:v>
                      </c:pt>
                      <c:pt idx="18">
                        <c:v>0.72092913852909069</c:v>
                      </c:pt>
                      <c:pt idx="19">
                        <c:v>0.7588727773990428</c:v>
                      </c:pt>
                      <c:pt idx="20">
                        <c:v>0.79681641626899491</c:v>
                      </c:pt>
                      <c:pt idx="21">
                        <c:v>0.83476005513894702</c:v>
                      </c:pt>
                      <c:pt idx="22">
                        <c:v>0.87270369400889913</c:v>
                      </c:pt>
                      <c:pt idx="23">
                        <c:v>0.91064733287885125</c:v>
                      </c:pt>
                      <c:pt idx="24">
                        <c:v>0.94859097174880336</c:v>
                      </c:pt>
                      <c:pt idx="25">
                        <c:v>0.98653461061875547</c:v>
                      </c:pt>
                      <c:pt idx="26">
                        <c:v>1.0244782494887077</c:v>
                      </c:pt>
                      <c:pt idx="27">
                        <c:v>1.0624218883586598</c:v>
                      </c:pt>
                      <c:pt idx="28">
                        <c:v>1.1003655272286119</c:v>
                      </c:pt>
                      <c:pt idx="29">
                        <c:v>1.138309166098564</c:v>
                      </c:pt>
                      <c:pt idx="30">
                        <c:v>1.1762528049685161</c:v>
                      </c:pt>
                      <c:pt idx="31">
                        <c:v>1.2141964438384683</c:v>
                      </c:pt>
                      <c:pt idx="32">
                        <c:v>1.2521400827084204</c:v>
                      </c:pt>
                      <c:pt idx="33">
                        <c:v>1.2900837215783725</c:v>
                      </c:pt>
                      <c:pt idx="34">
                        <c:v>1.3280273604483246</c:v>
                      </c:pt>
                      <c:pt idx="35">
                        <c:v>1.3659709993182767</c:v>
                      </c:pt>
                      <c:pt idx="36">
                        <c:v>1.4039146381882288</c:v>
                      </c:pt>
                      <c:pt idx="37">
                        <c:v>1.4418582770581809</c:v>
                      </c:pt>
                      <c:pt idx="38">
                        <c:v>1.479801915928133</c:v>
                      </c:pt>
                      <c:pt idx="39">
                        <c:v>1.5177455547980852</c:v>
                      </c:pt>
                      <c:pt idx="40">
                        <c:v>1.5556891936680373</c:v>
                      </c:pt>
                      <c:pt idx="41">
                        <c:v>1.5936328325379894</c:v>
                      </c:pt>
                      <c:pt idx="42">
                        <c:v>1.6315764714079415</c:v>
                      </c:pt>
                      <c:pt idx="43">
                        <c:v>1.6695201102778936</c:v>
                      </c:pt>
                      <c:pt idx="44">
                        <c:v>1.7074637491478457</c:v>
                      </c:pt>
                      <c:pt idx="45">
                        <c:v>1.7454073880177978</c:v>
                      </c:pt>
                      <c:pt idx="46">
                        <c:v>1.7833510268877499</c:v>
                      </c:pt>
                      <c:pt idx="47">
                        <c:v>1.821294665757702</c:v>
                      </c:pt>
                      <c:pt idx="48">
                        <c:v>1.8592383046276542</c:v>
                      </c:pt>
                      <c:pt idx="49">
                        <c:v>1.8971819434976063</c:v>
                      </c:pt>
                      <c:pt idx="50">
                        <c:v>1.9351255823675584</c:v>
                      </c:pt>
                      <c:pt idx="51">
                        <c:v>1.9730692212375105</c:v>
                      </c:pt>
                    </c:numCache>
                  </c:numRef>
                </c:val>
                <c:smooth val="0"/>
                <c:extLst>
                  <c:ext xmlns:c16="http://schemas.microsoft.com/office/drawing/2014/chart" uri="{C3380CC4-5D6E-409C-BE32-E72D297353CC}">
                    <c16:uniqueId val="{00000006-A0B3-47B1-8186-FBB62F4CB585}"/>
                  </c:ext>
                </c:extLst>
              </c15:ser>
            </c15:filteredLineSeries>
            <c15:filteredLineSeries>
              <c15:ser>
                <c:idx val="5"/>
                <c:order val="2"/>
                <c:tx>
                  <c:strRef>
                    <c:extLst xmlns:c15="http://schemas.microsoft.com/office/drawing/2012/chart">
                      <c:ext xmlns:c15="http://schemas.microsoft.com/office/drawing/2012/chart" uri="{02D57815-91ED-43cb-92C2-25804820EDAC}">
                        <c15:formulaRef>
                          <c15:sqref>'PBL OLD'!$CW$6:$CW$7</c15:sqref>
                        </c15:formulaRef>
                      </c:ext>
                    </c:extLst>
                    <c:strCache>
                      <c:ptCount val="2"/>
                      <c:pt idx="0">
                        <c:v>1st Percentile</c:v>
                      </c:pt>
                    </c:strCache>
                  </c:strRef>
                </c:tx>
                <c:spPr>
                  <a:ln w="28575" cap="rnd">
                    <a:solidFill>
                      <a:schemeClr val="accent6"/>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'PBL OLD'!$DR$8:$DR$60</c15:sqref>
                        </c15:formulaRef>
                      </c:ext>
                    </c:extLst>
                    <c:numCache>
                      <c:formatCode>d\-mmm\-yy_);\(###0\);"-  ";" "@" "</c:formatCode>
                      <c:ptCount val="53"/>
                      <c:pt idx="0">
                        <c:v>45113</c:v>
                      </c:pt>
                      <c:pt idx="1">
                        <c:v>45120</c:v>
                      </c:pt>
                      <c:pt idx="2">
                        <c:v>45127</c:v>
                      </c:pt>
                      <c:pt idx="3">
                        <c:v>45134</c:v>
                      </c:pt>
                      <c:pt idx="4">
                        <c:v>45141</c:v>
                      </c:pt>
                      <c:pt idx="5">
                        <c:v>45148</c:v>
                      </c:pt>
                      <c:pt idx="6">
                        <c:v>45155</c:v>
                      </c:pt>
                      <c:pt idx="7">
                        <c:v>45162</c:v>
                      </c:pt>
                      <c:pt idx="8">
                        <c:v>45169</c:v>
                      </c:pt>
                      <c:pt idx="9">
                        <c:v>45176</c:v>
                      </c:pt>
                      <c:pt idx="10">
                        <c:v>45183</c:v>
                      </c:pt>
                      <c:pt idx="11">
                        <c:v>45190</c:v>
                      </c:pt>
                      <c:pt idx="12">
                        <c:v>45197</c:v>
                      </c:pt>
                      <c:pt idx="13">
                        <c:v>45204</c:v>
                      </c:pt>
                      <c:pt idx="14">
                        <c:v>45211</c:v>
                      </c:pt>
                      <c:pt idx="15">
                        <c:v>45218</c:v>
                      </c:pt>
                      <c:pt idx="16">
                        <c:v>45225</c:v>
                      </c:pt>
                      <c:pt idx="17">
                        <c:v>45232</c:v>
                      </c:pt>
                      <c:pt idx="18">
                        <c:v>45239</c:v>
                      </c:pt>
                      <c:pt idx="19">
                        <c:v>45246</c:v>
                      </c:pt>
                      <c:pt idx="20">
                        <c:v>45253</c:v>
                      </c:pt>
                      <c:pt idx="21">
                        <c:v>45260</c:v>
                      </c:pt>
                      <c:pt idx="22">
                        <c:v>45267</c:v>
                      </c:pt>
                      <c:pt idx="23">
                        <c:v>45274</c:v>
                      </c:pt>
                      <c:pt idx="24">
                        <c:v>45281</c:v>
                      </c:pt>
                      <c:pt idx="25">
                        <c:v>45288</c:v>
                      </c:pt>
                      <c:pt idx="26">
                        <c:v>45295</c:v>
                      </c:pt>
                      <c:pt idx="27">
                        <c:v>45302</c:v>
                      </c:pt>
                      <c:pt idx="28">
                        <c:v>45309</c:v>
                      </c:pt>
                      <c:pt idx="29">
                        <c:v>45316</c:v>
                      </c:pt>
                      <c:pt idx="30">
                        <c:v>45323</c:v>
                      </c:pt>
                      <c:pt idx="31">
                        <c:v>45330</c:v>
                      </c:pt>
                      <c:pt idx="32">
                        <c:v>45337</c:v>
                      </c:pt>
                      <c:pt idx="33">
                        <c:v>45344</c:v>
                      </c:pt>
                      <c:pt idx="34">
                        <c:v>45351</c:v>
                      </c:pt>
                      <c:pt idx="35">
                        <c:v>45358</c:v>
                      </c:pt>
                      <c:pt idx="36">
                        <c:v>45365</c:v>
                      </c:pt>
                      <c:pt idx="37">
                        <c:v>45372</c:v>
                      </c:pt>
                      <c:pt idx="38">
                        <c:v>45379</c:v>
                      </c:pt>
                      <c:pt idx="39">
                        <c:v>45386</c:v>
                      </c:pt>
                      <c:pt idx="40">
                        <c:v>45393</c:v>
                      </c:pt>
                      <c:pt idx="41">
                        <c:v>45400</c:v>
                      </c:pt>
                      <c:pt idx="42">
                        <c:v>45407</c:v>
                      </c:pt>
                      <c:pt idx="43">
                        <c:v>45414</c:v>
                      </c:pt>
                      <c:pt idx="44">
                        <c:v>45421</c:v>
                      </c:pt>
                      <c:pt idx="45">
                        <c:v>45428</c:v>
                      </c:pt>
                      <c:pt idx="46">
                        <c:v>45435</c:v>
                      </c:pt>
                      <c:pt idx="47">
                        <c:v>45442</c:v>
                      </c:pt>
                      <c:pt idx="48">
                        <c:v>45449</c:v>
                      </c:pt>
                      <c:pt idx="49">
                        <c:v>45456</c:v>
                      </c:pt>
                      <c:pt idx="50">
                        <c:v>45463</c:v>
                      </c:pt>
                      <c:pt idx="51">
                        <c:v>45470</c:v>
                      </c:pt>
                    </c:numCache>
                  </c:numRef>
                </c:cat>
                <c:val>
                  <c:numRef>
                    <c:extLst xmlns:c15="http://schemas.microsoft.com/office/drawing/2012/chart">
                      <c:ext xmlns:c15="http://schemas.microsoft.com/office/drawing/2012/chart" uri="{02D57815-91ED-43cb-92C2-25804820EDAC}">
                        <c15:formulaRef>
                          <c15:sqref>'PBL OLD'!$CW$8:$CW$60</c15:sqref>
                        </c15:formulaRef>
                      </c:ext>
                    </c:extLst>
                    <c:numCache>
                      <c:formatCode>0.000</c:formatCode>
                      <c:ptCount val="53"/>
                      <c:pt idx="0">
                        <c:v>4.5436313528305135E-2</c:v>
                      </c:pt>
                      <c:pt idx="1">
                        <c:v>9.087262705661027E-2</c:v>
                      </c:pt>
                      <c:pt idx="2">
                        <c:v>0.13630894058491541</c:v>
                      </c:pt>
                      <c:pt idx="3">
                        <c:v>0.18174525411322054</c:v>
                      </c:pt>
                      <c:pt idx="4">
                        <c:v>0.22718156764152567</c:v>
                      </c:pt>
                      <c:pt idx="5">
                        <c:v>0.27261788116983082</c:v>
                      </c:pt>
                      <c:pt idx="6">
                        <c:v>0.31805419469813595</c:v>
                      </c:pt>
                      <c:pt idx="7">
                        <c:v>0.36349050822644108</c:v>
                      </c:pt>
                      <c:pt idx="8">
                        <c:v>0.40892682175474621</c:v>
                      </c:pt>
                      <c:pt idx="9">
                        <c:v>0.45436313528305133</c:v>
                      </c:pt>
                      <c:pt idx="10">
                        <c:v>0.49979944881135646</c:v>
                      </c:pt>
                      <c:pt idx="11">
                        <c:v>0.54523576233966164</c:v>
                      </c:pt>
                      <c:pt idx="12">
                        <c:v>0.59067207586796677</c:v>
                      </c:pt>
                      <c:pt idx="13">
                        <c:v>0.6361083893962719</c:v>
                      </c:pt>
                      <c:pt idx="14">
                        <c:v>0.68154470292457703</c:v>
                      </c:pt>
                      <c:pt idx="15">
                        <c:v>0.72698101645288216</c:v>
                      </c:pt>
                      <c:pt idx="16">
                        <c:v>0.77241732998118728</c:v>
                      </c:pt>
                      <c:pt idx="17">
                        <c:v>0.81785364350949241</c:v>
                      </c:pt>
                      <c:pt idx="18">
                        <c:v>0.86328995703779754</c:v>
                      </c:pt>
                      <c:pt idx="19">
                        <c:v>0.90872627056610267</c:v>
                      </c:pt>
                      <c:pt idx="20">
                        <c:v>0.9541625840944078</c:v>
                      </c:pt>
                      <c:pt idx="21">
                        <c:v>0.99959889762271292</c:v>
                      </c:pt>
                      <c:pt idx="22">
                        <c:v>1.0450352111510182</c:v>
                      </c:pt>
                      <c:pt idx="23">
                        <c:v>1.0904715246793233</c:v>
                      </c:pt>
                      <c:pt idx="24">
                        <c:v>1.1359078382076284</c:v>
                      </c:pt>
                      <c:pt idx="25">
                        <c:v>1.1813441517359335</c:v>
                      </c:pt>
                      <c:pt idx="26">
                        <c:v>1.2267804652642387</c:v>
                      </c:pt>
                      <c:pt idx="27">
                        <c:v>1.2722167787925438</c:v>
                      </c:pt>
                      <c:pt idx="28">
                        <c:v>1.3176530923208489</c:v>
                      </c:pt>
                      <c:pt idx="29">
                        <c:v>1.3630894058491541</c:v>
                      </c:pt>
                      <c:pt idx="30">
                        <c:v>1.4085257193774592</c:v>
                      </c:pt>
                      <c:pt idx="31">
                        <c:v>1.4539620329057643</c:v>
                      </c:pt>
                      <c:pt idx="32">
                        <c:v>1.4993983464340694</c:v>
                      </c:pt>
                      <c:pt idx="33">
                        <c:v>1.5448346599623746</c:v>
                      </c:pt>
                      <c:pt idx="34">
                        <c:v>1.5902709734906797</c:v>
                      </c:pt>
                      <c:pt idx="35">
                        <c:v>1.6357072870189848</c:v>
                      </c:pt>
                      <c:pt idx="36">
                        <c:v>1.68114360054729</c:v>
                      </c:pt>
                      <c:pt idx="37">
                        <c:v>1.7265799140755951</c:v>
                      </c:pt>
                      <c:pt idx="38">
                        <c:v>1.7720162276039002</c:v>
                      </c:pt>
                      <c:pt idx="39">
                        <c:v>1.8174525411322053</c:v>
                      </c:pt>
                      <c:pt idx="40">
                        <c:v>1.8628888546605105</c:v>
                      </c:pt>
                      <c:pt idx="41">
                        <c:v>1.9083251681888156</c:v>
                      </c:pt>
                      <c:pt idx="42">
                        <c:v>1.9537614817171207</c:v>
                      </c:pt>
                      <c:pt idx="43">
                        <c:v>1.9991977952454258</c:v>
                      </c:pt>
                      <c:pt idx="44">
                        <c:v>2.0446341087737312</c:v>
                      </c:pt>
                      <c:pt idx="45">
                        <c:v>2.0900704223020363</c:v>
                      </c:pt>
                      <c:pt idx="46">
                        <c:v>2.1355067358303415</c:v>
                      </c:pt>
                      <c:pt idx="47">
                        <c:v>2.1809430493586466</c:v>
                      </c:pt>
                      <c:pt idx="48">
                        <c:v>2.2263793628869517</c:v>
                      </c:pt>
                      <c:pt idx="49">
                        <c:v>2.2718156764152568</c:v>
                      </c:pt>
                      <c:pt idx="50">
                        <c:v>2.317251989943562</c:v>
                      </c:pt>
                      <c:pt idx="51">
                        <c:v>2.3626883034718671</c:v>
                      </c:pt>
                    </c:numCache>
                  </c:numRef>
                </c:val>
                <c:smooth val="0"/>
                <c:extLst xmlns:c15="http://schemas.microsoft.com/office/drawing/2012/chart">
                  <c:ext xmlns:c16="http://schemas.microsoft.com/office/drawing/2014/chart" uri="{C3380CC4-5D6E-409C-BE32-E72D297353CC}">
                    <c16:uniqueId val="{00000007-A0B3-47B1-8186-FBB62F4CB585}"/>
                  </c:ext>
                </c:extLst>
              </c15:ser>
            </c15:filteredLineSeries>
            <c15:filteredLineSeries>
              <c15:ser>
                <c:idx val="1"/>
                <c:order val="4"/>
                <c:tx>
                  <c:strRef>
                    <c:extLst xmlns:c15="http://schemas.microsoft.com/office/drawing/2012/chart">
                      <c:ext xmlns:c15="http://schemas.microsoft.com/office/drawing/2012/chart" uri="{02D57815-91ED-43cb-92C2-25804820EDAC}">
                        <c15:formulaRef>
                          <c15:sqref>'PBL OLD'!$CY$6:$CY$7</c15:sqref>
                        </c15:formulaRef>
                      </c:ext>
                    </c:extLst>
                    <c:strCache>
                      <c:ptCount val="2"/>
                      <c:pt idx="0">
                        <c:v>10th Percentile</c:v>
                      </c:pt>
                    </c:strCache>
                  </c:strRef>
                </c:tx>
                <c:spPr>
                  <a:ln w="28575" cap="rnd" cmpd="sng">
                    <a:solidFill>
                      <a:schemeClr val="accent2"/>
                    </a:solidFill>
                    <a:prstDash val="sysDot"/>
                    <a:round/>
                    <a:headEnd type="none"/>
                  </a:ln>
                  <a:effectLst/>
                </c:spPr>
                <c:marker>
                  <c:symbol val="none"/>
                </c:marker>
                <c:cat>
                  <c:numRef>
                    <c:extLst xmlns:c15="http://schemas.microsoft.com/office/drawing/2012/chart">
                      <c:ext xmlns:c15="http://schemas.microsoft.com/office/drawing/2012/chart" uri="{02D57815-91ED-43cb-92C2-25804820EDAC}">
                        <c15:formulaRef>
                          <c15:sqref>'PBL OLD'!$DR$8:$DR$60</c15:sqref>
                        </c15:formulaRef>
                      </c:ext>
                    </c:extLst>
                    <c:numCache>
                      <c:formatCode>d\-mmm\-yy_);\(###0\);"-  ";" "@" "</c:formatCode>
                      <c:ptCount val="53"/>
                      <c:pt idx="0">
                        <c:v>45113</c:v>
                      </c:pt>
                      <c:pt idx="1">
                        <c:v>45120</c:v>
                      </c:pt>
                      <c:pt idx="2">
                        <c:v>45127</c:v>
                      </c:pt>
                      <c:pt idx="3">
                        <c:v>45134</c:v>
                      </c:pt>
                      <c:pt idx="4">
                        <c:v>45141</c:v>
                      </c:pt>
                      <c:pt idx="5">
                        <c:v>45148</c:v>
                      </c:pt>
                      <c:pt idx="6">
                        <c:v>45155</c:v>
                      </c:pt>
                      <c:pt idx="7">
                        <c:v>45162</c:v>
                      </c:pt>
                      <c:pt idx="8">
                        <c:v>45169</c:v>
                      </c:pt>
                      <c:pt idx="9">
                        <c:v>45176</c:v>
                      </c:pt>
                      <c:pt idx="10">
                        <c:v>45183</c:v>
                      </c:pt>
                      <c:pt idx="11">
                        <c:v>45190</c:v>
                      </c:pt>
                      <c:pt idx="12">
                        <c:v>45197</c:v>
                      </c:pt>
                      <c:pt idx="13">
                        <c:v>45204</c:v>
                      </c:pt>
                      <c:pt idx="14">
                        <c:v>45211</c:v>
                      </c:pt>
                      <c:pt idx="15">
                        <c:v>45218</c:v>
                      </c:pt>
                      <c:pt idx="16">
                        <c:v>45225</c:v>
                      </c:pt>
                      <c:pt idx="17">
                        <c:v>45232</c:v>
                      </c:pt>
                      <c:pt idx="18">
                        <c:v>45239</c:v>
                      </c:pt>
                      <c:pt idx="19">
                        <c:v>45246</c:v>
                      </c:pt>
                      <c:pt idx="20">
                        <c:v>45253</c:v>
                      </c:pt>
                      <c:pt idx="21">
                        <c:v>45260</c:v>
                      </c:pt>
                      <c:pt idx="22">
                        <c:v>45267</c:v>
                      </c:pt>
                      <c:pt idx="23">
                        <c:v>45274</c:v>
                      </c:pt>
                      <c:pt idx="24">
                        <c:v>45281</c:v>
                      </c:pt>
                      <c:pt idx="25">
                        <c:v>45288</c:v>
                      </c:pt>
                      <c:pt idx="26">
                        <c:v>45295</c:v>
                      </c:pt>
                      <c:pt idx="27">
                        <c:v>45302</c:v>
                      </c:pt>
                      <c:pt idx="28">
                        <c:v>45309</c:v>
                      </c:pt>
                      <c:pt idx="29">
                        <c:v>45316</c:v>
                      </c:pt>
                      <c:pt idx="30">
                        <c:v>45323</c:v>
                      </c:pt>
                      <c:pt idx="31">
                        <c:v>45330</c:v>
                      </c:pt>
                      <c:pt idx="32">
                        <c:v>45337</c:v>
                      </c:pt>
                      <c:pt idx="33">
                        <c:v>45344</c:v>
                      </c:pt>
                      <c:pt idx="34">
                        <c:v>45351</c:v>
                      </c:pt>
                      <c:pt idx="35">
                        <c:v>45358</c:v>
                      </c:pt>
                      <c:pt idx="36">
                        <c:v>45365</c:v>
                      </c:pt>
                      <c:pt idx="37">
                        <c:v>45372</c:v>
                      </c:pt>
                      <c:pt idx="38">
                        <c:v>45379</c:v>
                      </c:pt>
                      <c:pt idx="39">
                        <c:v>45386</c:v>
                      </c:pt>
                      <c:pt idx="40">
                        <c:v>45393</c:v>
                      </c:pt>
                      <c:pt idx="41">
                        <c:v>45400</c:v>
                      </c:pt>
                      <c:pt idx="42">
                        <c:v>45407</c:v>
                      </c:pt>
                      <c:pt idx="43">
                        <c:v>45414</c:v>
                      </c:pt>
                      <c:pt idx="44">
                        <c:v>45421</c:v>
                      </c:pt>
                      <c:pt idx="45">
                        <c:v>45428</c:v>
                      </c:pt>
                      <c:pt idx="46">
                        <c:v>45435</c:v>
                      </c:pt>
                      <c:pt idx="47">
                        <c:v>45442</c:v>
                      </c:pt>
                      <c:pt idx="48">
                        <c:v>45449</c:v>
                      </c:pt>
                      <c:pt idx="49">
                        <c:v>45456</c:v>
                      </c:pt>
                      <c:pt idx="50">
                        <c:v>45463</c:v>
                      </c:pt>
                      <c:pt idx="51">
                        <c:v>45470</c:v>
                      </c:pt>
                    </c:numCache>
                  </c:numRef>
                </c:cat>
                <c:val>
                  <c:numRef>
                    <c:extLst xmlns:c15="http://schemas.microsoft.com/office/drawing/2012/chart">
                      <c:ext xmlns:c15="http://schemas.microsoft.com/office/drawing/2012/chart" uri="{02D57815-91ED-43cb-92C2-25804820EDAC}">
                        <c15:formulaRef>
                          <c15:sqref>'PBL OLD'!$CY$8:$CY$60</c15:sqref>
                        </c15:formulaRef>
                      </c:ext>
                    </c:extLst>
                    <c:numCache>
                      <c:formatCode>0.000</c:formatCode>
                      <c:ptCount val="53"/>
                      <c:pt idx="0">
                        <c:v>5.0502007292025322E-2</c:v>
                      </c:pt>
                      <c:pt idx="1">
                        <c:v>0.10100401458405064</c:v>
                      </c:pt>
                      <c:pt idx="2">
                        <c:v>0.15150602187607598</c:v>
                      </c:pt>
                      <c:pt idx="3">
                        <c:v>0.20200802916810129</c:v>
                      </c:pt>
                      <c:pt idx="4">
                        <c:v>0.2525100364601266</c:v>
                      </c:pt>
                      <c:pt idx="5">
                        <c:v>0.30301204375215191</c:v>
                      </c:pt>
                      <c:pt idx="6">
                        <c:v>0.35351405104417721</c:v>
                      </c:pt>
                      <c:pt idx="7">
                        <c:v>0.40401605833620252</c:v>
                      </c:pt>
                      <c:pt idx="8">
                        <c:v>0.45451806562822783</c:v>
                      </c:pt>
                      <c:pt idx="9">
                        <c:v>0.50502007292025319</c:v>
                      </c:pt>
                      <c:pt idx="10">
                        <c:v>0.55552208021227856</c:v>
                      </c:pt>
                      <c:pt idx="11">
                        <c:v>0.60602408750430392</c:v>
                      </c:pt>
                      <c:pt idx="12">
                        <c:v>0.65652609479632928</c:v>
                      </c:pt>
                      <c:pt idx="13">
                        <c:v>0.70702810208835465</c:v>
                      </c:pt>
                      <c:pt idx="14">
                        <c:v>0.75753010938038001</c:v>
                      </c:pt>
                      <c:pt idx="15">
                        <c:v>0.80803211667240538</c:v>
                      </c:pt>
                      <c:pt idx="16">
                        <c:v>0.85853412396443074</c:v>
                      </c:pt>
                      <c:pt idx="17">
                        <c:v>0.9090361312564561</c:v>
                      </c:pt>
                      <c:pt idx="18">
                        <c:v>0.95953813854848147</c:v>
                      </c:pt>
                      <c:pt idx="19">
                        <c:v>1.0100401458405068</c:v>
                      </c:pt>
                      <c:pt idx="20">
                        <c:v>1.0605421531325321</c:v>
                      </c:pt>
                      <c:pt idx="21">
                        <c:v>1.1110441604245573</c:v>
                      </c:pt>
                      <c:pt idx="22">
                        <c:v>1.1615461677165826</c:v>
                      </c:pt>
                      <c:pt idx="23">
                        <c:v>1.2120481750086078</c:v>
                      </c:pt>
                      <c:pt idx="24">
                        <c:v>1.2625501823006331</c:v>
                      </c:pt>
                      <c:pt idx="25">
                        <c:v>1.3130521895926583</c:v>
                      </c:pt>
                      <c:pt idx="26">
                        <c:v>1.3635541968846836</c:v>
                      </c:pt>
                      <c:pt idx="27">
                        <c:v>1.4140562041767089</c:v>
                      </c:pt>
                      <c:pt idx="28">
                        <c:v>1.4645582114687341</c:v>
                      </c:pt>
                      <c:pt idx="29">
                        <c:v>1.5150602187607594</c:v>
                      </c:pt>
                      <c:pt idx="30">
                        <c:v>1.5655622260527846</c:v>
                      </c:pt>
                      <c:pt idx="31">
                        <c:v>1.6160642333448099</c:v>
                      </c:pt>
                      <c:pt idx="32">
                        <c:v>1.6665662406368351</c:v>
                      </c:pt>
                      <c:pt idx="33">
                        <c:v>1.7170682479288604</c:v>
                      </c:pt>
                      <c:pt idx="34">
                        <c:v>1.7675702552208856</c:v>
                      </c:pt>
                      <c:pt idx="35">
                        <c:v>1.8180722625129109</c:v>
                      </c:pt>
                      <c:pt idx="36">
                        <c:v>1.8685742698049361</c:v>
                      </c:pt>
                      <c:pt idx="37">
                        <c:v>1.9190762770969614</c:v>
                      </c:pt>
                      <c:pt idx="38">
                        <c:v>1.9695782843889866</c:v>
                      </c:pt>
                      <c:pt idx="39">
                        <c:v>2.0200802916810119</c:v>
                      </c:pt>
                      <c:pt idx="40">
                        <c:v>2.0705822989730374</c:v>
                      </c:pt>
                      <c:pt idx="41">
                        <c:v>2.1210843062650628</c:v>
                      </c:pt>
                      <c:pt idx="42">
                        <c:v>2.1715863135570883</c:v>
                      </c:pt>
                      <c:pt idx="43">
                        <c:v>2.2220883208491138</c:v>
                      </c:pt>
                      <c:pt idx="44">
                        <c:v>2.2725903281411393</c:v>
                      </c:pt>
                      <c:pt idx="45">
                        <c:v>2.3230923354331647</c:v>
                      </c:pt>
                      <c:pt idx="46">
                        <c:v>2.3735943427251902</c:v>
                      </c:pt>
                      <c:pt idx="47">
                        <c:v>2.4240963500172157</c:v>
                      </c:pt>
                      <c:pt idx="48">
                        <c:v>2.4745983573092412</c:v>
                      </c:pt>
                      <c:pt idx="49">
                        <c:v>2.5251003646012666</c:v>
                      </c:pt>
                      <c:pt idx="50">
                        <c:v>2.5756023718932921</c:v>
                      </c:pt>
                      <c:pt idx="51">
                        <c:v>2.6261043791853176</c:v>
                      </c:pt>
                    </c:numCache>
                  </c:numRef>
                </c:val>
                <c:smooth val="0"/>
                <c:extLst xmlns:c15="http://schemas.microsoft.com/office/drawing/2012/chart">
                  <c:ext xmlns:c16="http://schemas.microsoft.com/office/drawing/2014/chart" uri="{C3380CC4-5D6E-409C-BE32-E72D297353CC}">
                    <c16:uniqueId val="{00000008-A0B3-47B1-8186-FBB62F4CB585}"/>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'PBL OLD'!$DC$6:$DC$7</c15:sqref>
                        </c15:formulaRef>
                      </c:ext>
                    </c:extLst>
                    <c:strCache>
                      <c:ptCount val="2"/>
                      <c:pt idx="0">
                        <c:v>90th Percentile</c:v>
                      </c:pt>
                    </c:strCache>
                  </c:strRef>
                </c:tx>
                <c:spPr>
                  <a:ln w="28575">
                    <a:solidFill>
                      <a:schemeClr val="accent1"/>
                    </a:solidFill>
                    <a:prstDash val="sysDot"/>
                  </a:ln>
                </c:spPr>
                <c:marker>
                  <c:symbol val="none"/>
                </c:marker>
                <c:cat>
                  <c:numRef>
                    <c:extLst xmlns:c15="http://schemas.microsoft.com/office/drawing/2012/chart">
                      <c:ext xmlns:c15="http://schemas.microsoft.com/office/drawing/2012/chart" uri="{02D57815-91ED-43cb-92C2-25804820EDAC}">
                        <c15:formulaRef>
                          <c15:sqref>'PBL OLD'!$DR$8:$DR$60</c15:sqref>
                        </c15:formulaRef>
                      </c:ext>
                    </c:extLst>
                    <c:numCache>
                      <c:formatCode>d\-mmm\-yy_);\(###0\);"-  ";" "@" "</c:formatCode>
                      <c:ptCount val="53"/>
                      <c:pt idx="0">
                        <c:v>45113</c:v>
                      </c:pt>
                      <c:pt idx="1">
                        <c:v>45120</c:v>
                      </c:pt>
                      <c:pt idx="2">
                        <c:v>45127</c:v>
                      </c:pt>
                      <c:pt idx="3">
                        <c:v>45134</c:v>
                      </c:pt>
                      <c:pt idx="4">
                        <c:v>45141</c:v>
                      </c:pt>
                      <c:pt idx="5">
                        <c:v>45148</c:v>
                      </c:pt>
                      <c:pt idx="6">
                        <c:v>45155</c:v>
                      </c:pt>
                      <c:pt idx="7">
                        <c:v>45162</c:v>
                      </c:pt>
                      <c:pt idx="8">
                        <c:v>45169</c:v>
                      </c:pt>
                      <c:pt idx="9">
                        <c:v>45176</c:v>
                      </c:pt>
                      <c:pt idx="10">
                        <c:v>45183</c:v>
                      </c:pt>
                      <c:pt idx="11">
                        <c:v>45190</c:v>
                      </c:pt>
                      <c:pt idx="12">
                        <c:v>45197</c:v>
                      </c:pt>
                      <c:pt idx="13">
                        <c:v>45204</c:v>
                      </c:pt>
                      <c:pt idx="14">
                        <c:v>45211</c:v>
                      </c:pt>
                      <c:pt idx="15">
                        <c:v>45218</c:v>
                      </c:pt>
                      <c:pt idx="16">
                        <c:v>45225</c:v>
                      </c:pt>
                      <c:pt idx="17">
                        <c:v>45232</c:v>
                      </c:pt>
                      <c:pt idx="18">
                        <c:v>45239</c:v>
                      </c:pt>
                      <c:pt idx="19">
                        <c:v>45246</c:v>
                      </c:pt>
                      <c:pt idx="20">
                        <c:v>45253</c:v>
                      </c:pt>
                      <c:pt idx="21">
                        <c:v>45260</c:v>
                      </c:pt>
                      <c:pt idx="22">
                        <c:v>45267</c:v>
                      </c:pt>
                      <c:pt idx="23">
                        <c:v>45274</c:v>
                      </c:pt>
                      <c:pt idx="24">
                        <c:v>45281</c:v>
                      </c:pt>
                      <c:pt idx="25">
                        <c:v>45288</c:v>
                      </c:pt>
                      <c:pt idx="26">
                        <c:v>45295</c:v>
                      </c:pt>
                      <c:pt idx="27">
                        <c:v>45302</c:v>
                      </c:pt>
                      <c:pt idx="28">
                        <c:v>45309</c:v>
                      </c:pt>
                      <c:pt idx="29">
                        <c:v>45316</c:v>
                      </c:pt>
                      <c:pt idx="30">
                        <c:v>45323</c:v>
                      </c:pt>
                      <c:pt idx="31">
                        <c:v>45330</c:v>
                      </c:pt>
                      <c:pt idx="32">
                        <c:v>45337</c:v>
                      </c:pt>
                      <c:pt idx="33">
                        <c:v>45344</c:v>
                      </c:pt>
                      <c:pt idx="34">
                        <c:v>45351</c:v>
                      </c:pt>
                      <c:pt idx="35">
                        <c:v>45358</c:v>
                      </c:pt>
                      <c:pt idx="36">
                        <c:v>45365</c:v>
                      </c:pt>
                      <c:pt idx="37">
                        <c:v>45372</c:v>
                      </c:pt>
                      <c:pt idx="38">
                        <c:v>45379</c:v>
                      </c:pt>
                      <c:pt idx="39">
                        <c:v>45386</c:v>
                      </c:pt>
                      <c:pt idx="40">
                        <c:v>45393</c:v>
                      </c:pt>
                      <c:pt idx="41">
                        <c:v>45400</c:v>
                      </c:pt>
                      <c:pt idx="42">
                        <c:v>45407</c:v>
                      </c:pt>
                      <c:pt idx="43">
                        <c:v>45414</c:v>
                      </c:pt>
                      <c:pt idx="44">
                        <c:v>45421</c:v>
                      </c:pt>
                      <c:pt idx="45">
                        <c:v>45428</c:v>
                      </c:pt>
                      <c:pt idx="46">
                        <c:v>45435</c:v>
                      </c:pt>
                      <c:pt idx="47">
                        <c:v>45442</c:v>
                      </c:pt>
                      <c:pt idx="48">
                        <c:v>45449</c:v>
                      </c:pt>
                      <c:pt idx="49">
                        <c:v>45456</c:v>
                      </c:pt>
                      <c:pt idx="50">
                        <c:v>45463</c:v>
                      </c:pt>
                      <c:pt idx="51">
                        <c:v>45470</c:v>
                      </c:pt>
                    </c:numCache>
                  </c:numRef>
                </c:cat>
                <c:val>
                  <c:numRef>
                    <c:extLst xmlns:c15="http://schemas.microsoft.com/office/drawing/2012/chart">
                      <c:ext xmlns:c15="http://schemas.microsoft.com/office/drawing/2012/chart" uri="{02D57815-91ED-43cb-92C2-25804820EDAC}">
                        <c15:formulaRef>
                          <c15:sqref>'PBL OLD'!$DC$8:$DC$60</c15:sqref>
                        </c15:formulaRef>
                      </c:ext>
                    </c:extLst>
                    <c:numCache>
                      <c:formatCode>0.000</c:formatCode>
                      <c:ptCount val="53"/>
                      <c:pt idx="0">
                        <c:v>7.261484324723147E-2</c:v>
                      </c:pt>
                      <c:pt idx="1">
                        <c:v>0.14522968649446294</c:v>
                      </c:pt>
                      <c:pt idx="2">
                        <c:v>0.21784452974169441</c:v>
                      </c:pt>
                      <c:pt idx="3">
                        <c:v>0.29045937298892588</c:v>
                      </c:pt>
                      <c:pt idx="4">
                        <c:v>0.36307421623615732</c:v>
                      </c:pt>
                      <c:pt idx="5">
                        <c:v>0.43568905948338876</c:v>
                      </c:pt>
                      <c:pt idx="6">
                        <c:v>0.50830390273062021</c:v>
                      </c:pt>
                      <c:pt idx="7">
                        <c:v>0.58091874597785165</c:v>
                      </c:pt>
                      <c:pt idx="8">
                        <c:v>0.65353358922508309</c:v>
                      </c:pt>
                      <c:pt idx="9">
                        <c:v>0.72614843247231453</c:v>
                      </c:pt>
                      <c:pt idx="10">
                        <c:v>0.79876327571954597</c:v>
                      </c:pt>
                      <c:pt idx="11">
                        <c:v>0.87137811896677742</c:v>
                      </c:pt>
                      <c:pt idx="12">
                        <c:v>0.94399296221400886</c:v>
                      </c:pt>
                      <c:pt idx="13">
                        <c:v>1.0166078054612404</c:v>
                      </c:pt>
                      <c:pt idx="14">
                        <c:v>1.089222648708472</c:v>
                      </c:pt>
                      <c:pt idx="15">
                        <c:v>1.1618374919557035</c:v>
                      </c:pt>
                      <c:pt idx="16">
                        <c:v>1.2344523352029351</c:v>
                      </c:pt>
                      <c:pt idx="17">
                        <c:v>1.3070671784501666</c:v>
                      </c:pt>
                      <c:pt idx="18">
                        <c:v>1.3796820216973982</c:v>
                      </c:pt>
                      <c:pt idx="19">
                        <c:v>1.4522968649446297</c:v>
                      </c:pt>
                      <c:pt idx="20">
                        <c:v>1.5249117081918613</c:v>
                      </c:pt>
                      <c:pt idx="21">
                        <c:v>1.5975265514390928</c:v>
                      </c:pt>
                      <c:pt idx="22">
                        <c:v>1.6701413946863244</c:v>
                      </c:pt>
                      <c:pt idx="23">
                        <c:v>1.7427562379335559</c:v>
                      </c:pt>
                      <c:pt idx="24">
                        <c:v>1.8153710811807875</c:v>
                      </c:pt>
                      <c:pt idx="25">
                        <c:v>1.887985924428019</c:v>
                      </c:pt>
                      <c:pt idx="26">
                        <c:v>1.9606007676752506</c:v>
                      </c:pt>
                      <c:pt idx="27">
                        <c:v>2.0332156109224822</c:v>
                      </c:pt>
                      <c:pt idx="28">
                        <c:v>2.1058304541697135</c:v>
                      </c:pt>
                      <c:pt idx="29">
                        <c:v>2.1784452974169448</c:v>
                      </c:pt>
                      <c:pt idx="30">
                        <c:v>2.2510601406641761</c:v>
                      </c:pt>
                      <c:pt idx="31">
                        <c:v>2.3236749839114075</c:v>
                      </c:pt>
                      <c:pt idx="32">
                        <c:v>2.3962898271586388</c:v>
                      </c:pt>
                      <c:pt idx="33">
                        <c:v>2.4689046704058701</c:v>
                      </c:pt>
                      <c:pt idx="34">
                        <c:v>2.5415195136531015</c:v>
                      </c:pt>
                      <c:pt idx="35">
                        <c:v>2.6141343569003328</c:v>
                      </c:pt>
                      <c:pt idx="36">
                        <c:v>2.6867492001475641</c:v>
                      </c:pt>
                      <c:pt idx="37">
                        <c:v>2.7593640433947955</c:v>
                      </c:pt>
                      <c:pt idx="38">
                        <c:v>2.8319788866420268</c:v>
                      </c:pt>
                      <c:pt idx="39">
                        <c:v>2.9045937298892581</c:v>
                      </c:pt>
                      <c:pt idx="40">
                        <c:v>2.9772085731364895</c:v>
                      </c:pt>
                      <c:pt idx="41">
                        <c:v>3.0498234163837208</c:v>
                      </c:pt>
                      <c:pt idx="42">
                        <c:v>3.1224382596309521</c:v>
                      </c:pt>
                      <c:pt idx="43">
                        <c:v>3.1950531028781834</c:v>
                      </c:pt>
                      <c:pt idx="44">
                        <c:v>3.2676679461254148</c:v>
                      </c:pt>
                      <c:pt idx="45">
                        <c:v>3.3402827893726461</c:v>
                      </c:pt>
                      <c:pt idx="46">
                        <c:v>3.4128976326198774</c:v>
                      </c:pt>
                      <c:pt idx="47">
                        <c:v>3.4855124758671088</c:v>
                      </c:pt>
                      <c:pt idx="48">
                        <c:v>3.5581273191143401</c:v>
                      </c:pt>
                      <c:pt idx="49">
                        <c:v>3.6307421623615714</c:v>
                      </c:pt>
                      <c:pt idx="50">
                        <c:v>3.7033570056088028</c:v>
                      </c:pt>
                      <c:pt idx="51">
                        <c:v>3.7759718488560341</c:v>
                      </c:pt>
                    </c:numCache>
                  </c:numRef>
                </c:val>
                <c:smooth val="0"/>
                <c:extLst xmlns:c15="http://schemas.microsoft.com/office/drawing/2012/chart">
                  <c:ext xmlns:c16="http://schemas.microsoft.com/office/drawing/2014/chart" uri="{C3380CC4-5D6E-409C-BE32-E72D297353CC}">
                    <c16:uniqueId val="{00000009-A0B3-47B1-8186-FBB62F4CB585}"/>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'PBL OLD'!$DE$6:$DE$7</c15:sqref>
                        </c15:formulaRef>
                      </c:ext>
                    </c:extLst>
                    <c:strCache>
                      <c:ptCount val="2"/>
                      <c:pt idx="0">
                        <c:v>99th Percentile</c:v>
                      </c:pt>
                    </c:strCache>
                  </c:strRef>
                </c:tx>
                <c:spPr>
                  <a:ln w="28575">
                    <a:solidFill>
                      <a:schemeClr val="accent1"/>
                    </a:solidFill>
                    <a:prstDash val="sysDot"/>
                  </a:ln>
                </c:spPr>
                <c:marker>
                  <c:symbol val="none"/>
                </c:marker>
                <c:cat>
                  <c:numRef>
                    <c:extLst xmlns:c15="http://schemas.microsoft.com/office/drawing/2012/chart">
                      <c:ext xmlns:c15="http://schemas.microsoft.com/office/drawing/2012/chart" uri="{02D57815-91ED-43cb-92C2-25804820EDAC}">
                        <c15:formulaRef>
                          <c15:sqref>'PBL OLD'!$DR$8:$DR$60</c15:sqref>
                        </c15:formulaRef>
                      </c:ext>
                    </c:extLst>
                    <c:numCache>
                      <c:formatCode>d\-mmm\-yy_);\(###0\);"-  ";" "@" "</c:formatCode>
                      <c:ptCount val="53"/>
                      <c:pt idx="0">
                        <c:v>45113</c:v>
                      </c:pt>
                      <c:pt idx="1">
                        <c:v>45120</c:v>
                      </c:pt>
                      <c:pt idx="2">
                        <c:v>45127</c:v>
                      </c:pt>
                      <c:pt idx="3">
                        <c:v>45134</c:v>
                      </c:pt>
                      <c:pt idx="4">
                        <c:v>45141</c:v>
                      </c:pt>
                      <c:pt idx="5">
                        <c:v>45148</c:v>
                      </c:pt>
                      <c:pt idx="6">
                        <c:v>45155</c:v>
                      </c:pt>
                      <c:pt idx="7">
                        <c:v>45162</c:v>
                      </c:pt>
                      <c:pt idx="8">
                        <c:v>45169</c:v>
                      </c:pt>
                      <c:pt idx="9">
                        <c:v>45176</c:v>
                      </c:pt>
                      <c:pt idx="10">
                        <c:v>45183</c:v>
                      </c:pt>
                      <c:pt idx="11">
                        <c:v>45190</c:v>
                      </c:pt>
                      <c:pt idx="12">
                        <c:v>45197</c:v>
                      </c:pt>
                      <c:pt idx="13">
                        <c:v>45204</c:v>
                      </c:pt>
                      <c:pt idx="14">
                        <c:v>45211</c:v>
                      </c:pt>
                      <c:pt idx="15">
                        <c:v>45218</c:v>
                      </c:pt>
                      <c:pt idx="16">
                        <c:v>45225</c:v>
                      </c:pt>
                      <c:pt idx="17">
                        <c:v>45232</c:v>
                      </c:pt>
                      <c:pt idx="18">
                        <c:v>45239</c:v>
                      </c:pt>
                      <c:pt idx="19">
                        <c:v>45246</c:v>
                      </c:pt>
                      <c:pt idx="20">
                        <c:v>45253</c:v>
                      </c:pt>
                      <c:pt idx="21">
                        <c:v>45260</c:v>
                      </c:pt>
                      <c:pt idx="22">
                        <c:v>45267</c:v>
                      </c:pt>
                      <c:pt idx="23">
                        <c:v>45274</c:v>
                      </c:pt>
                      <c:pt idx="24">
                        <c:v>45281</c:v>
                      </c:pt>
                      <c:pt idx="25">
                        <c:v>45288</c:v>
                      </c:pt>
                      <c:pt idx="26">
                        <c:v>45295</c:v>
                      </c:pt>
                      <c:pt idx="27">
                        <c:v>45302</c:v>
                      </c:pt>
                      <c:pt idx="28">
                        <c:v>45309</c:v>
                      </c:pt>
                      <c:pt idx="29">
                        <c:v>45316</c:v>
                      </c:pt>
                      <c:pt idx="30">
                        <c:v>45323</c:v>
                      </c:pt>
                      <c:pt idx="31">
                        <c:v>45330</c:v>
                      </c:pt>
                      <c:pt idx="32">
                        <c:v>45337</c:v>
                      </c:pt>
                      <c:pt idx="33">
                        <c:v>45344</c:v>
                      </c:pt>
                      <c:pt idx="34">
                        <c:v>45351</c:v>
                      </c:pt>
                      <c:pt idx="35">
                        <c:v>45358</c:v>
                      </c:pt>
                      <c:pt idx="36">
                        <c:v>45365</c:v>
                      </c:pt>
                      <c:pt idx="37">
                        <c:v>45372</c:v>
                      </c:pt>
                      <c:pt idx="38">
                        <c:v>45379</c:v>
                      </c:pt>
                      <c:pt idx="39">
                        <c:v>45386</c:v>
                      </c:pt>
                      <c:pt idx="40">
                        <c:v>45393</c:v>
                      </c:pt>
                      <c:pt idx="41">
                        <c:v>45400</c:v>
                      </c:pt>
                      <c:pt idx="42">
                        <c:v>45407</c:v>
                      </c:pt>
                      <c:pt idx="43">
                        <c:v>45414</c:v>
                      </c:pt>
                      <c:pt idx="44">
                        <c:v>45421</c:v>
                      </c:pt>
                      <c:pt idx="45">
                        <c:v>45428</c:v>
                      </c:pt>
                      <c:pt idx="46">
                        <c:v>45435</c:v>
                      </c:pt>
                      <c:pt idx="47">
                        <c:v>45442</c:v>
                      </c:pt>
                      <c:pt idx="48">
                        <c:v>45449</c:v>
                      </c:pt>
                      <c:pt idx="49">
                        <c:v>45456</c:v>
                      </c:pt>
                      <c:pt idx="50">
                        <c:v>45463</c:v>
                      </c:pt>
                      <c:pt idx="51">
                        <c:v>45470</c:v>
                      </c:pt>
                    </c:numCache>
                  </c:numRef>
                </c:cat>
                <c:val>
                  <c:numRef>
                    <c:extLst xmlns:c15="http://schemas.microsoft.com/office/drawing/2012/chart">
                      <c:ext xmlns:c15="http://schemas.microsoft.com/office/drawing/2012/chart" uri="{02D57815-91ED-43cb-92C2-25804820EDAC}">
                        <c15:formulaRef>
                          <c15:sqref>'PBL OLD'!$DE$8:$DE$60</c15:sqref>
                        </c15:formulaRef>
                      </c:ext>
                    </c:extLst>
                    <c:numCache>
                      <c:formatCode>0.000</c:formatCode>
                      <c:ptCount val="53"/>
                      <c:pt idx="0">
                        <c:v>8.472863847550996E-2</c:v>
                      </c:pt>
                      <c:pt idx="1">
                        <c:v>0.16945727695101992</c:v>
                      </c:pt>
                      <c:pt idx="2">
                        <c:v>0.25418591542652991</c:v>
                      </c:pt>
                      <c:pt idx="3">
                        <c:v>0.33891455390203984</c:v>
                      </c:pt>
                      <c:pt idx="4">
                        <c:v>0.42364319237754977</c:v>
                      </c:pt>
                      <c:pt idx="5">
                        <c:v>0.5083718308530597</c:v>
                      </c:pt>
                      <c:pt idx="6">
                        <c:v>0.59310046932856963</c:v>
                      </c:pt>
                      <c:pt idx="7">
                        <c:v>0.67782910780407957</c:v>
                      </c:pt>
                      <c:pt idx="8">
                        <c:v>0.7625577462795895</c:v>
                      </c:pt>
                      <c:pt idx="9">
                        <c:v>0.84728638475509943</c:v>
                      </c:pt>
                      <c:pt idx="10">
                        <c:v>0.93201502323060936</c:v>
                      </c:pt>
                      <c:pt idx="11">
                        <c:v>1.0167436617061194</c:v>
                      </c:pt>
                      <c:pt idx="12">
                        <c:v>1.1014723001816293</c:v>
                      </c:pt>
                      <c:pt idx="13">
                        <c:v>1.1862009386571393</c:v>
                      </c:pt>
                      <c:pt idx="14">
                        <c:v>1.2709295771326492</c:v>
                      </c:pt>
                      <c:pt idx="15">
                        <c:v>1.3556582156081591</c:v>
                      </c:pt>
                      <c:pt idx="16">
                        <c:v>1.4403868540836691</c:v>
                      </c:pt>
                      <c:pt idx="17">
                        <c:v>1.525115492559179</c:v>
                      </c:pt>
                      <c:pt idx="18">
                        <c:v>1.6098441310346889</c:v>
                      </c:pt>
                      <c:pt idx="19">
                        <c:v>1.6945727695101989</c:v>
                      </c:pt>
                      <c:pt idx="20">
                        <c:v>1.7793014079857088</c:v>
                      </c:pt>
                      <c:pt idx="21">
                        <c:v>1.8640300464612187</c:v>
                      </c:pt>
                      <c:pt idx="22">
                        <c:v>1.9487586849367287</c:v>
                      </c:pt>
                      <c:pt idx="23">
                        <c:v>2.0334873234122388</c:v>
                      </c:pt>
                      <c:pt idx="24">
                        <c:v>2.1182159618877487</c:v>
                      </c:pt>
                      <c:pt idx="25">
                        <c:v>2.2029446003632587</c:v>
                      </c:pt>
                      <c:pt idx="26">
                        <c:v>2.2876732388387686</c:v>
                      </c:pt>
                      <c:pt idx="27">
                        <c:v>2.3724018773142785</c:v>
                      </c:pt>
                      <c:pt idx="28">
                        <c:v>2.4571305157897885</c:v>
                      </c:pt>
                      <c:pt idx="29">
                        <c:v>2.5418591542652984</c:v>
                      </c:pt>
                      <c:pt idx="30">
                        <c:v>2.6265877927408083</c:v>
                      </c:pt>
                      <c:pt idx="31">
                        <c:v>2.7113164312163183</c:v>
                      </c:pt>
                      <c:pt idx="32">
                        <c:v>2.7960450696918282</c:v>
                      </c:pt>
                      <c:pt idx="33">
                        <c:v>2.8807737081673381</c:v>
                      </c:pt>
                      <c:pt idx="34">
                        <c:v>2.9655023466428481</c:v>
                      </c:pt>
                      <c:pt idx="35">
                        <c:v>3.050230985118358</c:v>
                      </c:pt>
                      <c:pt idx="36">
                        <c:v>3.1349596235938679</c:v>
                      </c:pt>
                      <c:pt idx="37">
                        <c:v>3.2196882620693779</c:v>
                      </c:pt>
                      <c:pt idx="38">
                        <c:v>3.3044169005448878</c:v>
                      </c:pt>
                      <c:pt idx="39">
                        <c:v>3.3891455390203977</c:v>
                      </c:pt>
                      <c:pt idx="40">
                        <c:v>3.4738741774959077</c:v>
                      </c:pt>
                      <c:pt idx="41">
                        <c:v>3.5586028159714176</c:v>
                      </c:pt>
                      <c:pt idx="42">
                        <c:v>3.6433314544469275</c:v>
                      </c:pt>
                      <c:pt idx="43">
                        <c:v>3.7280600929224375</c:v>
                      </c:pt>
                      <c:pt idx="44">
                        <c:v>3.8127887313979474</c:v>
                      </c:pt>
                      <c:pt idx="45">
                        <c:v>3.8975173698734573</c:v>
                      </c:pt>
                      <c:pt idx="46">
                        <c:v>3.9822460083489672</c:v>
                      </c:pt>
                      <c:pt idx="47">
                        <c:v>4.0669746468244776</c:v>
                      </c:pt>
                      <c:pt idx="48">
                        <c:v>4.1517032852999876</c:v>
                      </c:pt>
                      <c:pt idx="49">
                        <c:v>4.2364319237754975</c:v>
                      </c:pt>
                      <c:pt idx="50">
                        <c:v>4.3211605622510074</c:v>
                      </c:pt>
                      <c:pt idx="51">
                        <c:v>4.4058892007265174</c:v>
                      </c:pt>
                    </c:numCache>
                  </c:numRef>
                </c:val>
                <c:smooth val="0"/>
                <c:extLst xmlns:c15="http://schemas.microsoft.com/office/drawing/2012/chart">
                  <c:ext xmlns:c16="http://schemas.microsoft.com/office/drawing/2014/chart" uri="{C3380CC4-5D6E-409C-BE32-E72D297353CC}">
                    <c16:uniqueId val="{0000000A-A0B3-47B1-8186-FBB62F4CB585}"/>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'PBL OLD'!$DF$6:$DF$7</c15:sqref>
                        </c15:formulaRef>
                      </c:ext>
                    </c:extLst>
                    <c:strCache>
                      <c:ptCount val="2"/>
                      <c:pt idx="0">
                        <c:v>Max</c:v>
                      </c:pt>
                    </c:strCache>
                  </c:strRef>
                </c:tx>
                <c:marker>
                  <c:symbol val="none"/>
                </c:marker>
                <c:cat>
                  <c:numRef>
                    <c:extLst xmlns:c15="http://schemas.microsoft.com/office/drawing/2012/chart">
                      <c:ext xmlns:c15="http://schemas.microsoft.com/office/drawing/2012/chart" uri="{02D57815-91ED-43cb-92C2-25804820EDAC}">
                        <c15:formulaRef>
                          <c15:sqref>'PBL OLD'!$DR$8:$DR$60</c15:sqref>
                        </c15:formulaRef>
                      </c:ext>
                    </c:extLst>
                    <c:numCache>
                      <c:formatCode>d\-mmm\-yy_);\(###0\);"-  ";" "@" "</c:formatCode>
                      <c:ptCount val="53"/>
                      <c:pt idx="0">
                        <c:v>45113</c:v>
                      </c:pt>
                      <c:pt idx="1">
                        <c:v>45120</c:v>
                      </c:pt>
                      <c:pt idx="2">
                        <c:v>45127</c:v>
                      </c:pt>
                      <c:pt idx="3">
                        <c:v>45134</c:v>
                      </c:pt>
                      <c:pt idx="4">
                        <c:v>45141</c:v>
                      </c:pt>
                      <c:pt idx="5">
                        <c:v>45148</c:v>
                      </c:pt>
                      <c:pt idx="6">
                        <c:v>45155</c:v>
                      </c:pt>
                      <c:pt idx="7">
                        <c:v>45162</c:v>
                      </c:pt>
                      <c:pt idx="8">
                        <c:v>45169</c:v>
                      </c:pt>
                      <c:pt idx="9">
                        <c:v>45176</c:v>
                      </c:pt>
                      <c:pt idx="10">
                        <c:v>45183</c:v>
                      </c:pt>
                      <c:pt idx="11">
                        <c:v>45190</c:v>
                      </c:pt>
                      <c:pt idx="12">
                        <c:v>45197</c:v>
                      </c:pt>
                      <c:pt idx="13">
                        <c:v>45204</c:v>
                      </c:pt>
                      <c:pt idx="14">
                        <c:v>45211</c:v>
                      </c:pt>
                      <c:pt idx="15">
                        <c:v>45218</c:v>
                      </c:pt>
                      <c:pt idx="16">
                        <c:v>45225</c:v>
                      </c:pt>
                      <c:pt idx="17">
                        <c:v>45232</c:v>
                      </c:pt>
                      <c:pt idx="18">
                        <c:v>45239</c:v>
                      </c:pt>
                      <c:pt idx="19">
                        <c:v>45246</c:v>
                      </c:pt>
                      <c:pt idx="20">
                        <c:v>45253</c:v>
                      </c:pt>
                      <c:pt idx="21">
                        <c:v>45260</c:v>
                      </c:pt>
                      <c:pt idx="22">
                        <c:v>45267</c:v>
                      </c:pt>
                      <c:pt idx="23">
                        <c:v>45274</c:v>
                      </c:pt>
                      <c:pt idx="24">
                        <c:v>45281</c:v>
                      </c:pt>
                      <c:pt idx="25">
                        <c:v>45288</c:v>
                      </c:pt>
                      <c:pt idx="26">
                        <c:v>45295</c:v>
                      </c:pt>
                      <c:pt idx="27">
                        <c:v>45302</c:v>
                      </c:pt>
                      <c:pt idx="28">
                        <c:v>45309</c:v>
                      </c:pt>
                      <c:pt idx="29">
                        <c:v>45316</c:v>
                      </c:pt>
                      <c:pt idx="30">
                        <c:v>45323</c:v>
                      </c:pt>
                      <c:pt idx="31">
                        <c:v>45330</c:v>
                      </c:pt>
                      <c:pt idx="32">
                        <c:v>45337</c:v>
                      </c:pt>
                      <c:pt idx="33">
                        <c:v>45344</c:v>
                      </c:pt>
                      <c:pt idx="34">
                        <c:v>45351</c:v>
                      </c:pt>
                      <c:pt idx="35">
                        <c:v>45358</c:v>
                      </c:pt>
                      <c:pt idx="36">
                        <c:v>45365</c:v>
                      </c:pt>
                      <c:pt idx="37">
                        <c:v>45372</c:v>
                      </c:pt>
                      <c:pt idx="38">
                        <c:v>45379</c:v>
                      </c:pt>
                      <c:pt idx="39">
                        <c:v>45386</c:v>
                      </c:pt>
                      <c:pt idx="40">
                        <c:v>45393</c:v>
                      </c:pt>
                      <c:pt idx="41">
                        <c:v>45400</c:v>
                      </c:pt>
                      <c:pt idx="42">
                        <c:v>45407</c:v>
                      </c:pt>
                      <c:pt idx="43">
                        <c:v>45414</c:v>
                      </c:pt>
                      <c:pt idx="44">
                        <c:v>45421</c:v>
                      </c:pt>
                      <c:pt idx="45">
                        <c:v>45428</c:v>
                      </c:pt>
                      <c:pt idx="46">
                        <c:v>45435</c:v>
                      </c:pt>
                      <c:pt idx="47">
                        <c:v>45442</c:v>
                      </c:pt>
                      <c:pt idx="48">
                        <c:v>45449</c:v>
                      </c:pt>
                      <c:pt idx="49">
                        <c:v>45456</c:v>
                      </c:pt>
                      <c:pt idx="50">
                        <c:v>45463</c:v>
                      </c:pt>
                      <c:pt idx="51">
                        <c:v>45470</c:v>
                      </c:pt>
                    </c:numCache>
                  </c:numRef>
                </c:cat>
                <c:val>
                  <c:numRef>
                    <c:extLst xmlns:c15="http://schemas.microsoft.com/office/drawing/2012/chart">
                      <c:ext xmlns:c15="http://schemas.microsoft.com/office/drawing/2012/chart" uri="{02D57815-91ED-43cb-92C2-25804820EDAC}">
                        <c15:formulaRef>
                          <c15:sqref>'PBL OLD'!$DF$8:$DF$60</c15:sqref>
                        </c15:formulaRef>
                      </c:ext>
                    </c:extLst>
                    <c:numCache>
                      <c:formatCode>0.000</c:formatCode>
                      <c:ptCount val="53"/>
                      <c:pt idx="0">
                        <c:v>0.10288241710741779</c:v>
                      </c:pt>
                      <c:pt idx="1">
                        <c:v>0.20576483421483557</c:v>
                      </c:pt>
                      <c:pt idx="2">
                        <c:v>0.30864725132225335</c:v>
                      </c:pt>
                      <c:pt idx="3">
                        <c:v>0.41152966842967115</c:v>
                      </c:pt>
                      <c:pt idx="4">
                        <c:v>0.51441208553708895</c:v>
                      </c:pt>
                      <c:pt idx="5">
                        <c:v>0.61729450264450669</c:v>
                      </c:pt>
                      <c:pt idx="6">
                        <c:v>0.72017691975192444</c:v>
                      </c:pt>
                      <c:pt idx="7">
                        <c:v>0.82305933685934218</c:v>
                      </c:pt>
                      <c:pt idx="8">
                        <c:v>0.92594175396675993</c:v>
                      </c:pt>
                      <c:pt idx="9">
                        <c:v>1.0288241710741777</c:v>
                      </c:pt>
                      <c:pt idx="10">
                        <c:v>1.1317065881815955</c:v>
                      </c:pt>
                      <c:pt idx="11">
                        <c:v>1.2345890052890134</c:v>
                      </c:pt>
                      <c:pt idx="12">
                        <c:v>1.3374714223964312</c:v>
                      </c:pt>
                      <c:pt idx="13">
                        <c:v>1.4403538395038491</c:v>
                      </c:pt>
                      <c:pt idx="14">
                        <c:v>1.543236256611267</c:v>
                      </c:pt>
                      <c:pt idx="15">
                        <c:v>1.6461186737186848</c:v>
                      </c:pt>
                      <c:pt idx="16">
                        <c:v>1.7490010908261027</c:v>
                      </c:pt>
                      <c:pt idx="17">
                        <c:v>1.8518835079335205</c:v>
                      </c:pt>
                      <c:pt idx="18">
                        <c:v>1.9547659250409384</c:v>
                      </c:pt>
                      <c:pt idx="19">
                        <c:v>2.0576483421483562</c:v>
                      </c:pt>
                      <c:pt idx="20">
                        <c:v>2.1605307592557739</c:v>
                      </c:pt>
                      <c:pt idx="21">
                        <c:v>2.2634131763631915</c:v>
                      </c:pt>
                      <c:pt idx="22">
                        <c:v>2.3662955934706091</c:v>
                      </c:pt>
                      <c:pt idx="23">
                        <c:v>2.4691780105780268</c:v>
                      </c:pt>
                      <c:pt idx="24">
                        <c:v>2.5720604276854444</c:v>
                      </c:pt>
                      <c:pt idx="25">
                        <c:v>2.674942844792862</c:v>
                      </c:pt>
                      <c:pt idx="26">
                        <c:v>2.7778252619002797</c:v>
                      </c:pt>
                      <c:pt idx="27">
                        <c:v>2.8807076790076973</c:v>
                      </c:pt>
                      <c:pt idx="28">
                        <c:v>2.9835900961151149</c:v>
                      </c:pt>
                      <c:pt idx="29">
                        <c:v>3.0864725132225326</c:v>
                      </c:pt>
                      <c:pt idx="30">
                        <c:v>3.1893549303299502</c:v>
                      </c:pt>
                      <c:pt idx="31">
                        <c:v>3.2922373474373678</c:v>
                      </c:pt>
                      <c:pt idx="32">
                        <c:v>3.3951197645447855</c:v>
                      </c:pt>
                      <c:pt idx="33">
                        <c:v>3.4980021816522031</c:v>
                      </c:pt>
                      <c:pt idx="34">
                        <c:v>3.6008845987596207</c:v>
                      </c:pt>
                      <c:pt idx="35">
                        <c:v>3.7037670158670384</c:v>
                      </c:pt>
                      <c:pt idx="36">
                        <c:v>3.806649432974456</c:v>
                      </c:pt>
                      <c:pt idx="37">
                        <c:v>3.9095318500818736</c:v>
                      </c:pt>
                      <c:pt idx="38">
                        <c:v>4.0124142671892917</c:v>
                      </c:pt>
                      <c:pt idx="39">
                        <c:v>4.1152966842967098</c:v>
                      </c:pt>
                      <c:pt idx="40">
                        <c:v>4.2181791014041279</c:v>
                      </c:pt>
                      <c:pt idx="41">
                        <c:v>4.321061518511546</c:v>
                      </c:pt>
                      <c:pt idx="42">
                        <c:v>4.423943935618964</c:v>
                      </c:pt>
                      <c:pt idx="43">
                        <c:v>4.5268263527263821</c:v>
                      </c:pt>
                      <c:pt idx="44">
                        <c:v>4.6297087698338002</c:v>
                      </c:pt>
                      <c:pt idx="45">
                        <c:v>4.7325911869412183</c:v>
                      </c:pt>
                      <c:pt idx="46">
                        <c:v>4.8354736040486364</c:v>
                      </c:pt>
                      <c:pt idx="47">
                        <c:v>4.9383560211560544</c:v>
                      </c:pt>
                      <c:pt idx="48">
                        <c:v>5.0412384382634725</c:v>
                      </c:pt>
                      <c:pt idx="49">
                        <c:v>5.1441208553708906</c:v>
                      </c:pt>
                      <c:pt idx="50">
                        <c:v>5.2470032724783087</c:v>
                      </c:pt>
                      <c:pt idx="51">
                        <c:v>5.3498856895857267</c:v>
                      </c:pt>
                    </c:numCache>
                  </c:numRef>
                </c:val>
                <c:smooth val="0"/>
                <c:extLst xmlns:c15="http://schemas.microsoft.com/office/drawing/2012/chart">
                  <c:ext xmlns:c16="http://schemas.microsoft.com/office/drawing/2014/chart" uri="{C3380CC4-5D6E-409C-BE32-E72D297353CC}">
                    <c16:uniqueId val="{0000000B-A0B3-47B1-8186-FBB62F4CB585}"/>
                  </c:ext>
                </c:extLst>
              </c15:ser>
            </c15:filteredLineSeries>
          </c:ext>
        </c:extLst>
      </c:lineChart>
      <c:dateAx>
        <c:axId val="1388952432"/>
        <c:scaling>
          <c:orientation val="minMax"/>
        </c:scaling>
        <c:delete val="0"/>
        <c:axPos val="b"/>
        <c:numFmt formatCode="mmm\-yy_);\(###0\);&quot;-  &quot;;&quot; &quot;@&quot; &quot;" sourceLinked="0"/>
        <c:majorTickMark val="none"/>
        <c:minorTickMark val="none"/>
        <c:tickLblPos val="nextTo"/>
        <c:spPr>
          <a:noFill/>
          <a:ln w="9525" cap="flat" cmpd="sng" algn="ctr">
            <a:noFill/>
            <a:round/>
          </a:ln>
          <a:effectLst/>
        </c:spPr>
        <c:txPr>
          <a:bodyPr rot="-5400000" vert="horz"/>
          <a:lstStyle/>
          <a:p>
            <a:pPr>
              <a:defRPr/>
            </a:pPr>
            <a:endParaRPr lang="en-US"/>
          </a:p>
        </c:txPr>
        <c:crossAx val="1388953088"/>
        <c:crosses val="autoZero"/>
        <c:auto val="1"/>
        <c:lblOffset val="100"/>
        <c:baseTimeUnit val="days"/>
        <c:majorUnit val="1"/>
        <c:majorTimeUnit val="months"/>
      </c:dateAx>
      <c:valAx>
        <c:axId val="1388953088"/>
        <c:scaling>
          <c:orientation val="minMax"/>
          <c:max val="4.5"/>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vert="horz"/>
          <a:lstStyle/>
          <a:p>
            <a:pPr>
              <a:defRPr/>
            </a:pPr>
            <a:endParaRPr lang="en-US"/>
          </a:p>
        </c:txPr>
        <c:crossAx val="1388952432"/>
        <c:crosses val="autoZero"/>
        <c:crossBetween val="between"/>
      </c:valAx>
    </c:plotArea>
    <c:legend>
      <c:legendPos val="b"/>
      <c:legendEntry>
        <c:idx val="1"/>
        <c:delete val="1"/>
      </c:legendEntry>
      <c:legendEntry>
        <c:idx val="3"/>
        <c:delete val="1"/>
      </c:legendEntry>
      <c:legendEntry>
        <c:idx val="4"/>
        <c:delete val="1"/>
      </c:legendEntry>
      <c:legendEntry>
        <c:idx val="5"/>
        <c:delete val="1"/>
      </c:legendEntry>
      <c:overlay val="0"/>
      <c:spPr>
        <a:noFill/>
        <a:ln>
          <a:noFill/>
        </a:ln>
        <a:effectLst/>
      </c:spPr>
      <c:txPr>
        <a:bodyPr rot="0" vert="horz"/>
        <a:lstStyle/>
        <a:p>
          <a:pPr>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orientation="portrait"/>
  </c:printSettings>
</c:chartSpace>
</file>

<file path=xl/charts/chart1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'PBL OLD'!$CU$6:$CU$7</c:f>
              <c:strCache>
                <c:ptCount val="2"/>
                <c:pt idx="0">
                  <c:v>Actual</c:v>
                </c:pt>
              </c:strCache>
            </c:strRef>
          </c:tx>
          <c:spPr>
            <a:ln w="28575" cap="rnd">
              <a:solidFill>
                <a:schemeClr val="tx2"/>
              </a:solidFill>
              <a:round/>
            </a:ln>
            <a:effectLst/>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OLD'!$CU$8:$CU$60</c:f>
              <c:numCache>
                <c:formatCode>0.000</c:formatCode>
                <c:ptCount val="53"/>
                <c:pt idx="0">
                  <c:v>2.4383432684147156E-2</c:v>
                </c:pt>
                <c:pt idx="1">
                  <c:v>5.7456335077458197E-2</c:v>
                </c:pt>
                <c:pt idx="2">
                  <c:v>8.2897301732709039E-2</c:v>
                </c:pt>
                <c:pt idx="3">
                  <c:v>0.10634933406608696</c:v>
                </c:pt>
                <c:pt idx="4">
                  <c:v>0.13586762292789298</c:v>
                </c:pt>
                <c:pt idx="5">
                  <c:v>0.18374004427397994</c:v>
                </c:pt>
                <c:pt idx="6">
                  <c:v>0.20803473319331103</c:v>
                </c:pt>
                <c:pt idx="7">
                  <c:v>0.23891877923157193</c:v>
                </c:pt>
                <c:pt idx="8">
                  <c:v>0.28713984685163879</c:v>
                </c:pt>
                <c:pt idx="9">
                  <c:v>0.3616614278523077</c:v>
                </c:pt>
                <c:pt idx="10">
                  <c:v>0.392004627321204</c:v>
                </c:pt>
                <c:pt idx="11">
                  <c:v>0.41949779873926418</c:v>
                </c:pt>
                <c:pt idx="12">
                  <c:v>0.46306182742073576</c:v>
                </c:pt>
                <c:pt idx="13">
                  <c:v>0.52060037325672237</c:v>
                </c:pt>
                <c:pt idx="14">
                  <c:v>0.6148648724923077</c:v>
                </c:pt>
                <c:pt idx="15">
                  <c:v>0.83700126369498329</c:v>
                </c:pt>
                <c:pt idx="16">
                  <c:v>1.1825944978628762</c:v>
                </c:pt>
                <c:pt idx="17">
                  <c:v>1.2153577144507022</c:v>
                </c:pt>
                <c:pt idx="18">
                  <c:v>1.2691323901694982</c:v>
                </c:pt>
                <c:pt idx="19">
                  <c:v>1.3310424487488961</c:v>
                </c:pt>
                <c:pt idx="20">
                  <c:v>1.4175102073723076</c:v>
                </c:pt>
                <c:pt idx="21">
                  <c:v>1.4481012105839461</c:v>
                </c:pt>
                <c:pt idx="22">
                  <c:v>1.4946211055890297</c:v>
                </c:pt>
                <c:pt idx="23">
                  <c:v>1.5554005903488961</c:v>
                </c:pt>
                <c:pt idx="24">
                  <c:v>1.6472886013460868</c:v>
                </c:pt>
                <c:pt idx="25">
                  <c:v>1.8141838940449495</c:v>
                </c:pt>
                <c:pt idx="26">
                  <c:v>1.8392503831253511</c:v>
                </c:pt>
                <c:pt idx="27">
                  <c:v>1.866157764302341</c:v>
                </c:pt>
                <c:pt idx="28">
                  <c:v>1.9009749529614712</c:v>
                </c:pt>
                <c:pt idx="29">
                  <c:v>1.9519053104066888</c:v>
                </c:pt>
                <c:pt idx="30">
                  <c:v>2.0244714168671569</c:v>
                </c:pt>
                <c:pt idx="31">
                  <c:v>2.0488217174971233</c:v>
                </c:pt>
                <c:pt idx="32">
                  <c:v>2.0819389554734444</c:v>
                </c:pt>
                <c:pt idx="33">
                  <c:v>2.135068076795986</c:v>
                </c:pt>
                <c:pt idx="34">
                  <c:v>2.2086620296321069</c:v>
                </c:pt>
                <c:pt idx="35">
                  <c:v>2.2340468803692306</c:v>
                </c:pt>
                <c:pt idx="36">
                  <c:v>2.2608009917649499</c:v>
                </c:pt>
                <c:pt idx="37">
                  <c:v>2.2922285879399333</c:v>
                </c:pt>
                <c:pt idx="38">
                  <c:v>2.3232771205685618</c:v>
                </c:pt>
                <c:pt idx="39">
                  <c:v>2.3730794774674249</c:v>
                </c:pt>
                <c:pt idx="40">
                  <c:v>2.4331034888271574</c:v>
                </c:pt>
                <c:pt idx="41">
                  <c:v>2.459481893485485</c:v>
                </c:pt>
                <c:pt idx="42">
                  <c:v>2.4922966782375924</c:v>
                </c:pt>
                <c:pt idx="43">
                  <c:v>2.5430290760305017</c:v>
                </c:pt>
                <c:pt idx="44">
                  <c:v>2.5665048546627425</c:v>
                </c:pt>
                <c:pt idx="45">
                  <c:v>2.5900549864143145</c:v>
                </c:pt>
                <c:pt idx="46">
                  <c:v>2.6316794518334712</c:v>
                </c:pt>
                <c:pt idx="47">
                  <c:v>2.6865530592113069</c:v>
                </c:pt>
                <c:pt idx="48">
                  <c:v>2.7625586865996037</c:v>
                </c:pt>
                <c:pt idx="49">
                  <c:v>2.8807855607703785</c:v>
                </c:pt>
                <c:pt idx="50">
                  <c:v>3.1087288440336671</c:v>
                </c:pt>
                <c:pt idx="51">
                  <c:v>3.1350399566342553</c:v>
                </c:pt>
              </c:numCache>
            </c:numRef>
          </c:val>
          <c:smooth val="0"/>
          <c:extLst>
            <c:ext xmlns:c16="http://schemas.microsoft.com/office/drawing/2014/chart" uri="{C3380CC4-5D6E-409C-BE32-E72D297353CC}">
              <c16:uniqueId val="{00000000-1F14-452B-9F4A-E48CF1855070}"/>
            </c:ext>
          </c:extLst>
        </c:ser>
        <c:ser>
          <c:idx val="1"/>
          <c:order val="4"/>
          <c:tx>
            <c:strRef>
              <c:f>'PBL OLD'!$CY$6:$CY$7</c:f>
              <c:strCache>
                <c:ptCount val="2"/>
                <c:pt idx="0">
                  <c:v>10th Percentile</c:v>
                </c:pt>
              </c:strCache>
            </c:strRef>
          </c:tx>
          <c:spPr>
            <a:ln w="28575" cap="rnd" cmpd="sng">
              <a:solidFill>
                <a:schemeClr val="accent6"/>
              </a:solidFill>
              <a:prstDash val="sysDot"/>
              <a:round/>
              <a:headEnd type="none"/>
            </a:ln>
            <a:effectLst/>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OLD'!$CY$8:$CY$60</c:f>
              <c:numCache>
                <c:formatCode>0.000</c:formatCode>
                <c:ptCount val="53"/>
                <c:pt idx="0">
                  <c:v>5.0502007292025322E-2</c:v>
                </c:pt>
                <c:pt idx="1">
                  <c:v>0.10100401458405064</c:v>
                </c:pt>
                <c:pt idx="2">
                  <c:v>0.15150602187607598</c:v>
                </c:pt>
                <c:pt idx="3">
                  <c:v>0.20200802916810129</c:v>
                </c:pt>
                <c:pt idx="4">
                  <c:v>0.2525100364601266</c:v>
                </c:pt>
                <c:pt idx="5">
                  <c:v>0.30301204375215191</c:v>
                </c:pt>
                <c:pt idx="6">
                  <c:v>0.35351405104417721</c:v>
                </c:pt>
                <c:pt idx="7">
                  <c:v>0.40401605833620252</c:v>
                </c:pt>
                <c:pt idx="8">
                  <c:v>0.45451806562822783</c:v>
                </c:pt>
                <c:pt idx="9">
                  <c:v>0.50502007292025319</c:v>
                </c:pt>
                <c:pt idx="10">
                  <c:v>0.55552208021227856</c:v>
                </c:pt>
                <c:pt idx="11">
                  <c:v>0.60602408750430392</c:v>
                </c:pt>
                <c:pt idx="12">
                  <c:v>0.65652609479632928</c:v>
                </c:pt>
                <c:pt idx="13">
                  <c:v>0.70702810208835465</c:v>
                </c:pt>
                <c:pt idx="14">
                  <c:v>0.75753010938038001</c:v>
                </c:pt>
                <c:pt idx="15">
                  <c:v>0.80803211667240538</c:v>
                </c:pt>
                <c:pt idx="16">
                  <c:v>0.85853412396443074</c:v>
                </c:pt>
                <c:pt idx="17">
                  <c:v>0.9090361312564561</c:v>
                </c:pt>
                <c:pt idx="18">
                  <c:v>0.95953813854848147</c:v>
                </c:pt>
                <c:pt idx="19">
                  <c:v>1.0100401458405068</c:v>
                </c:pt>
                <c:pt idx="20">
                  <c:v>1.0605421531325321</c:v>
                </c:pt>
                <c:pt idx="21">
                  <c:v>1.1110441604245573</c:v>
                </c:pt>
                <c:pt idx="22">
                  <c:v>1.1615461677165826</c:v>
                </c:pt>
                <c:pt idx="23">
                  <c:v>1.2120481750086078</c:v>
                </c:pt>
                <c:pt idx="24">
                  <c:v>1.2625501823006331</c:v>
                </c:pt>
                <c:pt idx="25">
                  <c:v>1.3130521895926583</c:v>
                </c:pt>
                <c:pt idx="26">
                  <c:v>1.3635541968846836</c:v>
                </c:pt>
                <c:pt idx="27">
                  <c:v>1.4140562041767089</c:v>
                </c:pt>
                <c:pt idx="28">
                  <c:v>1.4645582114687341</c:v>
                </c:pt>
                <c:pt idx="29">
                  <c:v>1.5150602187607594</c:v>
                </c:pt>
                <c:pt idx="30">
                  <c:v>1.5655622260527846</c:v>
                </c:pt>
                <c:pt idx="31">
                  <c:v>1.6160642333448099</c:v>
                </c:pt>
                <c:pt idx="32">
                  <c:v>1.6665662406368351</c:v>
                </c:pt>
                <c:pt idx="33">
                  <c:v>1.7170682479288604</c:v>
                </c:pt>
                <c:pt idx="34">
                  <c:v>1.7675702552208856</c:v>
                </c:pt>
                <c:pt idx="35">
                  <c:v>1.8180722625129109</c:v>
                </c:pt>
                <c:pt idx="36">
                  <c:v>1.8685742698049361</c:v>
                </c:pt>
                <c:pt idx="37">
                  <c:v>1.9190762770969614</c:v>
                </c:pt>
                <c:pt idx="38">
                  <c:v>1.9695782843889866</c:v>
                </c:pt>
                <c:pt idx="39">
                  <c:v>2.0200802916810119</c:v>
                </c:pt>
                <c:pt idx="40">
                  <c:v>2.0705822989730374</c:v>
                </c:pt>
                <c:pt idx="41">
                  <c:v>2.1210843062650628</c:v>
                </c:pt>
                <c:pt idx="42">
                  <c:v>2.1715863135570883</c:v>
                </c:pt>
                <c:pt idx="43">
                  <c:v>2.2220883208491138</c:v>
                </c:pt>
                <c:pt idx="44">
                  <c:v>2.2725903281411393</c:v>
                </c:pt>
                <c:pt idx="45">
                  <c:v>2.3230923354331647</c:v>
                </c:pt>
                <c:pt idx="46">
                  <c:v>2.3735943427251902</c:v>
                </c:pt>
                <c:pt idx="47">
                  <c:v>2.4240963500172157</c:v>
                </c:pt>
                <c:pt idx="48">
                  <c:v>2.4745983573092412</c:v>
                </c:pt>
                <c:pt idx="49">
                  <c:v>2.5251003646012666</c:v>
                </c:pt>
                <c:pt idx="50">
                  <c:v>2.5756023718932921</c:v>
                </c:pt>
                <c:pt idx="51">
                  <c:v>2.6261043791853176</c:v>
                </c:pt>
              </c:numCache>
            </c:numRef>
          </c:val>
          <c:smooth val="0"/>
          <c:extLst xmlns:c15="http://schemas.microsoft.com/office/drawing/2012/chart">
            <c:ext xmlns:c16="http://schemas.microsoft.com/office/drawing/2014/chart" uri="{C3380CC4-5D6E-409C-BE32-E72D297353CC}">
              <c16:uniqueId val="{00000001-1F14-452B-9F4A-E48CF1855070}"/>
            </c:ext>
          </c:extLst>
        </c:ser>
        <c:ser>
          <c:idx val="4"/>
          <c:order val="6"/>
          <c:tx>
            <c:strRef>
              <c:f>'PBL OLD'!$DA$6:$DA$7</c:f>
              <c:strCache>
                <c:ptCount val="2"/>
                <c:pt idx="0">
                  <c:v>50th Percentile</c:v>
                </c:pt>
              </c:strCache>
            </c:strRef>
          </c:tx>
          <c:spPr>
            <a:ln w="28575">
              <a:solidFill>
                <a:schemeClr val="bg2"/>
              </a:solidFill>
              <a:prstDash val="sysDot"/>
            </a:ln>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OLD'!$DA$8:$DA$60</c:f>
              <c:numCache>
                <c:formatCode>0.000</c:formatCode>
                <c:ptCount val="53"/>
                <c:pt idx="0">
                  <c:v>6.0209708872007502E-2</c:v>
                </c:pt>
                <c:pt idx="1">
                  <c:v>0.120419417744015</c:v>
                </c:pt>
                <c:pt idx="2">
                  <c:v>0.18062912661602251</c:v>
                </c:pt>
                <c:pt idx="3">
                  <c:v>0.24083883548803001</c:v>
                </c:pt>
                <c:pt idx="4">
                  <c:v>0.30104854436003753</c:v>
                </c:pt>
                <c:pt idx="5">
                  <c:v>0.36125825323204502</c:v>
                </c:pt>
                <c:pt idx="6">
                  <c:v>0.42146796210405252</c:v>
                </c:pt>
                <c:pt idx="7">
                  <c:v>0.48167767097606001</c:v>
                </c:pt>
                <c:pt idx="8">
                  <c:v>0.54188737984806756</c:v>
                </c:pt>
                <c:pt idx="9">
                  <c:v>0.60209708872007506</c:v>
                </c:pt>
                <c:pt idx="10">
                  <c:v>0.66230679759208255</c:v>
                </c:pt>
                <c:pt idx="11">
                  <c:v>0.72251650646409005</c:v>
                </c:pt>
                <c:pt idx="12">
                  <c:v>0.78272621533609754</c:v>
                </c:pt>
                <c:pt idx="13">
                  <c:v>0.84293592420810504</c:v>
                </c:pt>
                <c:pt idx="14">
                  <c:v>0.90314563308011253</c:v>
                </c:pt>
                <c:pt idx="15">
                  <c:v>0.96335534195212003</c:v>
                </c:pt>
                <c:pt idx="16">
                  <c:v>1.0235650508241276</c:v>
                </c:pt>
                <c:pt idx="17">
                  <c:v>1.0837747596961351</c:v>
                </c:pt>
                <c:pt idx="18">
                  <c:v>1.1439844685681426</c:v>
                </c:pt>
                <c:pt idx="19">
                  <c:v>1.2041941774401501</c:v>
                </c:pt>
                <c:pt idx="20">
                  <c:v>1.2644038863121576</c:v>
                </c:pt>
                <c:pt idx="21">
                  <c:v>1.3246135951841651</c:v>
                </c:pt>
                <c:pt idx="22">
                  <c:v>1.3848233040561726</c:v>
                </c:pt>
                <c:pt idx="23">
                  <c:v>1.4450330129281801</c:v>
                </c:pt>
                <c:pt idx="24">
                  <c:v>1.5052427218001876</c:v>
                </c:pt>
                <c:pt idx="25">
                  <c:v>1.5654524306721951</c:v>
                </c:pt>
                <c:pt idx="26">
                  <c:v>1.6256621395442026</c:v>
                </c:pt>
                <c:pt idx="27">
                  <c:v>1.6858718484162101</c:v>
                </c:pt>
                <c:pt idx="28">
                  <c:v>1.7460815572882176</c:v>
                </c:pt>
                <c:pt idx="29">
                  <c:v>1.8062912661602251</c:v>
                </c:pt>
                <c:pt idx="30">
                  <c:v>1.8665009750322326</c:v>
                </c:pt>
                <c:pt idx="31">
                  <c:v>1.9267106839042401</c:v>
                </c:pt>
                <c:pt idx="32">
                  <c:v>1.9869203927762475</c:v>
                </c:pt>
                <c:pt idx="33">
                  <c:v>2.0471301016482553</c:v>
                </c:pt>
                <c:pt idx="34">
                  <c:v>2.107339810520263</c:v>
                </c:pt>
                <c:pt idx="35">
                  <c:v>2.1675495193922707</c:v>
                </c:pt>
                <c:pt idx="36">
                  <c:v>2.2277592282642784</c:v>
                </c:pt>
                <c:pt idx="37">
                  <c:v>2.2879689371362861</c:v>
                </c:pt>
                <c:pt idx="38">
                  <c:v>2.3481786460082938</c:v>
                </c:pt>
                <c:pt idx="39">
                  <c:v>2.4083883548803016</c:v>
                </c:pt>
                <c:pt idx="40">
                  <c:v>2.4685980637523093</c:v>
                </c:pt>
                <c:pt idx="41">
                  <c:v>2.528807772624317</c:v>
                </c:pt>
                <c:pt idx="42">
                  <c:v>2.5890174814963247</c:v>
                </c:pt>
                <c:pt idx="43">
                  <c:v>2.6492271903683324</c:v>
                </c:pt>
                <c:pt idx="44">
                  <c:v>2.7094368992403401</c:v>
                </c:pt>
                <c:pt idx="45">
                  <c:v>2.7696466081123479</c:v>
                </c:pt>
                <c:pt idx="46">
                  <c:v>2.8298563169843556</c:v>
                </c:pt>
                <c:pt idx="47">
                  <c:v>2.8900660258563633</c:v>
                </c:pt>
                <c:pt idx="48">
                  <c:v>2.950275734728371</c:v>
                </c:pt>
                <c:pt idx="49">
                  <c:v>3.0104854436003787</c:v>
                </c:pt>
                <c:pt idx="50">
                  <c:v>3.0706951524723864</c:v>
                </c:pt>
                <c:pt idx="51">
                  <c:v>3.1309048613443942</c:v>
                </c:pt>
              </c:numCache>
            </c:numRef>
          </c:val>
          <c:smooth val="0"/>
          <c:extLst xmlns:c15="http://schemas.microsoft.com/office/drawing/2012/chart">
            <c:ext xmlns:c16="http://schemas.microsoft.com/office/drawing/2014/chart" uri="{C3380CC4-5D6E-409C-BE32-E72D297353CC}">
              <c16:uniqueId val="{00000002-1F14-452B-9F4A-E48CF1855070}"/>
            </c:ext>
          </c:extLst>
        </c:ser>
        <c:ser>
          <c:idx val="8"/>
          <c:order val="8"/>
          <c:tx>
            <c:strRef>
              <c:f>'PBL OLD'!$DC$6:$DC$7</c:f>
              <c:strCache>
                <c:ptCount val="2"/>
                <c:pt idx="0">
                  <c:v>90th Percentile</c:v>
                </c:pt>
              </c:strCache>
            </c:strRef>
          </c:tx>
          <c:spPr>
            <a:ln w="28575">
              <a:solidFill>
                <a:schemeClr val="accent1"/>
              </a:solidFill>
              <a:prstDash val="sysDot"/>
            </a:ln>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OLD'!$DC$8:$DC$60</c:f>
              <c:numCache>
                <c:formatCode>0.000</c:formatCode>
                <c:ptCount val="53"/>
                <c:pt idx="0">
                  <c:v>7.261484324723147E-2</c:v>
                </c:pt>
                <c:pt idx="1">
                  <c:v>0.14522968649446294</c:v>
                </c:pt>
                <c:pt idx="2">
                  <c:v>0.21784452974169441</c:v>
                </c:pt>
                <c:pt idx="3">
                  <c:v>0.29045937298892588</c:v>
                </c:pt>
                <c:pt idx="4">
                  <c:v>0.36307421623615732</c:v>
                </c:pt>
                <c:pt idx="5">
                  <c:v>0.43568905948338876</c:v>
                </c:pt>
                <c:pt idx="6">
                  <c:v>0.50830390273062021</c:v>
                </c:pt>
                <c:pt idx="7">
                  <c:v>0.58091874597785165</c:v>
                </c:pt>
                <c:pt idx="8">
                  <c:v>0.65353358922508309</c:v>
                </c:pt>
                <c:pt idx="9">
                  <c:v>0.72614843247231453</c:v>
                </c:pt>
                <c:pt idx="10">
                  <c:v>0.79876327571954597</c:v>
                </c:pt>
                <c:pt idx="11">
                  <c:v>0.87137811896677742</c:v>
                </c:pt>
                <c:pt idx="12">
                  <c:v>0.94399296221400886</c:v>
                </c:pt>
                <c:pt idx="13">
                  <c:v>1.0166078054612404</c:v>
                </c:pt>
                <c:pt idx="14">
                  <c:v>1.089222648708472</c:v>
                </c:pt>
                <c:pt idx="15">
                  <c:v>1.1618374919557035</c:v>
                </c:pt>
                <c:pt idx="16">
                  <c:v>1.2344523352029351</c:v>
                </c:pt>
                <c:pt idx="17">
                  <c:v>1.3070671784501666</c:v>
                </c:pt>
                <c:pt idx="18">
                  <c:v>1.3796820216973982</c:v>
                </c:pt>
                <c:pt idx="19">
                  <c:v>1.4522968649446297</c:v>
                </c:pt>
                <c:pt idx="20">
                  <c:v>1.5249117081918613</c:v>
                </c:pt>
                <c:pt idx="21">
                  <c:v>1.5975265514390928</c:v>
                </c:pt>
                <c:pt idx="22">
                  <c:v>1.6701413946863244</c:v>
                </c:pt>
                <c:pt idx="23">
                  <c:v>1.7427562379335559</c:v>
                </c:pt>
                <c:pt idx="24">
                  <c:v>1.8153710811807875</c:v>
                </c:pt>
                <c:pt idx="25">
                  <c:v>1.887985924428019</c:v>
                </c:pt>
                <c:pt idx="26">
                  <c:v>1.9606007676752506</c:v>
                </c:pt>
                <c:pt idx="27">
                  <c:v>2.0332156109224822</c:v>
                </c:pt>
                <c:pt idx="28">
                  <c:v>2.1058304541697135</c:v>
                </c:pt>
                <c:pt idx="29">
                  <c:v>2.1784452974169448</c:v>
                </c:pt>
                <c:pt idx="30">
                  <c:v>2.2510601406641761</c:v>
                </c:pt>
                <c:pt idx="31">
                  <c:v>2.3236749839114075</c:v>
                </c:pt>
                <c:pt idx="32">
                  <c:v>2.3962898271586388</c:v>
                </c:pt>
                <c:pt idx="33">
                  <c:v>2.4689046704058701</c:v>
                </c:pt>
                <c:pt idx="34">
                  <c:v>2.5415195136531015</c:v>
                </c:pt>
                <c:pt idx="35">
                  <c:v>2.6141343569003328</c:v>
                </c:pt>
                <c:pt idx="36">
                  <c:v>2.6867492001475641</c:v>
                </c:pt>
                <c:pt idx="37">
                  <c:v>2.7593640433947955</c:v>
                </c:pt>
                <c:pt idx="38">
                  <c:v>2.8319788866420268</c:v>
                </c:pt>
                <c:pt idx="39">
                  <c:v>2.9045937298892581</c:v>
                </c:pt>
                <c:pt idx="40">
                  <c:v>2.9772085731364895</c:v>
                </c:pt>
                <c:pt idx="41">
                  <c:v>3.0498234163837208</c:v>
                </c:pt>
                <c:pt idx="42">
                  <c:v>3.1224382596309521</c:v>
                </c:pt>
                <c:pt idx="43">
                  <c:v>3.1950531028781834</c:v>
                </c:pt>
                <c:pt idx="44">
                  <c:v>3.2676679461254148</c:v>
                </c:pt>
                <c:pt idx="45">
                  <c:v>3.3402827893726461</c:v>
                </c:pt>
                <c:pt idx="46">
                  <c:v>3.4128976326198774</c:v>
                </c:pt>
                <c:pt idx="47">
                  <c:v>3.4855124758671088</c:v>
                </c:pt>
                <c:pt idx="48">
                  <c:v>3.5581273191143401</c:v>
                </c:pt>
                <c:pt idx="49">
                  <c:v>3.6307421623615714</c:v>
                </c:pt>
                <c:pt idx="50">
                  <c:v>3.7033570056088028</c:v>
                </c:pt>
                <c:pt idx="51">
                  <c:v>3.7759718488560341</c:v>
                </c:pt>
              </c:numCache>
            </c:numRef>
          </c:val>
          <c:smooth val="0"/>
          <c:extLst xmlns:c15="http://schemas.microsoft.com/office/drawing/2012/chart">
            <c:ext xmlns:c16="http://schemas.microsoft.com/office/drawing/2014/chart" uri="{C3380CC4-5D6E-409C-BE32-E72D297353CC}">
              <c16:uniqueId val="{00000003-1F14-452B-9F4A-E48CF1855070}"/>
            </c:ext>
          </c:extLst>
        </c:ser>
        <c:dLbls>
          <c:showLegendKey val="0"/>
          <c:showVal val="0"/>
          <c:showCatName val="0"/>
          <c:showSerName val="0"/>
          <c:showPercent val="0"/>
          <c:showBubbleSize val="0"/>
        </c:dLbls>
        <c:smooth val="0"/>
        <c:axId val="1388952432"/>
        <c:axId val="1388953088"/>
        <c:extLst>
          <c:ext xmlns:c15="http://schemas.microsoft.com/office/drawing/2012/chart" uri="{02D57815-91ED-43cb-92C2-25804820EDAC}">
            <c15:filteredLineSeries>
              <c15:ser>
                <c:idx val="3"/>
                <c:order val="1"/>
                <c:tx>
                  <c:strRef>
                    <c:extLst>
                      <c:ext uri="{02D57815-91ED-43cb-92C2-25804820EDAC}">
                        <c15:formulaRef>
                          <c15:sqref>'PBL OLD'!$CV$6:$CV$7</c15:sqref>
                        </c15:formulaRef>
                      </c:ext>
                    </c:extLst>
                    <c:strCache>
                      <c:ptCount val="2"/>
                      <c:pt idx="0">
                        <c:v>Min</c:v>
                      </c:pt>
                    </c:strCache>
                  </c:strRef>
                </c:tx>
                <c:marker>
                  <c:symbol val="none"/>
                </c:marker>
                <c:cat>
                  <c:numRef>
                    <c:extLst>
                      <c:ex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c:ext uri="{02D57815-91ED-43cb-92C2-25804820EDAC}">
                        <c15:formulaRef>
                          <c15:sqref>'PBL OLD'!$CV$8:$CV$60</c15:sqref>
                        </c15:formulaRef>
                      </c:ext>
                    </c:extLst>
                    <c:numCache>
                      <c:formatCode>0.000</c:formatCode>
                      <c:ptCount val="53"/>
                      <c:pt idx="0">
                        <c:v>3.7943638869952147E-2</c:v>
                      </c:pt>
                      <c:pt idx="1">
                        <c:v>7.5887277739904294E-2</c:v>
                      </c:pt>
                      <c:pt idx="2">
                        <c:v>0.11383091660985645</c:v>
                      </c:pt>
                      <c:pt idx="3">
                        <c:v>0.15177455547980859</c:v>
                      </c:pt>
                      <c:pt idx="4">
                        <c:v>0.18971819434976073</c:v>
                      </c:pt>
                      <c:pt idx="5">
                        <c:v>0.22766183321971287</c:v>
                      </c:pt>
                      <c:pt idx="6">
                        <c:v>0.26560547208966501</c:v>
                      </c:pt>
                      <c:pt idx="7">
                        <c:v>0.30354911095961717</c:v>
                      </c:pt>
                      <c:pt idx="8">
                        <c:v>0.34149274982956934</c:v>
                      </c:pt>
                      <c:pt idx="9">
                        <c:v>0.37943638869952151</c:v>
                      </c:pt>
                      <c:pt idx="10">
                        <c:v>0.41738002756947368</c:v>
                      </c:pt>
                      <c:pt idx="11">
                        <c:v>0.45532366643942584</c:v>
                      </c:pt>
                      <c:pt idx="12">
                        <c:v>0.49326730530937801</c:v>
                      </c:pt>
                      <c:pt idx="13">
                        <c:v>0.53121094417933012</c:v>
                      </c:pt>
                      <c:pt idx="14">
                        <c:v>0.56915458304928224</c:v>
                      </c:pt>
                      <c:pt idx="15">
                        <c:v>0.60709822191923435</c:v>
                      </c:pt>
                      <c:pt idx="16">
                        <c:v>0.64504186078918646</c:v>
                      </c:pt>
                      <c:pt idx="17">
                        <c:v>0.68298549965913857</c:v>
                      </c:pt>
                      <c:pt idx="18">
                        <c:v>0.72092913852909069</c:v>
                      </c:pt>
                      <c:pt idx="19">
                        <c:v>0.7588727773990428</c:v>
                      </c:pt>
                      <c:pt idx="20">
                        <c:v>0.79681641626899491</c:v>
                      </c:pt>
                      <c:pt idx="21">
                        <c:v>0.83476005513894702</c:v>
                      </c:pt>
                      <c:pt idx="22">
                        <c:v>0.87270369400889913</c:v>
                      </c:pt>
                      <c:pt idx="23">
                        <c:v>0.91064733287885125</c:v>
                      </c:pt>
                      <c:pt idx="24">
                        <c:v>0.94859097174880336</c:v>
                      </c:pt>
                      <c:pt idx="25">
                        <c:v>0.98653461061875547</c:v>
                      </c:pt>
                      <c:pt idx="26">
                        <c:v>1.0244782494887077</c:v>
                      </c:pt>
                      <c:pt idx="27">
                        <c:v>1.0624218883586598</c:v>
                      </c:pt>
                      <c:pt idx="28">
                        <c:v>1.1003655272286119</c:v>
                      </c:pt>
                      <c:pt idx="29">
                        <c:v>1.138309166098564</c:v>
                      </c:pt>
                      <c:pt idx="30">
                        <c:v>1.1762528049685161</c:v>
                      </c:pt>
                      <c:pt idx="31">
                        <c:v>1.2141964438384683</c:v>
                      </c:pt>
                      <c:pt idx="32">
                        <c:v>1.2521400827084204</c:v>
                      </c:pt>
                      <c:pt idx="33">
                        <c:v>1.2900837215783725</c:v>
                      </c:pt>
                      <c:pt idx="34">
                        <c:v>1.3280273604483246</c:v>
                      </c:pt>
                      <c:pt idx="35">
                        <c:v>1.3659709993182767</c:v>
                      </c:pt>
                      <c:pt idx="36">
                        <c:v>1.4039146381882288</c:v>
                      </c:pt>
                      <c:pt idx="37">
                        <c:v>1.4418582770581809</c:v>
                      </c:pt>
                      <c:pt idx="38">
                        <c:v>1.479801915928133</c:v>
                      </c:pt>
                      <c:pt idx="39">
                        <c:v>1.5177455547980852</c:v>
                      </c:pt>
                      <c:pt idx="40">
                        <c:v>1.5556891936680373</c:v>
                      </c:pt>
                      <c:pt idx="41">
                        <c:v>1.5936328325379894</c:v>
                      </c:pt>
                      <c:pt idx="42">
                        <c:v>1.6315764714079415</c:v>
                      </c:pt>
                      <c:pt idx="43">
                        <c:v>1.6695201102778936</c:v>
                      </c:pt>
                      <c:pt idx="44">
                        <c:v>1.7074637491478457</c:v>
                      </c:pt>
                      <c:pt idx="45">
                        <c:v>1.7454073880177978</c:v>
                      </c:pt>
                      <c:pt idx="46">
                        <c:v>1.7833510268877499</c:v>
                      </c:pt>
                      <c:pt idx="47">
                        <c:v>1.821294665757702</c:v>
                      </c:pt>
                      <c:pt idx="48">
                        <c:v>1.8592383046276542</c:v>
                      </c:pt>
                      <c:pt idx="49">
                        <c:v>1.8971819434976063</c:v>
                      </c:pt>
                      <c:pt idx="50">
                        <c:v>1.9351255823675584</c:v>
                      </c:pt>
                      <c:pt idx="51">
                        <c:v>1.9730692212375105</c:v>
                      </c:pt>
                    </c:numCache>
                  </c:numRef>
                </c:val>
                <c:smooth val="0"/>
                <c:extLst>
                  <c:ext xmlns:c16="http://schemas.microsoft.com/office/drawing/2014/chart" uri="{C3380CC4-5D6E-409C-BE32-E72D297353CC}">
                    <c16:uniqueId val="{00000004-1F14-452B-9F4A-E48CF1855070}"/>
                  </c:ext>
                </c:extLst>
              </c15:ser>
            </c15:filteredLineSeries>
            <c15:filteredLineSeries>
              <c15:ser>
                <c:idx val="5"/>
                <c:order val="2"/>
                <c:tx>
                  <c:strRef>
                    <c:extLst xmlns:c15="http://schemas.microsoft.com/office/drawing/2012/chart">
                      <c:ext xmlns:c15="http://schemas.microsoft.com/office/drawing/2012/chart" uri="{02D57815-91ED-43cb-92C2-25804820EDAC}">
                        <c15:formulaRef>
                          <c15:sqref>'PBL OLD'!$CW$6:$CW$7</c15:sqref>
                        </c15:formulaRef>
                      </c:ext>
                    </c:extLst>
                    <c:strCache>
                      <c:ptCount val="2"/>
                      <c:pt idx="0">
                        <c:v>1st Percentile</c:v>
                      </c:pt>
                    </c:strCache>
                  </c:strRef>
                </c:tx>
                <c:spPr>
                  <a:ln w="28575" cap="rnd">
                    <a:solidFill>
                      <a:schemeClr val="accent2"/>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OLD'!$CW$8:$CW$60</c15:sqref>
                        </c15:formulaRef>
                      </c:ext>
                    </c:extLst>
                    <c:numCache>
                      <c:formatCode>0.000</c:formatCode>
                      <c:ptCount val="53"/>
                      <c:pt idx="0">
                        <c:v>4.5436313528305135E-2</c:v>
                      </c:pt>
                      <c:pt idx="1">
                        <c:v>9.087262705661027E-2</c:v>
                      </c:pt>
                      <c:pt idx="2">
                        <c:v>0.13630894058491541</c:v>
                      </c:pt>
                      <c:pt idx="3">
                        <c:v>0.18174525411322054</c:v>
                      </c:pt>
                      <c:pt idx="4">
                        <c:v>0.22718156764152567</c:v>
                      </c:pt>
                      <c:pt idx="5">
                        <c:v>0.27261788116983082</c:v>
                      </c:pt>
                      <c:pt idx="6">
                        <c:v>0.31805419469813595</c:v>
                      </c:pt>
                      <c:pt idx="7">
                        <c:v>0.36349050822644108</c:v>
                      </c:pt>
                      <c:pt idx="8">
                        <c:v>0.40892682175474621</c:v>
                      </c:pt>
                      <c:pt idx="9">
                        <c:v>0.45436313528305133</c:v>
                      </c:pt>
                      <c:pt idx="10">
                        <c:v>0.49979944881135646</c:v>
                      </c:pt>
                      <c:pt idx="11">
                        <c:v>0.54523576233966164</c:v>
                      </c:pt>
                      <c:pt idx="12">
                        <c:v>0.59067207586796677</c:v>
                      </c:pt>
                      <c:pt idx="13">
                        <c:v>0.6361083893962719</c:v>
                      </c:pt>
                      <c:pt idx="14">
                        <c:v>0.68154470292457703</c:v>
                      </c:pt>
                      <c:pt idx="15">
                        <c:v>0.72698101645288216</c:v>
                      </c:pt>
                      <c:pt idx="16">
                        <c:v>0.77241732998118728</c:v>
                      </c:pt>
                      <c:pt idx="17">
                        <c:v>0.81785364350949241</c:v>
                      </c:pt>
                      <c:pt idx="18">
                        <c:v>0.86328995703779754</c:v>
                      </c:pt>
                      <c:pt idx="19">
                        <c:v>0.90872627056610267</c:v>
                      </c:pt>
                      <c:pt idx="20">
                        <c:v>0.9541625840944078</c:v>
                      </c:pt>
                      <c:pt idx="21">
                        <c:v>0.99959889762271292</c:v>
                      </c:pt>
                      <c:pt idx="22">
                        <c:v>1.0450352111510182</c:v>
                      </c:pt>
                      <c:pt idx="23">
                        <c:v>1.0904715246793233</c:v>
                      </c:pt>
                      <c:pt idx="24">
                        <c:v>1.1359078382076284</c:v>
                      </c:pt>
                      <c:pt idx="25">
                        <c:v>1.1813441517359335</c:v>
                      </c:pt>
                      <c:pt idx="26">
                        <c:v>1.2267804652642387</c:v>
                      </c:pt>
                      <c:pt idx="27">
                        <c:v>1.2722167787925438</c:v>
                      </c:pt>
                      <c:pt idx="28">
                        <c:v>1.3176530923208489</c:v>
                      </c:pt>
                      <c:pt idx="29">
                        <c:v>1.3630894058491541</c:v>
                      </c:pt>
                      <c:pt idx="30">
                        <c:v>1.4085257193774592</c:v>
                      </c:pt>
                      <c:pt idx="31">
                        <c:v>1.4539620329057643</c:v>
                      </c:pt>
                      <c:pt idx="32">
                        <c:v>1.4993983464340694</c:v>
                      </c:pt>
                      <c:pt idx="33">
                        <c:v>1.5448346599623746</c:v>
                      </c:pt>
                      <c:pt idx="34">
                        <c:v>1.5902709734906797</c:v>
                      </c:pt>
                      <c:pt idx="35">
                        <c:v>1.6357072870189848</c:v>
                      </c:pt>
                      <c:pt idx="36">
                        <c:v>1.68114360054729</c:v>
                      </c:pt>
                      <c:pt idx="37">
                        <c:v>1.7265799140755951</c:v>
                      </c:pt>
                      <c:pt idx="38">
                        <c:v>1.7720162276039002</c:v>
                      </c:pt>
                      <c:pt idx="39">
                        <c:v>1.8174525411322053</c:v>
                      </c:pt>
                      <c:pt idx="40">
                        <c:v>1.8628888546605105</c:v>
                      </c:pt>
                      <c:pt idx="41">
                        <c:v>1.9083251681888156</c:v>
                      </c:pt>
                      <c:pt idx="42">
                        <c:v>1.9537614817171207</c:v>
                      </c:pt>
                      <c:pt idx="43">
                        <c:v>1.9991977952454258</c:v>
                      </c:pt>
                      <c:pt idx="44">
                        <c:v>2.0446341087737312</c:v>
                      </c:pt>
                      <c:pt idx="45">
                        <c:v>2.0900704223020363</c:v>
                      </c:pt>
                      <c:pt idx="46">
                        <c:v>2.1355067358303415</c:v>
                      </c:pt>
                      <c:pt idx="47">
                        <c:v>2.1809430493586466</c:v>
                      </c:pt>
                      <c:pt idx="48">
                        <c:v>2.2263793628869517</c:v>
                      </c:pt>
                      <c:pt idx="49">
                        <c:v>2.2718156764152568</c:v>
                      </c:pt>
                      <c:pt idx="50">
                        <c:v>2.317251989943562</c:v>
                      </c:pt>
                      <c:pt idx="51">
                        <c:v>2.3626883034718671</c:v>
                      </c:pt>
                    </c:numCache>
                  </c:numRef>
                </c:val>
                <c:smooth val="0"/>
                <c:extLst xmlns:c15="http://schemas.microsoft.com/office/drawing/2012/chart">
                  <c:ext xmlns:c16="http://schemas.microsoft.com/office/drawing/2014/chart" uri="{C3380CC4-5D6E-409C-BE32-E72D297353CC}">
                    <c16:uniqueId val="{00000005-1F14-452B-9F4A-E48CF1855070}"/>
                  </c:ext>
                </c:extLst>
              </c15:ser>
            </c15:filteredLineSeries>
            <c15:filteredLineSeries>
              <c15:ser>
                <c:idx val="7"/>
                <c:order val="3"/>
                <c:tx>
                  <c:strRef>
                    <c:extLst xmlns:c15="http://schemas.microsoft.com/office/drawing/2012/chart">
                      <c:ext xmlns:c15="http://schemas.microsoft.com/office/drawing/2012/chart" uri="{02D57815-91ED-43cb-92C2-25804820EDAC}">
                        <c15:formulaRef>
                          <c15:sqref>'PBL OLD'!$CX$6:$CX$7</c15:sqref>
                        </c15:formulaRef>
                      </c:ext>
                    </c:extLst>
                    <c:strCache>
                      <c:ptCount val="2"/>
                      <c:pt idx="0">
                        <c:v>5th Percentile</c:v>
                      </c:pt>
                    </c:strCache>
                  </c:strRef>
                </c:tx>
                <c:spPr>
                  <a:ln w="28575" cap="rnd">
                    <a:solidFill>
                      <a:schemeClr val="bg2"/>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OLD'!$CX$8:$CX$60</c15:sqref>
                        </c15:formulaRef>
                      </c:ext>
                    </c:extLst>
                    <c:numCache>
                      <c:formatCode>0.000</c:formatCode>
                      <c:ptCount val="53"/>
                      <c:pt idx="0">
                        <c:v>4.8416818848466985E-2</c:v>
                      </c:pt>
                      <c:pt idx="1">
                        <c:v>9.6833637696933969E-2</c:v>
                      </c:pt>
                      <c:pt idx="2">
                        <c:v>0.14525045654540095</c:v>
                      </c:pt>
                      <c:pt idx="3">
                        <c:v>0.19366727539386794</c:v>
                      </c:pt>
                      <c:pt idx="4">
                        <c:v>0.24208409424233493</c:v>
                      </c:pt>
                      <c:pt idx="5">
                        <c:v>0.29050091309080189</c:v>
                      </c:pt>
                      <c:pt idx="6">
                        <c:v>0.33891773193926888</c:v>
                      </c:pt>
                      <c:pt idx="7">
                        <c:v>0.38733455078773588</c:v>
                      </c:pt>
                      <c:pt idx="8">
                        <c:v>0.43575136963620287</c:v>
                      </c:pt>
                      <c:pt idx="9">
                        <c:v>0.48416818848466986</c:v>
                      </c:pt>
                      <c:pt idx="10">
                        <c:v>0.53258500733313685</c:v>
                      </c:pt>
                      <c:pt idx="11">
                        <c:v>0.58100182618160379</c:v>
                      </c:pt>
                      <c:pt idx="12">
                        <c:v>0.62941864503007072</c:v>
                      </c:pt>
                      <c:pt idx="13">
                        <c:v>0.67783546387853766</c:v>
                      </c:pt>
                      <c:pt idx="14">
                        <c:v>0.72625228272700459</c:v>
                      </c:pt>
                      <c:pt idx="15">
                        <c:v>0.77466910157547153</c:v>
                      </c:pt>
                      <c:pt idx="16">
                        <c:v>0.82308592042393847</c:v>
                      </c:pt>
                      <c:pt idx="17">
                        <c:v>0.8715027392724054</c:v>
                      </c:pt>
                      <c:pt idx="18">
                        <c:v>0.91991955812087234</c:v>
                      </c:pt>
                      <c:pt idx="19">
                        <c:v>0.96833637696933927</c:v>
                      </c:pt>
                      <c:pt idx="20">
                        <c:v>1.0167531958178062</c:v>
                      </c:pt>
                      <c:pt idx="21">
                        <c:v>1.0651700146662733</c:v>
                      </c:pt>
                      <c:pt idx="22">
                        <c:v>1.1135868335147403</c:v>
                      </c:pt>
                      <c:pt idx="23">
                        <c:v>1.1620036523632074</c:v>
                      </c:pt>
                      <c:pt idx="24">
                        <c:v>1.2104204712116744</c:v>
                      </c:pt>
                      <c:pt idx="25">
                        <c:v>1.2588372900601414</c:v>
                      </c:pt>
                      <c:pt idx="26">
                        <c:v>1.3072541089086085</c:v>
                      </c:pt>
                      <c:pt idx="27">
                        <c:v>1.3556709277570755</c:v>
                      </c:pt>
                      <c:pt idx="28">
                        <c:v>1.4040877466055426</c:v>
                      </c:pt>
                      <c:pt idx="29">
                        <c:v>1.4525045654540096</c:v>
                      </c:pt>
                      <c:pt idx="30">
                        <c:v>1.5009213843024767</c:v>
                      </c:pt>
                      <c:pt idx="31">
                        <c:v>1.5493382031509437</c:v>
                      </c:pt>
                      <c:pt idx="32">
                        <c:v>1.5977550219994108</c:v>
                      </c:pt>
                      <c:pt idx="33">
                        <c:v>1.6461718408478778</c:v>
                      </c:pt>
                      <c:pt idx="34">
                        <c:v>1.6945886596963449</c:v>
                      </c:pt>
                      <c:pt idx="35">
                        <c:v>1.7430054785448119</c:v>
                      </c:pt>
                      <c:pt idx="36">
                        <c:v>1.791422297393279</c:v>
                      </c:pt>
                      <c:pt idx="37">
                        <c:v>1.839839116241746</c:v>
                      </c:pt>
                      <c:pt idx="38">
                        <c:v>1.8882559350902131</c:v>
                      </c:pt>
                      <c:pt idx="39">
                        <c:v>1.9366727539386801</c:v>
                      </c:pt>
                      <c:pt idx="40">
                        <c:v>1.9850895727871471</c:v>
                      </c:pt>
                      <c:pt idx="41">
                        <c:v>2.0335063916356142</c:v>
                      </c:pt>
                      <c:pt idx="42">
                        <c:v>2.081923210484081</c:v>
                      </c:pt>
                      <c:pt idx="43">
                        <c:v>2.1303400293325478</c:v>
                      </c:pt>
                      <c:pt idx="44">
                        <c:v>2.1787568481810147</c:v>
                      </c:pt>
                      <c:pt idx="45">
                        <c:v>2.2271736670294815</c:v>
                      </c:pt>
                      <c:pt idx="46">
                        <c:v>2.2755904858779483</c:v>
                      </c:pt>
                      <c:pt idx="47">
                        <c:v>2.3240073047264151</c:v>
                      </c:pt>
                      <c:pt idx="48">
                        <c:v>2.372424123574882</c:v>
                      </c:pt>
                      <c:pt idx="49">
                        <c:v>2.4208409424233488</c:v>
                      </c:pt>
                      <c:pt idx="50">
                        <c:v>2.4692577612718156</c:v>
                      </c:pt>
                      <c:pt idx="51">
                        <c:v>2.5176745801202824</c:v>
                      </c:pt>
                    </c:numCache>
                  </c:numRef>
                </c:val>
                <c:smooth val="0"/>
                <c:extLst xmlns:c15="http://schemas.microsoft.com/office/drawing/2012/chart">
                  <c:ext xmlns:c16="http://schemas.microsoft.com/office/drawing/2014/chart" uri="{C3380CC4-5D6E-409C-BE32-E72D297353CC}">
                    <c16:uniqueId val="{00000006-1F14-452B-9F4A-E48CF1855070}"/>
                  </c:ext>
                </c:extLst>
              </c15:ser>
            </c15:filteredLineSeries>
            <c15:filteredLineSeries>
              <c15:ser>
                <c:idx val="2"/>
                <c:order val="5"/>
                <c:tx>
                  <c:strRef>
                    <c:extLst xmlns:c15="http://schemas.microsoft.com/office/drawing/2012/chart">
                      <c:ext xmlns:c15="http://schemas.microsoft.com/office/drawing/2012/chart" uri="{02D57815-91ED-43cb-92C2-25804820EDAC}">
                        <c15:formulaRef>
                          <c15:sqref>'PBL OLD'!$CZ$6:$CZ$7</c15:sqref>
                        </c15:formulaRef>
                      </c:ext>
                    </c:extLst>
                    <c:strCache>
                      <c:ptCount val="2"/>
                      <c:pt idx="0">
                        <c:v>25th Percentile</c:v>
                      </c:pt>
                    </c:strCache>
                  </c:strRef>
                </c:tx>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OLD'!$CZ$8:$CZ$60</c15:sqref>
                        </c15:formulaRef>
                      </c:ext>
                    </c:extLst>
                    <c:numCache>
                      <c:formatCode>0.000</c:formatCode>
                      <c:ptCount val="53"/>
                      <c:pt idx="0">
                        <c:v>5.470863400459542E-2</c:v>
                      </c:pt>
                      <c:pt idx="1">
                        <c:v>0.10941726800919084</c:v>
                      </c:pt>
                      <c:pt idx="2">
                        <c:v>0.16412590201378627</c:v>
                      </c:pt>
                      <c:pt idx="3">
                        <c:v>0.21883453601838168</c:v>
                      </c:pt>
                      <c:pt idx="4">
                        <c:v>0.27354317002297712</c:v>
                      </c:pt>
                      <c:pt idx="5">
                        <c:v>0.32825180402757254</c:v>
                      </c:pt>
                      <c:pt idx="6">
                        <c:v>0.38296043803216795</c:v>
                      </c:pt>
                      <c:pt idx="7">
                        <c:v>0.43766907203676336</c:v>
                      </c:pt>
                      <c:pt idx="8">
                        <c:v>0.49237770604135878</c:v>
                      </c:pt>
                      <c:pt idx="9">
                        <c:v>0.54708634004595424</c:v>
                      </c:pt>
                      <c:pt idx="10">
                        <c:v>0.60179497405054971</c:v>
                      </c:pt>
                      <c:pt idx="11">
                        <c:v>0.65650360805514518</c:v>
                      </c:pt>
                      <c:pt idx="12">
                        <c:v>0.71121224205974065</c:v>
                      </c:pt>
                      <c:pt idx="13">
                        <c:v>0.76592087606433612</c:v>
                      </c:pt>
                      <c:pt idx="14">
                        <c:v>0.82062951006893159</c:v>
                      </c:pt>
                      <c:pt idx="15">
                        <c:v>0.87533814407352706</c:v>
                      </c:pt>
                      <c:pt idx="16">
                        <c:v>0.93004677807812253</c:v>
                      </c:pt>
                      <c:pt idx="17">
                        <c:v>0.984755412082718</c:v>
                      </c:pt>
                      <c:pt idx="18">
                        <c:v>1.0394640460873135</c:v>
                      </c:pt>
                      <c:pt idx="19">
                        <c:v>1.0941726800919089</c:v>
                      </c:pt>
                      <c:pt idx="20">
                        <c:v>1.1488813140965044</c:v>
                      </c:pt>
                      <c:pt idx="21">
                        <c:v>1.2035899481010999</c:v>
                      </c:pt>
                      <c:pt idx="22">
                        <c:v>1.2582985821056953</c:v>
                      </c:pt>
                      <c:pt idx="23">
                        <c:v>1.3130072161102908</c:v>
                      </c:pt>
                      <c:pt idx="24">
                        <c:v>1.3677158501148863</c:v>
                      </c:pt>
                      <c:pt idx="25">
                        <c:v>1.4224244841194817</c:v>
                      </c:pt>
                      <c:pt idx="26">
                        <c:v>1.4771331181240772</c:v>
                      </c:pt>
                      <c:pt idx="27">
                        <c:v>1.5318417521286727</c:v>
                      </c:pt>
                      <c:pt idx="28">
                        <c:v>1.5865503861332682</c:v>
                      </c:pt>
                      <c:pt idx="29">
                        <c:v>1.6412590201378636</c:v>
                      </c:pt>
                      <c:pt idx="30">
                        <c:v>1.6959676541424591</c:v>
                      </c:pt>
                      <c:pt idx="31">
                        <c:v>1.7506762881470546</c:v>
                      </c:pt>
                      <c:pt idx="32">
                        <c:v>1.80538492215165</c:v>
                      </c:pt>
                      <c:pt idx="33">
                        <c:v>1.8600935561562455</c:v>
                      </c:pt>
                      <c:pt idx="34">
                        <c:v>1.914802190160841</c:v>
                      </c:pt>
                      <c:pt idx="35">
                        <c:v>1.9695108241654364</c:v>
                      </c:pt>
                      <c:pt idx="36">
                        <c:v>2.0242194581700317</c:v>
                      </c:pt>
                      <c:pt idx="37">
                        <c:v>2.0789280921746269</c:v>
                      </c:pt>
                      <c:pt idx="38">
                        <c:v>2.1336367261792222</c:v>
                      </c:pt>
                      <c:pt idx="39">
                        <c:v>2.1883453601838174</c:v>
                      </c:pt>
                      <c:pt idx="40">
                        <c:v>2.2430539941884127</c:v>
                      </c:pt>
                      <c:pt idx="41">
                        <c:v>2.2977626281930079</c:v>
                      </c:pt>
                      <c:pt idx="42">
                        <c:v>2.3524712621976032</c:v>
                      </c:pt>
                      <c:pt idx="43">
                        <c:v>2.4071798962021984</c:v>
                      </c:pt>
                      <c:pt idx="44">
                        <c:v>2.4618885302067937</c:v>
                      </c:pt>
                      <c:pt idx="45">
                        <c:v>2.5165971642113889</c:v>
                      </c:pt>
                      <c:pt idx="46">
                        <c:v>2.5713057982159842</c:v>
                      </c:pt>
                      <c:pt idx="47">
                        <c:v>2.6260144322205794</c:v>
                      </c:pt>
                      <c:pt idx="48">
                        <c:v>2.6807230662251746</c:v>
                      </c:pt>
                      <c:pt idx="49">
                        <c:v>2.7354317002297699</c:v>
                      </c:pt>
                      <c:pt idx="50">
                        <c:v>2.7901403342343651</c:v>
                      </c:pt>
                      <c:pt idx="51">
                        <c:v>2.8448489682389604</c:v>
                      </c:pt>
                    </c:numCache>
                  </c:numRef>
                </c:val>
                <c:smooth val="0"/>
                <c:extLst xmlns:c15="http://schemas.microsoft.com/office/drawing/2012/chart">
                  <c:ext xmlns:c16="http://schemas.microsoft.com/office/drawing/2014/chart" uri="{C3380CC4-5D6E-409C-BE32-E72D297353CC}">
                    <c16:uniqueId val="{00000007-1F14-452B-9F4A-E48CF1855070}"/>
                  </c:ext>
                </c:extLst>
              </c15:ser>
            </c15:filteredLineSeries>
            <c15:filteredLineSeries>
              <c15:ser>
                <c:idx val="6"/>
                <c:order val="7"/>
                <c:tx>
                  <c:strRef>
                    <c:extLst xmlns:c15="http://schemas.microsoft.com/office/drawing/2012/chart">
                      <c:ext xmlns:c15="http://schemas.microsoft.com/office/drawing/2012/chart" uri="{02D57815-91ED-43cb-92C2-25804820EDAC}">
                        <c15:formulaRef>
                          <c15:sqref>'PBL OLD'!$DB$6:$DB$7</c15:sqref>
                        </c15:formulaRef>
                      </c:ext>
                    </c:extLst>
                    <c:strCache>
                      <c:ptCount val="2"/>
                      <c:pt idx="0">
                        <c:v>75th Percentile</c:v>
                      </c:pt>
                    </c:strCache>
                  </c:strRef>
                </c:tx>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OLD'!$DB$8:$DB$60</c15:sqref>
                        </c15:formulaRef>
                      </c:ext>
                    </c:extLst>
                    <c:numCache>
                      <c:formatCode>0.000</c:formatCode>
                      <c:ptCount val="53"/>
                      <c:pt idx="0">
                        <c:v>6.6232533541717833E-2</c:v>
                      </c:pt>
                      <c:pt idx="1">
                        <c:v>0.13246506708343567</c:v>
                      </c:pt>
                      <c:pt idx="2">
                        <c:v>0.19869760062515351</c:v>
                      </c:pt>
                      <c:pt idx="3">
                        <c:v>0.26493013416687133</c:v>
                      </c:pt>
                      <c:pt idx="4">
                        <c:v>0.33116266770858915</c:v>
                      </c:pt>
                      <c:pt idx="5">
                        <c:v>0.39739520125030697</c:v>
                      </c:pt>
                      <c:pt idx="6">
                        <c:v>0.46362773479202479</c:v>
                      </c:pt>
                      <c:pt idx="7">
                        <c:v>0.52986026833374267</c:v>
                      </c:pt>
                      <c:pt idx="8">
                        <c:v>0.59609280187546054</c:v>
                      </c:pt>
                      <c:pt idx="9">
                        <c:v>0.66232533541717842</c:v>
                      </c:pt>
                      <c:pt idx="10">
                        <c:v>0.72855786895889629</c:v>
                      </c:pt>
                      <c:pt idx="11">
                        <c:v>0.79479040250061417</c:v>
                      </c:pt>
                      <c:pt idx="12">
                        <c:v>0.86102293604233204</c:v>
                      </c:pt>
                      <c:pt idx="13">
                        <c:v>0.92725546958404992</c:v>
                      </c:pt>
                      <c:pt idx="14">
                        <c:v>0.99348800312576779</c:v>
                      </c:pt>
                      <c:pt idx="15">
                        <c:v>1.0597205366674856</c:v>
                      </c:pt>
                      <c:pt idx="16">
                        <c:v>1.1259530702092033</c:v>
                      </c:pt>
                      <c:pt idx="17">
                        <c:v>1.1921856037509211</c:v>
                      </c:pt>
                      <c:pt idx="18">
                        <c:v>1.2584181372926388</c:v>
                      </c:pt>
                      <c:pt idx="19">
                        <c:v>1.3246506708343566</c:v>
                      </c:pt>
                      <c:pt idx="20">
                        <c:v>1.3908832043760744</c:v>
                      </c:pt>
                      <c:pt idx="21">
                        <c:v>1.4571157379177921</c:v>
                      </c:pt>
                      <c:pt idx="22">
                        <c:v>1.5233482714595099</c:v>
                      </c:pt>
                      <c:pt idx="23">
                        <c:v>1.5895808050012277</c:v>
                      </c:pt>
                      <c:pt idx="24">
                        <c:v>1.6558133385429454</c:v>
                      </c:pt>
                      <c:pt idx="25">
                        <c:v>1.7220458720846632</c:v>
                      </c:pt>
                      <c:pt idx="26">
                        <c:v>1.788278405626381</c:v>
                      </c:pt>
                      <c:pt idx="27">
                        <c:v>1.8545109391680987</c:v>
                      </c:pt>
                      <c:pt idx="28">
                        <c:v>1.9207434727098165</c:v>
                      </c:pt>
                      <c:pt idx="29">
                        <c:v>1.9869760062515343</c:v>
                      </c:pt>
                      <c:pt idx="30">
                        <c:v>2.053208539793252</c:v>
                      </c:pt>
                      <c:pt idx="31">
                        <c:v>2.1194410733349698</c:v>
                      </c:pt>
                      <c:pt idx="32">
                        <c:v>2.1856736068766875</c:v>
                      </c:pt>
                      <c:pt idx="33">
                        <c:v>2.2519061404184053</c:v>
                      </c:pt>
                      <c:pt idx="34">
                        <c:v>2.3181386739601231</c:v>
                      </c:pt>
                      <c:pt idx="35">
                        <c:v>2.3843712075018408</c:v>
                      </c:pt>
                      <c:pt idx="36">
                        <c:v>2.4506037410435586</c:v>
                      </c:pt>
                      <c:pt idx="37">
                        <c:v>2.5168362745852764</c:v>
                      </c:pt>
                      <c:pt idx="38">
                        <c:v>2.5830688081269941</c:v>
                      </c:pt>
                      <c:pt idx="39">
                        <c:v>2.6493013416687119</c:v>
                      </c:pt>
                      <c:pt idx="40">
                        <c:v>2.7155338752104297</c:v>
                      </c:pt>
                      <c:pt idx="41">
                        <c:v>2.7817664087521474</c:v>
                      </c:pt>
                      <c:pt idx="42">
                        <c:v>2.8479989422938652</c:v>
                      </c:pt>
                      <c:pt idx="43">
                        <c:v>2.914231475835583</c:v>
                      </c:pt>
                      <c:pt idx="44">
                        <c:v>2.9804640093773007</c:v>
                      </c:pt>
                      <c:pt idx="45">
                        <c:v>3.0466965429190185</c:v>
                      </c:pt>
                      <c:pt idx="46">
                        <c:v>3.1129290764607362</c:v>
                      </c:pt>
                      <c:pt idx="47">
                        <c:v>3.179161610002454</c:v>
                      </c:pt>
                      <c:pt idx="48">
                        <c:v>3.2453941435441718</c:v>
                      </c:pt>
                      <c:pt idx="49">
                        <c:v>3.3116266770858895</c:v>
                      </c:pt>
                      <c:pt idx="50">
                        <c:v>3.3778592106276073</c:v>
                      </c:pt>
                      <c:pt idx="51">
                        <c:v>3.4440917441693251</c:v>
                      </c:pt>
                    </c:numCache>
                  </c:numRef>
                </c:val>
                <c:smooth val="0"/>
                <c:extLst xmlns:c15="http://schemas.microsoft.com/office/drawing/2012/chart">
                  <c:ext xmlns:c16="http://schemas.microsoft.com/office/drawing/2014/chart" uri="{C3380CC4-5D6E-409C-BE32-E72D297353CC}">
                    <c16:uniqueId val="{00000008-1F14-452B-9F4A-E48CF1855070}"/>
                  </c:ext>
                </c:extLst>
              </c15:ser>
            </c15:filteredLineSeries>
            <c15:filteredLineSeries>
              <c15:ser>
                <c:idx val="9"/>
                <c:order val="9"/>
                <c:tx>
                  <c:strRef>
                    <c:extLst xmlns:c15="http://schemas.microsoft.com/office/drawing/2012/chart">
                      <c:ext xmlns:c15="http://schemas.microsoft.com/office/drawing/2012/chart" uri="{02D57815-91ED-43cb-92C2-25804820EDAC}">
                        <c15:formulaRef>
                          <c15:sqref>'PBL OLD'!$DD$6:$DD$7</c15:sqref>
                        </c15:formulaRef>
                      </c:ext>
                    </c:extLst>
                    <c:strCache>
                      <c:ptCount val="2"/>
                      <c:pt idx="0">
                        <c:v>95th Percentile</c:v>
                      </c:pt>
                    </c:strCache>
                  </c:strRef>
                </c:tx>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OLD'!$DD$8:$DD$60</c15:sqref>
                        </c15:formulaRef>
                      </c:ext>
                    </c:extLst>
                    <c:numCache>
                      <c:formatCode>0.000</c:formatCode>
                      <c:ptCount val="53"/>
                      <c:pt idx="0">
                        <c:v>7.643445292523153E-2</c:v>
                      </c:pt>
                      <c:pt idx="1">
                        <c:v>0.15286890585046306</c:v>
                      </c:pt>
                      <c:pt idx="2">
                        <c:v>0.22930335877569458</c:v>
                      </c:pt>
                      <c:pt idx="3">
                        <c:v>0.30573781170092612</c:v>
                      </c:pt>
                      <c:pt idx="4">
                        <c:v>0.38217226462615767</c:v>
                      </c:pt>
                      <c:pt idx="5">
                        <c:v>0.45860671755138921</c:v>
                      </c:pt>
                      <c:pt idx="6">
                        <c:v>0.5350411704766207</c:v>
                      </c:pt>
                      <c:pt idx="7">
                        <c:v>0.61147562340185224</c:v>
                      </c:pt>
                      <c:pt idx="8">
                        <c:v>0.68791007632708379</c:v>
                      </c:pt>
                      <c:pt idx="9">
                        <c:v>0.76434452925231533</c:v>
                      </c:pt>
                      <c:pt idx="10">
                        <c:v>0.84077898217754687</c:v>
                      </c:pt>
                      <c:pt idx="11">
                        <c:v>0.91721343510277842</c:v>
                      </c:pt>
                      <c:pt idx="12">
                        <c:v>0.99364788802800996</c:v>
                      </c:pt>
                      <c:pt idx="13">
                        <c:v>1.0700823409532414</c:v>
                      </c:pt>
                      <c:pt idx="14">
                        <c:v>1.1465167938784728</c:v>
                      </c:pt>
                      <c:pt idx="15">
                        <c:v>1.2229512468037043</c:v>
                      </c:pt>
                      <c:pt idx="16">
                        <c:v>1.2993856997289357</c:v>
                      </c:pt>
                      <c:pt idx="17">
                        <c:v>1.3758201526541671</c:v>
                      </c:pt>
                      <c:pt idx="18">
                        <c:v>1.4522546055793986</c:v>
                      </c:pt>
                      <c:pt idx="19">
                        <c:v>1.52868905850463</c:v>
                      </c:pt>
                      <c:pt idx="20">
                        <c:v>1.6051235114298614</c:v>
                      </c:pt>
                      <c:pt idx="21">
                        <c:v>1.6815579643550929</c:v>
                      </c:pt>
                      <c:pt idx="22">
                        <c:v>1.7579924172803243</c:v>
                      </c:pt>
                      <c:pt idx="23">
                        <c:v>1.8344268702055557</c:v>
                      </c:pt>
                      <c:pt idx="24">
                        <c:v>1.9108613231307872</c:v>
                      </c:pt>
                      <c:pt idx="25">
                        <c:v>1.9872957760560186</c:v>
                      </c:pt>
                      <c:pt idx="26">
                        <c:v>2.06373022898125</c:v>
                      </c:pt>
                      <c:pt idx="27">
                        <c:v>2.1401646819064815</c:v>
                      </c:pt>
                      <c:pt idx="28">
                        <c:v>2.2165991348317129</c:v>
                      </c:pt>
                      <c:pt idx="29">
                        <c:v>2.2930335877569443</c:v>
                      </c:pt>
                      <c:pt idx="30">
                        <c:v>2.3694680406821758</c:v>
                      </c:pt>
                      <c:pt idx="31">
                        <c:v>2.4459024936074072</c:v>
                      </c:pt>
                      <c:pt idx="32">
                        <c:v>2.5223369465326386</c:v>
                      </c:pt>
                      <c:pt idx="33">
                        <c:v>2.5987713994578701</c:v>
                      </c:pt>
                      <c:pt idx="34">
                        <c:v>2.6752058523831015</c:v>
                      </c:pt>
                      <c:pt idx="35">
                        <c:v>2.7516403053083329</c:v>
                      </c:pt>
                      <c:pt idx="36">
                        <c:v>2.8280747582335644</c:v>
                      </c:pt>
                      <c:pt idx="37">
                        <c:v>2.9045092111587958</c:v>
                      </c:pt>
                      <c:pt idx="38">
                        <c:v>2.9809436640840272</c:v>
                      </c:pt>
                      <c:pt idx="39">
                        <c:v>3.0573781170092587</c:v>
                      </c:pt>
                      <c:pt idx="40">
                        <c:v>3.1338125699344901</c:v>
                      </c:pt>
                      <c:pt idx="41">
                        <c:v>3.2102470228597215</c:v>
                      </c:pt>
                      <c:pt idx="42">
                        <c:v>3.286681475784953</c:v>
                      </c:pt>
                      <c:pt idx="43">
                        <c:v>3.3631159287101844</c:v>
                      </c:pt>
                      <c:pt idx="44">
                        <c:v>3.4395503816354158</c:v>
                      </c:pt>
                      <c:pt idx="45">
                        <c:v>3.5159848345606473</c:v>
                      </c:pt>
                      <c:pt idx="46">
                        <c:v>3.5924192874858787</c:v>
                      </c:pt>
                      <c:pt idx="47">
                        <c:v>3.6688537404111101</c:v>
                      </c:pt>
                      <c:pt idx="48">
                        <c:v>3.7452881933363416</c:v>
                      </c:pt>
                      <c:pt idx="49">
                        <c:v>3.821722646261573</c:v>
                      </c:pt>
                      <c:pt idx="50">
                        <c:v>3.8981570991868044</c:v>
                      </c:pt>
                      <c:pt idx="51">
                        <c:v>3.9745915521120359</c:v>
                      </c:pt>
                    </c:numCache>
                  </c:numRef>
                </c:val>
                <c:smooth val="0"/>
                <c:extLst xmlns:c15="http://schemas.microsoft.com/office/drawing/2012/chart">
                  <c:ext xmlns:c16="http://schemas.microsoft.com/office/drawing/2014/chart" uri="{C3380CC4-5D6E-409C-BE32-E72D297353CC}">
                    <c16:uniqueId val="{00000009-1F14-452B-9F4A-E48CF1855070}"/>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'PBL OLD'!$DE$6:$DE$7</c15:sqref>
                        </c15:formulaRef>
                      </c:ext>
                    </c:extLst>
                    <c:strCache>
                      <c:ptCount val="2"/>
                      <c:pt idx="0">
                        <c:v>99th Percentile</c:v>
                      </c:pt>
                    </c:strCache>
                  </c:strRef>
                </c:tx>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OLD'!$DE$8:$DE$60</c15:sqref>
                        </c15:formulaRef>
                      </c:ext>
                    </c:extLst>
                    <c:numCache>
                      <c:formatCode>0.000</c:formatCode>
                      <c:ptCount val="53"/>
                      <c:pt idx="0">
                        <c:v>8.472863847550996E-2</c:v>
                      </c:pt>
                      <c:pt idx="1">
                        <c:v>0.16945727695101992</c:v>
                      </c:pt>
                      <c:pt idx="2">
                        <c:v>0.25418591542652991</c:v>
                      </c:pt>
                      <c:pt idx="3">
                        <c:v>0.33891455390203984</c:v>
                      </c:pt>
                      <c:pt idx="4">
                        <c:v>0.42364319237754977</c:v>
                      </c:pt>
                      <c:pt idx="5">
                        <c:v>0.5083718308530597</c:v>
                      </c:pt>
                      <c:pt idx="6">
                        <c:v>0.59310046932856963</c:v>
                      </c:pt>
                      <c:pt idx="7">
                        <c:v>0.67782910780407957</c:v>
                      </c:pt>
                      <c:pt idx="8">
                        <c:v>0.7625577462795895</c:v>
                      </c:pt>
                      <c:pt idx="9">
                        <c:v>0.84728638475509943</c:v>
                      </c:pt>
                      <c:pt idx="10">
                        <c:v>0.93201502323060936</c:v>
                      </c:pt>
                      <c:pt idx="11">
                        <c:v>1.0167436617061194</c:v>
                      </c:pt>
                      <c:pt idx="12">
                        <c:v>1.1014723001816293</c:v>
                      </c:pt>
                      <c:pt idx="13">
                        <c:v>1.1862009386571393</c:v>
                      </c:pt>
                      <c:pt idx="14">
                        <c:v>1.2709295771326492</c:v>
                      </c:pt>
                      <c:pt idx="15">
                        <c:v>1.3556582156081591</c:v>
                      </c:pt>
                      <c:pt idx="16">
                        <c:v>1.4403868540836691</c:v>
                      </c:pt>
                      <c:pt idx="17">
                        <c:v>1.525115492559179</c:v>
                      </c:pt>
                      <c:pt idx="18">
                        <c:v>1.6098441310346889</c:v>
                      </c:pt>
                      <c:pt idx="19">
                        <c:v>1.6945727695101989</c:v>
                      </c:pt>
                      <c:pt idx="20">
                        <c:v>1.7793014079857088</c:v>
                      </c:pt>
                      <c:pt idx="21">
                        <c:v>1.8640300464612187</c:v>
                      </c:pt>
                      <c:pt idx="22">
                        <c:v>1.9487586849367287</c:v>
                      </c:pt>
                      <c:pt idx="23">
                        <c:v>2.0334873234122388</c:v>
                      </c:pt>
                      <c:pt idx="24">
                        <c:v>2.1182159618877487</c:v>
                      </c:pt>
                      <c:pt idx="25">
                        <c:v>2.2029446003632587</c:v>
                      </c:pt>
                      <c:pt idx="26">
                        <c:v>2.2876732388387686</c:v>
                      </c:pt>
                      <c:pt idx="27">
                        <c:v>2.3724018773142785</c:v>
                      </c:pt>
                      <c:pt idx="28">
                        <c:v>2.4571305157897885</c:v>
                      </c:pt>
                      <c:pt idx="29">
                        <c:v>2.5418591542652984</c:v>
                      </c:pt>
                      <c:pt idx="30">
                        <c:v>2.6265877927408083</c:v>
                      </c:pt>
                      <c:pt idx="31">
                        <c:v>2.7113164312163183</c:v>
                      </c:pt>
                      <c:pt idx="32">
                        <c:v>2.7960450696918282</c:v>
                      </c:pt>
                      <c:pt idx="33">
                        <c:v>2.8807737081673381</c:v>
                      </c:pt>
                      <c:pt idx="34">
                        <c:v>2.9655023466428481</c:v>
                      </c:pt>
                      <c:pt idx="35">
                        <c:v>3.050230985118358</c:v>
                      </c:pt>
                      <c:pt idx="36">
                        <c:v>3.1349596235938679</c:v>
                      </c:pt>
                      <c:pt idx="37">
                        <c:v>3.2196882620693779</c:v>
                      </c:pt>
                      <c:pt idx="38">
                        <c:v>3.3044169005448878</c:v>
                      </c:pt>
                      <c:pt idx="39">
                        <c:v>3.3891455390203977</c:v>
                      </c:pt>
                      <c:pt idx="40">
                        <c:v>3.4738741774959077</c:v>
                      </c:pt>
                      <c:pt idx="41">
                        <c:v>3.5586028159714176</c:v>
                      </c:pt>
                      <c:pt idx="42">
                        <c:v>3.6433314544469275</c:v>
                      </c:pt>
                      <c:pt idx="43">
                        <c:v>3.7280600929224375</c:v>
                      </c:pt>
                      <c:pt idx="44">
                        <c:v>3.8127887313979474</c:v>
                      </c:pt>
                      <c:pt idx="45">
                        <c:v>3.8975173698734573</c:v>
                      </c:pt>
                      <c:pt idx="46">
                        <c:v>3.9822460083489672</c:v>
                      </c:pt>
                      <c:pt idx="47">
                        <c:v>4.0669746468244776</c:v>
                      </c:pt>
                      <c:pt idx="48">
                        <c:v>4.1517032852999876</c:v>
                      </c:pt>
                      <c:pt idx="49">
                        <c:v>4.2364319237754975</c:v>
                      </c:pt>
                      <c:pt idx="50">
                        <c:v>4.3211605622510074</c:v>
                      </c:pt>
                      <c:pt idx="51">
                        <c:v>4.4058892007265174</c:v>
                      </c:pt>
                    </c:numCache>
                  </c:numRef>
                </c:val>
                <c:smooth val="0"/>
                <c:extLst xmlns:c15="http://schemas.microsoft.com/office/drawing/2012/chart">
                  <c:ext xmlns:c16="http://schemas.microsoft.com/office/drawing/2014/chart" uri="{C3380CC4-5D6E-409C-BE32-E72D297353CC}">
                    <c16:uniqueId val="{0000000A-1F14-452B-9F4A-E48CF1855070}"/>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'PBL OLD'!$DF$6:$DF$7</c15:sqref>
                        </c15:formulaRef>
                      </c:ext>
                    </c:extLst>
                    <c:strCache>
                      <c:ptCount val="2"/>
                      <c:pt idx="0">
                        <c:v>Max</c:v>
                      </c:pt>
                    </c:strCache>
                  </c:strRef>
                </c:tx>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OLD'!$DF$8:$DF$60</c15:sqref>
                        </c15:formulaRef>
                      </c:ext>
                    </c:extLst>
                    <c:numCache>
                      <c:formatCode>0.000</c:formatCode>
                      <c:ptCount val="53"/>
                      <c:pt idx="0">
                        <c:v>0.10288241710741779</c:v>
                      </c:pt>
                      <c:pt idx="1">
                        <c:v>0.20576483421483557</c:v>
                      </c:pt>
                      <c:pt idx="2">
                        <c:v>0.30864725132225335</c:v>
                      </c:pt>
                      <c:pt idx="3">
                        <c:v>0.41152966842967115</c:v>
                      </c:pt>
                      <c:pt idx="4">
                        <c:v>0.51441208553708895</c:v>
                      </c:pt>
                      <c:pt idx="5">
                        <c:v>0.61729450264450669</c:v>
                      </c:pt>
                      <c:pt idx="6">
                        <c:v>0.72017691975192444</c:v>
                      </c:pt>
                      <c:pt idx="7">
                        <c:v>0.82305933685934218</c:v>
                      </c:pt>
                      <c:pt idx="8">
                        <c:v>0.92594175396675993</c:v>
                      </c:pt>
                      <c:pt idx="9">
                        <c:v>1.0288241710741777</c:v>
                      </c:pt>
                      <c:pt idx="10">
                        <c:v>1.1317065881815955</c:v>
                      </c:pt>
                      <c:pt idx="11">
                        <c:v>1.2345890052890134</c:v>
                      </c:pt>
                      <c:pt idx="12">
                        <c:v>1.3374714223964312</c:v>
                      </c:pt>
                      <c:pt idx="13">
                        <c:v>1.4403538395038491</c:v>
                      </c:pt>
                      <c:pt idx="14">
                        <c:v>1.543236256611267</c:v>
                      </c:pt>
                      <c:pt idx="15">
                        <c:v>1.6461186737186848</c:v>
                      </c:pt>
                      <c:pt idx="16">
                        <c:v>1.7490010908261027</c:v>
                      </c:pt>
                      <c:pt idx="17">
                        <c:v>1.8518835079335205</c:v>
                      </c:pt>
                      <c:pt idx="18">
                        <c:v>1.9547659250409384</c:v>
                      </c:pt>
                      <c:pt idx="19">
                        <c:v>2.0576483421483562</c:v>
                      </c:pt>
                      <c:pt idx="20">
                        <c:v>2.1605307592557739</c:v>
                      </c:pt>
                      <c:pt idx="21">
                        <c:v>2.2634131763631915</c:v>
                      </c:pt>
                      <c:pt idx="22">
                        <c:v>2.3662955934706091</c:v>
                      </c:pt>
                      <c:pt idx="23">
                        <c:v>2.4691780105780268</c:v>
                      </c:pt>
                      <c:pt idx="24">
                        <c:v>2.5720604276854444</c:v>
                      </c:pt>
                      <c:pt idx="25">
                        <c:v>2.674942844792862</c:v>
                      </c:pt>
                      <c:pt idx="26">
                        <c:v>2.7778252619002797</c:v>
                      </c:pt>
                      <c:pt idx="27">
                        <c:v>2.8807076790076973</c:v>
                      </c:pt>
                      <c:pt idx="28">
                        <c:v>2.9835900961151149</c:v>
                      </c:pt>
                      <c:pt idx="29">
                        <c:v>3.0864725132225326</c:v>
                      </c:pt>
                      <c:pt idx="30">
                        <c:v>3.1893549303299502</c:v>
                      </c:pt>
                      <c:pt idx="31">
                        <c:v>3.2922373474373678</c:v>
                      </c:pt>
                      <c:pt idx="32">
                        <c:v>3.3951197645447855</c:v>
                      </c:pt>
                      <c:pt idx="33">
                        <c:v>3.4980021816522031</c:v>
                      </c:pt>
                      <c:pt idx="34">
                        <c:v>3.6008845987596207</c:v>
                      </c:pt>
                      <c:pt idx="35">
                        <c:v>3.7037670158670384</c:v>
                      </c:pt>
                      <c:pt idx="36">
                        <c:v>3.806649432974456</c:v>
                      </c:pt>
                      <c:pt idx="37">
                        <c:v>3.9095318500818736</c:v>
                      </c:pt>
                      <c:pt idx="38">
                        <c:v>4.0124142671892917</c:v>
                      </c:pt>
                      <c:pt idx="39">
                        <c:v>4.1152966842967098</c:v>
                      </c:pt>
                      <c:pt idx="40">
                        <c:v>4.2181791014041279</c:v>
                      </c:pt>
                      <c:pt idx="41">
                        <c:v>4.321061518511546</c:v>
                      </c:pt>
                      <c:pt idx="42">
                        <c:v>4.423943935618964</c:v>
                      </c:pt>
                      <c:pt idx="43">
                        <c:v>4.5268263527263821</c:v>
                      </c:pt>
                      <c:pt idx="44">
                        <c:v>4.6297087698338002</c:v>
                      </c:pt>
                      <c:pt idx="45">
                        <c:v>4.7325911869412183</c:v>
                      </c:pt>
                      <c:pt idx="46">
                        <c:v>4.8354736040486364</c:v>
                      </c:pt>
                      <c:pt idx="47">
                        <c:v>4.9383560211560544</c:v>
                      </c:pt>
                      <c:pt idx="48">
                        <c:v>5.0412384382634725</c:v>
                      </c:pt>
                      <c:pt idx="49">
                        <c:v>5.1441208553708906</c:v>
                      </c:pt>
                      <c:pt idx="50">
                        <c:v>5.2470032724783087</c:v>
                      </c:pt>
                      <c:pt idx="51">
                        <c:v>5.3498856895857267</c:v>
                      </c:pt>
                    </c:numCache>
                  </c:numRef>
                </c:val>
                <c:smooth val="0"/>
                <c:extLst xmlns:c15="http://schemas.microsoft.com/office/drawing/2012/chart">
                  <c:ext xmlns:c16="http://schemas.microsoft.com/office/drawing/2014/chart" uri="{C3380CC4-5D6E-409C-BE32-E72D297353CC}">
                    <c16:uniqueId val="{0000000B-1F14-452B-9F4A-E48CF1855070}"/>
                  </c:ext>
                </c:extLst>
              </c15:ser>
            </c15:filteredLineSeries>
          </c:ext>
        </c:extLst>
      </c:lineChart>
      <c:dateAx>
        <c:axId val="1388952432"/>
        <c:scaling>
          <c:orientation val="minMax"/>
        </c:scaling>
        <c:delete val="0"/>
        <c:axPos val="b"/>
        <c:numFmt formatCode="d\-mmm\-yy_);\(###0\);&quot;-  &quot;;&quot; &quot;@&quot; &quot;"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3088"/>
        <c:crosses val="autoZero"/>
        <c:auto val="1"/>
        <c:lblOffset val="100"/>
        <c:baseTimeUnit val="days"/>
        <c:majorUnit val="3"/>
        <c:majorTimeUnit val="months"/>
      </c:dateAx>
      <c:valAx>
        <c:axId val="1388953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Ticket Sales ($b)</a:t>
                </a:r>
              </a:p>
            </c:rich>
          </c:tx>
          <c:overlay val="0"/>
          <c:spPr>
            <a:noFill/>
            <a:ln>
              <a:noFill/>
            </a:ln>
            <a:effectLst/>
          </c:sp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2432"/>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'PBL OLD'!$CU$6:$CU$7</c:f>
              <c:strCache>
                <c:ptCount val="2"/>
                <c:pt idx="0">
                  <c:v>Actual</c:v>
                </c:pt>
              </c:strCache>
            </c:strRef>
          </c:tx>
          <c:spPr>
            <a:ln w="28575" cap="rnd">
              <a:solidFill>
                <a:schemeClr val="tx2"/>
              </a:solidFill>
              <a:round/>
            </a:ln>
            <a:effectLst/>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OLD'!$CU$8:$CU$60</c:f>
              <c:numCache>
                <c:formatCode>0.000</c:formatCode>
                <c:ptCount val="53"/>
                <c:pt idx="0">
                  <c:v>2.4383432684147156E-2</c:v>
                </c:pt>
                <c:pt idx="1">
                  <c:v>5.7456335077458197E-2</c:v>
                </c:pt>
                <c:pt idx="2">
                  <c:v>8.2897301732709039E-2</c:v>
                </c:pt>
                <c:pt idx="3">
                  <c:v>0.10634933406608696</c:v>
                </c:pt>
                <c:pt idx="4">
                  <c:v>0.13586762292789298</c:v>
                </c:pt>
                <c:pt idx="5">
                  <c:v>0.18374004427397994</c:v>
                </c:pt>
                <c:pt idx="6">
                  <c:v>0.20803473319331103</c:v>
                </c:pt>
                <c:pt idx="7">
                  <c:v>0.23891877923157193</c:v>
                </c:pt>
                <c:pt idx="8">
                  <c:v>0.28713984685163879</c:v>
                </c:pt>
                <c:pt idx="9">
                  <c:v>0.3616614278523077</c:v>
                </c:pt>
                <c:pt idx="10">
                  <c:v>0.392004627321204</c:v>
                </c:pt>
                <c:pt idx="11">
                  <c:v>0.41949779873926418</c:v>
                </c:pt>
                <c:pt idx="12">
                  <c:v>0.46306182742073576</c:v>
                </c:pt>
                <c:pt idx="13">
                  <c:v>0.52060037325672237</c:v>
                </c:pt>
                <c:pt idx="14">
                  <c:v>0.6148648724923077</c:v>
                </c:pt>
                <c:pt idx="15">
                  <c:v>0.83700126369498329</c:v>
                </c:pt>
                <c:pt idx="16">
                  <c:v>1.1825944978628762</c:v>
                </c:pt>
                <c:pt idx="17">
                  <c:v>1.2153577144507022</c:v>
                </c:pt>
                <c:pt idx="18">
                  <c:v>1.2691323901694982</c:v>
                </c:pt>
                <c:pt idx="19">
                  <c:v>1.3310424487488961</c:v>
                </c:pt>
                <c:pt idx="20">
                  <c:v>1.4175102073723076</c:v>
                </c:pt>
                <c:pt idx="21">
                  <c:v>1.4481012105839461</c:v>
                </c:pt>
                <c:pt idx="22">
                  <c:v>1.4946211055890297</c:v>
                </c:pt>
                <c:pt idx="23">
                  <c:v>1.5554005903488961</c:v>
                </c:pt>
                <c:pt idx="24">
                  <c:v>1.6472886013460868</c:v>
                </c:pt>
                <c:pt idx="25">
                  <c:v>1.8141838940449495</c:v>
                </c:pt>
                <c:pt idx="26">
                  <c:v>1.8392503831253511</c:v>
                </c:pt>
                <c:pt idx="27">
                  <c:v>1.866157764302341</c:v>
                </c:pt>
                <c:pt idx="28">
                  <c:v>1.9009749529614712</c:v>
                </c:pt>
                <c:pt idx="29">
                  <c:v>1.9519053104066888</c:v>
                </c:pt>
                <c:pt idx="30">
                  <c:v>2.0244714168671569</c:v>
                </c:pt>
                <c:pt idx="31">
                  <c:v>2.0488217174971233</c:v>
                </c:pt>
                <c:pt idx="32">
                  <c:v>2.0819389554734444</c:v>
                </c:pt>
                <c:pt idx="33">
                  <c:v>2.135068076795986</c:v>
                </c:pt>
                <c:pt idx="34">
                  <c:v>2.2086620296321069</c:v>
                </c:pt>
                <c:pt idx="35">
                  <c:v>2.2340468803692306</c:v>
                </c:pt>
                <c:pt idx="36">
                  <c:v>2.2608009917649499</c:v>
                </c:pt>
                <c:pt idx="37">
                  <c:v>2.2922285879399333</c:v>
                </c:pt>
                <c:pt idx="38">
                  <c:v>2.3232771205685618</c:v>
                </c:pt>
                <c:pt idx="39">
                  <c:v>2.3730794774674249</c:v>
                </c:pt>
                <c:pt idx="40">
                  <c:v>2.4331034888271574</c:v>
                </c:pt>
                <c:pt idx="41">
                  <c:v>2.459481893485485</c:v>
                </c:pt>
                <c:pt idx="42">
                  <c:v>2.4922966782375924</c:v>
                </c:pt>
                <c:pt idx="43">
                  <c:v>2.5430290760305017</c:v>
                </c:pt>
                <c:pt idx="44">
                  <c:v>2.5665048546627425</c:v>
                </c:pt>
                <c:pt idx="45">
                  <c:v>2.5900549864143145</c:v>
                </c:pt>
                <c:pt idx="46">
                  <c:v>2.6316794518334712</c:v>
                </c:pt>
                <c:pt idx="47">
                  <c:v>2.6865530592113069</c:v>
                </c:pt>
                <c:pt idx="48">
                  <c:v>2.7625586865996037</c:v>
                </c:pt>
                <c:pt idx="49">
                  <c:v>2.8807855607703785</c:v>
                </c:pt>
                <c:pt idx="50">
                  <c:v>3.1087288440336671</c:v>
                </c:pt>
                <c:pt idx="51">
                  <c:v>3.1350399566342553</c:v>
                </c:pt>
              </c:numCache>
            </c:numRef>
          </c:val>
          <c:smooth val="0"/>
          <c:extLst>
            <c:ext xmlns:c16="http://schemas.microsoft.com/office/drawing/2014/chart" uri="{C3380CC4-5D6E-409C-BE32-E72D297353CC}">
              <c16:uniqueId val="{00000000-76D9-4433-972E-09F0E73EE975}"/>
            </c:ext>
          </c:extLst>
        </c:ser>
        <c:ser>
          <c:idx val="2"/>
          <c:order val="5"/>
          <c:tx>
            <c:v>25/50/75th percentile</c:v>
          </c:tx>
          <c:spPr>
            <a:ln w="28575">
              <a:solidFill>
                <a:schemeClr val="bg2">
                  <a:lumMod val="60000"/>
                  <a:lumOff val="40000"/>
                </a:schemeClr>
              </a:solidFill>
              <a:prstDash val="sysDot"/>
            </a:ln>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OLD'!$CZ$8:$CZ$60</c:f>
              <c:numCache>
                <c:formatCode>0.000</c:formatCode>
                <c:ptCount val="53"/>
                <c:pt idx="0">
                  <c:v>5.470863400459542E-2</c:v>
                </c:pt>
                <c:pt idx="1">
                  <c:v>0.10941726800919084</c:v>
                </c:pt>
                <c:pt idx="2">
                  <c:v>0.16412590201378627</c:v>
                </c:pt>
                <c:pt idx="3">
                  <c:v>0.21883453601838168</c:v>
                </c:pt>
                <c:pt idx="4">
                  <c:v>0.27354317002297712</c:v>
                </c:pt>
                <c:pt idx="5">
                  <c:v>0.32825180402757254</c:v>
                </c:pt>
                <c:pt idx="6">
                  <c:v>0.38296043803216795</c:v>
                </c:pt>
                <c:pt idx="7">
                  <c:v>0.43766907203676336</c:v>
                </c:pt>
                <c:pt idx="8">
                  <c:v>0.49237770604135878</c:v>
                </c:pt>
                <c:pt idx="9">
                  <c:v>0.54708634004595424</c:v>
                </c:pt>
                <c:pt idx="10">
                  <c:v>0.60179497405054971</c:v>
                </c:pt>
                <c:pt idx="11">
                  <c:v>0.65650360805514518</c:v>
                </c:pt>
                <c:pt idx="12">
                  <c:v>0.71121224205974065</c:v>
                </c:pt>
                <c:pt idx="13">
                  <c:v>0.76592087606433612</c:v>
                </c:pt>
                <c:pt idx="14">
                  <c:v>0.82062951006893159</c:v>
                </c:pt>
                <c:pt idx="15">
                  <c:v>0.87533814407352706</c:v>
                </c:pt>
                <c:pt idx="16">
                  <c:v>0.93004677807812253</c:v>
                </c:pt>
                <c:pt idx="17">
                  <c:v>0.984755412082718</c:v>
                </c:pt>
                <c:pt idx="18">
                  <c:v>1.0394640460873135</c:v>
                </c:pt>
                <c:pt idx="19">
                  <c:v>1.0941726800919089</c:v>
                </c:pt>
                <c:pt idx="20">
                  <c:v>1.1488813140965044</c:v>
                </c:pt>
                <c:pt idx="21">
                  <c:v>1.2035899481010999</c:v>
                </c:pt>
                <c:pt idx="22">
                  <c:v>1.2582985821056953</c:v>
                </c:pt>
                <c:pt idx="23">
                  <c:v>1.3130072161102908</c:v>
                </c:pt>
                <c:pt idx="24">
                  <c:v>1.3677158501148863</c:v>
                </c:pt>
                <c:pt idx="25">
                  <c:v>1.4224244841194817</c:v>
                </c:pt>
                <c:pt idx="26">
                  <c:v>1.4771331181240772</c:v>
                </c:pt>
                <c:pt idx="27">
                  <c:v>1.5318417521286727</c:v>
                </c:pt>
                <c:pt idx="28">
                  <c:v>1.5865503861332682</c:v>
                </c:pt>
                <c:pt idx="29">
                  <c:v>1.6412590201378636</c:v>
                </c:pt>
                <c:pt idx="30">
                  <c:v>1.6959676541424591</c:v>
                </c:pt>
                <c:pt idx="31">
                  <c:v>1.7506762881470546</c:v>
                </c:pt>
                <c:pt idx="32">
                  <c:v>1.80538492215165</c:v>
                </c:pt>
                <c:pt idx="33">
                  <c:v>1.8600935561562455</c:v>
                </c:pt>
                <c:pt idx="34">
                  <c:v>1.914802190160841</c:v>
                </c:pt>
                <c:pt idx="35">
                  <c:v>1.9695108241654364</c:v>
                </c:pt>
                <c:pt idx="36">
                  <c:v>2.0242194581700317</c:v>
                </c:pt>
                <c:pt idx="37">
                  <c:v>2.0789280921746269</c:v>
                </c:pt>
                <c:pt idx="38">
                  <c:v>2.1336367261792222</c:v>
                </c:pt>
                <c:pt idx="39">
                  <c:v>2.1883453601838174</c:v>
                </c:pt>
                <c:pt idx="40">
                  <c:v>2.2430539941884127</c:v>
                </c:pt>
                <c:pt idx="41">
                  <c:v>2.2977626281930079</c:v>
                </c:pt>
                <c:pt idx="42">
                  <c:v>2.3524712621976032</c:v>
                </c:pt>
                <c:pt idx="43">
                  <c:v>2.4071798962021984</c:v>
                </c:pt>
                <c:pt idx="44">
                  <c:v>2.4618885302067937</c:v>
                </c:pt>
                <c:pt idx="45">
                  <c:v>2.5165971642113889</c:v>
                </c:pt>
                <c:pt idx="46">
                  <c:v>2.5713057982159842</c:v>
                </c:pt>
                <c:pt idx="47">
                  <c:v>2.6260144322205794</c:v>
                </c:pt>
                <c:pt idx="48">
                  <c:v>2.6807230662251746</c:v>
                </c:pt>
                <c:pt idx="49">
                  <c:v>2.7354317002297699</c:v>
                </c:pt>
                <c:pt idx="50">
                  <c:v>2.7901403342343651</c:v>
                </c:pt>
                <c:pt idx="51">
                  <c:v>2.8448489682389604</c:v>
                </c:pt>
              </c:numCache>
            </c:numRef>
          </c:val>
          <c:smooth val="0"/>
          <c:extLst>
            <c:ext xmlns:c16="http://schemas.microsoft.com/office/drawing/2014/chart" uri="{C3380CC4-5D6E-409C-BE32-E72D297353CC}">
              <c16:uniqueId val="{00000001-76D9-4433-972E-09F0E73EE975}"/>
            </c:ext>
          </c:extLst>
        </c:ser>
        <c:ser>
          <c:idx val="4"/>
          <c:order val="6"/>
          <c:tx>
            <c:strRef>
              <c:f>'PBL OLD'!$DA$6:$DA$7</c:f>
              <c:strCache>
                <c:ptCount val="2"/>
                <c:pt idx="0">
                  <c:v>50th Percentile</c:v>
                </c:pt>
              </c:strCache>
            </c:strRef>
          </c:tx>
          <c:spPr>
            <a:ln w="28575">
              <a:solidFill>
                <a:schemeClr val="bg2">
                  <a:lumMod val="60000"/>
                  <a:lumOff val="40000"/>
                </a:schemeClr>
              </a:solidFill>
              <a:prstDash val="sysDot"/>
            </a:ln>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OLD'!$DA$8:$DA$60</c:f>
              <c:numCache>
                <c:formatCode>0.000</c:formatCode>
                <c:ptCount val="53"/>
                <c:pt idx="0">
                  <c:v>6.0209708872007502E-2</c:v>
                </c:pt>
                <c:pt idx="1">
                  <c:v>0.120419417744015</c:v>
                </c:pt>
                <c:pt idx="2">
                  <c:v>0.18062912661602251</c:v>
                </c:pt>
                <c:pt idx="3">
                  <c:v>0.24083883548803001</c:v>
                </c:pt>
                <c:pt idx="4">
                  <c:v>0.30104854436003753</c:v>
                </c:pt>
                <c:pt idx="5">
                  <c:v>0.36125825323204502</c:v>
                </c:pt>
                <c:pt idx="6">
                  <c:v>0.42146796210405252</c:v>
                </c:pt>
                <c:pt idx="7">
                  <c:v>0.48167767097606001</c:v>
                </c:pt>
                <c:pt idx="8">
                  <c:v>0.54188737984806756</c:v>
                </c:pt>
                <c:pt idx="9">
                  <c:v>0.60209708872007506</c:v>
                </c:pt>
                <c:pt idx="10">
                  <c:v>0.66230679759208255</c:v>
                </c:pt>
                <c:pt idx="11">
                  <c:v>0.72251650646409005</c:v>
                </c:pt>
                <c:pt idx="12">
                  <c:v>0.78272621533609754</c:v>
                </c:pt>
                <c:pt idx="13">
                  <c:v>0.84293592420810504</c:v>
                </c:pt>
                <c:pt idx="14">
                  <c:v>0.90314563308011253</c:v>
                </c:pt>
                <c:pt idx="15">
                  <c:v>0.96335534195212003</c:v>
                </c:pt>
                <c:pt idx="16">
                  <c:v>1.0235650508241276</c:v>
                </c:pt>
                <c:pt idx="17">
                  <c:v>1.0837747596961351</c:v>
                </c:pt>
                <c:pt idx="18">
                  <c:v>1.1439844685681426</c:v>
                </c:pt>
                <c:pt idx="19">
                  <c:v>1.2041941774401501</c:v>
                </c:pt>
                <c:pt idx="20">
                  <c:v>1.2644038863121576</c:v>
                </c:pt>
                <c:pt idx="21">
                  <c:v>1.3246135951841651</c:v>
                </c:pt>
                <c:pt idx="22">
                  <c:v>1.3848233040561726</c:v>
                </c:pt>
                <c:pt idx="23">
                  <c:v>1.4450330129281801</c:v>
                </c:pt>
                <c:pt idx="24">
                  <c:v>1.5052427218001876</c:v>
                </c:pt>
                <c:pt idx="25">
                  <c:v>1.5654524306721951</c:v>
                </c:pt>
                <c:pt idx="26">
                  <c:v>1.6256621395442026</c:v>
                </c:pt>
                <c:pt idx="27">
                  <c:v>1.6858718484162101</c:v>
                </c:pt>
                <c:pt idx="28">
                  <c:v>1.7460815572882176</c:v>
                </c:pt>
                <c:pt idx="29">
                  <c:v>1.8062912661602251</c:v>
                </c:pt>
                <c:pt idx="30">
                  <c:v>1.8665009750322326</c:v>
                </c:pt>
                <c:pt idx="31">
                  <c:v>1.9267106839042401</c:v>
                </c:pt>
                <c:pt idx="32">
                  <c:v>1.9869203927762475</c:v>
                </c:pt>
                <c:pt idx="33">
                  <c:v>2.0471301016482553</c:v>
                </c:pt>
                <c:pt idx="34">
                  <c:v>2.107339810520263</c:v>
                </c:pt>
                <c:pt idx="35">
                  <c:v>2.1675495193922707</c:v>
                </c:pt>
                <c:pt idx="36">
                  <c:v>2.2277592282642784</c:v>
                </c:pt>
                <c:pt idx="37">
                  <c:v>2.2879689371362861</c:v>
                </c:pt>
                <c:pt idx="38">
                  <c:v>2.3481786460082938</c:v>
                </c:pt>
                <c:pt idx="39">
                  <c:v>2.4083883548803016</c:v>
                </c:pt>
                <c:pt idx="40">
                  <c:v>2.4685980637523093</c:v>
                </c:pt>
                <c:pt idx="41">
                  <c:v>2.528807772624317</c:v>
                </c:pt>
                <c:pt idx="42">
                  <c:v>2.5890174814963247</c:v>
                </c:pt>
                <c:pt idx="43">
                  <c:v>2.6492271903683324</c:v>
                </c:pt>
                <c:pt idx="44">
                  <c:v>2.7094368992403401</c:v>
                </c:pt>
                <c:pt idx="45">
                  <c:v>2.7696466081123479</c:v>
                </c:pt>
                <c:pt idx="46">
                  <c:v>2.8298563169843556</c:v>
                </c:pt>
                <c:pt idx="47">
                  <c:v>2.8900660258563633</c:v>
                </c:pt>
                <c:pt idx="48">
                  <c:v>2.950275734728371</c:v>
                </c:pt>
                <c:pt idx="49">
                  <c:v>3.0104854436003787</c:v>
                </c:pt>
                <c:pt idx="50">
                  <c:v>3.0706951524723864</c:v>
                </c:pt>
                <c:pt idx="51">
                  <c:v>3.1309048613443942</c:v>
                </c:pt>
              </c:numCache>
            </c:numRef>
          </c:val>
          <c:smooth val="0"/>
          <c:extLst>
            <c:ext xmlns:c16="http://schemas.microsoft.com/office/drawing/2014/chart" uri="{C3380CC4-5D6E-409C-BE32-E72D297353CC}">
              <c16:uniqueId val="{00000002-76D9-4433-972E-09F0E73EE975}"/>
            </c:ext>
          </c:extLst>
        </c:ser>
        <c:ser>
          <c:idx val="6"/>
          <c:order val="7"/>
          <c:tx>
            <c:strRef>
              <c:f>'PBL OLD'!$DB$6:$DB$7</c:f>
              <c:strCache>
                <c:ptCount val="2"/>
                <c:pt idx="0">
                  <c:v>75th Percentile</c:v>
                </c:pt>
              </c:strCache>
            </c:strRef>
          </c:tx>
          <c:spPr>
            <a:ln w="28575">
              <a:solidFill>
                <a:schemeClr val="bg2">
                  <a:lumMod val="60000"/>
                  <a:lumOff val="40000"/>
                </a:schemeClr>
              </a:solidFill>
              <a:prstDash val="sysDot"/>
            </a:ln>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OLD'!$DB$8:$DB$60</c:f>
              <c:numCache>
                <c:formatCode>0.000</c:formatCode>
                <c:ptCount val="53"/>
                <c:pt idx="0">
                  <c:v>6.6232533541717833E-2</c:v>
                </c:pt>
                <c:pt idx="1">
                  <c:v>0.13246506708343567</c:v>
                </c:pt>
                <c:pt idx="2">
                  <c:v>0.19869760062515351</c:v>
                </c:pt>
                <c:pt idx="3">
                  <c:v>0.26493013416687133</c:v>
                </c:pt>
                <c:pt idx="4">
                  <c:v>0.33116266770858915</c:v>
                </c:pt>
                <c:pt idx="5">
                  <c:v>0.39739520125030697</c:v>
                </c:pt>
                <c:pt idx="6">
                  <c:v>0.46362773479202479</c:v>
                </c:pt>
                <c:pt idx="7">
                  <c:v>0.52986026833374267</c:v>
                </c:pt>
                <c:pt idx="8">
                  <c:v>0.59609280187546054</c:v>
                </c:pt>
                <c:pt idx="9">
                  <c:v>0.66232533541717842</c:v>
                </c:pt>
                <c:pt idx="10">
                  <c:v>0.72855786895889629</c:v>
                </c:pt>
                <c:pt idx="11">
                  <c:v>0.79479040250061417</c:v>
                </c:pt>
                <c:pt idx="12">
                  <c:v>0.86102293604233204</c:v>
                </c:pt>
                <c:pt idx="13">
                  <c:v>0.92725546958404992</c:v>
                </c:pt>
                <c:pt idx="14">
                  <c:v>0.99348800312576779</c:v>
                </c:pt>
                <c:pt idx="15">
                  <c:v>1.0597205366674856</c:v>
                </c:pt>
                <c:pt idx="16">
                  <c:v>1.1259530702092033</c:v>
                </c:pt>
                <c:pt idx="17">
                  <c:v>1.1921856037509211</c:v>
                </c:pt>
                <c:pt idx="18">
                  <c:v>1.2584181372926388</c:v>
                </c:pt>
                <c:pt idx="19">
                  <c:v>1.3246506708343566</c:v>
                </c:pt>
                <c:pt idx="20">
                  <c:v>1.3908832043760744</c:v>
                </c:pt>
                <c:pt idx="21">
                  <c:v>1.4571157379177921</c:v>
                </c:pt>
                <c:pt idx="22">
                  <c:v>1.5233482714595099</c:v>
                </c:pt>
                <c:pt idx="23">
                  <c:v>1.5895808050012277</c:v>
                </c:pt>
                <c:pt idx="24">
                  <c:v>1.6558133385429454</c:v>
                </c:pt>
                <c:pt idx="25">
                  <c:v>1.7220458720846632</c:v>
                </c:pt>
                <c:pt idx="26">
                  <c:v>1.788278405626381</c:v>
                </c:pt>
                <c:pt idx="27">
                  <c:v>1.8545109391680987</c:v>
                </c:pt>
                <c:pt idx="28">
                  <c:v>1.9207434727098165</c:v>
                </c:pt>
                <c:pt idx="29">
                  <c:v>1.9869760062515343</c:v>
                </c:pt>
                <c:pt idx="30">
                  <c:v>2.053208539793252</c:v>
                </c:pt>
                <c:pt idx="31">
                  <c:v>2.1194410733349698</c:v>
                </c:pt>
                <c:pt idx="32">
                  <c:v>2.1856736068766875</c:v>
                </c:pt>
                <c:pt idx="33">
                  <c:v>2.2519061404184053</c:v>
                </c:pt>
                <c:pt idx="34">
                  <c:v>2.3181386739601231</c:v>
                </c:pt>
                <c:pt idx="35">
                  <c:v>2.3843712075018408</c:v>
                </c:pt>
                <c:pt idx="36">
                  <c:v>2.4506037410435586</c:v>
                </c:pt>
                <c:pt idx="37">
                  <c:v>2.5168362745852764</c:v>
                </c:pt>
                <c:pt idx="38">
                  <c:v>2.5830688081269941</c:v>
                </c:pt>
                <c:pt idx="39">
                  <c:v>2.6493013416687119</c:v>
                </c:pt>
                <c:pt idx="40">
                  <c:v>2.7155338752104297</c:v>
                </c:pt>
                <c:pt idx="41">
                  <c:v>2.7817664087521474</c:v>
                </c:pt>
                <c:pt idx="42">
                  <c:v>2.8479989422938652</c:v>
                </c:pt>
                <c:pt idx="43">
                  <c:v>2.914231475835583</c:v>
                </c:pt>
                <c:pt idx="44">
                  <c:v>2.9804640093773007</c:v>
                </c:pt>
                <c:pt idx="45">
                  <c:v>3.0466965429190185</c:v>
                </c:pt>
                <c:pt idx="46">
                  <c:v>3.1129290764607362</c:v>
                </c:pt>
                <c:pt idx="47">
                  <c:v>3.179161610002454</c:v>
                </c:pt>
                <c:pt idx="48">
                  <c:v>3.2453941435441718</c:v>
                </c:pt>
                <c:pt idx="49">
                  <c:v>3.3116266770858895</c:v>
                </c:pt>
                <c:pt idx="50">
                  <c:v>3.3778592106276073</c:v>
                </c:pt>
                <c:pt idx="51">
                  <c:v>3.4440917441693251</c:v>
                </c:pt>
              </c:numCache>
            </c:numRef>
          </c:val>
          <c:smooth val="0"/>
          <c:extLst xmlns:c15="http://schemas.microsoft.com/office/drawing/2012/chart">
            <c:ext xmlns:c16="http://schemas.microsoft.com/office/drawing/2014/chart" uri="{C3380CC4-5D6E-409C-BE32-E72D297353CC}">
              <c16:uniqueId val="{00000003-76D9-4433-972E-09F0E73EE975}"/>
            </c:ext>
          </c:extLst>
        </c:ser>
        <c:dLbls>
          <c:showLegendKey val="0"/>
          <c:showVal val="0"/>
          <c:showCatName val="0"/>
          <c:showSerName val="0"/>
          <c:showPercent val="0"/>
          <c:showBubbleSize val="0"/>
        </c:dLbls>
        <c:smooth val="0"/>
        <c:axId val="1388952432"/>
        <c:axId val="1388953088"/>
        <c:extLst>
          <c:ext xmlns:c15="http://schemas.microsoft.com/office/drawing/2012/chart" uri="{02D57815-91ED-43cb-92C2-25804820EDAC}">
            <c15:filteredLineSeries>
              <c15:ser>
                <c:idx val="3"/>
                <c:order val="1"/>
                <c:tx>
                  <c:strRef>
                    <c:extLst>
                      <c:ext uri="{02D57815-91ED-43cb-92C2-25804820EDAC}">
                        <c15:formulaRef>
                          <c15:sqref>'PBL OLD'!$CV$6:$CV$7</c15:sqref>
                        </c15:formulaRef>
                      </c:ext>
                    </c:extLst>
                    <c:strCache>
                      <c:ptCount val="2"/>
                      <c:pt idx="0">
                        <c:v>Min</c:v>
                      </c:pt>
                    </c:strCache>
                  </c:strRef>
                </c:tx>
                <c:marker>
                  <c:symbol val="none"/>
                </c:marker>
                <c:cat>
                  <c:numRef>
                    <c:extLst>
                      <c:ex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c:ext uri="{02D57815-91ED-43cb-92C2-25804820EDAC}">
                        <c15:formulaRef>
                          <c15:sqref>'PBL OLD'!$CV$8:$CV$60</c15:sqref>
                        </c15:formulaRef>
                      </c:ext>
                    </c:extLst>
                    <c:numCache>
                      <c:formatCode>0.000</c:formatCode>
                      <c:ptCount val="53"/>
                      <c:pt idx="0">
                        <c:v>3.7943638869952147E-2</c:v>
                      </c:pt>
                      <c:pt idx="1">
                        <c:v>7.5887277739904294E-2</c:v>
                      </c:pt>
                      <c:pt idx="2">
                        <c:v>0.11383091660985645</c:v>
                      </c:pt>
                      <c:pt idx="3">
                        <c:v>0.15177455547980859</c:v>
                      </c:pt>
                      <c:pt idx="4">
                        <c:v>0.18971819434976073</c:v>
                      </c:pt>
                      <c:pt idx="5">
                        <c:v>0.22766183321971287</c:v>
                      </c:pt>
                      <c:pt idx="6">
                        <c:v>0.26560547208966501</c:v>
                      </c:pt>
                      <c:pt idx="7">
                        <c:v>0.30354911095961717</c:v>
                      </c:pt>
                      <c:pt idx="8">
                        <c:v>0.34149274982956934</c:v>
                      </c:pt>
                      <c:pt idx="9">
                        <c:v>0.37943638869952151</c:v>
                      </c:pt>
                      <c:pt idx="10">
                        <c:v>0.41738002756947368</c:v>
                      </c:pt>
                      <c:pt idx="11">
                        <c:v>0.45532366643942584</c:v>
                      </c:pt>
                      <c:pt idx="12">
                        <c:v>0.49326730530937801</c:v>
                      </c:pt>
                      <c:pt idx="13">
                        <c:v>0.53121094417933012</c:v>
                      </c:pt>
                      <c:pt idx="14">
                        <c:v>0.56915458304928224</c:v>
                      </c:pt>
                      <c:pt idx="15">
                        <c:v>0.60709822191923435</c:v>
                      </c:pt>
                      <c:pt idx="16">
                        <c:v>0.64504186078918646</c:v>
                      </c:pt>
                      <c:pt idx="17">
                        <c:v>0.68298549965913857</c:v>
                      </c:pt>
                      <c:pt idx="18">
                        <c:v>0.72092913852909069</c:v>
                      </c:pt>
                      <c:pt idx="19">
                        <c:v>0.7588727773990428</c:v>
                      </c:pt>
                      <c:pt idx="20">
                        <c:v>0.79681641626899491</c:v>
                      </c:pt>
                      <c:pt idx="21">
                        <c:v>0.83476005513894702</c:v>
                      </c:pt>
                      <c:pt idx="22">
                        <c:v>0.87270369400889913</c:v>
                      </c:pt>
                      <c:pt idx="23">
                        <c:v>0.91064733287885125</c:v>
                      </c:pt>
                      <c:pt idx="24">
                        <c:v>0.94859097174880336</c:v>
                      </c:pt>
                      <c:pt idx="25">
                        <c:v>0.98653461061875547</c:v>
                      </c:pt>
                      <c:pt idx="26">
                        <c:v>1.0244782494887077</c:v>
                      </c:pt>
                      <c:pt idx="27">
                        <c:v>1.0624218883586598</c:v>
                      </c:pt>
                      <c:pt idx="28">
                        <c:v>1.1003655272286119</c:v>
                      </c:pt>
                      <c:pt idx="29">
                        <c:v>1.138309166098564</c:v>
                      </c:pt>
                      <c:pt idx="30">
                        <c:v>1.1762528049685161</c:v>
                      </c:pt>
                      <c:pt idx="31">
                        <c:v>1.2141964438384683</c:v>
                      </c:pt>
                      <c:pt idx="32">
                        <c:v>1.2521400827084204</c:v>
                      </c:pt>
                      <c:pt idx="33">
                        <c:v>1.2900837215783725</c:v>
                      </c:pt>
                      <c:pt idx="34">
                        <c:v>1.3280273604483246</c:v>
                      </c:pt>
                      <c:pt idx="35">
                        <c:v>1.3659709993182767</c:v>
                      </c:pt>
                      <c:pt idx="36">
                        <c:v>1.4039146381882288</c:v>
                      </c:pt>
                      <c:pt idx="37">
                        <c:v>1.4418582770581809</c:v>
                      </c:pt>
                      <c:pt idx="38">
                        <c:v>1.479801915928133</c:v>
                      </c:pt>
                      <c:pt idx="39">
                        <c:v>1.5177455547980852</c:v>
                      </c:pt>
                      <c:pt idx="40">
                        <c:v>1.5556891936680373</c:v>
                      </c:pt>
                      <c:pt idx="41">
                        <c:v>1.5936328325379894</c:v>
                      </c:pt>
                      <c:pt idx="42">
                        <c:v>1.6315764714079415</c:v>
                      </c:pt>
                      <c:pt idx="43">
                        <c:v>1.6695201102778936</c:v>
                      </c:pt>
                      <c:pt idx="44">
                        <c:v>1.7074637491478457</c:v>
                      </c:pt>
                      <c:pt idx="45">
                        <c:v>1.7454073880177978</c:v>
                      </c:pt>
                      <c:pt idx="46">
                        <c:v>1.7833510268877499</c:v>
                      </c:pt>
                      <c:pt idx="47">
                        <c:v>1.821294665757702</c:v>
                      </c:pt>
                      <c:pt idx="48">
                        <c:v>1.8592383046276542</c:v>
                      </c:pt>
                      <c:pt idx="49">
                        <c:v>1.8971819434976063</c:v>
                      </c:pt>
                      <c:pt idx="50">
                        <c:v>1.9351255823675584</c:v>
                      </c:pt>
                      <c:pt idx="51">
                        <c:v>1.9730692212375105</c:v>
                      </c:pt>
                    </c:numCache>
                  </c:numRef>
                </c:val>
                <c:smooth val="0"/>
                <c:extLst>
                  <c:ext xmlns:c16="http://schemas.microsoft.com/office/drawing/2014/chart" uri="{C3380CC4-5D6E-409C-BE32-E72D297353CC}">
                    <c16:uniqueId val="{00000004-76D9-4433-972E-09F0E73EE975}"/>
                  </c:ext>
                </c:extLst>
              </c15:ser>
            </c15:filteredLineSeries>
            <c15:filteredLineSeries>
              <c15:ser>
                <c:idx val="5"/>
                <c:order val="2"/>
                <c:tx>
                  <c:strRef>
                    <c:extLst xmlns:c15="http://schemas.microsoft.com/office/drawing/2012/chart">
                      <c:ext xmlns:c15="http://schemas.microsoft.com/office/drawing/2012/chart" uri="{02D57815-91ED-43cb-92C2-25804820EDAC}">
                        <c15:formulaRef>
                          <c15:sqref>'PBL OLD'!$CW$6:$CW$7</c15:sqref>
                        </c15:formulaRef>
                      </c:ext>
                    </c:extLst>
                    <c:strCache>
                      <c:ptCount val="2"/>
                      <c:pt idx="0">
                        <c:v>1st Percentile</c:v>
                      </c:pt>
                    </c:strCache>
                  </c:strRef>
                </c:tx>
                <c:spPr>
                  <a:ln w="28575" cap="rnd">
                    <a:solidFill>
                      <a:schemeClr val="accent6"/>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OLD'!$CW$8:$CW$60</c15:sqref>
                        </c15:formulaRef>
                      </c:ext>
                    </c:extLst>
                    <c:numCache>
                      <c:formatCode>0.000</c:formatCode>
                      <c:ptCount val="53"/>
                      <c:pt idx="0">
                        <c:v>4.5436313528305135E-2</c:v>
                      </c:pt>
                      <c:pt idx="1">
                        <c:v>9.087262705661027E-2</c:v>
                      </c:pt>
                      <c:pt idx="2">
                        <c:v>0.13630894058491541</c:v>
                      </c:pt>
                      <c:pt idx="3">
                        <c:v>0.18174525411322054</c:v>
                      </c:pt>
                      <c:pt idx="4">
                        <c:v>0.22718156764152567</c:v>
                      </c:pt>
                      <c:pt idx="5">
                        <c:v>0.27261788116983082</c:v>
                      </c:pt>
                      <c:pt idx="6">
                        <c:v>0.31805419469813595</c:v>
                      </c:pt>
                      <c:pt idx="7">
                        <c:v>0.36349050822644108</c:v>
                      </c:pt>
                      <c:pt idx="8">
                        <c:v>0.40892682175474621</c:v>
                      </c:pt>
                      <c:pt idx="9">
                        <c:v>0.45436313528305133</c:v>
                      </c:pt>
                      <c:pt idx="10">
                        <c:v>0.49979944881135646</c:v>
                      </c:pt>
                      <c:pt idx="11">
                        <c:v>0.54523576233966164</c:v>
                      </c:pt>
                      <c:pt idx="12">
                        <c:v>0.59067207586796677</c:v>
                      </c:pt>
                      <c:pt idx="13">
                        <c:v>0.6361083893962719</c:v>
                      </c:pt>
                      <c:pt idx="14">
                        <c:v>0.68154470292457703</c:v>
                      </c:pt>
                      <c:pt idx="15">
                        <c:v>0.72698101645288216</c:v>
                      </c:pt>
                      <c:pt idx="16">
                        <c:v>0.77241732998118728</c:v>
                      </c:pt>
                      <c:pt idx="17">
                        <c:v>0.81785364350949241</c:v>
                      </c:pt>
                      <c:pt idx="18">
                        <c:v>0.86328995703779754</c:v>
                      </c:pt>
                      <c:pt idx="19">
                        <c:v>0.90872627056610267</c:v>
                      </c:pt>
                      <c:pt idx="20">
                        <c:v>0.9541625840944078</c:v>
                      </c:pt>
                      <c:pt idx="21">
                        <c:v>0.99959889762271292</c:v>
                      </c:pt>
                      <c:pt idx="22">
                        <c:v>1.0450352111510182</c:v>
                      </c:pt>
                      <c:pt idx="23">
                        <c:v>1.0904715246793233</c:v>
                      </c:pt>
                      <c:pt idx="24">
                        <c:v>1.1359078382076284</c:v>
                      </c:pt>
                      <c:pt idx="25">
                        <c:v>1.1813441517359335</c:v>
                      </c:pt>
                      <c:pt idx="26">
                        <c:v>1.2267804652642387</c:v>
                      </c:pt>
                      <c:pt idx="27">
                        <c:v>1.2722167787925438</c:v>
                      </c:pt>
                      <c:pt idx="28">
                        <c:v>1.3176530923208489</c:v>
                      </c:pt>
                      <c:pt idx="29">
                        <c:v>1.3630894058491541</c:v>
                      </c:pt>
                      <c:pt idx="30">
                        <c:v>1.4085257193774592</c:v>
                      </c:pt>
                      <c:pt idx="31">
                        <c:v>1.4539620329057643</c:v>
                      </c:pt>
                      <c:pt idx="32">
                        <c:v>1.4993983464340694</c:v>
                      </c:pt>
                      <c:pt idx="33">
                        <c:v>1.5448346599623746</c:v>
                      </c:pt>
                      <c:pt idx="34">
                        <c:v>1.5902709734906797</c:v>
                      </c:pt>
                      <c:pt idx="35">
                        <c:v>1.6357072870189848</c:v>
                      </c:pt>
                      <c:pt idx="36">
                        <c:v>1.68114360054729</c:v>
                      </c:pt>
                      <c:pt idx="37">
                        <c:v>1.7265799140755951</c:v>
                      </c:pt>
                      <c:pt idx="38">
                        <c:v>1.7720162276039002</c:v>
                      </c:pt>
                      <c:pt idx="39">
                        <c:v>1.8174525411322053</c:v>
                      </c:pt>
                      <c:pt idx="40">
                        <c:v>1.8628888546605105</c:v>
                      </c:pt>
                      <c:pt idx="41">
                        <c:v>1.9083251681888156</c:v>
                      </c:pt>
                      <c:pt idx="42">
                        <c:v>1.9537614817171207</c:v>
                      </c:pt>
                      <c:pt idx="43">
                        <c:v>1.9991977952454258</c:v>
                      </c:pt>
                      <c:pt idx="44">
                        <c:v>2.0446341087737312</c:v>
                      </c:pt>
                      <c:pt idx="45">
                        <c:v>2.0900704223020363</c:v>
                      </c:pt>
                      <c:pt idx="46">
                        <c:v>2.1355067358303415</c:v>
                      </c:pt>
                      <c:pt idx="47">
                        <c:v>2.1809430493586466</c:v>
                      </c:pt>
                      <c:pt idx="48">
                        <c:v>2.2263793628869517</c:v>
                      </c:pt>
                      <c:pt idx="49">
                        <c:v>2.2718156764152568</c:v>
                      </c:pt>
                      <c:pt idx="50">
                        <c:v>2.317251989943562</c:v>
                      </c:pt>
                      <c:pt idx="51">
                        <c:v>2.3626883034718671</c:v>
                      </c:pt>
                    </c:numCache>
                  </c:numRef>
                </c:val>
                <c:smooth val="0"/>
                <c:extLst xmlns:c15="http://schemas.microsoft.com/office/drawing/2012/chart">
                  <c:ext xmlns:c16="http://schemas.microsoft.com/office/drawing/2014/chart" uri="{C3380CC4-5D6E-409C-BE32-E72D297353CC}">
                    <c16:uniqueId val="{00000005-76D9-4433-972E-09F0E73EE975}"/>
                  </c:ext>
                </c:extLst>
              </c15:ser>
            </c15:filteredLineSeries>
            <c15:filteredLineSeries>
              <c15:ser>
                <c:idx val="7"/>
                <c:order val="3"/>
                <c:tx>
                  <c:strRef>
                    <c:extLst xmlns:c15="http://schemas.microsoft.com/office/drawing/2012/chart">
                      <c:ext xmlns:c15="http://schemas.microsoft.com/office/drawing/2012/chart" uri="{02D57815-91ED-43cb-92C2-25804820EDAC}">
                        <c15:formulaRef>
                          <c15:sqref>'PBL OLD'!$CX$6:$CX$7</c15:sqref>
                        </c15:formulaRef>
                      </c:ext>
                    </c:extLst>
                    <c:strCache>
                      <c:ptCount val="2"/>
                      <c:pt idx="0">
                        <c:v>5th Percentile</c:v>
                      </c:pt>
                    </c:strCache>
                  </c:strRef>
                </c:tx>
                <c:spPr>
                  <a:ln w="28575" cap="rnd">
                    <a:solidFill>
                      <a:schemeClr val="accent6"/>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OLD'!$CX$8:$CX$60</c15:sqref>
                        </c15:formulaRef>
                      </c:ext>
                    </c:extLst>
                    <c:numCache>
                      <c:formatCode>0.000</c:formatCode>
                      <c:ptCount val="53"/>
                      <c:pt idx="0">
                        <c:v>4.8416818848466985E-2</c:v>
                      </c:pt>
                      <c:pt idx="1">
                        <c:v>9.6833637696933969E-2</c:v>
                      </c:pt>
                      <c:pt idx="2">
                        <c:v>0.14525045654540095</c:v>
                      </c:pt>
                      <c:pt idx="3">
                        <c:v>0.19366727539386794</c:v>
                      </c:pt>
                      <c:pt idx="4">
                        <c:v>0.24208409424233493</c:v>
                      </c:pt>
                      <c:pt idx="5">
                        <c:v>0.29050091309080189</c:v>
                      </c:pt>
                      <c:pt idx="6">
                        <c:v>0.33891773193926888</c:v>
                      </c:pt>
                      <c:pt idx="7">
                        <c:v>0.38733455078773588</c:v>
                      </c:pt>
                      <c:pt idx="8">
                        <c:v>0.43575136963620287</c:v>
                      </c:pt>
                      <c:pt idx="9">
                        <c:v>0.48416818848466986</c:v>
                      </c:pt>
                      <c:pt idx="10">
                        <c:v>0.53258500733313685</c:v>
                      </c:pt>
                      <c:pt idx="11">
                        <c:v>0.58100182618160379</c:v>
                      </c:pt>
                      <c:pt idx="12">
                        <c:v>0.62941864503007072</c:v>
                      </c:pt>
                      <c:pt idx="13">
                        <c:v>0.67783546387853766</c:v>
                      </c:pt>
                      <c:pt idx="14">
                        <c:v>0.72625228272700459</c:v>
                      </c:pt>
                      <c:pt idx="15">
                        <c:v>0.77466910157547153</c:v>
                      </c:pt>
                      <c:pt idx="16">
                        <c:v>0.82308592042393847</c:v>
                      </c:pt>
                      <c:pt idx="17">
                        <c:v>0.8715027392724054</c:v>
                      </c:pt>
                      <c:pt idx="18">
                        <c:v>0.91991955812087234</c:v>
                      </c:pt>
                      <c:pt idx="19">
                        <c:v>0.96833637696933927</c:v>
                      </c:pt>
                      <c:pt idx="20">
                        <c:v>1.0167531958178062</c:v>
                      </c:pt>
                      <c:pt idx="21">
                        <c:v>1.0651700146662733</c:v>
                      </c:pt>
                      <c:pt idx="22">
                        <c:v>1.1135868335147403</c:v>
                      </c:pt>
                      <c:pt idx="23">
                        <c:v>1.1620036523632074</c:v>
                      </c:pt>
                      <c:pt idx="24">
                        <c:v>1.2104204712116744</c:v>
                      </c:pt>
                      <c:pt idx="25">
                        <c:v>1.2588372900601414</c:v>
                      </c:pt>
                      <c:pt idx="26">
                        <c:v>1.3072541089086085</c:v>
                      </c:pt>
                      <c:pt idx="27">
                        <c:v>1.3556709277570755</c:v>
                      </c:pt>
                      <c:pt idx="28">
                        <c:v>1.4040877466055426</c:v>
                      </c:pt>
                      <c:pt idx="29">
                        <c:v>1.4525045654540096</c:v>
                      </c:pt>
                      <c:pt idx="30">
                        <c:v>1.5009213843024767</c:v>
                      </c:pt>
                      <c:pt idx="31">
                        <c:v>1.5493382031509437</c:v>
                      </c:pt>
                      <c:pt idx="32">
                        <c:v>1.5977550219994108</c:v>
                      </c:pt>
                      <c:pt idx="33">
                        <c:v>1.6461718408478778</c:v>
                      </c:pt>
                      <c:pt idx="34">
                        <c:v>1.6945886596963449</c:v>
                      </c:pt>
                      <c:pt idx="35">
                        <c:v>1.7430054785448119</c:v>
                      </c:pt>
                      <c:pt idx="36">
                        <c:v>1.791422297393279</c:v>
                      </c:pt>
                      <c:pt idx="37">
                        <c:v>1.839839116241746</c:v>
                      </c:pt>
                      <c:pt idx="38">
                        <c:v>1.8882559350902131</c:v>
                      </c:pt>
                      <c:pt idx="39">
                        <c:v>1.9366727539386801</c:v>
                      </c:pt>
                      <c:pt idx="40">
                        <c:v>1.9850895727871471</c:v>
                      </c:pt>
                      <c:pt idx="41">
                        <c:v>2.0335063916356142</c:v>
                      </c:pt>
                      <c:pt idx="42">
                        <c:v>2.081923210484081</c:v>
                      </c:pt>
                      <c:pt idx="43">
                        <c:v>2.1303400293325478</c:v>
                      </c:pt>
                      <c:pt idx="44">
                        <c:v>2.1787568481810147</c:v>
                      </c:pt>
                      <c:pt idx="45">
                        <c:v>2.2271736670294815</c:v>
                      </c:pt>
                      <c:pt idx="46">
                        <c:v>2.2755904858779483</c:v>
                      </c:pt>
                      <c:pt idx="47">
                        <c:v>2.3240073047264151</c:v>
                      </c:pt>
                      <c:pt idx="48">
                        <c:v>2.372424123574882</c:v>
                      </c:pt>
                      <c:pt idx="49">
                        <c:v>2.4208409424233488</c:v>
                      </c:pt>
                      <c:pt idx="50">
                        <c:v>2.4692577612718156</c:v>
                      </c:pt>
                      <c:pt idx="51">
                        <c:v>2.5176745801202824</c:v>
                      </c:pt>
                    </c:numCache>
                  </c:numRef>
                </c:val>
                <c:smooth val="0"/>
                <c:extLst xmlns:c15="http://schemas.microsoft.com/office/drawing/2012/chart">
                  <c:ext xmlns:c16="http://schemas.microsoft.com/office/drawing/2014/chart" uri="{C3380CC4-5D6E-409C-BE32-E72D297353CC}">
                    <c16:uniqueId val="{00000006-76D9-4433-972E-09F0E73EE975}"/>
                  </c:ext>
                </c:extLst>
              </c15:ser>
            </c15:filteredLineSeries>
            <c15:filteredLineSeries>
              <c15:ser>
                <c:idx val="1"/>
                <c:order val="4"/>
                <c:tx>
                  <c:strRef>
                    <c:extLst xmlns:c15="http://schemas.microsoft.com/office/drawing/2012/chart">
                      <c:ext xmlns:c15="http://schemas.microsoft.com/office/drawing/2012/chart" uri="{02D57815-91ED-43cb-92C2-25804820EDAC}">
                        <c15:formulaRef>
                          <c15:sqref>'PBL OLD'!$CY$6:$CY$7</c15:sqref>
                        </c15:formulaRef>
                      </c:ext>
                    </c:extLst>
                    <c:strCache>
                      <c:ptCount val="2"/>
                      <c:pt idx="0">
                        <c:v>10th Percentile</c:v>
                      </c:pt>
                    </c:strCache>
                  </c:strRef>
                </c:tx>
                <c:spPr>
                  <a:ln w="28575" cap="rnd" cmpd="sng">
                    <a:solidFill>
                      <a:schemeClr val="accent2"/>
                    </a:solidFill>
                    <a:prstDash val="sysDot"/>
                    <a:round/>
                    <a:headEnd type="none"/>
                  </a:ln>
                  <a:effectLst/>
                </c:spPr>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OLD'!$CY$8:$CY$60</c15:sqref>
                        </c15:formulaRef>
                      </c:ext>
                    </c:extLst>
                    <c:numCache>
                      <c:formatCode>0.000</c:formatCode>
                      <c:ptCount val="53"/>
                      <c:pt idx="0">
                        <c:v>5.0502007292025322E-2</c:v>
                      </c:pt>
                      <c:pt idx="1">
                        <c:v>0.10100401458405064</c:v>
                      </c:pt>
                      <c:pt idx="2">
                        <c:v>0.15150602187607598</c:v>
                      </c:pt>
                      <c:pt idx="3">
                        <c:v>0.20200802916810129</c:v>
                      </c:pt>
                      <c:pt idx="4">
                        <c:v>0.2525100364601266</c:v>
                      </c:pt>
                      <c:pt idx="5">
                        <c:v>0.30301204375215191</c:v>
                      </c:pt>
                      <c:pt idx="6">
                        <c:v>0.35351405104417721</c:v>
                      </c:pt>
                      <c:pt idx="7">
                        <c:v>0.40401605833620252</c:v>
                      </c:pt>
                      <c:pt idx="8">
                        <c:v>0.45451806562822783</c:v>
                      </c:pt>
                      <c:pt idx="9">
                        <c:v>0.50502007292025319</c:v>
                      </c:pt>
                      <c:pt idx="10">
                        <c:v>0.55552208021227856</c:v>
                      </c:pt>
                      <c:pt idx="11">
                        <c:v>0.60602408750430392</c:v>
                      </c:pt>
                      <c:pt idx="12">
                        <c:v>0.65652609479632928</c:v>
                      </c:pt>
                      <c:pt idx="13">
                        <c:v>0.70702810208835465</c:v>
                      </c:pt>
                      <c:pt idx="14">
                        <c:v>0.75753010938038001</c:v>
                      </c:pt>
                      <c:pt idx="15">
                        <c:v>0.80803211667240538</c:v>
                      </c:pt>
                      <c:pt idx="16">
                        <c:v>0.85853412396443074</c:v>
                      </c:pt>
                      <c:pt idx="17">
                        <c:v>0.9090361312564561</c:v>
                      </c:pt>
                      <c:pt idx="18">
                        <c:v>0.95953813854848147</c:v>
                      </c:pt>
                      <c:pt idx="19">
                        <c:v>1.0100401458405068</c:v>
                      </c:pt>
                      <c:pt idx="20">
                        <c:v>1.0605421531325321</c:v>
                      </c:pt>
                      <c:pt idx="21">
                        <c:v>1.1110441604245573</c:v>
                      </c:pt>
                      <c:pt idx="22">
                        <c:v>1.1615461677165826</c:v>
                      </c:pt>
                      <c:pt idx="23">
                        <c:v>1.2120481750086078</c:v>
                      </c:pt>
                      <c:pt idx="24">
                        <c:v>1.2625501823006331</c:v>
                      </c:pt>
                      <c:pt idx="25">
                        <c:v>1.3130521895926583</c:v>
                      </c:pt>
                      <c:pt idx="26">
                        <c:v>1.3635541968846836</c:v>
                      </c:pt>
                      <c:pt idx="27">
                        <c:v>1.4140562041767089</c:v>
                      </c:pt>
                      <c:pt idx="28">
                        <c:v>1.4645582114687341</c:v>
                      </c:pt>
                      <c:pt idx="29">
                        <c:v>1.5150602187607594</c:v>
                      </c:pt>
                      <c:pt idx="30">
                        <c:v>1.5655622260527846</c:v>
                      </c:pt>
                      <c:pt idx="31">
                        <c:v>1.6160642333448099</c:v>
                      </c:pt>
                      <c:pt idx="32">
                        <c:v>1.6665662406368351</c:v>
                      </c:pt>
                      <c:pt idx="33">
                        <c:v>1.7170682479288604</c:v>
                      </c:pt>
                      <c:pt idx="34">
                        <c:v>1.7675702552208856</c:v>
                      </c:pt>
                      <c:pt idx="35">
                        <c:v>1.8180722625129109</c:v>
                      </c:pt>
                      <c:pt idx="36">
                        <c:v>1.8685742698049361</c:v>
                      </c:pt>
                      <c:pt idx="37">
                        <c:v>1.9190762770969614</c:v>
                      </c:pt>
                      <c:pt idx="38">
                        <c:v>1.9695782843889866</c:v>
                      </c:pt>
                      <c:pt idx="39">
                        <c:v>2.0200802916810119</c:v>
                      </c:pt>
                      <c:pt idx="40">
                        <c:v>2.0705822989730374</c:v>
                      </c:pt>
                      <c:pt idx="41">
                        <c:v>2.1210843062650628</c:v>
                      </c:pt>
                      <c:pt idx="42">
                        <c:v>2.1715863135570883</c:v>
                      </c:pt>
                      <c:pt idx="43">
                        <c:v>2.2220883208491138</c:v>
                      </c:pt>
                      <c:pt idx="44">
                        <c:v>2.2725903281411393</c:v>
                      </c:pt>
                      <c:pt idx="45">
                        <c:v>2.3230923354331647</c:v>
                      </c:pt>
                      <c:pt idx="46">
                        <c:v>2.3735943427251902</c:v>
                      </c:pt>
                      <c:pt idx="47">
                        <c:v>2.4240963500172157</c:v>
                      </c:pt>
                      <c:pt idx="48">
                        <c:v>2.4745983573092412</c:v>
                      </c:pt>
                      <c:pt idx="49">
                        <c:v>2.5251003646012666</c:v>
                      </c:pt>
                      <c:pt idx="50">
                        <c:v>2.5756023718932921</c:v>
                      </c:pt>
                      <c:pt idx="51">
                        <c:v>2.6261043791853176</c:v>
                      </c:pt>
                    </c:numCache>
                  </c:numRef>
                </c:val>
                <c:smooth val="0"/>
                <c:extLst xmlns:c15="http://schemas.microsoft.com/office/drawing/2012/chart">
                  <c:ext xmlns:c16="http://schemas.microsoft.com/office/drawing/2014/chart" uri="{C3380CC4-5D6E-409C-BE32-E72D297353CC}">
                    <c16:uniqueId val="{00000007-76D9-4433-972E-09F0E73EE975}"/>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'PBL OLD'!$DC$6:$DC$7</c15:sqref>
                        </c15:formulaRef>
                      </c:ext>
                    </c:extLst>
                    <c:strCache>
                      <c:ptCount val="2"/>
                      <c:pt idx="0">
                        <c:v>90th Percentile</c:v>
                      </c:pt>
                    </c:strCache>
                  </c:strRef>
                </c:tx>
                <c:spPr>
                  <a:ln w="28575">
                    <a:solidFill>
                      <a:schemeClr val="accent1"/>
                    </a:solidFill>
                    <a:prstDash val="sysDot"/>
                  </a:ln>
                </c:spPr>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OLD'!$DC$8:$DC$60</c15:sqref>
                        </c15:formulaRef>
                      </c:ext>
                    </c:extLst>
                    <c:numCache>
                      <c:formatCode>0.000</c:formatCode>
                      <c:ptCount val="53"/>
                      <c:pt idx="0">
                        <c:v>7.261484324723147E-2</c:v>
                      </c:pt>
                      <c:pt idx="1">
                        <c:v>0.14522968649446294</c:v>
                      </c:pt>
                      <c:pt idx="2">
                        <c:v>0.21784452974169441</c:v>
                      </c:pt>
                      <c:pt idx="3">
                        <c:v>0.29045937298892588</c:v>
                      </c:pt>
                      <c:pt idx="4">
                        <c:v>0.36307421623615732</c:v>
                      </c:pt>
                      <c:pt idx="5">
                        <c:v>0.43568905948338876</c:v>
                      </c:pt>
                      <c:pt idx="6">
                        <c:v>0.50830390273062021</c:v>
                      </c:pt>
                      <c:pt idx="7">
                        <c:v>0.58091874597785165</c:v>
                      </c:pt>
                      <c:pt idx="8">
                        <c:v>0.65353358922508309</c:v>
                      </c:pt>
                      <c:pt idx="9">
                        <c:v>0.72614843247231453</c:v>
                      </c:pt>
                      <c:pt idx="10">
                        <c:v>0.79876327571954597</c:v>
                      </c:pt>
                      <c:pt idx="11">
                        <c:v>0.87137811896677742</c:v>
                      </c:pt>
                      <c:pt idx="12">
                        <c:v>0.94399296221400886</c:v>
                      </c:pt>
                      <c:pt idx="13">
                        <c:v>1.0166078054612404</c:v>
                      </c:pt>
                      <c:pt idx="14">
                        <c:v>1.089222648708472</c:v>
                      </c:pt>
                      <c:pt idx="15">
                        <c:v>1.1618374919557035</c:v>
                      </c:pt>
                      <c:pt idx="16">
                        <c:v>1.2344523352029351</c:v>
                      </c:pt>
                      <c:pt idx="17">
                        <c:v>1.3070671784501666</c:v>
                      </c:pt>
                      <c:pt idx="18">
                        <c:v>1.3796820216973982</c:v>
                      </c:pt>
                      <c:pt idx="19">
                        <c:v>1.4522968649446297</c:v>
                      </c:pt>
                      <c:pt idx="20">
                        <c:v>1.5249117081918613</c:v>
                      </c:pt>
                      <c:pt idx="21">
                        <c:v>1.5975265514390928</c:v>
                      </c:pt>
                      <c:pt idx="22">
                        <c:v>1.6701413946863244</c:v>
                      </c:pt>
                      <c:pt idx="23">
                        <c:v>1.7427562379335559</c:v>
                      </c:pt>
                      <c:pt idx="24">
                        <c:v>1.8153710811807875</c:v>
                      </c:pt>
                      <c:pt idx="25">
                        <c:v>1.887985924428019</c:v>
                      </c:pt>
                      <c:pt idx="26">
                        <c:v>1.9606007676752506</c:v>
                      </c:pt>
                      <c:pt idx="27">
                        <c:v>2.0332156109224822</c:v>
                      </c:pt>
                      <c:pt idx="28">
                        <c:v>2.1058304541697135</c:v>
                      </c:pt>
                      <c:pt idx="29">
                        <c:v>2.1784452974169448</c:v>
                      </c:pt>
                      <c:pt idx="30">
                        <c:v>2.2510601406641761</c:v>
                      </c:pt>
                      <c:pt idx="31">
                        <c:v>2.3236749839114075</c:v>
                      </c:pt>
                      <c:pt idx="32">
                        <c:v>2.3962898271586388</c:v>
                      </c:pt>
                      <c:pt idx="33">
                        <c:v>2.4689046704058701</c:v>
                      </c:pt>
                      <c:pt idx="34">
                        <c:v>2.5415195136531015</c:v>
                      </c:pt>
                      <c:pt idx="35">
                        <c:v>2.6141343569003328</c:v>
                      </c:pt>
                      <c:pt idx="36">
                        <c:v>2.6867492001475641</c:v>
                      </c:pt>
                      <c:pt idx="37">
                        <c:v>2.7593640433947955</c:v>
                      </c:pt>
                      <c:pt idx="38">
                        <c:v>2.8319788866420268</c:v>
                      </c:pt>
                      <c:pt idx="39">
                        <c:v>2.9045937298892581</c:v>
                      </c:pt>
                      <c:pt idx="40">
                        <c:v>2.9772085731364895</c:v>
                      </c:pt>
                      <c:pt idx="41">
                        <c:v>3.0498234163837208</c:v>
                      </c:pt>
                      <c:pt idx="42">
                        <c:v>3.1224382596309521</c:v>
                      </c:pt>
                      <c:pt idx="43">
                        <c:v>3.1950531028781834</c:v>
                      </c:pt>
                      <c:pt idx="44">
                        <c:v>3.2676679461254148</c:v>
                      </c:pt>
                      <c:pt idx="45">
                        <c:v>3.3402827893726461</c:v>
                      </c:pt>
                      <c:pt idx="46">
                        <c:v>3.4128976326198774</c:v>
                      </c:pt>
                      <c:pt idx="47">
                        <c:v>3.4855124758671088</c:v>
                      </c:pt>
                      <c:pt idx="48">
                        <c:v>3.5581273191143401</c:v>
                      </c:pt>
                      <c:pt idx="49">
                        <c:v>3.6307421623615714</c:v>
                      </c:pt>
                      <c:pt idx="50">
                        <c:v>3.7033570056088028</c:v>
                      </c:pt>
                      <c:pt idx="51">
                        <c:v>3.7759718488560341</c:v>
                      </c:pt>
                    </c:numCache>
                  </c:numRef>
                </c:val>
                <c:smooth val="0"/>
                <c:extLst xmlns:c15="http://schemas.microsoft.com/office/drawing/2012/chart">
                  <c:ext xmlns:c16="http://schemas.microsoft.com/office/drawing/2014/chart" uri="{C3380CC4-5D6E-409C-BE32-E72D297353CC}">
                    <c16:uniqueId val="{00000008-76D9-4433-972E-09F0E73EE975}"/>
                  </c:ext>
                </c:extLst>
              </c15:ser>
            </c15:filteredLineSeries>
            <c15:filteredLineSeries>
              <c15:ser>
                <c:idx val="9"/>
                <c:order val="9"/>
                <c:tx>
                  <c:strRef>
                    <c:extLst xmlns:c15="http://schemas.microsoft.com/office/drawing/2012/chart">
                      <c:ext xmlns:c15="http://schemas.microsoft.com/office/drawing/2012/chart" uri="{02D57815-91ED-43cb-92C2-25804820EDAC}">
                        <c15:formulaRef>
                          <c15:sqref>'PBL OLD'!$DD$6:$DD$7</c15:sqref>
                        </c15:formulaRef>
                      </c:ext>
                    </c:extLst>
                    <c:strCache>
                      <c:ptCount val="2"/>
                      <c:pt idx="0">
                        <c:v>95th Percentile</c:v>
                      </c:pt>
                    </c:strCache>
                  </c:strRef>
                </c:tx>
                <c:spPr>
                  <a:ln w="28575">
                    <a:solidFill>
                      <a:schemeClr val="accent1"/>
                    </a:solidFill>
                    <a:prstDash val="sysDot"/>
                  </a:ln>
                </c:spPr>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OLD'!$DD$8:$DD$60</c15:sqref>
                        </c15:formulaRef>
                      </c:ext>
                    </c:extLst>
                    <c:numCache>
                      <c:formatCode>0.000</c:formatCode>
                      <c:ptCount val="53"/>
                      <c:pt idx="0">
                        <c:v>7.643445292523153E-2</c:v>
                      </c:pt>
                      <c:pt idx="1">
                        <c:v>0.15286890585046306</c:v>
                      </c:pt>
                      <c:pt idx="2">
                        <c:v>0.22930335877569458</c:v>
                      </c:pt>
                      <c:pt idx="3">
                        <c:v>0.30573781170092612</c:v>
                      </c:pt>
                      <c:pt idx="4">
                        <c:v>0.38217226462615767</c:v>
                      </c:pt>
                      <c:pt idx="5">
                        <c:v>0.45860671755138921</c:v>
                      </c:pt>
                      <c:pt idx="6">
                        <c:v>0.5350411704766207</c:v>
                      </c:pt>
                      <c:pt idx="7">
                        <c:v>0.61147562340185224</c:v>
                      </c:pt>
                      <c:pt idx="8">
                        <c:v>0.68791007632708379</c:v>
                      </c:pt>
                      <c:pt idx="9">
                        <c:v>0.76434452925231533</c:v>
                      </c:pt>
                      <c:pt idx="10">
                        <c:v>0.84077898217754687</c:v>
                      </c:pt>
                      <c:pt idx="11">
                        <c:v>0.91721343510277842</c:v>
                      </c:pt>
                      <c:pt idx="12">
                        <c:v>0.99364788802800996</c:v>
                      </c:pt>
                      <c:pt idx="13">
                        <c:v>1.0700823409532414</c:v>
                      </c:pt>
                      <c:pt idx="14">
                        <c:v>1.1465167938784728</c:v>
                      </c:pt>
                      <c:pt idx="15">
                        <c:v>1.2229512468037043</c:v>
                      </c:pt>
                      <c:pt idx="16">
                        <c:v>1.2993856997289357</c:v>
                      </c:pt>
                      <c:pt idx="17">
                        <c:v>1.3758201526541671</c:v>
                      </c:pt>
                      <c:pt idx="18">
                        <c:v>1.4522546055793986</c:v>
                      </c:pt>
                      <c:pt idx="19">
                        <c:v>1.52868905850463</c:v>
                      </c:pt>
                      <c:pt idx="20">
                        <c:v>1.6051235114298614</c:v>
                      </c:pt>
                      <c:pt idx="21">
                        <c:v>1.6815579643550929</c:v>
                      </c:pt>
                      <c:pt idx="22">
                        <c:v>1.7579924172803243</c:v>
                      </c:pt>
                      <c:pt idx="23">
                        <c:v>1.8344268702055557</c:v>
                      </c:pt>
                      <c:pt idx="24">
                        <c:v>1.9108613231307872</c:v>
                      </c:pt>
                      <c:pt idx="25">
                        <c:v>1.9872957760560186</c:v>
                      </c:pt>
                      <c:pt idx="26">
                        <c:v>2.06373022898125</c:v>
                      </c:pt>
                      <c:pt idx="27">
                        <c:v>2.1401646819064815</c:v>
                      </c:pt>
                      <c:pt idx="28">
                        <c:v>2.2165991348317129</c:v>
                      </c:pt>
                      <c:pt idx="29">
                        <c:v>2.2930335877569443</c:v>
                      </c:pt>
                      <c:pt idx="30">
                        <c:v>2.3694680406821758</c:v>
                      </c:pt>
                      <c:pt idx="31">
                        <c:v>2.4459024936074072</c:v>
                      </c:pt>
                      <c:pt idx="32">
                        <c:v>2.5223369465326386</c:v>
                      </c:pt>
                      <c:pt idx="33">
                        <c:v>2.5987713994578701</c:v>
                      </c:pt>
                      <c:pt idx="34">
                        <c:v>2.6752058523831015</c:v>
                      </c:pt>
                      <c:pt idx="35">
                        <c:v>2.7516403053083329</c:v>
                      </c:pt>
                      <c:pt idx="36">
                        <c:v>2.8280747582335644</c:v>
                      </c:pt>
                      <c:pt idx="37">
                        <c:v>2.9045092111587958</c:v>
                      </c:pt>
                      <c:pt idx="38">
                        <c:v>2.9809436640840272</c:v>
                      </c:pt>
                      <c:pt idx="39">
                        <c:v>3.0573781170092587</c:v>
                      </c:pt>
                      <c:pt idx="40">
                        <c:v>3.1338125699344901</c:v>
                      </c:pt>
                      <c:pt idx="41">
                        <c:v>3.2102470228597215</c:v>
                      </c:pt>
                      <c:pt idx="42">
                        <c:v>3.286681475784953</c:v>
                      </c:pt>
                      <c:pt idx="43">
                        <c:v>3.3631159287101844</c:v>
                      </c:pt>
                      <c:pt idx="44">
                        <c:v>3.4395503816354158</c:v>
                      </c:pt>
                      <c:pt idx="45">
                        <c:v>3.5159848345606473</c:v>
                      </c:pt>
                      <c:pt idx="46">
                        <c:v>3.5924192874858787</c:v>
                      </c:pt>
                      <c:pt idx="47">
                        <c:v>3.6688537404111101</c:v>
                      </c:pt>
                      <c:pt idx="48">
                        <c:v>3.7452881933363416</c:v>
                      </c:pt>
                      <c:pt idx="49">
                        <c:v>3.821722646261573</c:v>
                      </c:pt>
                      <c:pt idx="50">
                        <c:v>3.8981570991868044</c:v>
                      </c:pt>
                      <c:pt idx="51">
                        <c:v>3.9745915521120359</c:v>
                      </c:pt>
                    </c:numCache>
                  </c:numRef>
                </c:val>
                <c:smooth val="0"/>
                <c:extLst xmlns:c15="http://schemas.microsoft.com/office/drawing/2012/chart">
                  <c:ext xmlns:c16="http://schemas.microsoft.com/office/drawing/2014/chart" uri="{C3380CC4-5D6E-409C-BE32-E72D297353CC}">
                    <c16:uniqueId val="{00000009-76D9-4433-972E-09F0E73EE975}"/>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'PBL OLD'!$DE$6:$DE$7</c15:sqref>
                        </c15:formulaRef>
                      </c:ext>
                    </c:extLst>
                    <c:strCache>
                      <c:ptCount val="2"/>
                      <c:pt idx="0">
                        <c:v>99th Percentile</c:v>
                      </c:pt>
                    </c:strCache>
                  </c:strRef>
                </c:tx>
                <c:spPr>
                  <a:ln w="28575">
                    <a:solidFill>
                      <a:schemeClr val="accent1"/>
                    </a:solidFill>
                    <a:prstDash val="sysDot"/>
                  </a:ln>
                </c:spPr>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OLD'!$DE$8:$DE$60</c15:sqref>
                        </c15:formulaRef>
                      </c:ext>
                    </c:extLst>
                    <c:numCache>
                      <c:formatCode>0.000</c:formatCode>
                      <c:ptCount val="53"/>
                      <c:pt idx="0">
                        <c:v>8.472863847550996E-2</c:v>
                      </c:pt>
                      <c:pt idx="1">
                        <c:v>0.16945727695101992</c:v>
                      </c:pt>
                      <c:pt idx="2">
                        <c:v>0.25418591542652991</c:v>
                      </c:pt>
                      <c:pt idx="3">
                        <c:v>0.33891455390203984</c:v>
                      </c:pt>
                      <c:pt idx="4">
                        <c:v>0.42364319237754977</c:v>
                      </c:pt>
                      <c:pt idx="5">
                        <c:v>0.5083718308530597</c:v>
                      </c:pt>
                      <c:pt idx="6">
                        <c:v>0.59310046932856963</c:v>
                      </c:pt>
                      <c:pt idx="7">
                        <c:v>0.67782910780407957</c:v>
                      </c:pt>
                      <c:pt idx="8">
                        <c:v>0.7625577462795895</c:v>
                      </c:pt>
                      <c:pt idx="9">
                        <c:v>0.84728638475509943</c:v>
                      </c:pt>
                      <c:pt idx="10">
                        <c:v>0.93201502323060936</c:v>
                      </c:pt>
                      <c:pt idx="11">
                        <c:v>1.0167436617061194</c:v>
                      </c:pt>
                      <c:pt idx="12">
                        <c:v>1.1014723001816293</c:v>
                      </c:pt>
                      <c:pt idx="13">
                        <c:v>1.1862009386571393</c:v>
                      </c:pt>
                      <c:pt idx="14">
                        <c:v>1.2709295771326492</c:v>
                      </c:pt>
                      <c:pt idx="15">
                        <c:v>1.3556582156081591</c:v>
                      </c:pt>
                      <c:pt idx="16">
                        <c:v>1.4403868540836691</c:v>
                      </c:pt>
                      <c:pt idx="17">
                        <c:v>1.525115492559179</c:v>
                      </c:pt>
                      <c:pt idx="18">
                        <c:v>1.6098441310346889</c:v>
                      </c:pt>
                      <c:pt idx="19">
                        <c:v>1.6945727695101989</c:v>
                      </c:pt>
                      <c:pt idx="20">
                        <c:v>1.7793014079857088</c:v>
                      </c:pt>
                      <c:pt idx="21">
                        <c:v>1.8640300464612187</c:v>
                      </c:pt>
                      <c:pt idx="22">
                        <c:v>1.9487586849367287</c:v>
                      </c:pt>
                      <c:pt idx="23">
                        <c:v>2.0334873234122388</c:v>
                      </c:pt>
                      <c:pt idx="24">
                        <c:v>2.1182159618877487</c:v>
                      </c:pt>
                      <c:pt idx="25">
                        <c:v>2.2029446003632587</c:v>
                      </c:pt>
                      <c:pt idx="26">
                        <c:v>2.2876732388387686</c:v>
                      </c:pt>
                      <c:pt idx="27">
                        <c:v>2.3724018773142785</c:v>
                      </c:pt>
                      <c:pt idx="28">
                        <c:v>2.4571305157897885</c:v>
                      </c:pt>
                      <c:pt idx="29">
                        <c:v>2.5418591542652984</c:v>
                      </c:pt>
                      <c:pt idx="30">
                        <c:v>2.6265877927408083</c:v>
                      </c:pt>
                      <c:pt idx="31">
                        <c:v>2.7113164312163183</c:v>
                      </c:pt>
                      <c:pt idx="32">
                        <c:v>2.7960450696918282</c:v>
                      </c:pt>
                      <c:pt idx="33">
                        <c:v>2.8807737081673381</c:v>
                      </c:pt>
                      <c:pt idx="34">
                        <c:v>2.9655023466428481</c:v>
                      </c:pt>
                      <c:pt idx="35">
                        <c:v>3.050230985118358</c:v>
                      </c:pt>
                      <c:pt idx="36">
                        <c:v>3.1349596235938679</c:v>
                      </c:pt>
                      <c:pt idx="37">
                        <c:v>3.2196882620693779</c:v>
                      </c:pt>
                      <c:pt idx="38">
                        <c:v>3.3044169005448878</c:v>
                      </c:pt>
                      <c:pt idx="39">
                        <c:v>3.3891455390203977</c:v>
                      </c:pt>
                      <c:pt idx="40">
                        <c:v>3.4738741774959077</c:v>
                      </c:pt>
                      <c:pt idx="41">
                        <c:v>3.5586028159714176</c:v>
                      </c:pt>
                      <c:pt idx="42">
                        <c:v>3.6433314544469275</c:v>
                      </c:pt>
                      <c:pt idx="43">
                        <c:v>3.7280600929224375</c:v>
                      </c:pt>
                      <c:pt idx="44">
                        <c:v>3.8127887313979474</c:v>
                      </c:pt>
                      <c:pt idx="45">
                        <c:v>3.8975173698734573</c:v>
                      </c:pt>
                      <c:pt idx="46">
                        <c:v>3.9822460083489672</c:v>
                      </c:pt>
                      <c:pt idx="47">
                        <c:v>4.0669746468244776</c:v>
                      </c:pt>
                      <c:pt idx="48">
                        <c:v>4.1517032852999876</c:v>
                      </c:pt>
                      <c:pt idx="49">
                        <c:v>4.2364319237754975</c:v>
                      </c:pt>
                      <c:pt idx="50">
                        <c:v>4.3211605622510074</c:v>
                      </c:pt>
                      <c:pt idx="51">
                        <c:v>4.4058892007265174</c:v>
                      </c:pt>
                    </c:numCache>
                  </c:numRef>
                </c:val>
                <c:smooth val="0"/>
                <c:extLst xmlns:c15="http://schemas.microsoft.com/office/drawing/2012/chart">
                  <c:ext xmlns:c16="http://schemas.microsoft.com/office/drawing/2014/chart" uri="{C3380CC4-5D6E-409C-BE32-E72D297353CC}">
                    <c16:uniqueId val="{0000000A-76D9-4433-972E-09F0E73EE975}"/>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'PBL OLD'!$DF$6:$DF$7</c15:sqref>
                        </c15:formulaRef>
                      </c:ext>
                    </c:extLst>
                    <c:strCache>
                      <c:ptCount val="2"/>
                      <c:pt idx="0">
                        <c:v>Max</c:v>
                      </c:pt>
                    </c:strCache>
                  </c:strRef>
                </c:tx>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OLD'!$DF$8:$DF$60</c15:sqref>
                        </c15:formulaRef>
                      </c:ext>
                    </c:extLst>
                    <c:numCache>
                      <c:formatCode>0.000</c:formatCode>
                      <c:ptCount val="53"/>
                      <c:pt idx="0">
                        <c:v>0.10288241710741779</c:v>
                      </c:pt>
                      <c:pt idx="1">
                        <c:v>0.20576483421483557</c:v>
                      </c:pt>
                      <c:pt idx="2">
                        <c:v>0.30864725132225335</c:v>
                      </c:pt>
                      <c:pt idx="3">
                        <c:v>0.41152966842967115</c:v>
                      </c:pt>
                      <c:pt idx="4">
                        <c:v>0.51441208553708895</c:v>
                      </c:pt>
                      <c:pt idx="5">
                        <c:v>0.61729450264450669</c:v>
                      </c:pt>
                      <c:pt idx="6">
                        <c:v>0.72017691975192444</c:v>
                      </c:pt>
                      <c:pt idx="7">
                        <c:v>0.82305933685934218</c:v>
                      </c:pt>
                      <c:pt idx="8">
                        <c:v>0.92594175396675993</c:v>
                      </c:pt>
                      <c:pt idx="9">
                        <c:v>1.0288241710741777</c:v>
                      </c:pt>
                      <c:pt idx="10">
                        <c:v>1.1317065881815955</c:v>
                      </c:pt>
                      <c:pt idx="11">
                        <c:v>1.2345890052890134</c:v>
                      </c:pt>
                      <c:pt idx="12">
                        <c:v>1.3374714223964312</c:v>
                      </c:pt>
                      <c:pt idx="13">
                        <c:v>1.4403538395038491</c:v>
                      </c:pt>
                      <c:pt idx="14">
                        <c:v>1.543236256611267</c:v>
                      </c:pt>
                      <c:pt idx="15">
                        <c:v>1.6461186737186848</c:v>
                      </c:pt>
                      <c:pt idx="16">
                        <c:v>1.7490010908261027</c:v>
                      </c:pt>
                      <c:pt idx="17">
                        <c:v>1.8518835079335205</c:v>
                      </c:pt>
                      <c:pt idx="18">
                        <c:v>1.9547659250409384</c:v>
                      </c:pt>
                      <c:pt idx="19">
                        <c:v>2.0576483421483562</c:v>
                      </c:pt>
                      <c:pt idx="20">
                        <c:v>2.1605307592557739</c:v>
                      </c:pt>
                      <c:pt idx="21">
                        <c:v>2.2634131763631915</c:v>
                      </c:pt>
                      <c:pt idx="22">
                        <c:v>2.3662955934706091</c:v>
                      </c:pt>
                      <c:pt idx="23">
                        <c:v>2.4691780105780268</c:v>
                      </c:pt>
                      <c:pt idx="24">
                        <c:v>2.5720604276854444</c:v>
                      </c:pt>
                      <c:pt idx="25">
                        <c:v>2.674942844792862</c:v>
                      </c:pt>
                      <c:pt idx="26">
                        <c:v>2.7778252619002797</c:v>
                      </c:pt>
                      <c:pt idx="27">
                        <c:v>2.8807076790076973</c:v>
                      </c:pt>
                      <c:pt idx="28">
                        <c:v>2.9835900961151149</c:v>
                      </c:pt>
                      <c:pt idx="29">
                        <c:v>3.0864725132225326</c:v>
                      </c:pt>
                      <c:pt idx="30">
                        <c:v>3.1893549303299502</c:v>
                      </c:pt>
                      <c:pt idx="31">
                        <c:v>3.2922373474373678</c:v>
                      </c:pt>
                      <c:pt idx="32">
                        <c:v>3.3951197645447855</c:v>
                      </c:pt>
                      <c:pt idx="33">
                        <c:v>3.4980021816522031</c:v>
                      </c:pt>
                      <c:pt idx="34">
                        <c:v>3.6008845987596207</c:v>
                      </c:pt>
                      <c:pt idx="35">
                        <c:v>3.7037670158670384</c:v>
                      </c:pt>
                      <c:pt idx="36">
                        <c:v>3.806649432974456</c:v>
                      </c:pt>
                      <c:pt idx="37">
                        <c:v>3.9095318500818736</c:v>
                      </c:pt>
                      <c:pt idx="38">
                        <c:v>4.0124142671892917</c:v>
                      </c:pt>
                      <c:pt idx="39">
                        <c:v>4.1152966842967098</c:v>
                      </c:pt>
                      <c:pt idx="40">
                        <c:v>4.2181791014041279</c:v>
                      </c:pt>
                      <c:pt idx="41">
                        <c:v>4.321061518511546</c:v>
                      </c:pt>
                      <c:pt idx="42">
                        <c:v>4.423943935618964</c:v>
                      </c:pt>
                      <c:pt idx="43">
                        <c:v>4.5268263527263821</c:v>
                      </c:pt>
                      <c:pt idx="44">
                        <c:v>4.6297087698338002</c:v>
                      </c:pt>
                      <c:pt idx="45">
                        <c:v>4.7325911869412183</c:v>
                      </c:pt>
                      <c:pt idx="46">
                        <c:v>4.8354736040486364</c:v>
                      </c:pt>
                      <c:pt idx="47">
                        <c:v>4.9383560211560544</c:v>
                      </c:pt>
                      <c:pt idx="48">
                        <c:v>5.0412384382634725</c:v>
                      </c:pt>
                      <c:pt idx="49">
                        <c:v>5.1441208553708906</c:v>
                      </c:pt>
                      <c:pt idx="50">
                        <c:v>5.2470032724783087</c:v>
                      </c:pt>
                      <c:pt idx="51">
                        <c:v>5.3498856895857267</c:v>
                      </c:pt>
                    </c:numCache>
                  </c:numRef>
                </c:val>
                <c:smooth val="0"/>
                <c:extLst xmlns:c15="http://schemas.microsoft.com/office/drawing/2012/chart">
                  <c:ext xmlns:c16="http://schemas.microsoft.com/office/drawing/2014/chart" uri="{C3380CC4-5D6E-409C-BE32-E72D297353CC}">
                    <c16:uniqueId val="{0000000B-76D9-4433-972E-09F0E73EE975}"/>
                  </c:ext>
                </c:extLst>
              </c15:ser>
            </c15:filteredLineSeries>
          </c:ext>
        </c:extLst>
      </c:lineChart>
      <c:dateAx>
        <c:axId val="1388952432"/>
        <c:scaling>
          <c:orientation val="minMax"/>
        </c:scaling>
        <c:delete val="0"/>
        <c:axPos val="b"/>
        <c:numFmt formatCode="mmm\-yy_);\(###0\);&quot;-  &quot;;&quot; &quot;@&quot; &quot;" sourceLinked="0"/>
        <c:majorTickMark val="none"/>
        <c:minorTickMark val="none"/>
        <c:tickLblPos val="nextTo"/>
        <c:spPr>
          <a:noFill/>
          <a:ln w="9525" cap="flat" cmpd="sng" algn="ctr">
            <a:noFill/>
            <a:round/>
          </a:ln>
          <a:effectLst/>
        </c:spPr>
        <c:txPr>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3088"/>
        <c:crosses val="autoZero"/>
        <c:auto val="1"/>
        <c:lblOffset val="100"/>
        <c:baseTimeUnit val="days"/>
        <c:majorUnit val="1"/>
        <c:majorTimeUnit val="months"/>
      </c:dateAx>
      <c:valAx>
        <c:axId val="13889530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2432"/>
        <c:crosses val="autoZero"/>
        <c:crossBetween val="between"/>
      </c:valAx>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orientation="portrait"/>
  </c:printSettings>
</c:chartSpace>
</file>

<file path=xl/charts/chart1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'PBL OLD'!$CU$6:$CU$7</c:f>
              <c:strCache>
                <c:ptCount val="2"/>
                <c:pt idx="0">
                  <c:v>Actual</c:v>
                </c:pt>
              </c:strCache>
            </c:strRef>
          </c:tx>
          <c:spPr>
            <a:ln w="28575" cap="rnd">
              <a:solidFill>
                <a:schemeClr val="tx2"/>
              </a:solidFill>
              <a:round/>
            </a:ln>
            <a:effectLst/>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OLD'!$CU$8:$CU$60</c:f>
              <c:numCache>
                <c:formatCode>0.000</c:formatCode>
                <c:ptCount val="53"/>
                <c:pt idx="0">
                  <c:v>2.4383432684147156E-2</c:v>
                </c:pt>
                <c:pt idx="1">
                  <c:v>5.7456335077458197E-2</c:v>
                </c:pt>
                <c:pt idx="2">
                  <c:v>8.2897301732709039E-2</c:v>
                </c:pt>
                <c:pt idx="3">
                  <c:v>0.10634933406608696</c:v>
                </c:pt>
                <c:pt idx="4">
                  <c:v>0.13586762292789298</c:v>
                </c:pt>
                <c:pt idx="5">
                  <c:v>0.18374004427397994</c:v>
                </c:pt>
                <c:pt idx="6">
                  <c:v>0.20803473319331103</c:v>
                </c:pt>
                <c:pt idx="7">
                  <c:v>0.23891877923157193</c:v>
                </c:pt>
                <c:pt idx="8">
                  <c:v>0.28713984685163879</c:v>
                </c:pt>
                <c:pt idx="9">
                  <c:v>0.3616614278523077</c:v>
                </c:pt>
                <c:pt idx="10">
                  <c:v>0.392004627321204</c:v>
                </c:pt>
                <c:pt idx="11">
                  <c:v>0.41949779873926418</c:v>
                </c:pt>
                <c:pt idx="12">
                  <c:v>0.46306182742073576</c:v>
                </c:pt>
                <c:pt idx="13">
                  <c:v>0.52060037325672237</c:v>
                </c:pt>
                <c:pt idx="14">
                  <c:v>0.6148648724923077</c:v>
                </c:pt>
                <c:pt idx="15">
                  <c:v>0.83700126369498329</c:v>
                </c:pt>
                <c:pt idx="16">
                  <c:v>1.1825944978628762</c:v>
                </c:pt>
                <c:pt idx="17">
                  <c:v>1.2153577144507022</c:v>
                </c:pt>
                <c:pt idx="18">
                  <c:v>1.2691323901694982</c:v>
                </c:pt>
                <c:pt idx="19">
                  <c:v>1.3310424487488961</c:v>
                </c:pt>
                <c:pt idx="20">
                  <c:v>1.4175102073723076</c:v>
                </c:pt>
                <c:pt idx="21">
                  <c:v>1.4481012105839461</c:v>
                </c:pt>
                <c:pt idx="22">
                  <c:v>1.4946211055890297</c:v>
                </c:pt>
                <c:pt idx="23">
                  <c:v>1.5554005903488961</c:v>
                </c:pt>
                <c:pt idx="24">
                  <c:v>1.6472886013460868</c:v>
                </c:pt>
                <c:pt idx="25">
                  <c:v>1.8141838940449495</c:v>
                </c:pt>
                <c:pt idx="26">
                  <c:v>1.8392503831253511</c:v>
                </c:pt>
                <c:pt idx="27">
                  <c:v>1.866157764302341</c:v>
                </c:pt>
                <c:pt idx="28">
                  <c:v>1.9009749529614712</c:v>
                </c:pt>
                <c:pt idx="29">
                  <c:v>1.9519053104066888</c:v>
                </c:pt>
                <c:pt idx="30">
                  <c:v>2.0244714168671569</c:v>
                </c:pt>
                <c:pt idx="31">
                  <c:v>2.0488217174971233</c:v>
                </c:pt>
                <c:pt idx="32">
                  <c:v>2.0819389554734444</c:v>
                </c:pt>
                <c:pt idx="33">
                  <c:v>2.135068076795986</c:v>
                </c:pt>
                <c:pt idx="34">
                  <c:v>2.2086620296321069</c:v>
                </c:pt>
                <c:pt idx="35">
                  <c:v>2.2340468803692306</c:v>
                </c:pt>
                <c:pt idx="36">
                  <c:v>2.2608009917649499</c:v>
                </c:pt>
                <c:pt idx="37">
                  <c:v>2.2922285879399333</c:v>
                </c:pt>
                <c:pt idx="38">
                  <c:v>2.3232771205685618</c:v>
                </c:pt>
                <c:pt idx="39">
                  <c:v>2.3730794774674249</c:v>
                </c:pt>
                <c:pt idx="40">
                  <c:v>2.4331034888271574</c:v>
                </c:pt>
                <c:pt idx="41">
                  <c:v>2.459481893485485</c:v>
                </c:pt>
                <c:pt idx="42">
                  <c:v>2.4922966782375924</c:v>
                </c:pt>
                <c:pt idx="43">
                  <c:v>2.5430290760305017</c:v>
                </c:pt>
                <c:pt idx="44">
                  <c:v>2.5665048546627425</c:v>
                </c:pt>
                <c:pt idx="45">
                  <c:v>2.5900549864143145</c:v>
                </c:pt>
                <c:pt idx="46">
                  <c:v>2.6316794518334712</c:v>
                </c:pt>
                <c:pt idx="47">
                  <c:v>2.6865530592113069</c:v>
                </c:pt>
                <c:pt idx="48">
                  <c:v>2.7625586865996037</c:v>
                </c:pt>
                <c:pt idx="49">
                  <c:v>2.8807855607703785</c:v>
                </c:pt>
                <c:pt idx="50">
                  <c:v>3.1087288440336671</c:v>
                </c:pt>
                <c:pt idx="51">
                  <c:v>3.1350399566342553</c:v>
                </c:pt>
              </c:numCache>
            </c:numRef>
          </c:val>
          <c:smooth val="0"/>
          <c:extLst>
            <c:ext xmlns:c16="http://schemas.microsoft.com/office/drawing/2014/chart" uri="{C3380CC4-5D6E-409C-BE32-E72D297353CC}">
              <c16:uniqueId val="{00000000-B312-4BE5-BC09-0340EC777F4B}"/>
            </c:ext>
          </c:extLst>
        </c:ser>
        <c:ser>
          <c:idx val="7"/>
          <c:order val="3"/>
          <c:tx>
            <c:strRef>
              <c:f>'PBL OLD'!$CX$6:$CX$7</c:f>
              <c:strCache>
                <c:ptCount val="2"/>
                <c:pt idx="0">
                  <c:v>5th Percentile</c:v>
                </c:pt>
              </c:strCache>
            </c:strRef>
          </c:tx>
          <c:spPr>
            <a:ln w="28575" cap="rnd">
              <a:solidFill>
                <a:schemeClr val="bg2"/>
              </a:solidFill>
              <a:prstDash val="sysDot"/>
              <a:round/>
            </a:ln>
            <a:effectLst/>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OLD'!$CX$8:$CX$60</c:f>
              <c:numCache>
                <c:formatCode>0.000</c:formatCode>
                <c:ptCount val="53"/>
                <c:pt idx="0">
                  <c:v>4.8416818848466985E-2</c:v>
                </c:pt>
                <c:pt idx="1">
                  <c:v>9.6833637696933969E-2</c:v>
                </c:pt>
                <c:pt idx="2">
                  <c:v>0.14525045654540095</c:v>
                </c:pt>
                <c:pt idx="3">
                  <c:v>0.19366727539386794</c:v>
                </c:pt>
                <c:pt idx="4">
                  <c:v>0.24208409424233493</c:v>
                </c:pt>
                <c:pt idx="5">
                  <c:v>0.29050091309080189</c:v>
                </c:pt>
                <c:pt idx="6">
                  <c:v>0.33891773193926888</c:v>
                </c:pt>
                <c:pt idx="7">
                  <c:v>0.38733455078773588</c:v>
                </c:pt>
                <c:pt idx="8">
                  <c:v>0.43575136963620287</c:v>
                </c:pt>
                <c:pt idx="9">
                  <c:v>0.48416818848466986</c:v>
                </c:pt>
                <c:pt idx="10">
                  <c:v>0.53258500733313685</c:v>
                </c:pt>
                <c:pt idx="11">
                  <c:v>0.58100182618160379</c:v>
                </c:pt>
                <c:pt idx="12">
                  <c:v>0.62941864503007072</c:v>
                </c:pt>
                <c:pt idx="13">
                  <c:v>0.67783546387853766</c:v>
                </c:pt>
                <c:pt idx="14">
                  <c:v>0.72625228272700459</c:v>
                </c:pt>
                <c:pt idx="15">
                  <c:v>0.77466910157547153</c:v>
                </c:pt>
                <c:pt idx="16">
                  <c:v>0.82308592042393847</c:v>
                </c:pt>
                <c:pt idx="17">
                  <c:v>0.8715027392724054</c:v>
                </c:pt>
                <c:pt idx="18">
                  <c:v>0.91991955812087234</c:v>
                </c:pt>
                <c:pt idx="19">
                  <c:v>0.96833637696933927</c:v>
                </c:pt>
                <c:pt idx="20">
                  <c:v>1.0167531958178062</c:v>
                </c:pt>
                <c:pt idx="21">
                  <c:v>1.0651700146662733</c:v>
                </c:pt>
                <c:pt idx="22">
                  <c:v>1.1135868335147403</c:v>
                </c:pt>
                <c:pt idx="23">
                  <c:v>1.1620036523632074</c:v>
                </c:pt>
                <c:pt idx="24">
                  <c:v>1.2104204712116744</c:v>
                </c:pt>
                <c:pt idx="25">
                  <c:v>1.2588372900601414</c:v>
                </c:pt>
                <c:pt idx="26">
                  <c:v>1.3072541089086085</c:v>
                </c:pt>
                <c:pt idx="27">
                  <c:v>1.3556709277570755</c:v>
                </c:pt>
                <c:pt idx="28">
                  <c:v>1.4040877466055426</c:v>
                </c:pt>
                <c:pt idx="29">
                  <c:v>1.4525045654540096</c:v>
                </c:pt>
                <c:pt idx="30">
                  <c:v>1.5009213843024767</c:v>
                </c:pt>
                <c:pt idx="31">
                  <c:v>1.5493382031509437</c:v>
                </c:pt>
                <c:pt idx="32">
                  <c:v>1.5977550219994108</c:v>
                </c:pt>
                <c:pt idx="33">
                  <c:v>1.6461718408478778</c:v>
                </c:pt>
                <c:pt idx="34">
                  <c:v>1.6945886596963449</c:v>
                </c:pt>
                <c:pt idx="35">
                  <c:v>1.7430054785448119</c:v>
                </c:pt>
                <c:pt idx="36">
                  <c:v>1.791422297393279</c:v>
                </c:pt>
                <c:pt idx="37">
                  <c:v>1.839839116241746</c:v>
                </c:pt>
                <c:pt idx="38">
                  <c:v>1.8882559350902131</c:v>
                </c:pt>
                <c:pt idx="39">
                  <c:v>1.9366727539386801</c:v>
                </c:pt>
                <c:pt idx="40">
                  <c:v>1.9850895727871471</c:v>
                </c:pt>
                <c:pt idx="41">
                  <c:v>2.0335063916356142</c:v>
                </c:pt>
                <c:pt idx="42">
                  <c:v>2.081923210484081</c:v>
                </c:pt>
                <c:pt idx="43">
                  <c:v>2.1303400293325478</c:v>
                </c:pt>
                <c:pt idx="44">
                  <c:v>2.1787568481810147</c:v>
                </c:pt>
                <c:pt idx="45">
                  <c:v>2.2271736670294815</c:v>
                </c:pt>
                <c:pt idx="46">
                  <c:v>2.2755904858779483</c:v>
                </c:pt>
                <c:pt idx="47">
                  <c:v>2.3240073047264151</c:v>
                </c:pt>
                <c:pt idx="48">
                  <c:v>2.372424123574882</c:v>
                </c:pt>
                <c:pt idx="49">
                  <c:v>2.4208409424233488</c:v>
                </c:pt>
                <c:pt idx="50">
                  <c:v>2.4692577612718156</c:v>
                </c:pt>
                <c:pt idx="51">
                  <c:v>2.5176745801202824</c:v>
                </c:pt>
              </c:numCache>
            </c:numRef>
          </c:val>
          <c:smooth val="0"/>
          <c:extLst xmlns:c15="http://schemas.microsoft.com/office/drawing/2012/chart">
            <c:ext xmlns:c16="http://schemas.microsoft.com/office/drawing/2014/chart" uri="{C3380CC4-5D6E-409C-BE32-E72D297353CC}">
              <c16:uniqueId val="{00000001-B312-4BE5-BC09-0340EC777F4B}"/>
            </c:ext>
          </c:extLst>
        </c:ser>
        <c:ser>
          <c:idx val="2"/>
          <c:order val="5"/>
          <c:tx>
            <c:v>5/25/50/75/95th percentile</c:v>
          </c:tx>
          <c:spPr>
            <a:ln w="28575">
              <a:solidFill>
                <a:schemeClr val="bg2"/>
              </a:solidFill>
              <a:prstDash val="sysDot"/>
            </a:ln>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OLD'!$CZ$8:$CZ$60</c:f>
              <c:numCache>
                <c:formatCode>0.000</c:formatCode>
                <c:ptCount val="53"/>
                <c:pt idx="0">
                  <c:v>5.470863400459542E-2</c:v>
                </c:pt>
                <c:pt idx="1">
                  <c:v>0.10941726800919084</c:v>
                </c:pt>
                <c:pt idx="2">
                  <c:v>0.16412590201378627</c:v>
                </c:pt>
                <c:pt idx="3">
                  <c:v>0.21883453601838168</c:v>
                </c:pt>
                <c:pt idx="4">
                  <c:v>0.27354317002297712</c:v>
                </c:pt>
                <c:pt idx="5">
                  <c:v>0.32825180402757254</c:v>
                </c:pt>
                <c:pt idx="6">
                  <c:v>0.38296043803216795</c:v>
                </c:pt>
                <c:pt idx="7">
                  <c:v>0.43766907203676336</c:v>
                </c:pt>
                <c:pt idx="8">
                  <c:v>0.49237770604135878</c:v>
                </c:pt>
                <c:pt idx="9">
                  <c:v>0.54708634004595424</c:v>
                </c:pt>
                <c:pt idx="10">
                  <c:v>0.60179497405054971</c:v>
                </c:pt>
                <c:pt idx="11">
                  <c:v>0.65650360805514518</c:v>
                </c:pt>
                <c:pt idx="12">
                  <c:v>0.71121224205974065</c:v>
                </c:pt>
                <c:pt idx="13">
                  <c:v>0.76592087606433612</c:v>
                </c:pt>
                <c:pt idx="14">
                  <c:v>0.82062951006893159</c:v>
                </c:pt>
                <c:pt idx="15">
                  <c:v>0.87533814407352706</c:v>
                </c:pt>
                <c:pt idx="16">
                  <c:v>0.93004677807812253</c:v>
                </c:pt>
                <c:pt idx="17">
                  <c:v>0.984755412082718</c:v>
                </c:pt>
                <c:pt idx="18">
                  <c:v>1.0394640460873135</c:v>
                </c:pt>
                <c:pt idx="19">
                  <c:v>1.0941726800919089</c:v>
                </c:pt>
                <c:pt idx="20">
                  <c:v>1.1488813140965044</c:v>
                </c:pt>
                <c:pt idx="21">
                  <c:v>1.2035899481010999</c:v>
                </c:pt>
                <c:pt idx="22">
                  <c:v>1.2582985821056953</c:v>
                </c:pt>
                <c:pt idx="23">
                  <c:v>1.3130072161102908</c:v>
                </c:pt>
                <c:pt idx="24">
                  <c:v>1.3677158501148863</c:v>
                </c:pt>
                <c:pt idx="25">
                  <c:v>1.4224244841194817</c:v>
                </c:pt>
                <c:pt idx="26">
                  <c:v>1.4771331181240772</c:v>
                </c:pt>
                <c:pt idx="27">
                  <c:v>1.5318417521286727</c:v>
                </c:pt>
                <c:pt idx="28">
                  <c:v>1.5865503861332682</c:v>
                </c:pt>
                <c:pt idx="29">
                  <c:v>1.6412590201378636</c:v>
                </c:pt>
                <c:pt idx="30">
                  <c:v>1.6959676541424591</c:v>
                </c:pt>
                <c:pt idx="31">
                  <c:v>1.7506762881470546</c:v>
                </c:pt>
                <c:pt idx="32">
                  <c:v>1.80538492215165</c:v>
                </c:pt>
                <c:pt idx="33">
                  <c:v>1.8600935561562455</c:v>
                </c:pt>
                <c:pt idx="34">
                  <c:v>1.914802190160841</c:v>
                </c:pt>
                <c:pt idx="35">
                  <c:v>1.9695108241654364</c:v>
                </c:pt>
                <c:pt idx="36">
                  <c:v>2.0242194581700317</c:v>
                </c:pt>
                <c:pt idx="37">
                  <c:v>2.0789280921746269</c:v>
                </c:pt>
                <c:pt idx="38">
                  <c:v>2.1336367261792222</c:v>
                </c:pt>
                <c:pt idx="39">
                  <c:v>2.1883453601838174</c:v>
                </c:pt>
                <c:pt idx="40">
                  <c:v>2.2430539941884127</c:v>
                </c:pt>
                <c:pt idx="41">
                  <c:v>2.2977626281930079</c:v>
                </c:pt>
                <c:pt idx="42">
                  <c:v>2.3524712621976032</c:v>
                </c:pt>
                <c:pt idx="43">
                  <c:v>2.4071798962021984</c:v>
                </c:pt>
                <c:pt idx="44">
                  <c:v>2.4618885302067937</c:v>
                </c:pt>
                <c:pt idx="45">
                  <c:v>2.5165971642113889</c:v>
                </c:pt>
                <c:pt idx="46">
                  <c:v>2.5713057982159842</c:v>
                </c:pt>
                <c:pt idx="47">
                  <c:v>2.6260144322205794</c:v>
                </c:pt>
                <c:pt idx="48">
                  <c:v>2.6807230662251746</c:v>
                </c:pt>
                <c:pt idx="49">
                  <c:v>2.7354317002297699</c:v>
                </c:pt>
                <c:pt idx="50">
                  <c:v>2.7901403342343651</c:v>
                </c:pt>
                <c:pt idx="51">
                  <c:v>2.8448489682389604</c:v>
                </c:pt>
              </c:numCache>
            </c:numRef>
          </c:val>
          <c:smooth val="0"/>
          <c:extLst>
            <c:ext xmlns:c16="http://schemas.microsoft.com/office/drawing/2014/chart" uri="{C3380CC4-5D6E-409C-BE32-E72D297353CC}">
              <c16:uniqueId val="{00000002-B312-4BE5-BC09-0340EC777F4B}"/>
            </c:ext>
          </c:extLst>
        </c:ser>
        <c:ser>
          <c:idx val="4"/>
          <c:order val="6"/>
          <c:tx>
            <c:strRef>
              <c:f>'PBL OLD'!$DA$6:$DA$7</c:f>
              <c:strCache>
                <c:ptCount val="2"/>
                <c:pt idx="0">
                  <c:v>50th Percentile</c:v>
                </c:pt>
              </c:strCache>
            </c:strRef>
          </c:tx>
          <c:spPr>
            <a:ln w="28575">
              <a:solidFill>
                <a:schemeClr val="bg2"/>
              </a:solidFill>
              <a:prstDash val="sysDot"/>
            </a:ln>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OLD'!$DA$8:$DA$60</c:f>
              <c:numCache>
                <c:formatCode>0.000</c:formatCode>
                <c:ptCount val="53"/>
                <c:pt idx="0">
                  <c:v>6.0209708872007502E-2</c:v>
                </c:pt>
                <c:pt idx="1">
                  <c:v>0.120419417744015</c:v>
                </c:pt>
                <c:pt idx="2">
                  <c:v>0.18062912661602251</c:v>
                </c:pt>
                <c:pt idx="3">
                  <c:v>0.24083883548803001</c:v>
                </c:pt>
                <c:pt idx="4">
                  <c:v>0.30104854436003753</c:v>
                </c:pt>
                <c:pt idx="5">
                  <c:v>0.36125825323204502</c:v>
                </c:pt>
                <c:pt idx="6">
                  <c:v>0.42146796210405252</c:v>
                </c:pt>
                <c:pt idx="7">
                  <c:v>0.48167767097606001</c:v>
                </c:pt>
                <c:pt idx="8">
                  <c:v>0.54188737984806756</c:v>
                </c:pt>
                <c:pt idx="9">
                  <c:v>0.60209708872007506</c:v>
                </c:pt>
                <c:pt idx="10">
                  <c:v>0.66230679759208255</c:v>
                </c:pt>
                <c:pt idx="11">
                  <c:v>0.72251650646409005</c:v>
                </c:pt>
                <c:pt idx="12">
                  <c:v>0.78272621533609754</c:v>
                </c:pt>
                <c:pt idx="13">
                  <c:v>0.84293592420810504</c:v>
                </c:pt>
                <c:pt idx="14">
                  <c:v>0.90314563308011253</c:v>
                </c:pt>
                <c:pt idx="15">
                  <c:v>0.96335534195212003</c:v>
                </c:pt>
                <c:pt idx="16">
                  <c:v>1.0235650508241276</c:v>
                </c:pt>
                <c:pt idx="17">
                  <c:v>1.0837747596961351</c:v>
                </c:pt>
                <c:pt idx="18">
                  <c:v>1.1439844685681426</c:v>
                </c:pt>
                <c:pt idx="19">
                  <c:v>1.2041941774401501</c:v>
                </c:pt>
                <c:pt idx="20">
                  <c:v>1.2644038863121576</c:v>
                </c:pt>
                <c:pt idx="21">
                  <c:v>1.3246135951841651</c:v>
                </c:pt>
                <c:pt idx="22">
                  <c:v>1.3848233040561726</c:v>
                </c:pt>
                <c:pt idx="23">
                  <c:v>1.4450330129281801</c:v>
                </c:pt>
                <c:pt idx="24">
                  <c:v>1.5052427218001876</c:v>
                </c:pt>
                <c:pt idx="25">
                  <c:v>1.5654524306721951</c:v>
                </c:pt>
                <c:pt idx="26">
                  <c:v>1.6256621395442026</c:v>
                </c:pt>
                <c:pt idx="27">
                  <c:v>1.6858718484162101</c:v>
                </c:pt>
                <c:pt idx="28">
                  <c:v>1.7460815572882176</c:v>
                </c:pt>
                <c:pt idx="29">
                  <c:v>1.8062912661602251</c:v>
                </c:pt>
                <c:pt idx="30">
                  <c:v>1.8665009750322326</c:v>
                </c:pt>
                <c:pt idx="31">
                  <c:v>1.9267106839042401</c:v>
                </c:pt>
                <c:pt idx="32">
                  <c:v>1.9869203927762475</c:v>
                </c:pt>
                <c:pt idx="33">
                  <c:v>2.0471301016482553</c:v>
                </c:pt>
                <c:pt idx="34">
                  <c:v>2.107339810520263</c:v>
                </c:pt>
                <c:pt idx="35">
                  <c:v>2.1675495193922707</c:v>
                </c:pt>
                <c:pt idx="36">
                  <c:v>2.2277592282642784</c:v>
                </c:pt>
                <c:pt idx="37">
                  <c:v>2.2879689371362861</c:v>
                </c:pt>
                <c:pt idx="38">
                  <c:v>2.3481786460082938</c:v>
                </c:pt>
                <c:pt idx="39">
                  <c:v>2.4083883548803016</c:v>
                </c:pt>
                <c:pt idx="40">
                  <c:v>2.4685980637523093</c:v>
                </c:pt>
                <c:pt idx="41">
                  <c:v>2.528807772624317</c:v>
                </c:pt>
                <c:pt idx="42">
                  <c:v>2.5890174814963247</c:v>
                </c:pt>
                <c:pt idx="43">
                  <c:v>2.6492271903683324</c:v>
                </c:pt>
                <c:pt idx="44">
                  <c:v>2.7094368992403401</c:v>
                </c:pt>
                <c:pt idx="45">
                  <c:v>2.7696466081123479</c:v>
                </c:pt>
                <c:pt idx="46">
                  <c:v>2.8298563169843556</c:v>
                </c:pt>
                <c:pt idx="47">
                  <c:v>2.8900660258563633</c:v>
                </c:pt>
                <c:pt idx="48">
                  <c:v>2.950275734728371</c:v>
                </c:pt>
                <c:pt idx="49">
                  <c:v>3.0104854436003787</c:v>
                </c:pt>
                <c:pt idx="50">
                  <c:v>3.0706951524723864</c:v>
                </c:pt>
                <c:pt idx="51">
                  <c:v>3.1309048613443942</c:v>
                </c:pt>
              </c:numCache>
            </c:numRef>
          </c:val>
          <c:smooth val="0"/>
          <c:extLst>
            <c:ext xmlns:c16="http://schemas.microsoft.com/office/drawing/2014/chart" uri="{C3380CC4-5D6E-409C-BE32-E72D297353CC}">
              <c16:uniqueId val="{00000003-B312-4BE5-BC09-0340EC777F4B}"/>
            </c:ext>
          </c:extLst>
        </c:ser>
        <c:ser>
          <c:idx val="6"/>
          <c:order val="7"/>
          <c:tx>
            <c:strRef>
              <c:f>'PBL OLD'!$DB$6:$DB$7</c:f>
              <c:strCache>
                <c:ptCount val="2"/>
                <c:pt idx="0">
                  <c:v>75th Percentile</c:v>
                </c:pt>
              </c:strCache>
            </c:strRef>
          </c:tx>
          <c:spPr>
            <a:ln w="28575">
              <a:solidFill>
                <a:schemeClr val="bg2"/>
              </a:solidFill>
              <a:prstDash val="sysDot"/>
            </a:ln>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OLD'!$DB$8:$DB$60</c:f>
              <c:numCache>
                <c:formatCode>0.000</c:formatCode>
                <c:ptCount val="53"/>
                <c:pt idx="0">
                  <c:v>6.6232533541717833E-2</c:v>
                </c:pt>
                <c:pt idx="1">
                  <c:v>0.13246506708343567</c:v>
                </c:pt>
                <c:pt idx="2">
                  <c:v>0.19869760062515351</c:v>
                </c:pt>
                <c:pt idx="3">
                  <c:v>0.26493013416687133</c:v>
                </c:pt>
                <c:pt idx="4">
                  <c:v>0.33116266770858915</c:v>
                </c:pt>
                <c:pt idx="5">
                  <c:v>0.39739520125030697</c:v>
                </c:pt>
                <c:pt idx="6">
                  <c:v>0.46362773479202479</c:v>
                </c:pt>
                <c:pt idx="7">
                  <c:v>0.52986026833374267</c:v>
                </c:pt>
                <c:pt idx="8">
                  <c:v>0.59609280187546054</c:v>
                </c:pt>
                <c:pt idx="9">
                  <c:v>0.66232533541717842</c:v>
                </c:pt>
                <c:pt idx="10">
                  <c:v>0.72855786895889629</c:v>
                </c:pt>
                <c:pt idx="11">
                  <c:v>0.79479040250061417</c:v>
                </c:pt>
                <c:pt idx="12">
                  <c:v>0.86102293604233204</c:v>
                </c:pt>
                <c:pt idx="13">
                  <c:v>0.92725546958404992</c:v>
                </c:pt>
                <c:pt idx="14">
                  <c:v>0.99348800312576779</c:v>
                </c:pt>
                <c:pt idx="15">
                  <c:v>1.0597205366674856</c:v>
                </c:pt>
                <c:pt idx="16">
                  <c:v>1.1259530702092033</c:v>
                </c:pt>
                <c:pt idx="17">
                  <c:v>1.1921856037509211</c:v>
                </c:pt>
                <c:pt idx="18">
                  <c:v>1.2584181372926388</c:v>
                </c:pt>
                <c:pt idx="19">
                  <c:v>1.3246506708343566</c:v>
                </c:pt>
                <c:pt idx="20">
                  <c:v>1.3908832043760744</c:v>
                </c:pt>
                <c:pt idx="21">
                  <c:v>1.4571157379177921</c:v>
                </c:pt>
                <c:pt idx="22">
                  <c:v>1.5233482714595099</c:v>
                </c:pt>
                <c:pt idx="23">
                  <c:v>1.5895808050012277</c:v>
                </c:pt>
                <c:pt idx="24">
                  <c:v>1.6558133385429454</c:v>
                </c:pt>
                <c:pt idx="25">
                  <c:v>1.7220458720846632</c:v>
                </c:pt>
                <c:pt idx="26">
                  <c:v>1.788278405626381</c:v>
                </c:pt>
                <c:pt idx="27">
                  <c:v>1.8545109391680987</c:v>
                </c:pt>
                <c:pt idx="28">
                  <c:v>1.9207434727098165</c:v>
                </c:pt>
                <c:pt idx="29">
                  <c:v>1.9869760062515343</c:v>
                </c:pt>
                <c:pt idx="30">
                  <c:v>2.053208539793252</c:v>
                </c:pt>
                <c:pt idx="31">
                  <c:v>2.1194410733349698</c:v>
                </c:pt>
                <c:pt idx="32">
                  <c:v>2.1856736068766875</c:v>
                </c:pt>
                <c:pt idx="33">
                  <c:v>2.2519061404184053</c:v>
                </c:pt>
                <c:pt idx="34">
                  <c:v>2.3181386739601231</c:v>
                </c:pt>
                <c:pt idx="35">
                  <c:v>2.3843712075018408</c:v>
                </c:pt>
                <c:pt idx="36">
                  <c:v>2.4506037410435586</c:v>
                </c:pt>
                <c:pt idx="37">
                  <c:v>2.5168362745852764</c:v>
                </c:pt>
                <c:pt idx="38">
                  <c:v>2.5830688081269941</c:v>
                </c:pt>
                <c:pt idx="39">
                  <c:v>2.6493013416687119</c:v>
                </c:pt>
                <c:pt idx="40">
                  <c:v>2.7155338752104297</c:v>
                </c:pt>
                <c:pt idx="41">
                  <c:v>2.7817664087521474</c:v>
                </c:pt>
                <c:pt idx="42">
                  <c:v>2.8479989422938652</c:v>
                </c:pt>
                <c:pt idx="43">
                  <c:v>2.914231475835583</c:v>
                </c:pt>
                <c:pt idx="44">
                  <c:v>2.9804640093773007</c:v>
                </c:pt>
                <c:pt idx="45">
                  <c:v>3.0466965429190185</c:v>
                </c:pt>
                <c:pt idx="46">
                  <c:v>3.1129290764607362</c:v>
                </c:pt>
                <c:pt idx="47">
                  <c:v>3.179161610002454</c:v>
                </c:pt>
                <c:pt idx="48">
                  <c:v>3.2453941435441718</c:v>
                </c:pt>
                <c:pt idx="49">
                  <c:v>3.3116266770858895</c:v>
                </c:pt>
                <c:pt idx="50">
                  <c:v>3.3778592106276073</c:v>
                </c:pt>
                <c:pt idx="51">
                  <c:v>3.4440917441693251</c:v>
                </c:pt>
              </c:numCache>
            </c:numRef>
          </c:val>
          <c:smooth val="0"/>
          <c:extLst xmlns:c15="http://schemas.microsoft.com/office/drawing/2012/chart">
            <c:ext xmlns:c16="http://schemas.microsoft.com/office/drawing/2014/chart" uri="{C3380CC4-5D6E-409C-BE32-E72D297353CC}">
              <c16:uniqueId val="{00000004-B312-4BE5-BC09-0340EC777F4B}"/>
            </c:ext>
          </c:extLst>
        </c:ser>
        <c:ser>
          <c:idx val="9"/>
          <c:order val="9"/>
          <c:tx>
            <c:strRef>
              <c:f>'PBL OLD'!$DD$6:$DD$7</c:f>
              <c:strCache>
                <c:ptCount val="2"/>
                <c:pt idx="0">
                  <c:v>95th Percentile</c:v>
                </c:pt>
              </c:strCache>
            </c:strRef>
          </c:tx>
          <c:spPr>
            <a:ln w="28575">
              <a:solidFill>
                <a:schemeClr val="bg2"/>
              </a:solidFill>
              <a:prstDash val="sysDot"/>
            </a:ln>
          </c:spPr>
          <c:marker>
            <c:symbol val="none"/>
          </c:marker>
          <c:cat>
            <c:numRef>
              <c:f>'PBL OLD'!$CT$8:$CT$60</c:f>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f>'PBL OLD'!$DD$8:$DD$60</c:f>
              <c:numCache>
                <c:formatCode>0.000</c:formatCode>
                <c:ptCount val="53"/>
                <c:pt idx="0">
                  <c:v>7.643445292523153E-2</c:v>
                </c:pt>
                <c:pt idx="1">
                  <c:v>0.15286890585046306</c:v>
                </c:pt>
                <c:pt idx="2">
                  <c:v>0.22930335877569458</c:v>
                </c:pt>
                <c:pt idx="3">
                  <c:v>0.30573781170092612</c:v>
                </c:pt>
                <c:pt idx="4">
                  <c:v>0.38217226462615767</c:v>
                </c:pt>
                <c:pt idx="5">
                  <c:v>0.45860671755138921</c:v>
                </c:pt>
                <c:pt idx="6">
                  <c:v>0.5350411704766207</c:v>
                </c:pt>
                <c:pt idx="7">
                  <c:v>0.61147562340185224</c:v>
                </c:pt>
                <c:pt idx="8">
                  <c:v>0.68791007632708379</c:v>
                </c:pt>
                <c:pt idx="9">
                  <c:v>0.76434452925231533</c:v>
                </c:pt>
                <c:pt idx="10">
                  <c:v>0.84077898217754687</c:v>
                </c:pt>
                <c:pt idx="11">
                  <c:v>0.91721343510277842</c:v>
                </c:pt>
                <c:pt idx="12">
                  <c:v>0.99364788802800996</c:v>
                </c:pt>
                <c:pt idx="13">
                  <c:v>1.0700823409532414</c:v>
                </c:pt>
                <c:pt idx="14">
                  <c:v>1.1465167938784728</c:v>
                </c:pt>
                <c:pt idx="15">
                  <c:v>1.2229512468037043</c:v>
                </c:pt>
                <c:pt idx="16">
                  <c:v>1.2993856997289357</c:v>
                </c:pt>
                <c:pt idx="17">
                  <c:v>1.3758201526541671</c:v>
                </c:pt>
                <c:pt idx="18">
                  <c:v>1.4522546055793986</c:v>
                </c:pt>
                <c:pt idx="19">
                  <c:v>1.52868905850463</c:v>
                </c:pt>
                <c:pt idx="20">
                  <c:v>1.6051235114298614</c:v>
                </c:pt>
                <c:pt idx="21">
                  <c:v>1.6815579643550929</c:v>
                </c:pt>
                <c:pt idx="22">
                  <c:v>1.7579924172803243</c:v>
                </c:pt>
                <c:pt idx="23">
                  <c:v>1.8344268702055557</c:v>
                </c:pt>
                <c:pt idx="24">
                  <c:v>1.9108613231307872</c:v>
                </c:pt>
                <c:pt idx="25">
                  <c:v>1.9872957760560186</c:v>
                </c:pt>
                <c:pt idx="26">
                  <c:v>2.06373022898125</c:v>
                </c:pt>
                <c:pt idx="27">
                  <c:v>2.1401646819064815</c:v>
                </c:pt>
                <c:pt idx="28">
                  <c:v>2.2165991348317129</c:v>
                </c:pt>
                <c:pt idx="29">
                  <c:v>2.2930335877569443</c:v>
                </c:pt>
                <c:pt idx="30">
                  <c:v>2.3694680406821758</c:v>
                </c:pt>
                <c:pt idx="31">
                  <c:v>2.4459024936074072</c:v>
                </c:pt>
                <c:pt idx="32">
                  <c:v>2.5223369465326386</c:v>
                </c:pt>
                <c:pt idx="33">
                  <c:v>2.5987713994578701</c:v>
                </c:pt>
                <c:pt idx="34">
                  <c:v>2.6752058523831015</c:v>
                </c:pt>
                <c:pt idx="35">
                  <c:v>2.7516403053083329</c:v>
                </c:pt>
                <c:pt idx="36">
                  <c:v>2.8280747582335644</c:v>
                </c:pt>
                <c:pt idx="37">
                  <c:v>2.9045092111587958</c:v>
                </c:pt>
                <c:pt idx="38">
                  <c:v>2.9809436640840272</c:v>
                </c:pt>
                <c:pt idx="39">
                  <c:v>3.0573781170092587</c:v>
                </c:pt>
                <c:pt idx="40">
                  <c:v>3.1338125699344901</c:v>
                </c:pt>
                <c:pt idx="41">
                  <c:v>3.2102470228597215</c:v>
                </c:pt>
                <c:pt idx="42">
                  <c:v>3.286681475784953</c:v>
                </c:pt>
                <c:pt idx="43">
                  <c:v>3.3631159287101844</c:v>
                </c:pt>
                <c:pt idx="44">
                  <c:v>3.4395503816354158</c:v>
                </c:pt>
                <c:pt idx="45">
                  <c:v>3.5159848345606473</c:v>
                </c:pt>
                <c:pt idx="46">
                  <c:v>3.5924192874858787</c:v>
                </c:pt>
                <c:pt idx="47">
                  <c:v>3.6688537404111101</c:v>
                </c:pt>
                <c:pt idx="48">
                  <c:v>3.7452881933363416</c:v>
                </c:pt>
                <c:pt idx="49">
                  <c:v>3.821722646261573</c:v>
                </c:pt>
                <c:pt idx="50">
                  <c:v>3.8981570991868044</c:v>
                </c:pt>
                <c:pt idx="51">
                  <c:v>3.9745915521120359</c:v>
                </c:pt>
              </c:numCache>
            </c:numRef>
          </c:val>
          <c:smooth val="0"/>
          <c:extLst xmlns:c15="http://schemas.microsoft.com/office/drawing/2012/chart">
            <c:ext xmlns:c16="http://schemas.microsoft.com/office/drawing/2014/chart" uri="{C3380CC4-5D6E-409C-BE32-E72D297353CC}">
              <c16:uniqueId val="{00000005-B312-4BE5-BC09-0340EC777F4B}"/>
            </c:ext>
          </c:extLst>
        </c:ser>
        <c:dLbls>
          <c:showLegendKey val="0"/>
          <c:showVal val="0"/>
          <c:showCatName val="0"/>
          <c:showSerName val="0"/>
          <c:showPercent val="0"/>
          <c:showBubbleSize val="0"/>
        </c:dLbls>
        <c:smooth val="0"/>
        <c:axId val="1388952432"/>
        <c:axId val="1388953088"/>
        <c:extLst>
          <c:ext xmlns:c15="http://schemas.microsoft.com/office/drawing/2012/chart" uri="{02D57815-91ED-43cb-92C2-25804820EDAC}">
            <c15:filteredLineSeries>
              <c15:ser>
                <c:idx val="3"/>
                <c:order val="1"/>
                <c:tx>
                  <c:strRef>
                    <c:extLst>
                      <c:ext uri="{02D57815-91ED-43cb-92C2-25804820EDAC}">
                        <c15:formulaRef>
                          <c15:sqref>'PBL OLD'!$CV$6:$CV$7</c15:sqref>
                        </c15:formulaRef>
                      </c:ext>
                    </c:extLst>
                    <c:strCache>
                      <c:ptCount val="2"/>
                      <c:pt idx="0">
                        <c:v>Min</c:v>
                      </c:pt>
                    </c:strCache>
                  </c:strRef>
                </c:tx>
                <c:marker>
                  <c:symbol val="none"/>
                </c:marker>
                <c:cat>
                  <c:numRef>
                    <c:extLst>
                      <c:ex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c:ext uri="{02D57815-91ED-43cb-92C2-25804820EDAC}">
                        <c15:formulaRef>
                          <c15:sqref>'PBL OLD'!$CV$8:$CV$60</c15:sqref>
                        </c15:formulaRef>
                      </c:ext>
                    </c:extLst>
                    <c:numCache>
                      <c:formatCode>0.000</c:formatCode>
                      <c:ptCount val="53"/>
                      <c:pt idx="0">
                        <c:v>3.7943638869952147E-2</c:v>
                      </c:pt>
                      <c:pt idx="1">
                        <c:v>7.5887277739904294E-2</c:v>
                      </c:pt>
                      <c:pt idx="2">
                        <c:v>0.11383091660985645</c:v>
                      </c:pt>
                      <c:pt idx="3">
                        <c:v>0.15177455547980859</c:v>
                      </c:pt>
                      <c:pt idx="4">
                        <c:v>0.18971819434976073</c:v>
                      </c:pt>
                      <c:pt idx="5">
                        <c:v>0.22766183321971287</c:v>
                      </c:pt>
                      <c:pt idx="6">
                        <c:v>0.26560547208966501</c:v>
                      </c:pt>
                      <c:pt idx="7">
                        <c:v>0.30354911095961717</c:v>
                      </c:pt>
                      <c:pt idx="8">
                        <c:v>0.34149274982956934</c:v>
                      </c:pt>
                      <c:pt idx="9">
                        <c:v>0.37943638869952151</c:v>
                      </c:pt>
                      <c:pt idx="10">
                        <c:v>0.41738002756947368</c:v>
                      </c:pt>
                      <c:pt idx="11">
                        <c:v>0.45532366643942584</c:v>
                      </c:pt>
                      <c:pt idx="12">
                        <c:v>0.49326730530937801</c:v>
                      </c:pt>
                      <c:pt idx="13">
                        <c:v>0.53121094417933012</c:v>
                      </c:pt>
                      <c:pt idx="14">
                        <c:v>0.56915458304928224</c:v>
                      </c:pt>
                      <c:pt idx="15">
                        <c:v>0.60709822191923435</c:v>
                      </c:pt>
                      <c:pt idx="16">
                        <c:v>0.64504186078918646</c:v>
                      </c:pt>
                      <c:pt idx="17">
                        <c:v>0.68298549965913857</c:v>
                      </c:pt>
                      <c:pt idx="18">
                        <c:v>0.72092913852909069</c:v>
                      </c:pt>
                      <c:pt idx="19">
                        <c:v>0.7588727773990428</c:v>
                      </c:pt>
                      <c:pt idx="20">
                        <c:v>0.79681641626899491</c:v>
                      </c:pt>
                      <c:pt idx="21">
                        <c:v>0.83476005513894702</c:v>
                      </c:pt>
                      <c:pt idx="22">
                        <c:v>0.87270369400889913</c:v>
                      </c:pt>
                      <c:pt idx="23">
                        <c:v>0.91064733287885125</c:v>
                      </c:pt>
                      <c:pt idx="24">
                        <c:v>0.94859097174880336</c:v>
                      </c:pt>
                      <c:pt idx="25">
                        <c:v>0.98653461061875547</c:v>
                      </c:pt>
                      <c:pt idx="26">
                        <c:v>1.0244782494887077</c:v>
                      </c:pt>
                      <c:pt idx="27">
                        <c:v>1.0624218883586598</c:v>
                      </c:pt>
                      <c:pt idx="28">
                        <c:v>1.1003655272286119</c:v>
                      </c:pt>
                      <c:pt idx="29">
                        <c:v>1.138309166098564</c:v>
                      </c:pt>
                      <c:pt idx="30">
                        <c:v>1.1762528049685161</c:v>
                      </c:pt>
                      <c:pt idx="31">
                        <c:v>1.2141964438384683</c:v>
                      </c:pt>
                      <c:pt idx="32">
                        <c:v>1.2521400827084204</c:v>
                      </c:pt>
                      <c:pt idx="33">
                        <c:v>1.2900837215783725</c:v>
                      </c:pt>
                      <c:pt idx="34">
                        <c:v>1.3280273604483246</c:v>
                      </c:pt>
                      <c:pt idx="35">
                        <c:v>1.3659709993182767</c:v>
                      </c:pt>
                      <c:pt idx="36">
                        <c:v>1.4039146381882288</c:v>
                      </c:pt>
                      <c:pt idx="37">
                        <c:v>1.4418582770581809</c:v>
                      </c:pt>
                      <c:pt idx="38">
                        <c:v>1.479801915928133</c:v>
                      </c:pt>
                      <c:pt idx="39">
                        <c:v>1.5177455547980852</c:v>
                      </c:pt>
                      <c:pt idx="40">
                        <c:v>1.5556891936680373</c:v>
                      </c:pt>
                      <c:pt idx="41">
                        <c:v>1.5936328325379894</c:v>
                      </c:pt>
                      <c:pt idx="42">
                        <c:v>1.6315764714079415</c:v>
                      </c:pt>
                      <c:pt idx="43">
                        <c:v>1.6695201102778936</c:v>
                      </c:pt>
                      <c:pt idx="44">
                        <c:v>1.7074637491478457</c:v>
                      </c:pt>
                      <c:pt idx="45">
                        <c:v>1.7454073880177978</c:v>
                      </c:pt>
                      <c:pt idx="46">
                        <c:v>1.7833510268877499</c:v>
                      </c:pt>
                      <c:pt idx="47">
                        <c:v>1.821294665757702</c:v>
                      </c:pt>
                      <c:pt idx="48">
                        <c:v>1.8592383046276542</c:v>
                      </c:pt>
                      <c:pt idx="49">
                        <c:v>1.8971819434976063</c:v>
                      </c:pt>
                      <c:pt idx="50">
                        <c:v>1.9351255823675584</c:v>
                      </c:pt>
                      <c:pt idx="51">
                        <c:v>1.9730692212375105</c:v>
                      </c:pt>
                    </c:numCache>
                  </c:numRef>
                </c:val>
                <c:smooth val="0"/>
                <c:extLst>
                  <c:ext xmlns:c16="http://schemas.microsoft.com/office/drawing/2014/chart" uri="{C3380CC4-5D6E-409C-BE32-E72D297353CC}">
                    <c16:uniqueId val="{00000006-B312-4BE5-BC09-0340EC777F4B}"/>
                  </c:ext>
                </c:extLst>
              </c15:ser>
            </c15:filteredLineSeries>
            <c15:filteredLineSeries>
              <c15:ser>
                <c:idx val="5"/>
                <c:order val="2"/>
                <c:tx>
                  <c:strRef>
                    <c:extLst xmlns:c15="http://schemas.microsoft.com/office/drawing/2012/chart">
                      <c:ext xmlns:c15="http://schemas.microsoft.com/office/drawing/2012/chart" uri="{02D57815-91ED-43cb-92C2-25804820EDAC}">
                        <c15:formulaRef>
                          <c15:sqref>'PBL OLD'!$CW$6:$CW$7</c15:sqref>
                        </c15:formulaRef>
                      </c:ext>
                    </c:extLst>
                    <c:strCache>
                      <c:ptCount val="2"/>
                      <c:pt idx="0">
                        <c:v>1st Percentile</c:v>
                      </c:pt>
                    </c:strCache>
                  </c:strRef>
                </c:tx>
                <c:spPr>
                  <a:ln w="28575" cap="rnd">
                    <a:solidFill>
                      <a:schemeClr val="accent6"/>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OLD'!$CW$8:$CW$60</c15:sqref>
                        </c15:formulaRef>
                      </c:ext>
                    </c:extLst>
                    <c:numCache>
                      <c:formatCode>0.000</c:formatCode>
                      <c:ptCount val="53"/>
                      <c:pt idx="0">
                        <c:v>4.5436313528305135E-2</c:v>
                      </c:pt>
                      <c:pt idx="1">
                        <c:v>9.087262705661027E-2</c:v>
                      </c:pt>
                      <c:pt idx="2">
                        <c:v>0.13630894058491541</c:v>
                      </c:pt>
                      <c:pt idx="3">
                        <c:v>0.18174525411322054</c:v>
                      </c:pt>
                      <c:pt idx="4">
                        <c:v>0.22718156764152567</c:v>
                      </c:pt>
                      <c:pt idx="5">
                        <c:v>0.27261788116983082</c:v>
                      </c:pt>
                      <c:pt idx="6">
                        <c:v>0.31805419469813595</c:v>
                      </c:pt>
                      <c:pt idx="7">
                        <c:v>0.36349050822644108</c:v>
                      </c:pt>
                      <c:pt idx="8">
                        <c:v>0.40892682175474621</c:v>
                      </c:pt>
                      <c:pt idx="9">
                        <c:v>0.45436313528305133</c:v>
                      </c:pt>
                      <c:pt idx="10">
                        <c:v>0.49979944881135646</c:v>
                      </c:pt>
                      <c:pt idx="11">
                        <c:v>0.54523576233966164</c:v>
                      </c:pt>
                      <c:pt idx="12">
                        <c:v>0.59067207586796677</c:v>
                      </c:pt>
                      <c:pt idx="13">
                        <c:v>0.6361083893962719</c:v>
                      </c:pt>
                      <c:pt idx="14">
                        <c:v>0.68154470292457703</c:v>
                      </c:pt>
                      <c:pt idx="15">
                        <c:v>0.72698101645288216</c:v>
                      </c:pt>
                      <c:pt idx="16">
                        <c:v>0.77241732998118728</c:v>
                      </c:pt>
                      <c:pt idx="17">
                        <c:v>0.81785364350949241</c:v>
                      </c:pt>
                      <c:pt idx="18">
                        <c:v>0.86328995703779754</c:v>
                      </c:pt>
                      <c:pt idx="19">
                        <c:v>0.90872627056610267</c:v>
                      </c:pt>
                      <c:pt idx="20">
                        <c:v>0.9541625840944078</c:v>
                      </c:pt>
                      <c:pt idx="21">
                        <c:v>0.99959889762271292</c:v>
                      </c:pt>
                      <c:pt idx="22">
                        <c:v>1.0450352111510182</c:v>
                      </c:pt>
                      <c:pt idx="23">
                        <c:v>1.0904715246793233</c:v>
                      </c:pt>
                      <c:pt idx="24">
                        <c:v>1.1359078382076284</c:v>
                      </c:pt>
                      <c:pt idx="25">
                        <c:v>1.1813441517359335</c:v>
                      </c:pt>
                      <c:pt idx="26">
                        <c:v>1.2267804652642387</c:v>
                      </c:pt>
                      <c:pt idx="27">
                        <c:v>1.2722167787925438</c:v>
                      </c:pt>
                      <c:pt idx="28">
                        <c:v>1.3176530923208489</c:v>
                      </c:pt>
                      <c:pt idx="29">
                        <c:v>1.3630894058491541</c:v>
                      </c:pt>
                      <c:pt idx="30">
                        <c:v>1.4085257193774592</c:v>
                      </c:pt>
                      <c:pt idx="31">
                        <c:v>1.4539620329057643</c:v>
                      </c:pt>
                      <c:pt idx="32">
                        <c:v>1.4993983464340694</c:v>
                      </c:pt>
                      <c:pt idx="33">
                        <c:v>1.5448346599623746</c:v>
                      </c:pt>
                      <c:pt idx="34">
                        <c:v>1.5902709734906797</c:v>
                      </c:pt>
                      <c:pt idx="35">
                        <c:v>1.6357072870189848</c:v>
                      </c:pt>
                      <c:pt idx="36">
                        <c:v>1.68114360054729</c:v>
                      </c:pt>
                      <c:pt idx="37">
                        <c:v>1.7265799140755951</c:v>
                      </c:pt>
                      <c:pt idx="38">
                        <c:v>1.7720162276039002</c:v>
                      </c:pt>
                      <c:pt idx="39">
                        <c:v>1.8174525411322053</c:v>
                      </c:pt>
                      <c:pt idx="40">
                        <c:v>1.8628888546605105</c:v>
                      </c:pt>
                      <c:pt idx="41">
                        <c:v>1.9083251681888156</c:v>
                      </c:pt>
                      <c:pt idx="42">
                        <c:v>1.9537614817171207</c:v>
                      </c:pt>
                      <c:pt idx="43">
                        <c:v>1.9991977952454258</c:v>
                      </c:pt>
                      <c:pt idx="44">
                        <c:v>2.0446341087737312</c:v>
                      </c:pt>
                      <c:pt idx="45">
                        <c:v>2.0900704223020363</c:v>
                      </c:pt>
                      <c:pt idx="46">
                        <c:v>2.1355067358303415</c:v>
                      </c:pt>
                      <c:pt idx="47">
                        <c:v>2.1809430493586466</c:v>
                      </c:pt>
                      <c:pt idx="48">
                        <c:v>2.2263793628869517</c:v>
                      </c:pt>
                      <c:pt idx="49">
                        <c:v>2.2718156764152568</c:v>
                      </c:pt>
                      <c:pt idx="50">
                        <c:v>2.317251989943562</c:v>
                      </c:pt>
                      <c:pt idx="51">
                        <c:v>2.3626883034718671</c:v>
                      </c:pt>
                    </c:numCache>
                  </c:numRef>
                </c:val>
                <c:smooth val="0"/>
                <c:extLst xmlns:c15="http://schemas.microsoft.com/office/drawing/2012/chart">
                  <c:ext xmlns:c16="http://schemas.microsoft.com/office/drawing/2014/chart" uri="{C3380CC4-5D6E-409C-BE32-E72D297353CC}">
                    <c16:uniqueId val="{00000007-B312-4BE5-BC09-0340EC777F4B}"/>
                  </c:ext>
                </c:extLst>
              </c15:ser>
            </c15:filteredLineSeries>
            <c15:filteredLineSeries>
              <c15:ser>
                <c:idx val="1"/>
                <c:order val="4"/>
                <c:tx>
                  <c:strRef>
                    <c:extLst xmlns:c15="http://schemas.microsoft.com/office/drawing/2012/chart">
                      <c:ext xmlns:c15="http://schemas.microsoft.com/office/drawing/2012/chart" uri="{02D57815-91ED-43cb-92C2-25804820EDAC}">
                        <c15:formulaRef>
                          <c15:sqref>'PBL OLD'!$CY$6:$CY$7</c15:sqref>
                        </c15:formulaRef>
                      </c:ext>
                    </c:extLst>
                    <c:strCache>
                      <c:ptCount val="2"/>
                      <c:pt idx="0">
                        <c:v>10th Percentile</c:v>
                      </c:pt>
                    </c:strCache>
                  </c:strRef>
                </c:tx>
                <c:spPr>
                  <a:ln w="28575" cap="rnd" cmpd="sng">
                    <a:solidFill>
                      <a:schemeClr val="accent2"/>
                    </a:solidFill>
                    <a:prstDash val="sysDot"/>
                    <a:round/>
                    <a:headEnd type="none"/>
                  </a:ln>
                  <a:effectLst/>
                </c:spPr>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OLD'!$CY$8:$CY$60</c15:sqref>
                        </c15:formulaRef>
                      </c:ext>
                    </c:extLst>
                    <c:numCache>
                      <c:formatCode>0.000</c:formatCode>
                      <c:ptCount val="53"/>
                      <c:pt idx="0">
                        <c:v>5.0502007292025322E-2</c:v>
                      </c:pt>
                      <c:pt idx="1">
                        <c:v>0.10100401458405064</c:v>
                      </c:pt>
                      <c:pt idx="2">
                        <c:v>0.15150602187607598</c:v>
                      </c:pt>
                      <c:pt idx="3">
                        <c:v>0.20200802916810129</c:v>
                      </c:pt>
                      <c:pt idx="4">
                        <c:v>0.2525100364601266</c:v>
                      </c:pt>
                      <c:pt idx="5">
                        <c:v>0.30301204375215191</c:v>
                      </c:pt>
                      <c:pt idx="6">
                        <c:v>0.35351405104417721</c:v>
                      </c:pt>
                      <c:pt idx="7">
                        <c:v>0.40401605833620252</c:v>
                      </c:pt>
                      <c:pt idx="8">
                        <c:v>0.45451806562822783</c:v>
                      </c:pt>
                      <c:pt idx="9">
                        <c:v>0.50502007292025319</c:v>
                      </c:pt>
                      <c:pt idx="10">
                        <c:v>0.55552208021227856</c:v>
                      </c:pt>
                      <c:pt idx="11">
                        <c:v>0.60602408750430392</c:v>
                      </c:pt>
                      <c:pt idx="12">
                        <c:v>0.65652609479632928</c:v>
                      </c:pt>
                      <c:pt idx="13">
                        <c:v>0.70702810208835465</c:v>
                      </c:pt>
                      <c:pt idx="14">
                        <c:v>0.75753010938038001</c:v>
                      </c:pt>
                      <c:pt idx="15">
                        <c:v>0.80803211667240538</c:v>
                      </c:pt>
                      <c:pt idx="16">
                        <c:v>0.85853412396443074</c:v>
                      </c:pt>
                      <c:pt idx="17">
                        <c:v>0.9090361312564561</c:v>
                      </c:pt>
                      <c:pt idx="18">
                        <c:v>0.95953813854848147</c:v>
                      </c:pt>
                      <c:pt idx="19">
                        <c:v>1.0100401458405068</c:v>
                      </c:pt>
                      <c:pt idx="20">
                        <c:v>1.0605421531325321</c:v>
                      </c:pt>
                      <c:pt idx="21">
                        <c:v>1.1110441604245573</c:v>
                      </c:pt>
                      <c:pt idx="22">
                        <c:v>1.1615461677165826</c:v>
                      </c:pt>
                      <c:pt idx="23">
                        <c:v>1.2120481750086078</c:v>
                      </c:pt>
                      <c:pt idx="24">
                        <c:v>1.2625501823006331</c:v>
                      </c:pt>
                      <c:pt idx="25">
                        <c:v>1.3130521895926583</c:v>
                      </c:pt>
                      <c:pt idx="26">
                        <c:v>1.3635541968846836</c:v>
                      </c:pt>
                      <c:pt idx="27">
                        <c:v>1.4140562041767089</c:v>
                      </c:pt>
                      <c:pt idx="28">
                        <c:v>1.4645582114687341</c:v>
                      </c:pt>
                      <c:pt idx="29">
                        <c:v>1.5150602187607594</c:v>
                      </c:pt>
                      <c:pt idx="30">
                        <c:v>1.5655622260527846</c:v>
                      </c:pt>
                      <c:pt idx="31">
                        <c:v>1.6160642333448099</c:v>
                      </c:pt>
                      <c:pt idx="32">
                        <c:v>1.6665662406368351</c:v>
                      </c:pt>
                      <c:pt idx="33">
                        <c:v>1.7170682479288604</c:v>
                      </c:pt>
                      <c:pt idx="34">
                        <c:v>1.7675702552208856</c:v>
                      </c:pt>
                      <c:pt idx="35">
                        <c:v>1.8180722625129109</c:v>
                      </c:pt>
                      <c:pt idx="36">
                        <c:v>1.8685742698049361</c:v>
                      </c:pt>
                      <c:pt idx="37">
                        <c:v>1.9190762770969614</c:v>
                      </c:pt>
                      <c:pt idx="38">
                        <c:v>1.9695782843889866</c:v>
                      </c:pt>
                      <c:pt idx="39">
                        <c:v>2.0200802916810119</c:v>
                      </c:pt>
                      <c:pt idx="40">
                        <c:v>2.0705822989730374</c:v>
                      </c:pt>
                      <c:pt idx="41">
                        <c:v>2.1210843062650628</c:v>
                      </c:pt>
                      <c:pt idx="42">
                        <c:v>2.1715863135570883</c:v>
                      </c:pt>
                      <c:pt idx="43">
                        <c:v>2.2220883208491138</c:v>
                      </c:pt>
                      <c:pt idx="44">
                        <c:v>2.2725903281411393</c:v>
                      </c:pt>
                      <c:pt idx="45">
                        <c:v>2.3230923354331647</c:v>
                      </c:pt>
                      <c:pt idx="46">
                        <c:v>2.3735943427251902</c:v>
                      </c:pt>
                      <c:pt idx="47">
                        <c:v>2.4240963500172157</c:v>
                      </c:pt>
                      <c:pt idx="48">
                        <c:v>2.4745983573092412</c:v>
                      </c:pt>
                      <c:pt idx="49">
                        <c:v>2.5251003646012666</c:v>
                      </c:pt>
                      <c:pt idx="50">
                        <c:v>2.5756023718932921</c:v>
                      </c:pt>
                      <c:pt idx="51">
                        <c:v>2.6261043791853176</c:v>
                      </c:pt>
                    </c:numCache>
                  </c:numRef>
                </c:val>
                <c:smooth val="0"/>
                <c:extLst xmlns:c15="http://schemas.microsoft.com/office/drawing/2012/chart">
                  <c:ext xmlns:c16="http://schemas.microsoft.com/office/drawing/2014/chart" uri="{C3380CC4-5D6E-409C-BE32-E72D297353CC}">
                    <c16:uniqueId val="{00000008-B312-4BE5-BC09-0340EC777F4B}"/>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'PBL OLD'!$DC$6:$DC$7</c15:sqref>
                        </c15:formulaRef>
                      </c:ext>
                    </c:extLst>
                    <c:strCache>
                      <c:ptCount val="2"/>
                      <c:pt idx="0">
                        <c:v>90th Percentile</c:v>
                      </c:pt>
                    </c:strCache>
                  </c:strRef>
                </c:tx>
                <c:spPr>
                  <a:ln w="28575">
                    <a:solidFill>
                      <a:schemeClr val="accent1"/>
                    </a:solidFill>
                    <a:prstDash val="sysDot"/>
                  </a:ln>
                </c:spPr>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OLD'!$DC$8:$DC$60</c15:sqref>
                        </c15:formulaRef>
                      </c:ext>
                    </c:extLst>
                    <c:numCache>
                      <c:formatCode>0.000</c:formatCode>
                      <c:ptCount val="53"/>
                      <c:pt idx="0">
                        <c:v>7.261484324723147E-2</c:v>
                      </c:pt>
                      <c:pt idx="1">
                        <c:v>0.14522968649446294</c:v>
                      </c:pt>
                      <c:pt idx="2">
                        <c:v>0.21784452974169441</c:v>
                      </c:pt>
                      <c:pt idx="3">
                        <c:v>0.29045937298892588</c:v>
                      </c:pt>
                      <c:pt idx="4">
                        <c:v>0.36307421623615732</c:v>
                      </c:pt>
                      <c:pt idx="5">
                        <c:v>0.43568905948338876</c:v>
                      </c:pt>
                      <c:pt idx="6">
                        <c:v>0.50830390273062021</c:v>
                      </c:pt>
                      <c:pt idx="7">
                        <c:v>0.58091874597785165</c:v>
                      </c:pt>
                      <c:pt idx="8">
                        <c:v>0.65353358922508309</c:v>
                      </c:pt>
                      <c:pt idx="9">
                        <c:v>0.72614843247231453</c:v>
                      </c:pt>
                      <c:pt idx="10">
                        <c:v>0.79876327571954597</c:v>
                      </c:pt>
                      <c:pt idx="11">
                        <c:v>0.87137811896677742</c:v>
                      </c:pt>
                      <c:pt idx="12">
                        <c:v>0.94399296221400886</c:v>
                      </c:pt>
                      <c:pt idx="13">
                        <c:v>1.0166078054612404</c:v>
                      </c:pt>
                      <c:pt idx="14">
                        <c:v>1.089222648708472</c:v>
                      </c:pt>
                      <c:pt idx="15">
                        <c:v>1.1618374919557035</c:v>
                      </c:pt>
                      <c:pt idx="16">
                        <c:v>1.2344523352029351</c:v>
                      </c:pt>
                      <c:pt idx="17">
                        <c:v>1.3070671784501666</c:v>
                      </c:pt>
                      <c:pt idx="18">
                        <c:v>1.3796820216973982</c:v>
                      </c:pt>
                      <c:pt idx="19">
                        <c:v>1.4522968649446297</c:v>
                      </c:pt>
                      <c:pt idx="20">
                        <c:v>1.5249117081918613</c:v>
                      </c:pt>
                      <c:pt idx="21">
                        <c:v>1.5975265514390928</c:v>
                      </c:pt>
                      <c:pt idx="22">
                        <c:v>1.6701413946863244</c:v>
                      </c:pt>
                      <c:pt idx="23">
                        <c:v>1.7427562379335559</c:v>
                      </c:pt>
                      <c:pt idx="24">
                        <c:v>1.8153710811807875</c:v>
                      </c:pt>
                      <c:pt idx="25">
                        <c:v>1.887985924428019</c:v>
                      </c:pt>
                      <c:pt idx="26">
                        <c:v>1.9606007676752506</c:v>
                      </c:pt>
                      <c:pt idx="27">
                        <c:v>2.0332156109224822</c:v>
                      </c:pt>
                      <c:pt idx="28">
                        <c:v>2.1058304541697135</c:v>
                      </c:pt>
                      <c:pt idx="29">
                        <c:v>2.1784452974169448</c:v>
                      </c:pt>
                      <c:pt idx="30">
                        <c:v>2.2510601406641761</c:v>
                      </c:pt>
                      <c:pt idx="31">
                        <c:v>2.3236749839114075</c:v>
                      </c:pt>
                      <c:pt idx="32">
                        <c:v>2.3962898271586388</c:v>
                      </c:pt>
                      <c:pt idx="33">
                        <c:v>2.4689046704058701</c:v>
                      </c:pt>
                      <c:pt idx="34">
                        <c:v>2.5415195136531015</c:v>
                      </c:pt>
                      <c:pt idx="35">
                        <c:v>2.6141343569003328</c:v>
                      </c:pt>
                      <c:pt idx="36">
                        <c:v>2.6867492001475641</c:v>
                      </c:pt>
                      <c:pt idx="37">
                        <c:v>2.7593640433947955</c:v>
                      </c:pt>
                      <c:pt idx="38">
                        <c:v>2.8319788866420268</c:v>
                      </c:pt>
                      <c:pt idx="39">
                        <c:v>2.9045937298892581</c:v>
                      </c:pt>
                      <c:pt idx="40">
                        <c:v>2.9772085731364895</c:v>
                      </c:pt>
                      <c:pt idx="41">
                        <c:v>3.0498234163837208</c:v>
                      </c:pt>
                      <c:pt idx="42">
                        <c:v>3.1224382596309521</c:v>
                      </c:pt>
                      <c:pt idx="43">
                        <c:v>3.1950531028781834</c:v>
                      </c:pt>
                      <c:pt idx="44">
                        <c:v>3.2676679461254148</c:v>
                      </c:pt>
                      <c:pt idx="45">
                        <c:v>3.3402827893726461</c:v>
                      </c:pt>
                      <c:pt idx="46">
                        <c:v>3.4128976326198774</c:v>
                      </c:pt>
                      <c:pt idx="47">
                        <c:v>3.4855124758671088</c:v>
                      </c:pt>
                      <c:pt idx="48">
                        <c:v>3.5581273191143401</c:v>
                      </c:pt>
                      <c:pt idx="49">
                        <c:v>3.6307421623615714</c:v>
                      </c:pt>
                      <c:pt idx="50">
                        <c:v>3.7033570056088028</c:v>
                      </c:pt>
                      <c:pt idx="51">
                        <c:v>3.7759718488560341</c:v>
                      </c:pt>
                    </c:numCache>
                  </c:numRef>
                </c:val>
                <c:smooth val="0"/>
                <c:extLst xmlns:c15="http://schemas.microsoft.com/office/drawing/2012/chart">
                  <c:ext xmlns:c16="http://schemas.microsoft.com/office/drawing/2014/chart" uri="{C3380CC4-5D6E-409C-BE32-E72D297353CC}">
                    <c16:uniqueId val="{00000009-B312-4BE5-BC09-0340EC777F4B}"/>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'PBL OLD'!$DE$6:$DE$7</c15:sqref>
                        </c15:formulaRef>
                      </c:ext>
                    </c:extLst>
                    <c:strCache>
                      <c:ptCount val="2"/>
                      <c:pt idx="0">
                        <c:v>99th Percentile</c:v>
                      </c:pt>
                    </c:strCache>
                  </c:strRef>
                </c:tx>
                <c:spPr>
                  <a:ln w="28575">
                    <a:solidFill>
                      <a:schemeClr val="accent1"/>
                    </a:solidFill>
                    <a:prstDash val="sysDot"/>
                  </a:ln>
                </c:spPr>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OLD'!$DE$8:$DE$60</c15:sqref>
                        </c15:formulaRef>
                      </c:ext>
                    </c:extLst>
                    <c:numCache>
                      <c:formatCode>0.000</c:formatCode>
                      <c:ptCount val="53"/>
                      <c:pt idx="0">
                        <c:v>8.472863847550996E-2</c:v>
                      </c:pt>
                      <c:pt idx="1">
                        <c:v>0.16945727695101992</c:v>
                      </c:pt>
                      <c:pt idx="2">
                        <c:v>0.25418591542652991</c:v>
                      </c:pt>
                      <c:pt idx="3">
                        <c:v>0.33891455390203984</c:v>
                      </c:pt>
                      <c:pt idx="4">
                        <c:v>0.42364319237754977</c:v>
                      </c:pt>
                      <c:pt idx="5">
                        <c:v>0.5083718308530597</c:v>
                      </c:pt>
                      <c:pt idx="6">
                        <c:v>0.59310046932856963</c:v>
                      </c:pt>
                      <c:pt idx="7">
                        <c:v>0.67782910780407957</c:v>
                      </c:pt>
                      <c:pt idx="8">
                        <c:v>0.7625577462795895</c:v>
                      </c:pt>
                      <c:pt idx="9">
                        <c:v>0.84728638475509943</c:v>
                      </c:pt>
                      <c:pt idx="10">
                        <c:v>0.93201502323060936</c:v>
                      </c:pt>
                      <c:pt idx="11">
                        <c:v>1.0167436617061194</c:v>
                      </c:pt>
                      <c:pt idx="12">
                        <c:v>1.1014723001816293</c:v>
                      </c:pt>
                      <c:pt idx="13">
                        <c:v>1.1862009386571393</c:v>
                      </c:pt>
                      <c:pt idx="14">
                        <c:v>1.2709295771326492</c:v>
                      </c:pt>
                      <c:pt idx="15">
                        <c:v>1.3556582156081591</c:v>
                      </c:pt>
                      <c:pt idx="16">
                        <c:v>1.4403868540836691</c:v>
                      </c:pt>
                      <c:pt idx="17">
                        <c:v>1.525115492559179</c:v>
                      </c:pt>
                      <c:pt idx="18">
                        <c:v>1.6098441310346889</c:v>
                      </c:pt>
                      <c:pt idx="19">
                        <c:v>1.6945727695101989</c:v>
                      </c:pt>
                      <c:pt idx="20">
                        <c:v>1.7793014079857088</c:v>
                      </c:pt>
                      <c:pt idx="21">
                        <c:v>1.8640300464612187</c:v>
                      </c:pt>
                      <c:pt idx="22">
                        <c:v>1.9487586849367287</c:v>
                      </c:pt>
                      <c:pt idx="23">
                        <c:v>2.0334873234122388</c:v>
                      </c:pt>
                      <c:pt idx="24">
                        <c:v>2.1182159618877487</c:v>
                      </c:pt>
                      <c:pt idx="25">
                        <c:v>2.2029446003632587</c:v>
                      </c:pt>
                      <c:pt idx="26">
                        <c:v>2.2876732388387686</c:v>
                      </c:pt>
                      <c:pt idx="27">
                        <c:v>2.3724018773142785</c:v>
                      </c:pt>
                      <c:pt idx="28">
                        <c:v>2.4571305157897885</c:v>
                      </c:pt>
                      <c:pt idx="29">
                        <c:v>2.5418591542652984</c:v>
                      </c:pt>
                      <c:pt idx="30">
                        <c:v>2.6265877927408083</c:v>
                      </c:pt>
                      <c:pt idx="31">
                        <c:v>2.7113164312163183</c:v>
                      </c:pt>
                      <c:pt idx="32">
                        <c:v>2.7960450696918282</c:v>
                      </c:pt>
                      <c:pt idx="33">
                        <c:v>2.8807737081673381</c:v>
                      </c:pt>
                      <c:pt idx="34">
                        <c:v>2.9655023466428481</c:v>
                      </c:pt>
                      <c:pt idx="35">
                        <c:v>3.050230985118358</c:v>
                      </c:pt>
                      <c:pt idx="36">
                        <c:v>3.1349596235938679</c:v>
                      </c:pt>
                      <c:pt idx="37">
                        <c:v>3.2196882620693779</c:v>
                      </c:pt>
                      <c:pt idx="38">
                        <c:v>3.3044169005448878</c:v>
                      </c:pt>
                      <c:pt idx="39">
                        <c:v>3.3891455390203977</c:v>
                      </c:pt>
                      <c:pt idx="40">
                        <c:v>3.4738741774959077</c:v>
                      </c:pt>
                      <c:pt idx="41">
                        <c:v>3.5586028159714176</c:v>
                      </c:pt>
                      <c:pt idx="42">
                        <c:v>3.6433314544469275</c:v>
                      </c:pt>
                      <c:pt idx="43">
                        <c:v>3.7280600929224375</c:v>
                      </c:pt>
                      <c:pt idx="44">
                        <c:v>3.8127887313979474</c:v>
                      </c:pt>
                      <c:pt idx="45">
                        <c:v>3.8975173698734573</c:v>
                      </c:pt>
                      <c:pt idx="46">
                        <c:v>3.9822460083489672</c:v>
                      </c:pt>
                      <c:pt idx="47">
                        <c:v>4.0669746468244776</c:v>
                      </c:pt>
                      <c:pt idx="48">
                        <c:v>4.1517032852999876</c:v>
                      </c:pt>
                      <c:pt idx="49">
                        <c:v>4.2364319237754975</c:v>
                      </c:pt>
                      <c:pt idx="50">
                        <c:v>4.3211605622510074</c:v>
                      </c:pt>
                      <c:pt idx="51">
                        <c:v>4.4058892007265174</c:v>
                      </c:pt>
                    </c:numCache>
                  </c:numRef>
                </c:val>
                <c:smooth val="0"/>
                <c:extLst xmlns:c15="http://schemas.microsoft.com/office/drawing/2012/chart">
                  <c:ext xmlns:c16="http://schemas.microsoft.com/office/drawing/2014/chart" uri="{C3380CC4-5D6E-409C-BE32-E72D297353CC}">
                    <c16:uniqueId val="{0000000A-B312-4BE5-BC09-0340EC777F4B}"/>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'PBL OLD'!$DF$6:$DF$7</c15:sqref>
                        </c15:formulaRef>
                      </c:ext>
                    </c:extLst>
                    <c:strCache>
                      <c:ptCount val="2"/>
                      <c:pt idx="0">
                        <c:v>Max</c:v>
                      </c:pt>
                    </c:strCache>
                  </c:strRef>
                </c:tx>
                <c:marker>
                  <c:symbol val="none"/>
                </c:marker>
                <c:cat>
                  <c:numRef>
                    <c:extLst xmlns:c15="http://schemas.microsoft.com/office/drawing/2012/chart">
                      <c:ext xmlns:c15="http://schemas.microsoft.com/office/drawing/2012/chart" uri="{02D57815-91ED-43cb-92C2-25804820EDAC}">
                        <c15:formulaRef>
                          <c15:sqref>'PBL OLD'!$CT$8:$CT$60</c15:sqref>
                        </c15:formulaRef>
                      </c:ext>
                    </c:extLst>
                    <c:numCache>
                      <c:formatCode>d\-mmm\-yy_);\(###0\);"-  ";" "@" "</c:formatCode>
                      <c:ptCount val="53"/>
                      <c:pt idx="0">
                        <c:v>44749</c:v>
                      </c:pt>
                      <c:pt idx="1">
                        <c:v>44756</c:v>
                      </c:pt>
                      <c:pt idx="2">
                        <c:v>44763</c:v>
                      </c:pt>
                      <c:pt idx="3">
                        <c:v>44770</c:v>
                      </c:pt>
                      <c:pt idx="4">
                        <c:v>44777</c:v>
                      </c:pt>
                      <c:pt idx="5">
                        <c:v>44784</c:v>
                      </c:pt>
                      <c:pt idx="6">
                        <c:v>44791</c:v>
                      </c:pt>
                      <c:pt idx="7">
                        <c:v>44798</c:v>
                      </c:pt>
                      <c:pt idx="8">
                        <c:v>44805</c:v>
                      </c:pt>
                      <c:pt idx="9">
                        <c:v>44812</c:v>
                      </c:pt>
                      <c:pt idx="10">
                        <c:v>44819</c:v>
                      </c:pt>
                      <c:pt idx="11">
                        <c:v>44826</c:v>
                      </c:pt>
                      <c:pt idx="12">
                        <c:v>44833</c:v>
                      </c:pt>
                      <c:pt idx="13">
                        <c:v>44840</c:v>
                      </c:pt>
                      <c:pt idx="14">
                        <c:v>44847</c:v>
                      </c:pt>
                      <c:pt idx="15">
                        <c:v>44854</c:v>
                      </c:pt>
                      <c:pt idx="16">
                        <c:v>44861</c:v>
                      </c:pt>
                      <c:pt idx="17">
                        <c:v>44868</c:v>
                      </c:pt>
                      <c:pt idx="18">
                        <c:v>44875</c:v>
                      </c:pt>
                      <c:pt idx="19">
                        <c:v>44882</c:v>
                      </c:pt>
                      <c:pt idx="20">
                        <c:v>44889</c:v>
                      </c:pt>
                      <c:pt idx="21">
                        <c:v>44896</c:v>
                      </c:pt>
                      <c:pt idx="22">
                        <c:v>44903</c:v>
                      </c:pt>
                      <c:pt idx="23">
                        <c:v>44910</c:v>
                      </c:pt>
                      <c:pt idx="24">
                        <c:v>44917</c:v>
                      </c:pt>
                      <c:pt idx="25">
                        <c:v>44924</c:v>
                      </c:pt>
                      <c:pt idx="26">
                        <c:v>44931</c:v>
                      </c:pt>
                      <c:pt idx="27">
                        <c:v>44938</c:v>
                      </c:pt>
                      <c:pt idx="28">
                        <c:v>44945</c:v>
                      </c:pt>
                      <c:pt idx="29">
                        <c:v>44952</c:v>
                      </c:pt>
                      <c:pt idx="30">
                        <c:v>44959</c:v>
                      </c:pt>
                      <c:pt idx="31">
                        <c:v>44966</c:v>
                      </c:pt>
                      <c:pt idx="32">
                        <c:v>44973</c:v>
                      </c:pt>
                      <c:pt idx="33">
                        <c:v>44980</c:v>
                      </c:pt>
                      <c:pt idx="34">
                        <c:v>44987</c:v>
                      </c:pt>
                      <c:pt idx="35">
                        <c:v>44994</c:v>
                      </c:pt>
                      <c:pt idx="36">
                        <c:v>45001</c:v>
                      </c:pt>
                      <c:pt idx="37">
                        <c:v>45008</c:v>
                      </c:pt>
                      <c:pt idx="38">
                        <c:v>45015</c:v>
                      </c:pt>
                      <c:pt idx="39">
                        <c:v>45022</c:v>
                      </c:pt>
                      <c:pt idx="40">
                        <c:v>45029</c:v>
                      </c:pt>
                      <c:pt idx="41">
                        <c:v>45036</c:v>
                      </c:pt>
                      <c:pt idx="42">
                        <c:v>45043</c:v>
                      </c:pt>
                      <c:pt idx="43">
                        <c:v>45050</c:v>
                      </c:pt>
                      <c:pt idx="44">
                        <c:v>45057</c:v>
                      </c:pt>
                      <c:pt idx="45">
                        <c:v>45064</c:v>
                      </c:pt>
                      <c:pt idx="46">
                        <c:v>45071</c:v>
                      </c:pt>
                      <c:pt idx="47">
                        <c:v>45078</c:v>
                      </c:pt>
                      <c:pt idx="48">
                        <c:v>45085</c:v>
                      </c:pt>
                      <c:pt idx="49">
                        <c:v>45092</c:v>
                      </c:pt>
                      <c:pt idx="50">
                        <c:v>45099</c:v>
                      </c:pt>
                      <c:pt idx="51">
                        <c:v>45106</c:v>
                      </c:pt>
                    </c:numCache>
                  </c:numRef>
                </c:cat>
                <c:val>
                  <c:numRef>
                    <c:extLst xmlns:c15="http://schemas.microsoft.com/office/drawing/2012/chart">
                      <c:ext xmlns:c15="http://schemas.microsoft.com/office/drawing/2012/chart" uri="{02D57815-91ED-43cb-92C2-25804820EDAC}">
                        <c15:formulaRef>
                          <c15:sqref>'PBL OLD'!$DF$8:$DF$60</c15:sqref>
                        </c15:formulaRef>
                      </c:ext>
                    </c:extLst>
                    <c:numCache>
                      <c:formatCode>0.000</c:formatCode>
                      <c:ptCount val="53"/>
                      <c:pt idx="0">
                        <c:v>0.10288241710741779</c:v>
                      </c:pt>
                      <c:pt idx="1">
                        <c:v>0.20576483421483557</c:v>
                      </c:pt>
                      <c:pt idx="2">
                        <c:v>0.30864725132225335</c:v>
                      </c:pt>
                      <c:pt idx="3">
                        <c:v>0.41152966842967115</c:v>
                      </c:pt>
                      <c:pt idx="4">
                        <c:v>0.51441208553708895</c:v>
                      </c:pt>
                      <c:pt idx="5">
                        <c:v>0.61729450264450669</c:v>
                      </c:pt>
                      <c:pt idx="6">
                        <c:v>0.72017691975192444</c:v>
                      </c:pt>
                      <c:pt idx="7">
                        <c:v>0.82305933685934218</c:v>
                      </c:pt>
                      <c:pt idx="8">
                        <c:v>0.92594175396675993</c:v>
                      </c:pt>
                      <c:pt idx="9">
                        <c:v>1.0288241710741777</c:v>
                      </c:pt>
                      <c:pt idx="10">
                        <c:v>1.1317065881815955</c:v>
                      </c:pt>
                      <c:pt idx="11">
                        <c:v>1.2345890052890134</c:v>
                      </c:pt>
                      <c:pt idx="12">
                        <c:v>1.3374714223964312</c:v>
                      </c:pt>
                      <c:pt idx="13">
                        <c:v>1.4403538395038491</c:v>
                      </c:pt>
                      <c:pt idx="14">
                        <c:v>1.543236256611267</c:v>
                      </c:pt>
                      <c:pt idx="15">
                        <c:v>1.6461186737186848</c:v>
                      </c:pt>
                      <c:pt idx="16">
                        <c:v>1.7490010908261027</c:v>
                      </c:pt>
                      <c:pt idx="17">
                        <c:v>1.8518835079335205</c:v>
                      </c:pt>
                      <c:pt idx="18">
                        <c:v>1.9547659250409384</c:v>
                      </c:pt>
                      <c:pt idx="19">
                        <c:v>2.0576483421483562</c:v>
                      </c:pt>
                      <c:pt idx="20">
                        <c:v>2.1605307592557739</c:v>
                      </c:pt>
                      <c:pt idx="21">
                        <c:v>2.2634131763631915</c:v>
                      </c:pt>
                      <c:pt idx="22">
                        <c:v>2.3662955934706091</c:v>
                      </c:pt>
                      <c:pt idx="23">
                        <c:v>2.4691780105780268</c:v>
                      </c:pt>
                      <c:pt idx="24">
                        <c:v>2.5720604276854444</c:v>
                      </c:pt>
                      <c:pt idx="25">
                        <c:v>2.674942844792862</c:v>
                      </c:pt>
                      <c:pt idx="26">
                        <c:v>2.7778252619002797</c:v>
                      </c:pt>
                      <c:pt idx="27">
                        <c:v>2.8807076790076973</c:v>
                      </c:pt>
                      <c:pt idx="28">
                        <c:v>2.9835900961151149</c:v>
                      </c:pt>
                      <c:pt idx="29">
                        <c:v>3.0864725132225326</c:v>
                      </c:pt>
                      <c:pt idx="30">
                        <c:v>3.1893549303299502</c:v>
                      </c:pt>
                      <c:pt idx="31">
                        <c:v>3.2922373474373678</c:v>
                      </c:pt>
                      <c:pt idx="32">
                        <c:v>3.3951197645447855</c:v>
                      </c:pt>
                      <c:pt idx="33">
                        <c:v>3.4980021816522031</c:v>
                      </c:pt>
                      <c:pt idx="34">
                        <c:v>3.6008845987596207</c:v>
                      </c:pt>
                      <c:pt idx="35">
                        <c:v>3.7037670158670384</c:v>
                      </c:pt>
                      <c:pt idx="36">
                        <c:v>3.806649432974456</c:v>
                      </c:pt>
                      <c:pt idx="37">
                        <c:v>3.9095318500818736</c:v>
                      </c:pt>
                      <c:pt idx="38">
                        <c:v>4.0124142671892917</c:v>
                      </c:pt>
                      <c:pt idx="39">
                        <c:v>4.1152966842967098</c:v>
                      </c:pt>
                      <c:pt idx="40">
                        <c:v>4.2181791014041279</c:v>
                      </c:pt>
                      <c:pt idx="41">
                        <c:v>4.321061518511546</c:v>
                      </c:pt>
                      <c:pt idx="42">
                        <c:v>4.423943935618964</c:v>
                      </c:pt>
                      <c:pt idx="43">
                        <c:v>4.5268263527263821</c:v>
                      </c:pt>
                      <c:pt idx="44">
                        <c:v>4.6297087698338002</c:v>
                      </c:pt>
                      <c:pt idx="45">
                        <c:v>4.7325911869412183</c:v>
                      </c:pt>
                      <c:pt idx="46">
                        <c:v>4.8354736040486364</c:v>
                      </c:pt>
                      <c:pt idx="47">
                        <c:v>4.9383560211560544</c:v>
                      </c:pt>
                      <c:pt idx="48">
                        <c:v>5.0412384382634725</c:v>
                      </c:pt>
                      <c:pt idx="49">
                        <c:v>5.1441208553708906</c:v>
                      </c:pt>
                      <c:pt idx="50">
                        <c:v>5.2470032724783087</c:v>
                      </c:pt>
                      <c:pt idx="51">
                        <c:v>5.3498856895857267</c:v>
                      </c:pt>
                    </c:numCache>
                  </c:numRef>
                </c:val>
                <c:smooth val="0"/>
                <c:extLst xmlns:c15="http://schemas.microsoft.com/office/drawing/2012/chart">
                  <c:ext xmlns:c16="http://schemas.microsoft.com/office/drawing/2014/chart" uri="{C3380CC4-5D6E-409C-BE32-E72D297353CC}">
                    <c16:uniqueId val="{0000000B-B312-4BE5-BC09-0340EC777F4B}"/>
                  </c:ext>
                </c:extLst>
              </c15:ser>
            </c15:filteredLineSeries>
          </c:ext>
        </c:extLst>
      </c:lineChart>
      <c:dateAx>
        <c:axId val="1388952432"/>
        <c:scaling>
          <c:orientation val="minMax"/>
        </c:scaling>
        <c:delete val="0"/>
        <c:axPos val="b"/>
        <c:numFmt formatCode="mmm\-yy_);\(###0\);&quot;-  &quot;;&quot; &quot;@&quot; &quot;" sourceLinked="0"/>
        <c:majorTickMark val="none"/>
        <c:minorTickMark val="none"/>
        <c:tickLblPos val="nextTo"/>
        <c:spPr>
          <a:noFill/>
          <a:ln w="9525" cap="flat" cmpd="sng" algn="ctr">
            <a:noFill/>
            <a:round/>
          </a:ln>
          <a:effectLst/>
        </c:spPr>
        <c:txPr>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3088"/>
        <c:crosses val="autoZero"/>
        <c:auto val="1"/>
        <c:lblOffset val="100"/>
        <c:baseTimeUnit val="days"/>
        <c:majorUnit val="1"/>
        <c:majorTimeUnit val="months"/>
      </c:dateAx>
      <c:valAx>
        <c:axId val="13889530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2432"/>
        <c:crosses val="autoZero"/>
        <c:crossBetween val="between"/>
      </c:valAx>
    </c:plotArea>
    <c:legend>
      <c:legendPos val="b"/>
      <c:legendEntry>
        <c:idx val="1"/>
        <c:delete val="1"/>
      </c:legendEntry>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orientation="portrait"/>
  </c:printSettings>
</c:chartSpace>
</file>

<file path=xl/charts/chart10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'PBL OLD'!$CU$6:$CU$7</c:f>
              <c:strCache>
                <c:ptCount val="2"/>
                <c:pt idx="0">
                  <c:v>Actual</c:v>
                </c:pt>
              </c:strCache>
            </c:strRef>
          </c:tx>
          <c:spPr>
            <a:ln>
              <a:solidFill>
                <a:schemeClr val="tx2"/>
              </a:solidFill>
            </a:ln>
          </c:spPr>
          <c:marker>
            <c:symbol val="none"/>
          </c:marker>
          <c:cat>
            <c:numRef>
              <c:f>'PBL OLD'!$GC$8:$GC$60</c:f>
              <c:numCache>
                <c:formatCode>d\-mmm\-yy_);\(###0\);"-  ";" "@" "</c:formatCode>
                <c:ptCount val="53"/>
                <c:pt idx="0">
                  <c:v>45477</c:v>
                </c:pt>
                <c:pt idx="1">
                  <c:v>45484</c:v>
                </c:pt>
                <c:pt idx="2">
                  <c:v>45491</c:v>
                </c:pt>
                <c:pt idx="3">
                  <c:v>45498</c:v>
                </c:pt>
                <c:pt idx="4">
                  <c:v>45505</c:v>
                </c:pt>
                <c:pt idx="5">
                  <c:v>45512</c:v>
                </c:pt>
                <c:pt idx="6">
                  <c:v>45519</c:v>
                </c:pt>
                <c:pt idx="7">
                  <c:v>45526</c:v>
                </c:pt>
                <c:pt idx="8">
                  <c:v>45533</c:v>
                </c:pt>
                <c:pt idx="9">
                  <c:v>45540</c:v>
                </c:pt>
                <c:pt idx="10">
                  <c:v>45547</c:v>
                </c:pt>
                <c:pt idx="11">
                  <c:v>45554</c:v>
                </c:pt>
                <c:pt idx="12">
                  <c:v>45561</c:v>
                </c:pt>
                <c:pt idx="13">
                  <c:v>45568</c:v>
                </c:pt>
                <c:pt idx="14">
                  <c:v>45575</c:v>
                </c:pt>
                <c:pt idx="15">
                  <c:v>45582</c:v>
                </c:pt>
                <c:pt idx="16">
                  <c:v>45589</c:v>
                </c:pt>
                <c:pt idx="17">
                  <c:v>45596</c:v>
                </c:pt>
                <c:pt idx="18">
                  <c:v>45603</c:v>
                </c:pt>
                <c:pt idx="19">
                  <c:v>45610</c:v>
                </c:pt>
                <c:pt idx="20">
                  <c:v>45617</c:v>
                </c:pt>
                <c:pt idx="21">
                  <c:v>45624</c:v>
                </c:pt>
                <c:pt idx="22">
                  <c:v>45631</c:v>
                </c:pt>
                <c:pt idx="23">
                  <c:v>45638</c:v>
                </c:pt>
                <c:pt idx="24">
                  <c:v>45645</c:v>
                </c:pt>
                <c:pt idx="25">
                  <c:v>45652</c:v>
                </c:pt>
                <c:pt idx="26">
                  <c:v>45659</c:v>
                </c:pt>
                <c:pt idx="27">
                  <c:v>45666</c:v>
                </c:pt>
                <c:pt idx="28">
                  <c:v>45673</c:v>
                </c:pt>
                <c:pt idx="29">
                  <c:v>45680</c:v>
                </c:pt>
                <c:pt idx="30">
                  <c:v>45687</c:v>
                </c:pt>
                <c:pt idx="31">
                  <c:v>45694</c:v>
                </c:pt>
                <c:pt idx="32">
                  <c:v>45701</c:v>
                </c:pt>
                <c:pt idx="33">
                  <c:v>45708</c:v>
                </c:pt>
                <c:pt idx="34">
                  <c:v>45715</c:v>
                </c:pt>
                <c:pt idx="35">
                  <c:v>45722</c:v>
                </c:pt>
                <c:pt idx="36">
                  <c:v>45729</c:v>
                </c:pt>
                <c:pt idx="37">
                  <c:v>45736</c:v>
                </c:pt>
                <c:pt idx="38">
                  <c:v>45743</c:v>
                </c:pt>
                <c:pt idx="39">
                  <c:v>45750</c:v>
                </c:pt>
                <c:pt idx="40">
                  <c:v>45757</c:v>
                </c:pt>
                <c:pt idx="41">
                  <c:v>45764</c:v>
                </c:pt>
                <c:pt idx="42">
                  <c:v>45771</c:v>
                </c:pt>
                <c:pt idx="43">
                  <c:v>45778</c:v>
                </c:pt>
                <c:pt idx="44">
                  <c:v>45785</c:v>
                </c:pt>
                <c:pt idx="45">
                  <c:v>45792</c:v>
                </c:pt>
                <c:pt idx="46">
                  <c:v>45799</c:v>
                </c:pt>
                <c:pt idx="47">
                  <c:v>45806</c:v>
                </c:pt>
                <c:pt idx="48">
                  <c:v>45813</c:v>
                </c:pt>
                <c:pt idx="49">
                  <c:v>45820</c:v>
                </c:pt>
                <c:pt idx="50">
                  <c:v>45827</c:v>
                </c:pt>
                <c:pt idx="51">
                  <c:v>45834</c:v>
                </c:pt>
              </c:numCache>
            </c:numRef>
          </c:cat>
          <c:val>
            <c:numRef>
              <c:f>'PBL OLD'!$GD$8:$GD$60</c:f>
              <c:numCache>
                <c:formatCode>0.000</c:formatCode>
                <c:ptCount val="53"/>
                <c:pt idx="0">
                  <c:v>3.8117855737822823E-2</c:v>
                </c:pt>
                <c:pt idx="1">
                  <c:v>7.3507496964367453E-2</c:v>
                </c:pt>
                <c:pt idx="2">
                  <c:v>0.11149819943942467</c:v>
                </c:pt>
                <c:pt idx="3">
                  <c:v>0.14936957389486763</c:v>
                </c:pt>
                <c:pt idx="4">
                  <c:v>0.20291048607819551</c:v>
                </c:pt>
                <c:pt idx="5">
                  <c:v>0.27060181442471398</c:v>
                </c:pt>
                <c:pt idx="6">
                  <c:v>0.36496592642432168</c:v>
                </c:pt>
                <c:pt idx="7">
                  <c:v>0.56405793687374961</c:v>
                </c:pt>
                <c:pt idx="8">
                  <c:v>0.59132073716430211</c:v>
                </c:pt>
                <c:pt idx="9">
                  <c:v>0.61927954708349142</c:v>
                </c:pt>
                <c:pt idx="10">
                  <c:v>0.66360829092422369</c:v>
                </c:pt>
                <c:pt idx="11">
                  <c:v>0.72107712553069636</c:v>
                </c:pt>
                <c:pt idx="12">
                  <c:v>0.74897760053756146</c:v>
                </c:pt>
                <c:pt idx="13">
                  <c:v>0.79352683226727705</c:v>
                </c:pt>
                <c:pt idx="14">
                  <c:v>0.83577560829892139</c:v>
                </c:pt>
                <c:pt idx="15">
                  <c:v>0.89477976738868925</c:v>
                </c:pt>
                <c:pt idx="16">
                  <c:v>0.96325979754154967</c:v>
                </c:pt>
                <c:pt idx="17">
                  <c:v>1.0058395081267082</c:v>
                </c:pt>
                <c:pt idx="18">
                  <c:v>1.0624266875112132</c:v>
                </c:pt>
                <c:pt idx="19">
                  <c:v>1.1296929783830014</c:v>
                </c:pt>
                <c:pt idx="20">
                  <c:v>1.2233563217890817</c:v>
                </c:pt>
                <c:pt idx="21">
                  <c:v>1.4069614365286698</c:v>
                </c:pt>
                <c:pt idx="22">
                  <c:v>1.4345289190909449</c:v>
                </c:pt>
                <c:pt idx="23">
                  <c:v>1.475594429634129</c:v>
                </c:pt>
                <c:pt idx="24">
                  <c:v>1.5048491768542664</c:v>
                </c:pt>
                <c:pt idx="25">
                  <c:v>1.5459474521247469</c:v>
                </c:pt>
                <c:pt idx="26">
                  <c:v>1.5968338719016677</c:v>
                </c:pt>
                <c:pt idx="27">
                  <c:v>1.6231268962358945</c:v>
                </c:pt>
                <c:pt idx="28">
                  <c:v>1.660991554130762</c:v>
                </c:pt>
                <c:pt idx="29">
                  <c:v>1.7084831626025503</c:v>
                </c:pt>
                <c:pt idx="30">
                  <c:v>1.7723419118500168</c:v>
                </c:pt>
                <c:pt idx="31">
                  <c:v>1.8671378320708734</c:v>
                </c:pt>
                <c:pt idx="32">
                  <c:v>1.9064217682766922</c:v>
                </c:pt>
                <c:pt idx="33">
                  <c:v>1.9587768114030732</c:v>
                </c:pt>
                <c:pt idx="34">
                  <c:v>2.0224824717046097</c:v>
                </c:pt>
                <c:pt idx="35">
                  <c:v>2.0626000573237011</c:v>
                </c:pt>
                <c:pt idx="36">
                  <c:v>2.1024210431873165</c:v>
                </c:pt>
                <c:pt idx="37">
                  <c:v>2.1408858111364504</c:v>
                </c:pt>
                <c:pt idx="38">
                  <c:v>2.1900735165748286</c:v>
                </c:pt>
                <c:pt idx="39">
                  <c:v>2.2251647541973196</c:v>
                </c:pt>
                <c:pt idx="40">
                  <c:v>2.2695393853085322</c:v>
                </c:pt>
                <c:pt idx="41">
                  <c:v>2.3269505284791108</c:v>
                </c:pt>
                <c:pt idx="42">
                  <c:v>2.3659474656800259</c:v>
                </c:pt>
                <c:pt idx="43">
                  <c:v>2.4152266955323114</c:v>
                </c:pt>
                <c:pt idx="44">
                  <c:v>2.4724912643271746</c:v>
                </c:pt>
                <c:pt idx="45">
                  <c:v>2.5077430380391981</c:v>
                </c:pt>
                <c:pt idx="46">
                  <c:v>2.5521466686063681</c:v>
                </c:pt>
                <c:pt idx="47">
                  <c:v>2.6041292935416265</c:v>
                </c:pt>
                <c:pt idx="48">
                  <c:v>2.6828343093992353</c:v>
                </c:pt>
                <c:pt idx="49">
                  <c:v>2.8650114347354516</c:v>
                </c:pt>
                <c:pt idx="50">
                  <c:v>2.8924600538942782</c:v>
                </c:pt>
                <c:pt idx="51">
                  <c:v>2.9319854918675299</c:v>
                </c:pt>
              </c:numCache>
            </c:numRef>
          </c:val>
          <c:smooth val="0"/>
          <c:extLst>
            <c:ext xmlns:c16="http://schemas.microsoft.com/office/drawing/2014/chart" uri="{C3380CC4-5D6E-409C-BE32-E72D297353CC}">
              <c16:uniqueId val="{00000000-DF5C-4E09-B109-7000B6A71E8E}"/>
            </c:ext>
          </c:extLst>
        </c:ser>
        <c:ser>
          <c:idx val="7"/>
          <c:order val="3"/>
          <c:tx>
            <c:strRef>
              <c:f>'PBL OLD'!$CX$6:$CX$7</c:f>
              <c:strCache>
                <c:ptCount val="2"/>
                <c:pt idx="0">
                  <c:v>5th Percentile</c:v>
                </c:pt>
              </c:strCache>
            </c:strRef>
          </c:tx>
          <c:spPr>
            <a:ln>
              <a:solidFill>
                <a:schemeClr val="bg2">
                  <a:lumMod val="60000"/>
                  <a:lumOff val="40000"/>
                </a:schemeClr>
              </a:solidFill>
              <a:prstDash val="sysDot"/>
            </a:ln>
          </c:spPr>
          <c:marker>
            <c:symbol val="none"/>
          </c:marker>
          <c:cat>
            <c:numRef>
              <c:f>'PBL OLD'!$GC$8:$GC$60</c:f>
              <c:numCache>
                <c:formatCode>d\-mmm\-yy_);\(###0\);"-  ";" "@" "</c:formatCode>
                <c:ptCount val="53"/>
                <c:pt idx="0">
                  <c:v>45477</c:v>
                </c:pt>
                <c:pt idx="1">
                  <c:v>45484</c:v>
                </c:pt>
                <c:pt idx="2">
                  <c:v>45491</c:v>
                </c:pt>
                <c:pt idx="3">
                  <c:v>45498</c:v>
                </c:pt>
                <c:pt idx="4">
                  <c:v>45505</c:v>
                </c:pt>
                <c:pt idx="5">
                  <c:v>45512</c:v>
                </c:pt>
                <c:pt idx="6">
                  <c:v>45519</c:v>
                </c:pt>
                <c:pt idx="7">
                  <c:v>45526</c:v>
                </c:pt>
                <c:pt idx="8">
                  <c:v>45533</c:v>
                </c:pt>
                <c:pt idx="9">
                  <c:v>45540</c:v>
                </c:pt>
                <c:pt idx="10">
                  <c:v>45547</c:v>
                </c:pt>
                <c:pt idx="11">
                  <c:v>45554</c:v>
                </c:pt>
                <c:pt idx="12">
                  <c:v>45561</c:v>
                </c:pt>
                <c:pt idx="13">
                  <c:v>45568</c:v>
                </c:pt>
                <c:pt idx="14">
                  <c:v>45575</c:v>
                </c:pt>
                <c:pt idx="15">
                  <c:v>45582</c:v>
                </c:pt>
                <c:pt idx="16">
                  <c:v>45589</c:v>
                </c:pt>
                <c:pt idx="17">
                  <c:v>45596</c:v>
                </c:pt>
                <c:pt idx="18">
                  <c:v>45603</c:v>
                </c:pt>
                <c:pt idx="19">
                  <c:v>45610</c:v>
                </c:pt>
                <c:pt idx="20">
                  <c:v>45617</c:v>
                </c:pt>
                <c:pt idx="21">
                  <c:v>45624</c:v>
                </c:pt>
                <c:pt idx="22">
                  <c:v>45631</c:v>
                </c:pt>
                <c:pt idx="23">
                  <c:v>45638</c:v>
                </c:pt>
                <c:pt idx="24">
                  <c:v>45645</c:v>
                </c:pt>
                <c:pt idx="25">
                  <c:v>45652</c:v>
                </c:pt>
                <c:pt idx="26">
                  <c:v>45659</c:v>
                </c:pt>
                <c:pt idx="27">
                  <c:v>45666</c:v>
                </c:pt>
                <c:pt idx="28">
                  <c:v>45673</c:v>
                </c:pt>
                <c:pt idx="29">
                  <c:v>45680</c:v>
                </c:pt>
                <c:pt idx="30">
                  <c:v>45687</c:v>
                </c:pt>
                <c:pt idx="31">
                  <c:v>45694</c:v>
                </c:pt>
                <c:pt idx="32">
                  <c:v>45701</c:v>
                </c:pt>
                <c:pt idx="33">
                  <c:v>45708</c:v>
                </c:pt>
                <c:pt idx="34">
                  <c:v>45715</c:v>
                </c:pt>
                <c:pt idx="35">
                  <c:v>45722</c:v>
                </c:pt>
                <c:pt idx="36">
                  <c:v>45729</c:v>
                </c:pt>
                <c:pt idx="37">
                  <c:v>45736</c:v>
                </c:pt>
                <c:pt idx="38">
                  <c:v>45743</c:v>
                </c:pt>
                <c:pt idx="39">
                  <c:v>45750</c:v>
                </c:pt>
                <c:pt idx="40">
                  <c:v>45757</c:v>
                </c:pt>
                <c:pt idx="41">
                  <c:v>45764</c:v>
                </c:pt>
                <c:pt idx="42">
                  <c:v>45771</c:v>
                </c:pt>
                <c:pt idx="43">
                  <c:v>45778</c:v>
                </c:pt>
                <c:pt idx="44">
                  <c:v>45785</c:v>
                </c:pt>
                <c:pt idx="45">
                  <c:v>45792</c:v>
                </c:pt>
                <c:pt idx="46">
                  <c:v>45799</c:v>
                </c:pt>
                <c:pt idx="47">
                  <c:v>45806</c:v>
                </c:pt>
                <c:pt idx="48">
                  <c:v>45813</c:v>
                </c:pt>
                <c:pt idx="49">
                  <c:v>45820</c:v>
                </c:pt>
                <c:pt idx="50">
                  <c:v>45827</c:v>
                </c:pt>
                <c:pt idx="51">
                  <c:v>45834</c:v>
                </c:pt>
              </c:numCache>
            </c:numRef>
          </c:cat>
          <c:val>
            <c:numRef>
              <c:f>'PBL OLD'!$GG$8:$GG$60</c:f>
              <c:numCache>
                <c:formatCode>0.000</c:formatCode>
                <c:ptCount val="53"/>
                <c:pt idx="0">
                  <c:v>5.5955098451754989E-2</c:v>
                </c:pt>
                <c:pt idx="1">
                  <c:v>0.11191019690350998</c:v>
                </c:pt>
                <c:pt idx="2">
                  <c:v>0.16786529535526495</c:v>
                </c:pt>
                <c:pt idx="3">
                  <c:v>0.22382039380701996</c:v>
                </c:pt>
                <c:pt idx="4">
                  <c:v>0.27977549225877496</c:v>
                </c:pt>
                <c:pt idx="5">
                  <c:v>0.33573059071052996</c:v>
                </c:pt>
                <c:pt idx="6">
                  <c:v>0.39168568916228497</c:v>
                </c:pt>
                <c:pt idx="7">
                  <c:v>0.44764078761403997</c:v>
                </c:pt>
                <c:pt idx="8">
                  <c:v>0.50359588606579497</c:v>
                </c:pt>
                <c:pt idx="9">
                  <c:v>0.55955098451754992</c:v>
                </c:pt>
                <c:pt idx="10">
                  <c:v>0.61550608296930487</c:v>
                </c:pt>
                <c:pt idx="11">
                  <c:v>0.67146118142105982</c:v>
                </c:pt>
                <c:pt idx="12">
                  <c:v>0.72741627987281476</c:v>
                </c:pt>
                <c:pt idx="13">
                  <c:v>0.78337137832456971</c:v>
                </c:pt>
                <c:pt idx="14">
                  <c:v>0.83932647677632466</c:v>
                </c:pt>
                <c:pt idx="15">
                  <c:v>0.89528157522807961</c:v>
                </c:pt>
                <c:pt idx="16">
                  <c:v>0.95123667367983455</c:v>
                </c:pt>
                <c:pt idx="17">
                  <c:v>1.0071917721315895</c:v>
                </c:pt>
                <c:pt idx="18">
                  <c:v>1.0631468705833444</c:v>
                </c:pt>
                <c:pt idx="19">
                  <c:v>1.1191019690350994</c:v>
                </c:pt>
                <c:pt idx="20">
                  <c:v>1.1750570674868543</c:v>
                </c:pt>
                <c:pt idx="21">
                  <c:v>1.2310121659386093</c:v>
                </c:pt>
                <c:pt idx="22">
                  <c:v>1.2869672643903642</c:v>
                </c:pt>
                <c:pt idx="23">
                  <c:v>1.3429223628421192</c:v>
                </c:pt>
                <c:pt idx="24">
                  <c:v>1.3988774612938741</c:v>
                </c:pt>
                <c:pt idx="25">
                  <c:v>1.4548325597456291</c:v>
                </c:pt>
                <c:pt idx="26">
                  <c:v>1.510787658197384</c:v>
                </c:pt>
                <c:pt idx="27">
                  <c:v>1.566742756649139</c:v>
                </c:pt>
                <c:pt idx="28">
                  <c:v>1.6226978551008939</c:v>
                </c:pt>
                <c:pt idx="29">
                  <c:v>1.6786529535526489</c:v>
                </c:pt>
                <c:pt idx="30">
                  <c:v>1.7346080520044038</c:v>
                </c:pt>
                <c:pt idx="31">
                  <c:v>1.7905631504561588</c:v>
                </c:pt>
                <c:pt idx="32">
                  <c:v>1.8465182489079137</c:v>
                </c:pt>
                <c:pt idx="33">
                  <c:v>1.9024733473596687</c:v>
                </c:pt>
                <c:pt idx="34">
                  <c:v>1.9584284458114236</c:v>
                </c:pt>
                <c:pt idx="35">
                  <c:v>2.0143835442631786</c:v>
                </c:pt>
                <c:pt idx="36">
                  <c:v>2.0703386427149337</c:v>
                </c:pt>
                <c:pt idx="37">
                  <c:v>2.1262937411666889</c:v>
                </c:pt>
                <c:pt idx="38">
                  <c:v>2.1822488396184441</c:v>
                </c:pt>
                <c:pt idx="39">
                  <c:v>2.2382039380701992</c:v>
                </c:pt>
                <c:pt idx="40">
                  <c:v>2.2941590365219544</c:v>
                </c:pt>
                <c:pt idx="41">
                  <c:v>2.3501141349737096</c:v>
                </c:pt>
                <c:pt idx="42">
                  <c:v>2.4060692334254647</c:v>
                </c:pt>
                <c:pt idx="43">
                  <c:v>2.4620243318772199</c:v>
                </c:pt>
                <c:pt idx="44">
                  <c:v>2.5179794303289751</c:v>
                </c:pt>
                <c:pt idx="45">
                  <c:v>2.5739345287807303</c:v>
                </c:pt>
                <c:pt idx="46">
                  <c:v>2.6298896272324854</c:v>
                </c:pt>
                <c:pt idx="47">
                  <c:v>2.6858447256842406</c:v>
                </c:pt>
                <c:pt idx="48">
                  <c:v>2.7417998241359958</c:v>
                </c:pt>
                <c:pt idx="49">
                  <c:v>2.7977549225877509</c:v>
                </c:pt>
                <c:pt idx="50">
                  <c:v>2.8537100210395061</c:v>
                </c:pt>
                <c:pt idx="51">
                  <c:v>2.9096651194912613</c:v>
                </c:pt>
              </c:numCache>
            </c:numRef>
          </c:val>
          <c:smooth val="0"/>
          <c:extLst xmlns:c15="http://schemas.microsoft.com/office/drawing/2012/chart">
            <c:ext xmlns:c16="http://schemas.microsoft.com/office/drawing/2014/chart" uri="{C3380CC4-5D6E-409C-BE32-E72D297353CC}">
              <c16:uniqueId val="{00000001-DF5C-4E09-B109-7000B6A71E8E}"/>
            </c:ext>
          </c:extLst>
        </c:ser>
        <c:ser>
          <c:idx val="2"/>
          <c:order val="5"/>
          <c:tx>
            <c:v>5/25/50/75/95th percentile</c:v>
          </c:tx>
          <c:spPr>
            <a:ln>
              <a:solidFill>
                <a:schemeClr val="bg2">
                  <a:lumMod val="60000"/>
                  <a:lumOff val="40000"/>
                </a:schemeClr>
              </a:solidFill>
              <a:prstDash val="sysDot"/>
            </a:ln>
          </c:spPr>
          <c:marker>
            <c:symbol val="none"/>
          </c:marker>
          <c:cat>
            <c:numRef>
              <c:f>'PBL OLD'!$GC$8:$GC$60</c:f>
              <c:numCache>
                <c:formatCode>d\-mmm\-yy_);\(###0\);"-  ";" "@" "</c:formatCode>
                <c:ptCount val="53"/>
                <c:pt idx="0">
                  <c:v>45477</c:v>
                </c:pt>
                <c:pt idx="1">
                  <c:v>45484</c:v>
                </c:pt>
                <c:pt idx="2">
                  <c:v>45491</c:v>
                </c:pt>
                <c:pt idx="3">
                  <c:v>45498</c:v>
                </c:pt>
                <c:pt idx="4">
                  <c:v>45505</c:v>
                </c:pt>
                <c:pt idx="5">
                  <c:v>45512</c:v>
                </c:pt>
                <c:pt idx="6">
                  <c:v>45519</c:v>
                </c:pt>
                <c:pt idx="7">
                  <c:v>45526</c:v>
                </c:pt>
                <c:pt idx="8">
                  <c:v>45533</c:v>
                </c:pt>
                <c:pt idx="9">
                  <c:v>45540</c:v>
                </c:pt>
                <c:pt idx="10">
                  <c:v>45547</c:v>
                </c:pt>
                <c:pt idx="11">
                  <c:v>45554</c:v>
                </c:pt>
                <c:pt idx="12">
                  <c:v>45561</c:v>
                </c:pt>
                <c:pt idx="13">
                  <c:v>45568</c:v>
                </c:pt>
                <c:pt idx="14">
                  <c:v>45575</c:v>
                </c:pt>
                <c:pt idx="15">
                  <c:v>45582</c:v>
                </c:pt>
                <c:pt idx="16">
                  <c:v>45589</c:v>
                </c:pt>
                <c:pt idx="17">
                  <c:v>45596</c:v>
                </c:pt>
                <c:pt idx="18">
                  <c:v>45603</c:v>
                </c:pt>
                <c:pt idx="19">
                  <c:v>45610</c:v>
                </c:pt>
                <c:pt idx="20">
                  <c:v>45617</c:v>
                </c:pt>
                <c:pt idx="21">
                  <c:v>45624</c:v>
                </c:pt>
                <c:pt idx="22">
                  <c:v>45631</c:v>
                </c:pt>
                <c:pt idx="23">
                  <c:v>45638</c:v>
                </c:pt>
                <c:pt idx="24">
                  <c:v>45645</c:v>
                </c:pt>
                <c:pt idx="25">
                  <c:v>45652</c:v>
                </c:pt>
                <c:pt idx="26">
                  <c:v>45659</c:v>
                </c:pt>
                <c:pt idx="27">
                  <c:v>45666</c:v>
                </c:pt>
                <c:pt idx="28">
                  <c:v>45673</c:v>
                </c:pt>
                <c:pt idx="29">
                  <c:v>45680</c:v>
                </c:pt>
                <c:pt idx="30">
                  <c:v>45687</c:v>
                </c:pt>
                <c:pt idx="31">
                  <c:v>45694</c:v>
                </c:pt>
                <c:pt idx="32">
                  <c:v>45701</c:v>
                </c:pt>
                <c:pt idx="33">
                  <c:v>45708</c:v>
                </c:pt>
                <c:pt idx="34">
                  <c:v>45715</c:v>
                </c:pt>
                <c:pt idx="35">
                  <c:v>45722</c:v>
                </c:pt>
                <c:pt idx="36">
                  <c:v>45729</c:v>
                </c:pt>
                <c:pt idx="37">
                  <c:v>45736</c:v>
                </c:pt>
                <c:pt idx="38">
                  <c:v>45743</c:v>
                </c:pt>
                <c:pt idx="39">
                  <c:v>45750</c:v>
                </c:pt>
                <c:pt idx="40">
                  <c:v>45757</c:v>
                </c:pt>
                <c:pt idx="41">
                  <c:v>45764</c:v>
                </c:pt>
                <c:pt idx="42">
                  <c:v>45771</c:v>
                </c:pt>
                <c:pt idx="43">
                  <c:v>45778</c:v>
                </c:pt>
                <c:pt idx="44">
                  <c:v>45785</c:v>
                </c:pt>
                <c:pt idx="45">
                  <c:v>45792</c:v>
                </c:pt>
                <c:pt idx="46">
                  <c:v>45799</c:v>
                </c:pt>
                <c:pt idx="47">
                  <c:v>45806</c:v>
                </c:pt>
                <c:pt idx="48">
                  <c:v>45813</c:v>
                </c:pt>
                <c:pt idx="49">
                  <c:v>45820</c:v>
                </c:pt>
                <c:pt idx="50">
                  <c:v>45827</c:v>
                </c:pt>
                <c:pt idx="51">
                  <c:v>45834</c:v>
                </c:pt>
              </c:numCache>
            </c:numRef>
          </c:cat>
          <c:val>
            <c:numRef>
              <c:f>'PBL OLD'!$GI$8:$GI$60</c:f>
              <c:numCache>
                <c:formatCode>0.000</c:formatCode>
                <c:ptCount val="53"/>
                <c:pt idx="0">
                  <c:v>6.3040095867171603E-2</c:v>
                </c:pt>
                <c:pt idx="1">
                  <c:v>0.12608019173434321</c:v>
                </c:pt>
                <c:pt idx="2">
                  <c:v>0.18912028760151481</c:v>
                </c:pt>
                <c:pt idx="3">
                  <c:v>0.25216038346868641</c:v>
                </c:pt>
                <c:pt idx="4">
                  <c:v>0.31520047933585804</c:v>
                </c:pt>
                <c:pt idx="5">
                  <c:v>0.37824057520302967</c:v>
                </c:pt>
                <c:pt idx="6">
                  <c:v>0.4412806710702013</c:v>
                </c:pt>
                <c:pt idx="7">
                  <c:v>0.50432076693737293</c:v>
                </c:pt>
                <c:pt idx="8">
                  <c:v>0.56736086280454456</c:v>
                </c:pt>
                <c:pt idx="9">
                  <c:v>0.63040095867171619</c:v>
                </c:pt>
                <c:pt idx="10">
                  <c:v>0.69344105453888782</c:v>
                </c:pt>
                <c:pt idx="11">
                  <c:v>0.75648115040605945</c:v>
                </c:pt>
                <c:pt idx="12">
                  <c:v>0.81952124627323109</c:v>
                </c:pt>
                <c:pt idx="13">
                  <c:v>0.88256134214040272</c:v>
                </c:pt>
                <c:pt idx="14">
                  <c:v>0.94560143800757435</c:v>
                </c:pt>
                <c:pt idx="15">
                  <c:v>1.0086415338747459</c:v>
                </c:pt>
                <c:pt idx="16">
                  <c:v>1.0716816297419174</c:v>
                </c:pt>
                <c:pt idx="17">
                  <c:v>1.1347217256090889</c:v>
                </c:pt>
                <c:pt idx="18">
                  <c:v>1.1977618214762604</c:v>
                </c:pt>
                <c:pt idx="19">
                  <c:v>1.2608019173434319</c:v>
                </c:pt>
                <c:pt idx="20">
                  <c:v>1.3238420132106035</c:v>
                </c:pt>
                <c:pt idx="21">
                  <c:v>1.386882109077775</c:v>
                </c:pt>
                <c:pt idx="22">
                  <c:v>1.4499222049449465</c:v>
                </c:pt>
                <c:pt idx="23">
                  <c:v>1.512962300812118</c:v>
                </c:pt>
                <c:pt idx="24">
                  <c:v>1.5760023966792895</c:v>
                </c:pt>
                <c:pt idx="25">
                  <c:v>1.6390424925464611</c:v>
                </c:pt>
                <c:pt idx="26">
                  <c:v>1.7020825884136326</c:v>
                </c:pt>
                <c:pt idx="27">
                  <c:v>1.7651226842808041</c:v>
                </c:pt>
                <c:pt idx="28">
                  <c:v>1.8281627801479756</c:v>
                </c:pt>
                <c:pt idx="29">
                  <c:v>1.8912028760151471</c:v>
                </c:pt>
                <c:pt idx="30">
                  <c:v>1.9542429718823187</c:v>
                </c:pt>
                <c:pt idx="31">
                  <c:v>2.0172830677494904</c:v>
                </c:pt>
                <c:pt idx="32">
                  <c:v>2.0803231636166619</c:v>
                </c:pt>
                <c:pt idx="33">
                  <c:v>2.1433632594838334</c:v>
                </c:pt>
                <c:pt idx="34">
                  <c:v>2.206403355351005</c:v>
                </c:pt>
                <c:pt idx="35">
                  <c:v>2.2694434512181765</c:v>
                </c:pt>
                <c:pt idx="36">
                  <c:v>2.332483547085348</c:v>
                </c:pt>
                <c:pt idx="37">
                  <c:v>2.3955236429525195</c:v>
                </c:pt>
                <c:pt idx="38">
                  <c:v>2.458563738819691</c:v>
                </c:pt>
                <c:pt idx="39">
                  <c:v>2.5216038346868626</c:v>
                </c:pt>
                <c:pt idx="40">
                  <c:v>2.5846439305540341</c:v>
                </c:pt>
                <c:pt idx="41">
                  <c:v>2.6476840264212056</c:v>
                </c:pt>
                <c:pt idx="42">
                  <c:v>2.7107241222883771</c:v>
                </c:pt>
                <c:pt idx="43">
                  <c:v>2.7737642181555486</c:v>
                </c:pt>
                <c:pt idx="44">
                  <c:v>2.8368043140227202</c:v>
                </c:pt>
                <c:pt idx="45">
                  <c:v>2.8998444098898917</c:v>
                </c:pt>
                <c:pt idx="46">
                  <c:v>2.9628845057570632</c:v>
                </c:pt>
                <c:pt idx="47">
                  <c:v>3.0259246016242347</c:v>
                </c:pt>
                <c:pt idx="48">
                  <c:v>3.0889646974914062</c:v>
                </c:pt>
                <c:pt idx="49">
                  <c:v>3.1520047933585777</c:v>
                </c:pt>
                <c:pt idx="50">
                  <c:v>3.2150448892257493</c:v>
                </c:pt>
                <c:pt idx="51">
                  <c:v>3.2780849850929208</c:v>
                </c:pt>
              </c:numCache>
            </c:numRef>
          </c:val>
          <c:smooth val="0"/>
          <c:extLst>
            <c:ext xmlns:c16="http://schemas.microsoft.com/office/drawing/2014/chart" uri="{C3380CC4-5D6E-409C-BE32-E72D297353CC}">
              <c16:uniqueId val="{00000002-DF5C-4E09-B109-7000B6A71E8E}"/>
            </c:ext>
          </c:extLst>
        </c:ser>
        <c:ser>
          <c:idx val="4"/>
          <c:order val="6"/>
          <c:tx>
            <c:strRef>
              <c:f>'PBL OLD'!$DA$6:$DA$7</c:f>
              <c:strCache>
                <c:ptCount val="2"/>
                <c:pt idx="0">
                  <c:v>50th Percentile</c:v>
                </c:pt>
              </c:strCache>
            </c:strRef>
          </c:tx>
          <c:spPr>
            <a:ln>
              <a:solidFill>
                <a:schemeClr val="bg2">
                  <a:lumMod val="60000"/>
                  <a:lumOff val="40000"/>
                </a:schemeClr>
              </a:solidFill>
              <a:prstDash val="sysDot"/>
            </a:ln>
          </c:spPr>
          <c:marker>
            <c:symbol val="none"/>
          </c:marker>
          <c:cat>
            <c:numRef>
              <c:f>'PBL OLD'!$GC$8:$GC$60</c:f>
              <c:numCache>
                <c:formatCode>d\-mmm\-yy_);\(###0\);"-  ";" "@" "</c:formatCode>
                <c:ptCount val="53"/>
                <c:pt idx="0">
                  <c:v>45477</c:v>
                </c:pt>
                <c:pt idx="1">
                  <c:v>45484</c:v>
                </c:pt>
                <c:pt idx="2">
                  <c:v>45491</c:v>
                </c:pt>
                <c:pt idx="3">
                  <c:v>45498</c:v>
                </c:pt>
                <c:pt idx="4">
                  <c:v>45505</c:v>
                </c:pt>
                <c:pt idx="5">
                  <c:v>45512</c:v>
                </c:pt>
                <c:pt idx="6">
                  <c:v>45519</c:v>
                </c:pt>
                <c:pt idx="7">
                  <c:v>45526</c:v>
                </c:pt>
                <c:pt idx="8">
                  <c:v>45533</c:v>
                </c:pt>
                <c:pt idx="9">
                  <c:v>45540</c:v>
                </c:pt>
                <c:pt idx="10">
                  <c:v>45547</c:v>
                </c:pt>
                <c:pt idx="11">
                  <c:v>45554</c:v>
                </c:pt>
                <c:pt idx="12">
                  <c:v>45561</c:v>
                </c:pt>
                <c:pt idx="13">
                  <c:v>45568</c:v>
                </c:pt>
                <c:pt idx="14">
                  <c:v>45575</c:v>
                </c:pt>
                <c:pt idx="15">
                  <c:v>45582</c:v>
                </c:pt>
                <c:pt idx="16">
                  <c:v>45589</c:v>
                </c:pt>
                <c:pt idx="17">
                  <c:v>45596</c:v>
                </c:pt>
                <c:pt idx="18">
                  <c:v>45603</c:v>
                </c:pt>
                <c:pt idx="19">
                  <c:v>45610</c:v>
                </c:pt>
                <c:pt idx="20">
                  <c:v>45617</c:v>
                </c:pt>
                <c:pt idx="21">
                  <c:v>45624</c:v>
                </c:pt>
                <c:pt idx="22">
                  <c:v>45631</c:v>
                </c:pt>
                <c:pt idx="23">
                  <c:v>45638</c:v>
                </c:pt>
                <c:pt idx="24">
                  <c:v>45645</c:v>
                </c:pt>
                <c:pt idx="25">
                  <c:v>45652</c:v>
                </c:pt>
                <c:pt idx="26">
                  <c:v>45659</c:v>
                </c:pt>
                <c:pt idx="27">
                  <c:v>45666</c:v>
                </c:pt>
                <c:pt idx="28">
                  <c:v>45673</c:v>
                </c:pt>
                <c:pt idx="29">
                  <c:v>45680</c:v>
                </c:pt>
                <c:pt idx="30">
                  <c:v>45687</c:v>
                </c:pt>
                <c:pt idx="31">
                  <c:v>45694</c:v>
                </c:pt>
                <c:pt idx="32">
                  <c:v>45701</c:v>
                </c:pt>
                <c:pt idx="33">
                  <c:v>45708</c:v>
                </c:pt>
                <c:pt idx="34">
                  <c:v>45715</c:v>
                </c:pt>
                <c:pt idx="35">
                  <c:v>45722</c:v>
                </c:pt>
                <c:pt idx="36">
                  <c:v>45729</c:v>
                </c:pt>
                <c:pt idx="37">
                  <c:v>45736</c:v>
                </c:pt>
                <c:pt idx="38">
                  <c:v>45743</c:v>
                </c:pt>
                <c:pt idx="39">
                  <c:v>45750</c:v>
                </c:pt>
                <c:pt idx="40">
                  <c:v>45757</c:v>
                </c:pt>
                <c:pt idx="41">
                  <c:v>45764</c:v>
                </c:pt>
                <c:pt idx="42">
                  <c:v>45771</c:v>
                </c:pt>
                <c:pt idx="43">
                  <c:v>45778</c:v>
                </c:pt>
                <c:pt idx="44">
                  <c:v>45785</c:v>
                </c:pt>
                <c:pt idx="45">
                  <c:v>45792</c:v>
                </c:pt>
                <c:pt idx="46">
                  <c:v>45799</c:v>
                </c:pt>
                <c:pt idx="47">
                  <c:v>45806</c:v>
                </c:pt>
                <c:pt idx="48">
                  <c:v>45813</c:v>
                </c:pt>
                <c:pt idx="49">
                  <c:v>45820</c:v>
                </c:pt>
                <c:pt idx="50">
                  <c:v>45827</c:v>
                </c:pt>
                <c:pt idx="51">
                  <c:v>45834</c:v>
                </c:pt>
              </c:numCache>
            </c:numRef>
          </c:cat>
          <c:val>
            <c:numRef>
              <c:f>'PBL OLD'!$GJ$8:$GJ$60</c:f>
              <c:numCache>
                <c:formatCode>0.000</c:formatCode>
                <c:ptCount val="53"/>
                <c:pt idx="0">
                  <c:v>6.8853421493868625E-2</c:v>
                </c:pt>
                <c:pt idx="1">
                  <c:v>0.13770684298773725</c:v>
                </c:pt>
                <c:pt idx="2">
                  <c:v>0.20656026448160586</c:v>
                </c:pt>
                <c:pt idx="3">
                  <c:v>0.2754136859754745</c:v>
                </c:pt>
                <c:pt idx="4">
                  <c:v>0.34426710746934314</c:v>
                </c:pt>
                <c:pt idx="5">
                  <c:v>0.41312052896321177</c:v>
                </c:pt>
                <c:pt idx="6">
                  <c:v>0.48197395045708041</c:v>
                </c:pt>
                <c:pt idx="7">
                  <c:v>0.550827371950949</c:v>
                </c:pt>
                <c:pt idx="8">
                  <c:v>0.61968079344481763</c:v>
                </c:pt>
                <c:pt idx="9">
                  <c:v>0.68853421493868627</c:v>
                </c:pt>
                <c:pt idx="10">
                  <c:v>0.75738763643255491</c:v>
                </c:pt>
                <c:pt idx="11">
                  <c:v>0.82624105792642355</c:v>
                </c:pt>
                <c:pt idx="12">
                  <c:v>0.89509447942029219</c:v>
                </c:pt>
                <c:pt idx="13">
                  <c:v>0.96394790091416083</c:v>
                </c:pt>
                <c:pt idx="14">
                  <c:v>1.0328013224080295</c:v>
                </c:pt>
                <c:pt idx="15">
                  <c:v>1.101654743901898</c:v>
                </c:pt>
                <c:pt idx="16">
                  <c:v>1.1705081653957665</c:v>
                </c:pt>
                <c:pt idx="17">
                  <c:v>1.239361586889635</c:v>
                </c:pt>
                <c:pt idx="18">
                  <c:v>1.3082150083835036</c:v>
                </c:pt>
                <c:pt idx="19">
                  <c:v>1.3770684298773721</c:v>
                </c:pt>
                <c:pt idx="20">
                  <c:v>1.4459218513712406</c:v>
                </c:pt>
                <c:pt idx="21">
                  <c:v>1.5147752728651092</c:v>
                </c:pt>
                <c:pt idx="22">
                  <c:v>1.5836286943589777</c:v>
                </c:pt>
                <c:pt idx="23">
                  <c:v>1.6524821158528462</c:v>
                </c:pt>
                <c:pt idx="24">
                  <c:v>1.7213355373467147</c:v>
                </c:pt>
                <c:pt idx="25">
                  <c:v>1.7901889588405833</c:v>
                </c:pt>
                <c:pt idx="26">
                  <c:v>1.8590423803344518</c:v>
                </c:pt>
                <c:pt idx="27">
                  <c:v>1.9278958018283203</c:v>
                </c:pt>
                <c:pt idx="28">
                  <c:v>1.9967492233221888</c:v>
                </c:pt>
                <c:pt idx="29">
                  <c:v>2.0656026448160576</c:v>
                </c:pt>
                <c:pt idx="30">
                  <c:v>2.1344560663099261</c:v>
                </c:pt>
                <c:pt idx="31">
                  <c:v>2.2033094878037947</c:v>
                </c:pt>
                <c:pt idx="32">
                  <c:v>2.2721629092976632</c:v>
                </c:pt>
                <c:pt idx="33">
                  <c:v>2.3410163307915317</c:v>
                </c:pt>
                <c:pt idx="34">
                  <c:v>2.4098697522854002</c:v>
                </c:pt>
                <c:pt idx="35">
                  <c:v>2.4787231737792688</c:v>
                </c:pt>
                <c:pt idx="36">
                  <c:v>2.5475765952731373</c:v>
                </c:pt>
                <c:pt idx="37">
                  <c:v>2.6164300167670058</c:v>
                </c:pt>
                <c:pt idx="38">
                  <c:v>2.6852834382608743</c:v>
                </c:pt>
                <c:pt idx="39">
                  <c:v>2.7541368597547429</c:v>
                </c:pt>
                <c:pt idx="40">
                  <c:v>2.8229902812486114</c:v>
                </c:pt>
                <c:pt idx="41">
                  <c:v>2.8918437027424799</c:v>
                </c:pt>
                <c:pt idx="42">
                  <c:v>2.9606971242363485</c:v>
                </c:pt>
                <c:pt idx="43">
                  <c:v>3.029550545730217</c:v>
                </c:pt>
                <c:pt idx="44">
                  <c:v>3.0984039672240855</c:v>
                </c:pt>
                <c:pt idx="45">
                  <c:v>3.167257388717954</c:v>
                </c:pt>
                <c:pt idx="46">
                  <c:v>3.2361108102118226</c:v>
                </c:pt>
                <c:pt idx="47">
                  <c:v>3.3049642317056911</c:v>
                </c:pt>
                <c:pt idx="48">
                  <c:v>3.3738176531995596</c:v>
                </c:pt>
                <c:pt idx="49">
                  <c:v>3.4426710746934281</c:v>
                </c:pt>
                <c:pt idx="50">
                  <c:v>3.5115244961872967</c:v>
                </c:pt>
                <c:pt idx="51">
                  <c:v>3.5803779176811652</c:v>
                </c:pt>
              </c:numCache>
            </c:numRef>
          </c:val>
          <c:smooth val="0"/>
          <c:extLst>
            <c:ext xmlns:c16="http://schemas.microsoft.com/office/drawing/2014/chart" uri="{C3380CC4-5D6E-409C-BE32-E72D297353CC}">
              <c16:uniqueId val="{00000003-DF5C-4E09-B109-7000B6A71E8E}"/>
            </c:ext>
          </c:extLst>
        </c:ser>
        <c:ser>
          <c:idx val="6"/>
          <c:order val="7"/>
          <c:tx>
            <c:strRef>
              <c:f>'PBL OLD'!$DB$6:$DB$7</c:f>
              <c:strCache>
                <c:ptCount val="2"/>
                <c:pt idx="0">
                  <c:v>75th Percentile</c:v>
                </c:pt>
              </c:strCache>
            </c:strRef>
          </c:tx>
          <c:spPr>
            <a:ln>
              <a:solidFill>
                <a:schemeClr val="bg2">
                  <a:lumMod val="60000"/>
                  <a:lumOff val="40000"/>
                </a:schemeClr>
              </a:solidFill>
              <a:prstDash val="sysDot"/>
            </a:ln>
          </c:spPr>
          <c:marker>
            <c:symbol val="none"/>
          </c:marker>
          <c:cat>
            <c:numRef>
              <c:f>'PBL OLD'!$GC$8:$GC$60</c:f>
              <c:numCache>
                <c:formatCode>d\-mmm\-yy_);\(###0\);"-  ";" "@" "</c:formatCode>
                <c:ptCount val="53"/>
                <c:pt idx="0">
                  <c:v>45477</c:v>
                </c:pt>
                <c:pt idx="1">
                  <c:v>45484</c:v>
                </c:pt>
                <c:pt idx="2">
                  <c:v>45491</c:v>
                </c:pt>
                <c:pt idx="3">
                  <c:v>45498</c:v>
                </c:pt>
                <c:pt idx="4">
                  <c:v>45505</c:v>
                </c:pt>
                <c:pt idx="5">
                  <c:v>45512</c:v>
                </c:pt>
                <c:pt idx="6">
                  <c:v>45519</c:v>
                </c:pt>
                <c:pt idx="7">
                  <c:v>45526</c:v>
                </c:pt>
                <c:pt idx="8">
                  <c:v>45533</c:v>
                </c:pt>
                <c:pt idx="9">
                  <c:v>45540</c:v>
                </c:pt>
                <c:pt idx="10">
                  <c:v>45547</c:v>
                </c:pt>
                <c:pt idx="11">
                  <c:v>45554</c:v>
                </c:pt>
                <c:pt idx="12">
                  <c:v>45561</c:v>
                </c:pt>
                <c:pt idx="13">
                  <c:v>45568</c:v>
                </c:pt>
                <c:pt idx="14">
                  <c:v>45575</c:v>
                </c:pt>
                <c:pt idx="15">
                  <c:v>45582</c:v>
                </c:pt>
                <c:pt idx="16">
                  <c:v>45589</c:v>
                </c:pt>
                <c:pt idx="17">
                  <c:v>45596</c:v>
                </c:pt>
                <c:pt idx="18">
                  <c:v>45603</c:v>
                </c:pt>
                <c:pt idx="19">
                  <c:v>45610</c:v>
                </c:pt>
                <c:pt idx="20">
                  <c:v>45617</c:v>
                </c:pt>
                <c:pt idx="21">
                  <c:v>45624</c:v>
                </c:pt>
                <c:pt idx="22">
                  <c:v>45631</c:v>
                </c:pt>
                <c:pt idx="23">
                  <c:v>45638</c:v>
                </c:pt>
                <c:pt idx="24">
                  <c:v>45645</c:v>
                </c:pt>
                <c:pt idx="25">
                  <c:v>45652</c:v>
                </c:pt>
                <c:pt idx="26">
                  <c:v>45659</c:v>
                </c:pt>
                <c:pt idx="27">
                  <c:v>45666</c:v>
                </c:pt>
                <c:pt idx="28">
                  <c:v>45673</c:v>
                </c:pt>
                <c:pt idx="29">
                  <c:v>45680</c:v>
                </c:pt>
                <c:pt idx="30">
                  <c:v>45687</c:v>
                </c:pt>
                <c:pt idx="31">
                  <c:v>45694</c:v>
                </c:pt>
                <c:pt idx="32">
                  <c:v>45701</c:v>
                </c:pt>
                <c:pt idx="33">
                  <c:v>45708</c:v>
                </c:pt>
                <c:pt idx="34">
                  <c:v>45715</c:v>
                </c:pt>
                <c:pt idx="35">
                  <c:v>45722</c:v>
                </c:pt>
                <c:pt idx="36">
                  <c:v>45729</c:v>
                </c:pt>
                <c:pt idx="37">
                  <c:v>45736</c:v>
                </c:pt>
                <c:pt idx="38">
                  <c:v>45743</c:v>
                </c:pt>
                <c:pt idx="39">
                  <c:v>45750</c:v>
                </c:pt>
                <c:pt idx="40">
                  <c:v>45757</c:v>
                </c:pt>
                <c:pt idx="41">
                  <c:v>45764</c:v>
                </c:pt>
                <c:pt idx="42">
                  <c:v>45771</c:v>
                </c:pt>
                <c:pt idx="43">
                  <c:v>45778</c:v>
                </c:pt>
                <c:pt idx="44">
                  <c:v>45785</c:v>
                </c:pt>
                <c:pt idx="45">
                  <c:v>45792</c:v>
                </c:pt>
                <c:pt idx="46">
                  <c:v>45799</c:v>
                </c:pt>
                <c:pt idx="47">
                  <c:v>45806</c:v>
                </c:pt>
                <c:pt idx="48">
                  <c:v>45813</c:v>
                </c:pt>
                <c:pt idx="49">
                  <c:v>45820</c:v>
                </c:pt>
                <c:pt idx="50">
                  <c:v>45827</c:v>
                </c:pt>
                <c:pt idx="51">
                  <c:v>45834</c:v>
                </c:pt>
              </c:numCache>
            </c:numRef>
          </c:cat>
          <c:val>
            <c:numRef>
              <c:f>'PBL OLD'!$GK$8:$GK$60</c:f>
              <c:numCache>
                <c:formatCode>0.000</c:formatCode>
                <c:ptCount val="53"/>
                <c:pt idx="0">
                  <c:v>7.5776125345343073E-2</c:v>
                </c:pt>
                <c:pt idx="1">
                  <c:v>0.15155225069068615</c:v>
                </c:pt>
                <c:pt idx="2">
                  <c:v>0.22732837603602923</c:v>
                </c:pt>
                <c:pt idx="3">
                  <c:v>0.30310450138137229</c:v>
                </c:pt>
                <c:pt idx="4">
                  <c:v>0.37888062672671535</c:v>
                </c:pt>
                <c:pt idx="5">
                  <c:v>0.45465675207205841</c:v>
                </c:pt>
                <c:pt idx="6">
                  <c:v>0.53043287741740153</c:v>
                </c:pt>
                <c:pt idx="7">
                  <c:v>0.60620900276274459</c:v>
                </c:pt>
                <c:pt idx="8">
                  <c:v>0.68198512810808765</c:v>
                </c:pt>
                <c:pt idx="9">
                  <c:v>0.75776125345343071</c:v>
                </c:pt>
                <c:pt idx="10">
                  <c:v>0.83353737879877376</c:v>
                </c:pt>
                <c:pt idx="11">
                  <c:v>0.90931350414411682</c:v>
                </c:pt>
                <c:pt idx="12">
                  <c:v>0.98508962948945988</c:v>
                </c:pt>
                <c:pt idx="13">
                  <c:v>1.0608657548348031</c:v>
                </c:pt>
                <c:pt idx="14">
                  <c:v>1.1366418801801461</c:v>
                </c:pt>
                <c:pt idx="15">
                  <c:v>1.2124180055254892</c:v>
                </c:pt>
                <c:pt idx="16">
                  <c:v>1.2881941308708322</c:v>
                </c:pt>
                <c:pt idx="17">
                  <c:v>1.3639702562161753</c:v>
                </c:pt>
                <c:pt idx="18">
                  <c:v>1.4397463815615184</c:v>
                </c:pt>
                <c:pt idx="19">
                  <c:v>1.5155225069068614</c:v>
                </c:pt>
                <c:pt idx="20">
                  <c:v>1.5912986322522045</c:v>
                </c:pt>
                <c:pt idx="21">
                  <c:v>1.6670747575975475</c:v>
                </c:pt>
                <c:pt idx="22">
                  <c:v>1.7428508829428906</c:v>
                </c:pt>
                <c:pt idx="23">
                  <c:v>1.8186270082882336</c:v>
                </c:pt>
                <c:pt idx="24">
                  <c:v>1.8944031336335767</c:v>
                </c:pt>
                <c:pt idx="25">
                  <c:v>1.9701792589789198</c:v>
                </c:pt>
                <c:pt idx="26">
                  <c:v>2.0459553843242628</c:v>
                </c:pt>
                <c:pt idx="27">
                  <c:v>2.1217315096696061</c:v>
                </c:pt>
                <c:pt idx="28">
                  <c:v>2.1975076350149494</c:v>
                </c:pt>
                <c:pt idx="29">
                  <c:v>2.2732837603602927</c:v>
                </c:pt>
                <c:pt idx="30">
                  <c:v>2.349059885705636</c:v>
                </c:pt>
                <c:pt idx="31">
                  <c:v>2.4248360110509792</c:v>
                </c:pt>
                <c:pt idx="32">
                  <c:v>2.5006121363963225</c:v>
                </c:pt>
                <c:pt idx="33">
                  <c:v>2.5763882617416658</c:v>
                </c:pt>
                <c:pt idx="34">
                  <c:v>2.6521643870870091</c:v>
                </c:pt>
                <c:pt idx="35">
                  <c:v>2.7279405124323524</c:v>
                </c:pt>
                <c:pt idx="36">
                  <c:v>2.8037166377776956</c:v>
                </c:pt>
                <c:pt idx="37">
                  <c:v>2.8794927631230389</c:v>
                </c:pt>
                <c:pt idx="38">
                  <c:v>2.9552688884683822</c:v>
                </c:pt>
                <c:pt idx="39">
                  <c:v>3.0310450138137255</c:v>
                </c:pt>
                <c:pt idx="40">
                  <c:v>3.1068211391590688</c:v>
                </c:pt>
                <c:pt idx="41">
                  <c:v>3.182597264504412</c:v>
                </c:pt>
                <c:pt idx="42">
                  <c:v>3.2583733898497553</c:v>
                </c:pt>
                <c:pt idx="43">
                  <c:v>3.3341495151950986</c:v>
                </c:pt>
                <c:pt idx="44">
                  <c:v>3.4099256405404419</c:v>
                </c:pt>
                <c:pt idx="45">
                  <c:v>3.4857017658857852</c:v>
                </c:pt>
                <c:pt idx="46">
                  <c:v>3.5614778912311285</c:v>
                </c:pt>
                <c:pt idx="47">
                  <c:v>3.6372540165764717</c:v>
                </c:pt>
                <c:pt idx="48">
                  <c:v>3.713030141921815</c:v>
                </c:pt>
                <c:pt idx="49">
                  <c:v>3.7888062672671583</c:v>
                </c:pt>
                <c:pt idx="50">
                  <c:v>3.8645823926125016</c:v>
                </c:pt>
                <c:pt idx="51">
                  <c:v>3.9403585179578449</c:v>
                </c:pt>
              </c:numCache>
            </c:numRef>
          </c:val>
          <c:smooth val="0"/>
          <c:extLst xmlns:c15="http://schemas.microsoft.com/office/drawing/2012/chart">
            <c:ext xmlns:c16="http://schemas.microsoft.com/office/drawing/2014/chart" uri="{C3380CC4-5D6E-409C-BE32-E72D297353CC}">
              <c16:uniqueId val="{00000004-DF5C-4E09-B109-7000B6A71E8E}"/>
            </c:ext>
          </c:extLst>
        </c:ser>
        <c:ser>
          <c:idx val="9"/>
          <c:order val="9"/>
          <c:tx>
            <c:strRef>
              <c:f>'PBL OLD'!$DD$6:$DD$7</c:f>
              <c:strCache>
                <c:ptCount val="2"/>
                <c:pt idx="0">
                  <c:v>95th Percentile</c:v>
                </c:pt>
              </c:strCache>
            </c:strRef>
          </c:tx>
          <c:spPr>
            <a:ln>
              <a:solidFill>
                <a:schemeClr val="bg2">
                  <a:lumMod val="60000"/>
                  <a:lumOff val="40000"/>
                </a:schemeClr>
              </a:solidFill>
              <a:prstDash val="sysDot"/>
            </a:ln>
          </c:spPr>
          <c:marker>
            <c:symbol val="none"/>
          </c:marker>
          <c:cat>
            <c:numRef>
              <c:f>'PBL OLD'!$GC$8:$GC$60</c:f>
              <c:numCache>
                <c:formatCode>d\-mmm\-yy_);\(###0\);"-  ";" "@" "</c:formatCode>
                <c:ptCount val="53"/>
                <c:pt idx="0">
                  <c:v>45477</c:v>
                </c:pt>
                <c:pt idx="1">
                  <c:v>45484</c:v>
                </c:pt>
                <c:pt idx="2">
                  <c:v>45491</c:v>
                </c:pt>
                <c:pt idx="3">
                  <c:v>45498</c:v>
                </c:pt>
                <c:pt idx="4">
                  <c:v>45505</c:v>
                </c:pt>
                <c:pt idx="5">
                  <c:v>45512</c:v>
                </c:pt>
                <c:pt idx="6">
                  <c:v>45519</c:v>
                </c:pt>
                <c:pt idx="7">
                  <c:v>45526</c:v>
                </c:pt>
                <c:pt idx="8">
                  <c:v>45533</c:v>
                </c:pt>
                <c:pt idx="9">
                  <c:v>45540</c:v>
                </c:pt>
                <c:pt idx="10">
                  <c:v>45547</c:v>
                </c:pt>
                <c:pt idx="11">
                  <c:v>45554</c:v>
                </c:pt>
                <c:pt idx="12">
                  <c:v>45561</c:v>
                </c:pt>
                <c:pt idx="13">
                  <c:v>45568</c:v>
                </c:pt>
                <c:pt idx="14">
                  <c:v>45575</c:v>
                </c:pt>
                <c:pt idx="15">
                  <c:v>45582</c:v>
                </c:pt>
                <c:pt idx="16">
                  <c:v>45589</c:v>
                </c:pt>
                <c:pt idx="17">
                  <c:v>45596</c:v>
                </c:pt>
                <c:pt idx="18">
                  <c:v>45603</c:v>
                </c:pt>
                <c:pt idx="19">
                  <c:v>45610</c:v>
                </c:pt>
                <c:pt idx="20">
                  <c:v>45617</c:v>
                </c:pt>
                <c:pt idx="21">
                  <c:v>45624</c:v>
                </c:pt>
                <c:pt idx="22">
                  <c:v>45631</c:v>
                </c:pt>
                <c:pt idx="23">
                  <c:v>45638</c:v>
                </c:pt>
                <c:pt idx="24">
                  <c:v>45645</c:v>
                </c:pt>
                <c:pt idx="25">
                  <c:v>45652</c:v>
                </c:pt>
                <c:pt idx="26">
                  <c:v>45659</c:v>
                </c:pt>
                <c:pt idx="27">
                  <c:v>45666</c:v>
                </c:pt>
                <c:pt idx="28">
                  <c:v>45673</c:v>
                </c:pt>
                <c:pt idx="29">
                  <c:v>45680</c:v>
                </c:pt>
                <c:pt idx="30">
                  <c:v>45687</c:v>
                </c:pt>
                <c:pt idx="31">
                  <c:v>45694</c:v>
                </c:pt>
                <c:pt idx="32">
                  <c:v>45701</c:v>
                </c:pt>
                <c:pt idx="33">
                  <c:v>45708</c:v>
                </c:pt>
                <c:pt idx="34">
                  <c:v>45715</c:v>
                </c:pt>
                <c:pt idx="35">
                  <c:v>45722</c:v>
                </c:pt>
                <c:pt idx="36">
                  <c:v>45729</c:v>
                </c:pt>
                <c:pt idx="37">
                  <c:v>45736</c:v>
                </c:pt>
                <c:pt idx="38">
                  <c:v>45743</c:v>
                </c:pt>
                <c:pt idx="39">
                  <c:v>45750</c:v>
                </c:pt>
                <c:pt idx="40">
                  <c:v>45757</c:v>
                </c:pt>
                <c:pt idx="41">
                  <c:v>45764</c:v>
                </c:pt>
                <c:pt idx="42">
                  <c:v>45771</c:v>
                </c:pt>
                <c:pt idx="43">
                  <c:v>45778</c:v>
                </c:pt>
                <c:pt idx="44">
                  <c:v>45785</c:v>
                </c:pt>
                <c:pt idx="45">
                  <c:v>45792</c:v>
                </c:pt>
                <c:pt idx="46">
                  <c:v>45799</c:v>
                </c:pt>
                <c:pt idx="47">
                  <c:v>45806</c:v>
                </c:pt>
                <c:pt idx="48">
                  <c:v>45813</c:v>
                </c:pt>
                <c:pt idx="49">
                  <c:v>45820</c:v>
                </c:pt>
                <c:pt idx="50">
                  <c:v>45827</c:v>
                </c:pt>
                <c:pt idx="51">
                  <c:v>45834</c:v>
                </c:pt>
              </c:numCache>
            </c:numRef>
          </c:cat>
          <c:val>
            <c:numRef>
              <c:f>'PBL OLD'!$GM$8:$GM$60</c:f>
              <c:numCache>
                <c:formatCode>0.000</c:formatCode>
                <c:ptCount val="53"/>
                <c:pt idx="0">
                  <c:v>8.7307986484982752E-2</c:v>
                </c:pt>
                <c:pt idx="1">
                  <c:v>0.1746159729699655</c:v>
                </c:pt>
                <c:pt idx="2">
                  <c:v>0.26192395945494829</c:v>
                </c:pt>
                <c:pt idx="3">
                  <c:v>0.34923194593993101</c:v>
                </c:pt>
                <c:pt idx="4">
                  <c:v>0.43653993242491373</c:v>
                </c:pt>
                <c:pt idx="5">
                  <c:v>0.52384791890989646</c:v>
                </c:pt>
                <c:pt idx="6">
                  <c:v>0.61115590539487918</c:v>
                </c:pt>
                <c:pt idx="7">
                  <c:v>0.69846389187986191</c:v>
                </c:pt>
                <c:pt idx="8">
                  <c:v>0.78577187836484463</c:v>
                </c:pt>
                <c:pt idx="9">
                  <c:v>0.87307986484982736</c:v>
                </c:pt>
                <c:pt idx="10">
                  <c:v>0.96038785133481008</c:v>
                </c:pt>
                <c:pt idx="11">
                  <c:v>1.0476958378197929</c:v>
                </c:pt>
                <c:pt idx="12">
                  <c:v>1.1350038243047758</c:v>
                </c:pt>
                <c:pt idx="13">
                  <c:v>1.2223118107897586</c:v>
                </c:pt>
                <c:pt idx="14">
                  <c:v>1.3096197972747414</c:v>
                </c:pt>
                <c:pt idx="15">
                  <c:v>1.3969277837597243</c:v>
                </c:pt>
                <c:pt idx="16">
                  <c:v>1.4842357702447071</c:v>
                </c:pt>
                <c:pt idx="17">
                  <c:v>1.5715437567296899</c:v>
                </c:pt>
                <c:pt idx="18">
                  <c:v>1.6588517432146728</c:v>
                </c:pt>
                <c:pt idx="19">
                  <c:v>1.7461597296996556</c:v>
                </c:pt>
                <c:pt idx="20">
                  <c:v>1.8334677161846384</c:v>
                </c:pt>
                <c:pt idx="21">
                  <c:v>1.9207757026696213</c:v>
                </c:pt>
                <c:pt idx="22">
                  <c:v>2.0080836891546041</c:v>
                </c:pt>
                <c:pt idx="23">
                  <c:v>2.0953916756395867</c:v>
                </c:pt>
                <c:pt idx="24">
                  <c:v>2.1826996621245693</c:v>
                </c:pt>
                <c:pt idx="25">
                  <c:v>2.270007648609552</c:v>
                </c:pt>
                <c:pt idx="26">
                  <c:v>2.3573156350945346</c:v>
                </c:pt>
                <c:pt idx="27">
                  <c:v>2.4446236215795172</c:v>
                </c:pt>
                <c:pt idx="28">
                  <c:v>2.5319316080644998</c:v>
                </c:pt>
                <c:pt idx="29">
                  <c:v>2.6192395945494824</c:v>
                </c:pt>
                <c:pt idx="30">
                  <c:v>2.706547581034465</c:v>
                </c:pt>
                <c:pt idx="31">
                  <c:v>2.7938555675194476</c:v>
                </c:pt>
                <c:pt idx="32">
                  <c:v>2.8811635540044302</c:v>
                </c:pt>
                <c:pt idx="33">
                  <c:v>2.9684715404894129</c:v>
                </c:pt>
                <c:pt idx="34">
                  <c:v>3.0557795269743955</c:v>
                </c:pt>
                <c:pt idx="35">
                  <c:v>3.1430875134593781</c:v>
                </c:pt>
                <c:pt idx="36">
                  <c:v>3.2303954999443607</c:v>
                </c:pt>
                <c:pt idx="37">
                  <c:v>3.3177034864293433</c:v>
                </c:pt>
                <c:pt idx="38">
                  <c:v>3.4050114729143259</c:v>
                </c:pt>
                <c:pt idx="39">
                  <c:v>3.4923194593993085</c:v>
                </c:pt>
                <c:pt idx="40">
                  <c:v>3.5796274458842912</c:v>
                </c:pt>
                <c:pt idx="41">
                  <c:v>3.6669354323692738</c:v>
                </c:pt>
                <c:pt idx="42">
                  <c:v>3.7542434188542564</c:v>
                </c:pt>
                <c:pt idx="43">
                  <c:v>3.841551405339239</c:v>
                </c:pt>
                <c:pt idx="44">
                  <c:v>3.9288593918242216</c:v>
                </c:pt>
                <c:pt idx="45">
                  <c:v>4.0161673783092047</c:v>
                </c:pt>
                <c:pt idx="46">
                  <c:v>4.1034753647941873</c:v>
                </c:pt>
                <c:pt idx="47">
                  <c:v>4.1907833512791699</c:v>
                </c:pt>
                <c:pt idx="48">
                  <c:v>4.2780913377641525</c:v>
                </c:pt>
                <c:pt idx="49">
                  <c:v>4.3653993242491351</c:v>
                </c:pt>
                <c:pt idx="50">
                  <c:v>4.4527073107341177</c:v>
                </c:pt>
                <c:pt idx="51">
                  <c:v>4.5400152972191004</c:v>
                </c:pt>
              </c:numCache>
            </c:numRef>
          </c:val>
          <c:smooth val="0"/>
          <c:extLst xmlns:c15="http://schemas.microsoft.com/office/drawing/2012/chart">
            <c:ext xmlns:c16="http://schemas.microsoft.com/office/drawing/2014/chart" uri="{C3380CC4-5D6E-409C-BE32-E72D297353CC}">
              <c16:uniqueId val="{00000005-DF5C-4E09-B109-7000B6A71E8E}"/>
            </c:ext>
          </c:extLst>
        </c:ser>
        <c:dLbls>
          <c:showLegendKey val="0"/>
          <c:showVal val="0"/>
          <c:showCatName val="0"/>
          <c:showSerName val="0"/>
          <c:showPercent val="0"/>
          <c:showBubbleSize val="0"/>
        </c:dLbls>
        <c:smooth val="0"/>
        <c:axId val="1388952432"/>
        <c:axId val="1388953088"/>
        <c:extLst>
          <c:ext xmlns:c15="http://schemas.microsoft.com/office/drawing/2012/chart" uri="{02D57815-91ED-43cb-92C2-25804820EDAC}">
            <c15:filteredLineSeries>
              <c15:ser>
                <c:idx val="3"/>
                <c:order val="1"/>
                <c:tx>
                  <c:strRef>
                    <c:extLst>
                      <c:ext uri="{02D57815-91ED-43cb-92C2-25804820EDAC}">
                        <c15:formulaRef>
                          <c15:sqref>'PBL OLD'!$CV$6:$CV$7</c15:sqref>
                        </c15:formulaRef>
                      </c:ext>
                    </c:extLst>
                    <c:strCache>
                      <c:ptCount val="2"/>
                      <c:pt idx="0">
                        <c:v>Min</c:v>
                      </c:pt>
                    </c:strCache>
                  </c:strRef>
                </c:tx>
                <c:spPr>
                  <a:ln>
                    <a:solidFill>
                      <a:schemeClr val="bg2">
                        <a:lumMod val="60000"/>
                        <a:lumOff val="40000"/>
                      </a:schemeClr>
                    </a:solidFill>
                    <a:prstDash val="sysDot"/>
                  </a:ln>
                </c:spPr>
                <c:marker>
                  <c:symbol val="none"/>
                </c:marker>
                <c:cat>
                  <c:numRef>
                    <c:extLst>
                      <c:ext uri="{02D57815-91ED-43cb-92C2-25804820EDAC}">
                        <c15:formulaRef>
                          <c15:sqref>'PBL OLD'!$GC$8:$GC$60</c15:sqref>
                        </c15:formulaRef>
                      </c:ext>
                    </c:extLst>
                    <c:numCache>
                      <c:formatCode>d\-mmm\-yy_);\(###0\);"-  ";" "@" "</c:formatCode>
                      <c:ptCount val="53"/>
                      <c:pt idx="0">
                        <c:v>45477</c:v>
                      </c:pt>
                      <c:pt idx="1">
                        <c:v>45484</c:v>
                      </c:pt>
                      <c:pt idx="2">
                        <c:v>45491</c:v>
                      </c:pt>
                      <c:pt idx="3">
                        <c:v>45498</c:v>
                      </c:pt>
                      <c:pt idx="4">
                        <c:v>45505</c:v>
                      </c:pt>
                      <c:pt idx="5">
                        <c:v>45512</c:v>
                      </c:pt>
                      <c:pt idx="6">
                        <c:v>45519</c:v>
                      </c:pt>
                      <c:pt idx="7">
                        <c:v>45526</c:v>
                      </c:pt>
                      <c:pt idx="8">
                        <c:v>45533</c:v>
                      </c:pt>
                      <c:pt idx="9">
                        <c:v>45540</c:v>
                      </c:pt>
                      <c:pt idx="10">
                        <c:v>45547</c:v>
                      </c:pt>
                      <c:pt idx="11">
                        <c:v>45554</c:v>
                      </c:pt>
                      <c:pt idx="12">
                        <c:v>45561</c:v>
                      </c:pt>
                      <c:pt idx="13">
                        <c:v>45568</c:v>
                      </c:pt>
                      <c:pt idx="14">
                        <c:v>45575</c:v>
                      </c:pt>
                      <c:pt idx="15">
                        <c:v>45582</c:v>
                      </c:pt>
                      <c:pt idx="16">
                        <c:v>45589</c:v>
                      </c:pt>
                      <c:pt idx="17">
                        <c:v>45596</c:v>
                      </c:pt>
                      <c:pt idx="18">
                        <c:v>45603</c:v>
                      </c:pt>
                      <c:pt idx="19">
                        <c:v>45610</c:v>
                      </c:pt>
                      <c:pt idx="20">
                        <c:v>45617</c:v>
                      </c:pt>
                      <c:pt idx="21">
                        <c:v>45624</c:v>
                      </c:pt>
                      <c:pt idx="22">
                        <c:v>45631</c:v>
                      </c:pt>
                      <c:pt idx="23">
                        <c:v>45638</c:v>
                      </c:pt>
                      <c:pt idx="24">
                        <c:v>45645</c:v>
                      </c:pt>
                      <c:pt idx="25">
                        <c:v>45652</c:v>
                      </c:pt>
                      <c:pt idx="26">
                        <c:v>45659</c:v>
                      </c:pt>
                      <c:pt idx="27">
                        <c:v>45666</c:v>
                      </c:pt>
                      <c:pt idx="28">
                        <c:v>45673</c:v>
                      </c:pt>
                      <c:pt idx="29">
                        <c:v>45680</c:v>
                      </c:pt>
                      <c:pt idx="30">
                        <c:v>45687</c:v>
                      </c:pt>
                      <c:pt idx="31">
                        <c:v>45694</c:v>
                      </c:pt>
                      <c:pt idx="32">
                        <c:v>45701</c:v>
                      </c:pt>
                      <c:pt idx="33">
                        <c:v>45708</c:v>
                      </c:pt>
                      <c:pt idx="34">
                        <c:v>45715</c:v>
                      </c:pt>
                      <c:pt idx="35">
                        <c:v>45722</c:v>
                      </c:pt>
                      <c:pt idx="36">
                        <c:v>45729</c:v>
                      </c:pt>
                      <c:pt idx="37">
                        <c:v>45736</c:v>
                      </c:pt>
                      <c:pt idx="38">
                        <c:v>45743</c:v>
                      </c:pt>
                      <c:pt idx="39">
                        <c:v>45750</c:v>
                      </c:pt>
                      <c:pt idx="40">
                        <c:v>45757</c:v>
                      </c:pt>
                      <c:pt idx="41">
                        <c:v>45764</c:v>
                      </c:pt>
                      <c:pt idx="42">
                        <c:v>45771</c:v>
                      </c:pt>
                      <c:pt idx="43">
                        <c:v>45778</c:v>
                      </c:pt>
                      <c:pt idx="44">
                        <c:v>45785</c:v>
                      </c:pt>
                      <c:pt idx="45">
                        <c:v>45792</c:v>
                      </c:pt>
                      <c:pt idx="46">
                        <c:v>45799</c:v>
                      </c:pt>
                      <c:pt idx="47">
                        <c:v>45806</c:v>
                      </c:pt>
                      <c:pt idx="48">
                        <c:v>45813</c:v>
                      </c:pt>
                      <c:pt idx="49">
                        <c:v>45820</c:v>
                      </c:pt>
                      <c:pt idx="50">
                        <c:v>45827</c:v>
                      </c:pt>
                      <c:pt idx="51">
                        <c:v>45834</c:v>
                      </c:pt>
                    </c:numCache>
                  </c:numRef>
                </c:cat>
                <c:val>
                  <c:numRef>
                    <c:extLst>
                      <c:ext uri="{02D57815-91ED-43cb-92C2-25804820EDAC}">
                        <c15:formulaRef>
                          <c15:sqref>'PBL OLD'!$CV$8:$CV$60</c15:sqref>
                        </c15:formulaRef>
                      </c:ext>
                    </c:extLst>
                    <c:numCache>
                      <c:formatCode>0.000</c:formatCode>
                      <c:ptCount val="53"/>
                      <c:pt idx="0">
                        <c:v>3.7943638869952147E-2</c:v>
                      </c:pt>
                      <c:pt idx="1">
                        <c:v>7.5887277739904294E-2</c:v>
                      </c:pt>
                      <c:pt idx="2">
                        <c:v>0.11383091660985645</c:v>
                      </c:pt>
                      <c:pt idx="3">
                        <c:v>0.15177455547980859</c:v>
                      </c:pt>
                      <c:pt idx="4">
                        <c:v>0.18971819434976073</c:v>
                      </c:pt>
                      <c:pt idx="5">
                        <c:v>0.22766183321971287</c:v>
                      </c:pt>
                      <c:pt idx="6">
                        <c:v>0.26560547208966501</c:v>
                      </c:pt>
                      <c:pt idx="7">
                        <c:v>0.30354911095961717</c:v>
                      </c:pt>
                      <c:pt idx="8">
                        <c:v>0.34149274982956934</c:v>
                      </c:pt>
                      <c:pt idx="9">
                        <c:v>0.37943638869952151</c:v>
                      </c:pt>
                      <c:pt idx="10">
                        <c:v>0.41738002756947368</c:v>
                      </c:pt>
                      <c:pt idx="11">
                        <c:v>0.45532366643942584</c:v>
                      </c:pt>
                      <c:pt idx="12">
                        <c:v>0.49326730530937801</c:v>
                      </c:pt>
                      <c:pt idx="13">
                        <c:v>0.53121094417933012</c:v>
                      </c:pt>
                      <c:pt idx="14">
                        <c:v>0.56915458304928224</c:v>
                      </c:pt>
                      <c:pt idx="15">
                        <c:v>0.60709822191923435</c:v>
                      </c:pt>
                      <c:pt idx="16">
                        <c:v>0.64504186078918646</c:v>
                      </c:pt>
                      <c:pt idx="17">
                        <c:v>0.68298549965913857</c:v>
                      </c:pt>
                      <c:pt idx="18">
                        <c:v>0.72092913852909069</c:v>
                      </c:pt>
                      <c:pt idx="19">
                        <c:v>0.7588727773990428</c:v>
                      </c:pt>
                      <c:pt idx="20">
                        <c:v>0.79681641626899491</c:v>
                      </c:pt>
                      <c:pt idx="21">
                        <c:v>0.83476005513894702</c:v>
                      </c:pt>
                      <c:pt idx="22">
                        <c:v>0.87270369400889913</c:v>
                      </c:pt>
                      <c:pt idx="23">
                        <c:v>0.91064733287885125</c:v>
                      </c:pt>
                      <c:pt idx="24">
                        <c:v>0.94859097174880336</c:v>
                      </c:pt>
                      <c:pt idx="25">
                        <c:v>0.98653461061875547</c:v>
                      </c:pt>
                      <c:pt idx="26">
                        <c:v>1.0244782494887077</c:v>
                      </c:pt>
                      <c:pt idx="27">
                        <c:v>1.0624218883586598</c:v>
                      </c:pt>
                      <c:pt idx="28">
                        <c:v>1.1003655272286119</c:v>
                      </c:pt>
                      <c:pt idx="29">
                        <c:v>1.138309166098564</c:v>
                      </c:pt>
                      <c:pt idx="30">
                        <c:v>1.1762528049685161</c:v>
                      </c:pt>
                      <c:pt idx="31">
                        <c:v>1.2141964438384683</c:v>
                      </c:pt>
                      <c:pt idx="32">
                        <c:v>1.2521400827084204</c:v>
                      </c:pt>
                      <c:pt idx="33">
                        <c:v>1.2900837215783725</c:v>
                      </c:pt>
                      <c:pt idx="34">
                        <c:v>1.3280273604483246</c:v>
                      </c:pt>
                      <c:pt idx="35">
                        <c:v>1.3659709993182767</c:v>
                      </c:pt>
                      <c:pt idx="36">
                        <c:v>1.4039146381882288</c:v>
                      </c:pt>
                      <c:pt idx="37">
                        <c:v>1.4418582770581809</c:v>
                      </c:pt>
                      <c:pt idx="38">
                        <c:v>1.479801915928133</c:v>
                      </c:pt>
                      <c:pt idx="39">
                        <c:v>1.5177455547980852</c:v>
                      </c:pt>
                      <c:pt idx="40">
                        <c:v>1.5556891936680373</c:v>
                      </c:pt>
                      <c:pt idx="41">
                        <c:v>1.5936328325379894</c:v>
                      </c:pt>
                      <c:pt idx="42">
                        <c:v>1.6315764714079415</c:v>
                      </c:pt>
                      <c:pt idx="43">
                        <c:v>1.6695201102778936</c:v>
                      </c:pt>
                      <c:pt idx="44">
                        <c:v>1.7074637491478457</c:v>
                      </c:pt>
                      <c:pt idx="45">
                        <c:v>1.7454073880177978</c:v>
                      </c:pt>
                      <c:pt idx="46">
                        <c:v>1.7833510268877499</c:v>
                      </c:pt>
                      <c:pt idx="47">
                        <c:v>1.821294665757702</c:v>
                      </c:pt>
                      <c:pt idx="48">
                        <c:v>1.8592383046276542</c:v>
                      </c:pt>
                      <c:pt idx="49">
                        <c:v>1.8971819434976063</c:v>
                      </c:pt>
                      <c:pt idx="50">
                        <c:v>1.9351255823675584</c:v>
                      </c:pt>
                      <c:pt idx="51">
                        <c:v>1.9730692212375105</c:v>
                      </c:pt>
                    </c:numCache>
                  </c:numRef>
                </c:val>
                <c:smooth val="0"/>
                <c:extLst>
                  <c:ext xmlns:c16="http://schemas.microsoft.com/office/drawing/2014/chart" uri="{C3380CC4-5D6E-409C-BE32-E72D297353CC}">
                    <c16:uniqueId val="{00000006-DF5C-4E09-B109-7000B6A71E8E}"/>
                  </c:ext>
                </c:extLst>
              </c15:ser>
            </c15:filteredLineSeries>
            <c15:filteredLineSeries>
              <c15:ser>
                <c:idx val="5"/>
                <c:order val="2"/>
                <c:tx>
                  <c:strRef>
                    <c:extLst xmlns:c15="http://schemas.microsoft.com/office/drawing/2012/chart">
                      <c:ext xmlns:c15="http://schemas.microsoft.com/office/drawing/2012/chart" uri="{02D57815-91ED-43cb-92C2-25804820EDAC}">
                        <c15:formulaRef>
                          <c15:sqref>'PBL OLD'!$CW$6:$CW$7</c15:sqref>
                        </c15:formulaRef>
                      </c:ext>
                    </c:extLst>
                    <c:strCache>
                      <c:ptCount val="2"/>
                      <c:pt idx="0">
                        <c:v>1st Percentile</c:v>
                      </c:pt>
                    </c:strCache>
                  </c:strRef>
                </c:tx>
                <c:spPr>
                  <a:ln>
                    <a:solidFill>
                      <a:schemeClr val="bg2">
                        <a:lumMod val="60000"/>
                        <a:lumOff val="40000"/>
                      </a:schemeClr>
                    </a:solidFill>
                    <a:prstDash val="sysDot"/>
                  </a:ln>
                </c:spPr>
                <c:marker>
                  <c:symbol val="none"/>
                </c:marker>
                <c:cat>
                  <c:numRef>
                    <c:extLst xmlns:c15="http://schemas.microsoft.com/office/drawing/2012/chart">
                      <c:ext xmlns:c15="http://schemas.microsoft.com/office/drawing/2012/chart" uri="{02D57815-91ED-43cb-92C2-25804820EDAC}">
                        <c15:formulaRef>
                          <c15:sqref>'PBL OLD'!$GC$8:$GC$60</c15:sqref>
                        </c15:formulaRef>
                      </c:ext>
                    </c:extLst>
                    <c:numCache>
                      <c:formatCode>d\-mmm\-yy_);\(###0\);"-  ";" "@" "</c:formatCode>
                      <c:ptCount val="53"/>
                      <c:pt idx="0">
                        <c:v>45477</c:v>
                      </c:pt>
                      <c:pt idx="1">
                        <c:v>45484</c:v>
                      </c:pt>
                      <c:pt idx="2">
                        <c:v>45491</c:v>
                      </c:pt>
                      <c:pt idx="3">
                        <c:v>45498</c:v>
                      </c:pt>
                      <c:pt idx="4">
                        <c:v>45505</c:v>
                      </c:pt>
                      <c:pt idx="5">
                        <c:v>45512</c:v>
                      </c:pt>
                      <c:pt idx="6">
                        <c:v>45519</c:v>
                      </c:pt>
                      <c:pt idx="7">
                        <c:v>45526</c:v>
                      </c:pt>
                      <c:pt idx="8">
                        <c:v>45533</c:v>
                      </c:pt>
                      <c:pt idx="9">
                        <c:v>45540</c:v>
                      </c:pt>
                      <c:pt idx="10">
                        <c:v>45547</c:v>
                      </c:pt>
                      <c:pt idx="11">
                        <c:v>45554</c:v>
                      </c:pt>
                      <c:pt idx="12">
                        <c:v>45561</c:v>
                      </c:pt>
                      <c:pt idx="13">
                        <c:v>45568</c:v>
                      </c:pt>
                      <c:pt idx="14">
                        <c:v>45575</c:v>
                      </c:pt>
                      <c:pt idx="15">
                        <c:v>45582</c:v>
                      </c:pt>
                      <c:pt idx="16">
                        <c:v>45589</c:v>
                      </c:pt>
                      <c:pt idx="17">
                        <c:v>45596</c:v>
                      </c:pt>
                      <c:pt idx="18">
                        <c:v>45603</c:v>
                      </c:pt>
                      <c:pt idx="19">
                        <c:v>45610</c:v>
                      </c:pt>
                      <c:pt idx="20">
                        <c:v>45617</c:v>
                      </c:pt>
                      <c:pt idx="21">
                        <c:v>45624</c:v>
                      </c:pt>
                      <c:pt idx="22">
                        <c:v>45631</c:v>
                      </c:pt>
                      <c:pt idx="23">
                        <c:v>45638</c:v>
                      </c:pt>
                      <c:pt idx="24">
                        <c:v>45645</c:v>
                      </c:pt>
                      <c:pt idx="25">
                        <c:v>45652</c:v>
                      </c:pt>
                      <c:pt idx="26">
                        <c:v>45659</c:v>
                      </c:pt>
                      <c:pt idx="27">
                        <c:v>45666</c:v>
                      </c:pt>
                      <c:pt idx="28">
                        <c:v>45673</c:v>
                      </c:pt>
                      <c:pt idx="29">
                        <c:v>45680</c:v>
                      </c:pt>
                      <c:pt idx="30">
                        <c:v>45687</c:v>
                      </c:pt>
                      <c:pt idx="31">
                        <c:v>45694</c:v>
                      </c:pt>
                      <c:pt idx="32">
                        <c:v>45701</c:v>
                      </c:pt>
                      <c:pt idx="33">
                        <c:v>45708</c:v>
                      </c:pt>
                      <c:pt idx="34">
                        <c:v>45715</c:v>
                      </c:pt>
                      <c:pt idx="35">
                        <c:v>45722</c:v>
                      </c:pt>
                      <c:pt idx="36">
                        <c:v>45729</c:v>
                      </c:pt>
                      <c:pt idx="37">
                        <c:v>45736</c:v>
                      </c:pt>
                      <c:pt idx="38">
                        <c:v>45743</c:v>
                      </c:pt>
                      <c:pt idx="39">
                        <c:v>45750</c:v>
                      </c:pt>
                      <c:pt idx="40">
                        <c:v>45757</c:v>
                      </c:pt>
                      <c:pt idx="41">
                        <c:v>45764</c:v>
                      </c:pt>
                      <c:pt idx="42">
                        <c:v>45771</c:v>
                      </c:pt>
                      <c:pt idx="43">
                        <c:v>45778</c:v>
                      </c:pt>
                      <c:pt idx="44">
                        <c:v>45785</c:v>
                      </c:pt>
                      <c:pt idx="45">
                        <c:v>45792</c:v>
                      </c:pt>
                      <c:pt idx="46">
                        <c:v>45799</c:v>
                      </c:pt>
                      <c:pt idx="47">
                        <c:v>45806</c:v>
                      </c:pt>
                      <c:pt idx="48">
                        <c:v>45813</c:v>
                      </c:pt>
                      <c:pt idx="49">
                        <c:v>45820</c:v>
                      </c:pt>
                      <c:pt idx="50">
                        <c:v>45827</c:v>
                      </c:pt>
                      <c:pt idx="51">
                        <c:v>45834</c:v>
                      </c:pt>
                    </c:numCache>
                  </c:numRef>
                </c:cat>
                <c:val>
                  <c:numRef>
                    <c:extLst xmlns:c15="http://schemas.microsoft.com/office/drawing/2012/chart">
                      <c:ext xmlns:c15="http://schemas.microsoft.com/office/drawing/2012/chart" uri="{02D57815-91ED-43cb-92C2-25804820EDAC}">
                        <c15:formulaRef>
                          <c15:sqref>'PBL OLD'!$CW$8:$CW$60</c15:sqref>
                        </c15:formulaRef>
                      </c:ext>
                    </c:extLst>
                    <c:numCache>
                      <c:formatCode>0.000</c:formatCode>
                      <c:ptCount val="53"/>
                      <c:pt idx="0">
                        <c:v>4.5436313528305135E-2</c:v>
                      </c:pt>
                      <c:pt idx="1">
                        <c:v>9.087262705661027E-2</c:v>
                      </c:pt>
                      <c:pt idx="2">
                        <c:v>0.13630894058491541</c:v>
                      </c:pt>
                      <c:pt idx="3">
                        <c:v>0.18174525411322054</c:v>
                      </c:pt>
                      <c:pt idx="4">
                        <c:v>0.22718156764152567</c:v>
                      </c:pt>
                      <c:pt idx="5">
                        <c:v>0.27261788116983082</c:v>
                      </c:pt>
                      <c:pt idx="6">
                        <c:v>0.31805419469813595</c:v>
                      </c:pt>
                      <c:pt idx="7">
                        <c:v>0.36349050822644108</c:v>
                      </c:pt>
                      <c:pt idx="8">
                        <c:v>0.40892682175474621</c:v>
                      </c:pt>
                      <c:pt idx="9">
                        <c:v>0.45436313528305133</c:v>
                      </c:pt>
                      <c:pt idx="10">
                        <c:v>0.49979944881135646</c:v>
                      </c:pt>
                      <c:pt idx="11">
                        <c:v>0.54523576233966164</c:v>
                      </c:pt>
                      <c:pt idx="12">
                        <c:v>0.59067207586796677</c:v>
                      </c:pt>
                      <c:pt idx="13">
                        <c:v>0.6361083893962719</c:v>
                      </c:pt>
                      <c:pt idx="14">
                        <c:v>0.68154470292457703</c:v>
                      </c:pt>
                      <c:pt idx="15">
                        <c:v>0.72698101645288216</c:v>
                      </c:pt>
                      <c:pt idx="16">
                        <c:v>0.77241732998118728</c:v>
                      </c:pt>
                      <c:pt idx="17">
                        <c:v>0.81785364350949241</c:v>
                      </c:pt>
                      <c:pt idx="18">
                        <c:v>0.86328995703779754</c:v>
                      </c:pt>
                      <c:pt idx="19">
                        <c:v>0.90872627056610267</c:v>
                      </c:pt>
                      <c:pt idx="20">
                        <c:v>0.9541625840944078</c:v>
                      </c:pt>
                      <c:pt idx="21">
                        <c:v>0.99959889762271292</c:v>
                      </c:pt>
                      <c:pt idx="22">
                        <c:v>1.0450352111510182</c:v>
                      </c:pt>
                      <c:pt idx="23">
                        <c:v>1.0904715246793233</c:v>
                      </c:pt>
                      <c:pt idx="24">
                        <c:v>1.1359078382076284</c:v>
                      </c:pt>
                      <c:pt idx="25">
                        <c:v>1.1813441517359335</c:v>
                      </c:pt>
                      <c:pt idx="26">
                        <c:v>1.2267804652642387</c:v>
                      </c:pt>
                      <c:pt idx="27">
                        <c:v>1.2722167787925438</c:v>
                      </c:pt>
                      <c:pt idx="28">
                        <c:v>1.3176530923208489</c:v>
                      </c:pt>
                      <c:pt idx="29">
                        <c:v>1.3630894058491541</c:v>
                      </c:pt>
                      <c:pt idx="30">
                        <c:v>1.4085257193774592</c:v>
                      </c:pt>
                      <c:pt idx="31">
                        <c:v>1.4539620329057643</c:v>
                      </c:pt>
                      <c:pt idx="32">
                        <c:v>1.4993983464340694</c:v>
                      </c:pt>
                      <c:pt idx="33">
                        <c:v>1.5448346599623746</c:v>
                      </c:pt>
                      <c:pt idx="34">
                        <c:v>1.5902709734906797</c:v>
                      </c:pt>
                      <c:pt idx="35">
                        <c:v>1.6357072870189848</c:v>
                      </c:pt>
                      <c:pt idx="36">
                        <c:v>1.68114360054729</c:v>
                      </c:pt>
                      <c:pt idx="37">
                        <c:v>1.7265799140755951</c:v>
                      </c:pt>
                      <c:pt idx="38">
                        <c:v>1.7720162276039002</c:v>
                      </c:pt>
                      <c:pt idx="39">
                        <c:v>1.8174525411322053</c:v>
                      </c:pt>
                      <c:pt idx="40">
                        <c:v>1.8628888546605105</c:v>
                      </c:pt>
                      <c:pt idx="41">
                        <c:v>1.9083251681888156</c:v>
                      </c:pt>
                      <c:pt idx="42">
                        <c:v>1.9537614817171207</c:v>
                      </c:pt>
                      <c:pt idx="43">
                        <c:v>1.9991977952454258</c:v>
                      </c:pt>
                      <c:pt idx="44">
                        <c:v>2.0446341087737312</c:v>
                      </c:pt>
                      <c:pt idx="45">
                        <c:v>2.0900704223020363</c:v>
                      </c:pt>
                      <c:pt idx="46">
                        <c:v>2.1355067358303415</c:v>
                      </c:pt>
                      <c:pt idx="47">
                        <c:v>2.1809430493586466</c:v>
                      </c:pt>
                      <c:pt idx="48">
                        <c:v>2.2263793628869517</c:v>
                      </c:pt>
                      <c:pt idx="49">
                        <c:v>2.2718156764152568</c:v>
                      </c:pt>
                      <c:pt idx="50">
                        <c:v>2.317251989943562</c:v>
                      </c:pt>
                      <c:pt idx="51">
                        <c:v>2.3626883034718671</c:v>
                      </c:pt>
                    </c:numCache>
                  </c:numRef>
                </c:val>
                <c:smooth val="0"/>
                <c:extLst xmlns:c15="http://schemas.microsoft.com/office/drawing/2012/chart">
                  <c:ext xmlns:c16="http://schemas.microsoft.com/office/drawing/2014/chart" uri="{C3380CC4-5D6E-409C-BE32-E72D297353CC}">
                    <c16:uniqueId val="{00000007-DF5C-4E09-B109-7000B6A71E8E}"/>
                  </c:ext>
                </c:extLst>
              </c15:ser>
            </c15:filteredLineSeries>
            <c15:filteredLineSeries>
              <c15:ser>
                <c:idx val="1"/>
                <c:order val="4"/>
                <c:tx>
                  <c:strRef>
                    <c:extLst xmlns:c15="http://schemas.microsoft.com/office/drawing/2012/chart">
                      <c:ext xmlns:c15="http://schemas.microsoft.com/office/drawing/2012/chart" uri="{02D57815-91ED-43cb-92C2-25804820EDAC}">
                        <c15:formulaRef>
                          <c15:sqref>'PBL OLD'!$CY$6:$CY$7</c15:sqref>
                        </c15:formulaRef>
                      </c:ext>
                    </c:extLst>
                    <c:strCache>
                      <c:ptCount val="2"/>
                      <c:pt idx="0">
                        <c:v>10th Percentile</c:v>
                      </c:pt>
                    </c:strCache>
                  </c:strRef>
                </c:tx>
                <c:spPr>
                  <a:ln>
                    <a:solidFill>
                      <a:schemeClr val="bg2">
                        <a:lumMod val="60000"/>
                        <a:lumOff val="40000"/>
                      </a:schemeClr>
                    </a:solidFill>
                    <a:prstDash val="sysDot"/>
                  </a:ln>
                </c:spPr>
                <c:marker>
                  <c:symbol val="none"/>
                </c:marker>
                <c:cat>
                  <c:numRef>
                    <c:extLst xmlns:c15="http://schemas.microsoft.com/office/drawing/2012/chart">
                      <c:ext xmlns:c15="http://schemas.microsoft.com/office/drawing/2012/chart" uri="{02D57815-91ED-43cb-92C2-25804820EDAC}">
                        <c15:formulaRef>
                          <c15:sqref>'PBL OLD'!$GC$8:$GC$60</c15:sqref>
                        </c15:formulaRef>
                      </c:ext>
                    </c:extLst>
                    <c:numCache>
                      <c:formatCode>d\-mmm\-yy_);\(###0\);"-  ";" "@" "</c:formatCode>
                      <c:ptCount val="53"/>
                      <c:pt idx="0">
                        <c:v>45477</c:v>
                      </c:pt>
                      <c:pt idx="1">
                        <c:v>45484</c:v>
                      </c:pt>
                      <c:pt idx="2">
                        <c:v>45491</c:v>
                      </c:pt>
                      <c:pt idx="3">
                        <c:v>45498</c:v>
                      </c:pt>
                      <c:pt idx="4">
                        <c:v>45505</c:v>
                      </c:pt>
                      <c:pt idx="5">
                        <c:v>45512</c:v>
                      </c:pt>
                      <c:pt idx="6">
                        <c:v>45519</c:v>
                      </c:pt>
                      <c:pt idx="7">
                        <c:v>45526</c:v>
                      </c:pt>
                      <c:pt idx="8">
                        <c:v>45533</c:v>
                      </c:pt>
                      <c:pt idx="9">
                        <c:v>45540</c:v>
                      </c:pt>
                      <c:pt idx="10">
                        <c:v>45547</c:v>
                      </c:pt>
                      <c:pt idx="11">
                        <c:v>45554</c:v>
                      </c:pt>
                      <c:pt idx="12">
                        <c:v>45561</c:v>
                      </c:pt>
                      <c:pt idx="13">
                        <c:v>45568</c:v>
                      </c:pt>
                      <c:pt idx="14">
                        <c:v>45575</c:v>
                      </c:pt>
                      <c:pt idx="15">
                        <c:v>45582</c:v>
                      </c:pt>
                      <c:pt idx="16">
                        <c:v>45589</c:v>
                      </c:pt>
                      <c:pt idx="17">
                        <c:v>45596</c:v>
                      </c:pt>
                      <c:pt idx="18">
                        <c:v>45603</c:v>
                      </c:pt>
                      <c:pt idx="19">
                        <c:v>45610</c:v>
                      </c:pt>
                      <c:pt idx="20">
                        <c:v>45617</c:v>
                      </c:pt>
                      <c:pt idx="21">
                        <c:v>45624</c:v>
                      </c:pt>
                      <c:pt idx="22">
                        <c:v>45631</c:v>
                      </c:pt>
                      <c:pt idx="23">
                        <c:v>45638</c:v>
                      </c:pt>
                      <c:pt idx="24">
                        <c:v>45645</c:v>
                      </c:pt>
                      <c:pt idx="25">
                        <c:v>45652</c:v>
                      </c:pt>
                      <c:pt idx="26">
                        <c:v>45659</c:v>
                      </c:pt>
                      <c:pt idx="27">
                        <c:v>45666</c:v>
                      </c:pt>
                      <c:pt idx="28">
                        <c:v>45673</c:v>
                      </c:pt>
                      <c:pt idx="29">
                        <c:v>45680</c:v>
                      </c:pt>
                      <c:pt idx="30">
                        <c:v>45687</c:v>
                      </c:pt>
                      <c:pt idx="31">
                        <c:v>45694</c:v>
                      </c:pt>
                      <c:pt idx="32">
                        <c:v>45701</c:v>
                      </c:pt>
                      <c:pt idx="33">
                        <c:v>45708</c:v>
                      </c:pt>
                      <c:pt idx="34">
                        <c:v>45715</c:v>
                      </c:pt>
                      <c:pt idx="35">
                        <c:v>45722</c:v>
                      </c:pt>
                      <c:pt idx="36">
                        <c:v>45729</c:v>
                      </c:pt>
                      <c:pt idx="37">
                        <c:v>45736</c:v>
                      </c:pt>
                      <c:pt idx="38">
                        <c:v>45743</c:v>
                      </c:pt>
                      <c:pt idx="39">
                        <c:v>45750</c:v>
                      </c:pt>
                      <c:pt idx="40">
                        <c:v>45757</c:v>
                      </c:pt>
                      <c:pt idx="41">
                        <c:v>45764</c:v>
                      </c:pt>
                      <c:pt idx="42">
                        <c:v>45771</c:v>
                      </c:pt>
                      <c:pt idx="43">
                        <c:v>45778</c:v>
                      </c:pt>
                      <c:pt idx="44">
                        <c:v>45785</c:v>
                      </c:pt>
                      <c:pt idx="45">
                        <c:v>45792</c:v>
                      </c:pt>
                      <c:pt idx="46">
                        <c:v>45799</c:v>
                      </c:pt>
                      <c:pt idx="47">
                        <c:v>45806</c:v>
                      </c:pt>
                      <c:pt idx="48">
                        <c:v>45813</c:v>
                      </c:pt>
                      <c:pt idx="49">
                        <c:v>45820</c:v>
                      </c:pt>
                      <c:pt idx="50">
                        <c:v>45827</c:v>
                      </c:pt>
                      <c:pt idx="51">
                        <c:v>45834</c:v>
                      </c:pt>
                    </c:numCache>
                  </c:numRef>
                </c:cat>
                <c:val>
                  <c:numRef>
                    <c:extLst xmlns:c15="http://schemas.microsoft.com/office/drawing/2012/chart">
                      <c:ext xmlns:c15="http://schemas.microsoft.com/office/drawing/2012/chart" uri="{02D57815-91ED-43cb-92C2-25804820EDAC}">
                        <c15:formulaRef>
                          <c15:sqref>'PBL OLD'!$CY$8:$CY$60</c15:sqref>
                        </c15:formulaRef>
                      </c:ext>
                    </c:extLst>
                    <c:numCache>
                      <c:formatCode>0.000</c:formatCode>
                      <c:ptCount val="53"/>
                      <c:pt idx="0">
                        <c:v>5.0502007292025322E-2</c:v>
                      </c:pt>
                      <c:pt idx="1">
                        <c:v>0.10100401458405064</c:v>
                      </c:pt>
                      <c:pt idx="2">
                        <c:v>0.15150602187607598</c:v>
                      </c:pt>
                      <c:pt idx="3">
                        <c:v>0.20200802916810129</c:v>
                      </c:pt>
                      <c:pt idx="4">
                        <c:v>0.2525100364601266</c:v>
                      </c:pt>
                      <c:pt idx="5">
                        <c:v>0.30301204375215191</c:v>
                      </c:pt>
                      <c:pt idx="6">
                        <c:v>0.35351405104417721</c:v>
                      </c:pt>
                      <c:pt idx="7">
                        <c:v>0.40401605833620252</c:v>
                      </c:pt>
                      <c:pt idx="8">
                        <c:v>0.45451806562822783</c:v>
                      </c:pt>
                      <c:pt idx="9">
                        <c:v>0.50502007292025319</c:v>
                      </c:pt>
                      <c:pt idx="10">
                        <c:v>0.55552208021227856</c:v>
                      </c:pt>
                      <c:pt idx="11">
                        <c:v>0.60602408750430392</c:v>
                      </c:pt>
                      <c:pt idx="12">
                        <c:v>0.65652609479632928</c:v>
                      </c:pt>
                      <c:pt idx="13">
                        <c:v>0.70702810208835465</c:v>
                      </c:pt>
                      <c:pt idx="14">
                        <c:v>0.75753010938038001</c:v>
                      </c:pt>
                      <c:pt idx="15">
                        <c:v>0.80803211667240538</c:v>
                      </c:pt>
                      <c:pt idx="16">
                        <c:v>0.85853412396443074</c:v>
                      </c:pt>
                      <c:pt idx="17">
                        <c:v>0.9090361312564561</c:v>
                      </c:pt>
                      <c:pt idx="18">
                        <c:v>0.95953813854848147</c:v>
                      </c:pt>
                      <c:pt idx="19">
                        <c:v>1.0100401458405068</c:v>
                      </c:pt>
                      <c:pt idx="20">
                        <c:v>1.0605421531325321</c:v>
                      </c:pt>
                      <c:pt idx="21">
                        <c:v>1.1110441604245573</c:v>
                      </c:pt>
                      <c:pt idx="22">
                        <c:v>1.1615461677165826</c:v>
                      </c:pt>
                      <c:pt idx="23">
                        <c:v>1.2120481750086078</c:v>
                      </c:pt>
                      <c:pt idx="24">
                        <c:v>1.2625501823006331</c:v>
                      </c:pt>
                      <c:pt idx="25">
                        <c:v>1.3130521895926583</c:v>
                      </c:pt>
                      <c:pt idx="26">
                        <c:v>1.3635541968846836</c:v>
                      </c:pt>
                      <c:pt idx="27">
                        <c:v>1.4140562041767089</c:v>
                      </c:pt>
                      <c:pt idx="28">
                        <c:v>1.4645582114687341</c:v>
                      </c:pt>
                      <c:pt idx="29">
                        <c:v>1.5150602187607594</c:v>
                      </c:pt>
                      <c:pt idx="30">
                        <c:v>1.5655622260527846</c:v>
                      </c:pt>
                      <c:pt idx="31">
                        <c:v>1.6160642333448099</c:v>
                      </c:pt>
                      <c:pt idx="32">
                        <c:v>1.6665662406368351</c:v>
                      </c:pt>
                      <c:pt idx="33">
                        <c:v>1.7170682479288604</c:v>
                      </c:pt>
                      <c:pt idx="34">
                        <c:v>1.7675702552208856</c:v>
                      </c:pt>
                      <c:pt idx="35">
                        <c:v>1.8180722625129109</c:v>
                      </c:pt>
                      <c:pt idx="36">
                        <c:v>1.8685742698049361</c:v>
                      </c:pt>
                      <c:pt idx="37">
                        <c:v>1.9190762770969614</c:v>
                      </c:pt>
                      <c:pt idx="38">
                        <c:v>1.9695782843889866</c:v>
                      </c:pt>
                      <c:pt idx="39">
                        <c:v>2.0200802916810119</c:v>
                      </c:pt>
                      <c:pt idx="40">
                        <c:v>2.0705822989730374</c:v>
                      </c:pt>
                      <c:pt idx="41">
                        <c:v>2.1210843062650628</c:v>
                      </c:pt>
                      <c:pt idx="42">
                        <c:v>2.1715863135570883</c:v>
                      </c:pt>
                      <c:pt idx="43">
                        <c:v>2.2220883208491138</c:v>
                      </c:pt>
                      <c:pt idx="44">
                        <c:v>2.2725903281411393</c:v>
                      </c:pt>
                      <c:pt idx="45">
                        <c:v>2.3230923354331647</c:v>
                      </c:pt>
                      <c:pt idx="46">
                        <c:v>2.3735943427251902</c:v>
                      </c:pt>
                      <c:pt idx="47">
                        <c:v>2.4240963500172157</c:v>
                      </c:pt>
                      <c:pt idx="48">
                        <c:v>2.4745983573092412</c:v>
                      </c:pt>
                      <c:pt idx="49">
                        <c:v>2.5251003646012666</c:v>
                      </c:pt>
                      <c:pt idx="50">
                        <c:v>2.5756023718932921</c:v>
                      </c:pt>
                      <c:pt idx="51">
                        <c:v>2.6261043791853176</c:v>
                      </c:pt>
                    </c:numCache>
                  </c:numRef>
                </c:val>
                <c:smooth val="0"/>
                <c:extLst xmlns:c15="http://schemas.microsoft.com/office/drawing/2012/chart">
                  <c:ext xmlns:c16="http://schemas.microsoft.com/office/drawing/2014/chart" uri="{C3380CC4-5D6E-409C-BE32-E72D297353CC}">
                    <c16:uniqueId val="{00000008-DF5C-4E09-B109-7000B6A71E8E}"/>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'PBL OLD'!$DC$6:$DC$7</c15:sqref>
                        </c15:formulaRef>
                      </c:ext>
                    </c:extLst>
                    <c:strCache>
                      <c:ptCount val="2"/>
                      <c:pt idx="0">
                        <c:v>90th Percentile</c:v>
                      </c:pt>
                    </c:strCache>
                  </c:strRef>
                </c:tx>
                <c:spPr>
                  <a:ln w="28575" cap="rnd">
                    <a:solidFill>
                      <a:schemeClr val="accent6"/>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'PBL OLD'!$GC$8:$GC$60</c15:sqref>
                        </c15:formulaRef>
                      </c:ext>
                    </c:extLst>
                    <c:numCache>
                      <c:formatCode>d\-mmm\-yy_);\(###0\);"-  ";" "@" "</c:formatCode>
                      <c:ptCount val="53"/>
                      <c:pt idx="0">
                        <c:v>45477</c:v>
                      </c:pt>
                      <c:pt idx="1">
                        <c:v>45484</c:v>
                      </c:pt>
                      <c:pt idx="2">
                        <c:v>45491</c:v>
                      </c:pt>
                      <c:pt idx="3">
                        <c:v>45498</c:v>
                      </c:pt>
                      <c:pt idx="4">
                        <c:v>45505</c:v>
                      </c:pt>
                      <c:pt idx="5">
                        <c:v>45512</c:v>
                      </c:pt>
                      <c:pt idx="6">
                        <c:v>45519</c:v>
                      </c:pt>
                      <c:pt idx="7">
                        <c:v>45526</c:v>
                      </c:pt>
                      <c:pt idx="8">
                        <c:v>45533</c:v>
                      </c:pt>
                      <c:pt idx="9">
                        <c:v>45540</c:v>
                      </c:pt>
                      <c:pt idx="10">
                        <c:v>45547</c:v>
                      </c:pt>
                      <c:pt idx="11">
                        <c:v>45554</c:v>
                      </c:pt>
                      <c:pt idx="12">
                        <c:v>45561</c:v>
                      </c:pt>
                      <c:pt idx="13">
                        <c:v>45568</c:v>
                      </c:pt>
                      <c:pt idx="14">
                        <c:v>45575</c:v>
                      </c:pt>
                      <c:pt idx="15">
                        <c:v>45582</c:v>
                      </c:pt>
                      <c:pt idx="16">
                        <c:v>45589</c:v>
                      </c:pt>
                      <c:pt idx="17">
                        <c:v>45596</c:v>
                      </c:pt>
                      <c:pt idx="18">
                        <c:v>45603</c:v>
                      </c:pt>
                      <c:pt idx="19">
                        <c:v>45610</c:v>
                      </c:pt>
                      <c:pt idx="20">
                        <c:v>45617</c:v>
                      </c:pt>
                      <c:pt idx="21">
                        <c:v>45624</c:v>
                      </c:pt>
                      <c:pt idx="22">
                        <c:v>45631</c:v>
                      </c:pt>
                      <c:pt idx="23">
                        <c:v>45638</c:v>
                      </c:pt>
                      <c:pt idx="24">
                        <c:v>45645</c:v>
                      </c:pt>
                      <c:pt idx="25">
                        <c:v>45652</c:v>
                      </c:pt>
                      <c:pt idx="26">
                        <c:v>45659</c:v>
                      </c:pt>
                      <c:pt idx="27">
                        <c:v>45666</c:v>
                      </c:pt>
                      <c:pt idx="28">
                        <c:v>45673</c:v>
                      </c:pt>
                      <c:pt idx="29">
                        <c:v>45680</c:v>
                      </c:pt>
                      <c:pt idx="30">
                        <c:v>45687</c:v>
                      </c:pt>
                      <c:pt idx="31">
                        <c:v>45694</c:v>
                      </c:pt>
                      <c:pt idx="32">
                        <c:v>45701</c:v>
                      </c:pt>
                      <c:pt idx="33">
                        <c:v>45708</c:v>
                      </c:pt>
                      <c:pt idx="34">
                        <c:v>45715</c:v>
                      </c:pt>
                      <c:pt idx="35">
                        <c:v>45722</c:v>
                      </c:pt>
                      <c:pt idx="36">
                        <c:v>45729</c:v>
                      </c:pt>
                      <c:pt idx="37">
                        <c:v>45736</c:v>
                      </c:pt>
                      <c:pt idx="38">
                        <c:v>45743</c:v>
                      </c:pt>
                      <c:pt idx="39">
                        <c:v>45750</c:v>
                      </c:pt>
                      <c:pt idx="40">
                        <c:v>45757</c:v>
                      </c:pt>
                      <c:pt idx="41">
                        <c:v>45764</c:v>
                      </c:pt>
                      <c:pt idx="42">
                        <c:v>45771</c:v>
                      </c:pt>
                      <c:pt idx="43">
                        <c:v>45778</c:v>
                      </c:pt>
                      <c:pt idx="44">
                        <c:v>45785</c:v>
                      </c:pt>
                      <c:pt idx="45">
                        <c:v>45792</c:v>
                      </c:pt>
                      <c:pt idx="46">
                        <c:v>45799</c:v>
                      </c:pt>
                      <c:pt idx="47">
                        <c:v>45806</c:v>
                      </c:pt>
                      <c:pt idx="48">
                        <c:v>45813</c:v>
                      </c:pt>
                      <c:pt idx="49">
                        <c:v>45820</c:v>
                      </c:pt>
                      <c:pt idx="50">
                        <c:v>45827</c:v>
                      </c:pt>
                      <c:pt idx="51">
                        <c:v>45834</c:v>
                      </c:pt>
                    </c:numCache>
                  </c:numRef>
                </c:cat>
                <c:val>
                  <c:numRef>
                    <c:extLst xmlns:c15="http://schemas.microsoft.com/office/drawing/2012/chart">
                      <c:ext xmlns:c15="http://schemas.microsoft.com/office/drawing/2012/chart" uri="{02D57815-91ED-43cb-92C2-25804820EDAC}">
                        <c15:formulaRef>
                          <c15:sqref>'PBL OLD'!$DC$8:$DC$60</c15:sqref>
                        </c15:formulaRef>
                      </c:ext>
                    </c:extLst>
                    <c:numCache>
                      <c:formatCode>0.000</c:formatCode>
                      <c:ptCount val="53"/>
                      <c:pt idx="0">
                        <c:v>7.261484324723147E-2</c:v>
                      </c:pt>
                      <c:pt idx="1">
                        <c:v>0.14522968649446294</c:v>
                      </c:pt>
                      <c:pt idx="2">
                        <c:v>0.21784452974169441</c:v>
                      </c:pt>
                      <c:pt idx="3">
                        <c:v>0.29045937298892588</c:v>
                      </c:pt>
                      <c:pt idx="4">
                        <c:v>0.36307421623615732</c:v>
                      </c:pt>
                      <c:pt idx="5">
                        <c:v>0.43568905948338876</c:v>
                      </c:pt>
                      <c:pt idx="6">
                        <c:v>0.50830390273062021</c:v>
                      </c:pt>
                      <c:pt idx="7">
                        <c:v>0.58091874597785165</c:v>
                      </c:pt>
                      <c:pt idx="8">
                        <c:v>0.65353358922508309</c:v>
                      </c:pt>
                      <c:pt idx="9">
                        <c:v>0.72614843247231453</c:v>
                      </c:pt>
                      <c:pt idx="10">
                        <c:v>0.79876327571954597</c:v>
                      </c:pt>
                      <c:pt idx="11">
                        <c:v>0.87137811896677742</c:v>
                      </c:pt>
                      <c:pt idx="12">
                        <c:v>0.94399296221400886</c:v>
                      </c:pt>
                      <c:pt idx="13">
                        <c:v>1.0166078054612404</c:v>
                      </c:pt>
                      <c:pt idx="14">
                        <c:v>1.089222648708472</c:v>
                      </c:pt>
                      <c:pt idx="15">
                        <c:v>1.1618374919557035</c:v>
                      </c:pt>
                      <c:pt idx="16">
                        <c:v>1.2344523352029351</c:v>
                      </c:pt>
                      <c:pt idx="17">
                        <c:v>1.3070671784501666</c:v>
                      </c:pt>
                      <c:pt idx="18">
                        <c:v>1.3796820216973982</c:v>
                      </c:pt>
                      <c:pt idx="19">
                        <c:v>1.4522968649446297</c:v>
                      </c:pt>
                      <c:pt idx="20">
                        <c:v>1.5249117081918613</c:v>
                      </c:pt>
                      <c:pt idx="21">
                        <c:v>1.5975265514390928</c:v>
                      </c:pt>
                      <c:pt idx="22">
                        <c:v>1.6701413946863244</c:v>
                      </c:pt>
                      <c:pt idx="23">
                        <c:v>1.7427562379335559</c:v>
                      </c:pt>
                      <c:pt idx="24">
                        <c:v>1.8153710811807875</c:v>
                      </c:pt>
                      <c:pt idx="25">
                        <c:v>1.887985924428019</c:v>
                      </c:pt>
                      <c:pt idx="26">
                        <c:v>1.9606007676752506</c:v>
                      </c:pt>
                      <c:pt idx="27">
                        <c:v>2.0332156109224822</c:v>
                      </c:pt>
                      <c:pt idx="28">
                        <c:v>2.1058304541697135</c:v>
                      </c:pt>
                      <c:pt idx="29">
                        <c:v>2.1784452974169448</c:v>
                      </c:pt>
                      <c:pt idx="30">
                        <c:v>2.2510601406641761</c:v>
                      </c:pt>
                      <c:pt idx="31">
                        <c:v>2.3236749839114075</c:v>
                      </c:pt>
                      <c:pt idx="32">
                        <c:v>2.3962898271586388</c:v>
                      </c:pt>
                      <c:pt idx="33">
                        <c:v>2.4689046704058701</c:v>
                      </c:pt>
                      <c:pt idx="34">
                        <c:v>2.5415195136531015</c:v>
                      </c:pt>
                      <c:pt idx="35">
                        <c:v>2.6141343569003328</c:v>
                      </c:pt>
                      <c:pt idx="36">
                        <c:v>2.6867492001475641</c:v>
                      </c:pt>
                      <c:pt idx="37">
                        <c:v>2.7593640433947955</c:v>
                      </c:pt>
                      <c:pt idx="38">
                        <c:v>2.8319788866420268</c:v>
                      </c:pt>
                      <c:pt idx="39">
                        <c:v>2.9045937298892581</c:v>
                      </c:pt>
                      <c:pt idx="40">
                        <c:v>2.9772085731364895</c:v>
                      </c:pt>
                      <c:pt idx="41">
                        <c:v>3.0498234163837208</c:v>
                      </c:pt>
                      <c:pt idx="42">
                        <c:v>3.1224382596309521</c:v>
                      </c:pt>
                      <c:pt idx="43">
                        <c:v>3.1950531028781834</c:v>
                      </c:pt>
                      <c:pt idx="44">
                        <c:v>3.2676679461254148</c:v>
                      </c:pt>
                      <c:pt idx="45">
                        <c:v>3.3402827893726461</c:v>
                      </c:pt>
                      <c:pt idx="46">
                        <c:v>3.4128976326198774</c:v>
                      </c:pt>
                      <c:pt idx="47">
                        <c:v>3.4855124758671088</c:v>
                      </c:pt>
                      <c:pt idx="48">
                        <c:v>3.5581273191143401</c:v>
                      </c:pt>
                      <c:pt idx="49">
                        <c:v>3.6307421623615714</c:v>
                      </c:pt>
                      <c:pt idx="50">
                        <c:v>3.7033570056088028</c:v>
                      </c:pt>
                      <c:pt idx="51">
                        <c:v>3.7759718488560341</c:v>
                      </c:pt>
                    </c:numCache>
                  </c:numRef>
                </c:val>
                <c:smooth val="0"/>
                <c:extLst xmlns:c15="http://schemas.microsoft.com/office/drawing/2012/chart">
                  <c:ext xmlns:c16="http://schemas.microsoft.com/office/drawing/2014/chart" uri="{C3380CC4-5D6E-409C-BE32-E72D297353CC}">
                    <c16:uniqueId val="{00000009-DF5C-4E09-B109-7000B6A71E8E}"/>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'PBL OLD'!$DE$6:$DE$7</c15:sqref>
                        </c15:formulaRef>
                      </c:ext>
                    </c:extLst>
                    <c:strCache>
                      <c:ptCount val="2"/>
                      <c:pt idx="0">
                        <c:v>99th Percentile</c:v>
                      </c:pt>
                    </c:strCache>
                  </c:strRef>
                </c:tx>
                <c:spPr>
                  <a:ln w="28575" cap="rnd" cmpd="sng">
                    <a:solidFill>
                      <a:schemeClr val="accent2"/>
                    </a:solidFill>
                    <a:prstDash val="sysDot"/>
                    <a:round/>
                    <a:headEnd type="none"/>
                  </a:ln>
                  <a:effectLst/>
                </c:spPr>
                <c:marker>
                  <c:symbol val="none"/>
                </c:marker>
                <c:cat>
                  <c:numRef>
                    <c:extLst xmlns:c15="http://schemas.microsoft.com/office/drawing/2012/chart">
                      <c:ext xmlns:c15="http://schemas.microsoft.com/office/drawing/2012/chart" uri="{02D57815-91ED-43cb-92C2-25804820EDAC}">
                        <c15:formulaRef>
                          <c15:sqref>'PBL OLD'!$GC$8:$GC$60</c15:sqref>
                        </c15:formulaRef>
                      </c:ext>
                    </c:extLst>
                    <c:numCache>
                      <c:formatCode>d\-mmm\-yy_);\(###0\);"-  ";" "@" "</c:formatCode>
                      <c:ptCount val="53"/>
                      <c:pt idx="0">
                        <c:v>45477</c:v>
                      </c:pt>
                      <c:pt idx="1">
                        <c:v>45484</c:v>
                      </c:pt>
                      <c:pt idx="2">
                        <c:v>45491</c:v>
                      </c:pt>
                      <c:pt idx="3">
                        <c:v>45498</c:v>
                      </c:pt>
                      <c:pt idx="4">
                        <c:v>45505</c:v>
                      </c:pt>
                      <c:pt idx="5">
                        <c:v>45512</c:v>
                      </c:pt>
                      <c:pt idx="6">
                        <c:v>45519</c:v>
                      </c:pt>
                      <c:pt idx="7">
                        <c:v>45526</c:v>
                      </c:pt>
                      <c:pt idx="8">
                        <c:v>45533</c:v>
                      </c:pt>
                      <c:pt idx="9">
                        <c:v>45540</c:v>
                      </c:pt>
                      <c:pt idx="10">
                        <c:v>45547</c:v>
                      </c:pt>
                      <c:pt idx="11">
                        <c:v>45554</c:v>
                      </c:pt>
                      <c:pt idx="12">
                        <c:v>45561</c:v>
                      </c:pt>
                      <c:pt idx="13">
                        <c:v>45568</c:v>
                      </c:pt>
                      <c:pt idx="14">
                        <c:v>45575</c:v>
                      </c:pt>
                      <c:pt idx="15">
                        <c:v>45582</c:v>
                      </c:pt>
                      <c:pt idx="16">
                        <c:v>45589</c:v>
                      </c:pt>
                      <c:pt idx="17">
                        <c:v>45596</c:v>
                      </c:pt>
                      <c:pt idx="18">
                        <c:v>45603</c:v>
                      </c:pt>
                      <c:pt idx="19">
                        <c:v>45610</c:v>
                      </c:pt>
                      <c:pt idx="20">
                        <c:v>45617</c:v>
                      </c:pt>
                      <c:pt idx="21">
                        <c:v>45624</c:v>
                      </c:pt>
                      <c:pt idx="22">
                        <c:v>45631</c:v>
                      </c:pt>
                      <c:pt idx="23">
                        <c:v>45638</c:v>
                      </c:pt>
                      <c:pt idx="24">
                        <c:v>45645</c:v>
                      </c:pt>
                      <c:pt idx="25">
                        <c:v>45652</c:v>
                      </c:pt>
                      <c:pt idx="26">
                        <c:v>45659</c:v>
                      </c:pt>
                      <c:pt idx="27">
                        <c:v>45666</c:v>
                      </c:pt>
                      <c:pt idx="28">
                        <c:v>45673</c:v>
                      </c:pt>
                      <c:pt idx="29">
                        <c:v>45680</c:v>
                      </c:pt>
                      <c:pt idx="30">
                        <c:v>45687</c:v>
                      </c:pt>
                      <c:pt idx="31">
                        <c:v>45694</c:v>
                      </c:pt>
                      <c:pt idx="32">
                        <c:v>45701</c:v>
                      </c:pt>
                      <c:pt idx="33">
                        <c:v>45708</c:v>
                      </c:pt>
                      <c:pt idx="34">
                        <c:v>45715</c:v>
                      </c:pt>
                      <c:pt idx="35">
                        <c:v>45722</c:v>
                      </c:pt>
                      <c:pt idx="36">
                        <c:v>45729</c:v>
                      </c:pt>
                      <c:pt idx="37">
                        <c:v>45736</c:v>
                      </c:pt>
                      <c:pt idx="38">
                        <c:v>45743</c:v>
                      </c:pt>
                      <c:pt idx="39">
                        <c:v>45750</c:v>
                      </c:pt>
                      <c:pt idx="40">
                        <c:v>45757</c:v>
                      </c:pt>
                      <c:pt idx="41">
                        <c:v>45764</c:v>
                      </c:pt>
                      <c:pt idx="42">
                        <c:v>45771</c:v>
                      </c:pt>
                      <c:pt idx="43">
                        <c:v>45778</c:v>
                      </c:pt>
                      <c:pt idx="44">
                        <c:v>45785</c:v>
                      </c:pt>
                      <c:pt idx="45">
                        <c:v>45792</c:v>
                      </c:pt>
                      <c:pt idx="46">
                        <c:v>45799</c:v>
                      </c:pt>
                      <c:pt idx="47">
                        <c:v>45806</c:v>
                      </c:pt>
                      <c:pt idx="48">
                        <c:v>45813</c:v>
                      </c:pt>
                      <c:pt idx="49">
                        <c:v>45820</c:v>
                      </c:pt>
                      <c:pt idx="50">
                        <c:v>45827</c:v>
                      </c:pt>
                      <c:pt idx="51">
                        <c:v>45834</c:v>
                      </c:pt>
                    </c:numCache>
                  </c:numRef>
                </c:cat>
                <c:val>
                  <c:numRef>
                    <c:extLst xmlns:c15="http://schemas.microsoft.com/office/drawing/2012/chart">
                      <c:ext xmlns:c15="http://schemas.microsoft.com/office/drawing/2012/chart" uri="{02D57815-91ED-43cb-92C2-25804820EDAC}">
                        <c15:formulaRef>
                          <c15:sqref>'PBL OLD'!$DE$8:$DE$60</c15:sqref>
                        </c15:formulaRef>
                      </c:ext>
                    </c:extLst>
                    <c:numCache>
                      <c:formatCode>0.000</c:formatCode>
                      <c:ptCount val="53"/>
                      <c:pt idx="0">
                        <c:v>8.472863847550996E-2</c:v>
                      </c:pt>
                      <c:pt idx="1">
                        <c:v>0.16945727695101992</c:v>
                      </c:pt>
                      <c:pt idx="2">
                        <c:v>0.25418591542652991</c:v>
                      </c:pt>
                      <c:pt idx="3">
                        <c:v>0.33891455390203984</c:v>
                      </c:pt>
                      <c:pt idx="4">
                        <c:v>0.42364319237754977</c:v>
                      </c:pt>
                      <c:pt idx="5">
                        <c:v>0.5083718308530597</c:v>
                      </c:pt>
                      <c:pt idx="6">
                        <c:v>0.59310046932856963</c:v>
                      </c:pt>
                      <c:pt idx="7">
                        <c:v>0.67782910780407957</c:v>
                      </c:pt>
                      <c:pt idx="8">
                        <c:v>0.7625577462795895</c:v>
                      </c:pt>
                      <c:pt idx="9">
                        <c:v>0.84728638475509943</c:v>
                      </c:pt>
                      <c:pt idx="10">
                        <c:v>0.93201502323060936</c:v>
                      </c:pt>
                      <c:pt idx="11">
                        <c:v>1.0167436617061194</c:v>
                      </c:pt>
                      <c:pt idx="12">
                        <c:v>1.1014723001816293</c:v>
                      </c:pt>
                      <c:pt idx="13">
                        <c:v>1.1862009386571393</c:v>
                      </c:pt>
                      <c:pt idx="14">
                        <c:v>1.2709295771326492</c:v>
                      </c:pt>
                      <c:pt idx="15">
                        <c:v>1.3556582156081591</c:v>
                      </c:pt>
                      <c:pt idx="16">
                        <c:v>1.4403868540836691</c:v>
                      </c:pt>
                      <c:pt idx="17">
                        <c:v>1.525115492559179</c:v>
                      </c:pt>
                      <c:pt idx="18">
                        <c:v>1.6098441310346889</c:v>
                      </c:pt>
                      <c:pt idx="19">
                        <c:v>1.6945727695101989</c:v>
                      </c:pt>
                      <c:pt idx="20">
                        <c:v>1.7793014079857088</c:v>
                      </c:pt>
                      <c:pt idx="21">
                        <c:v>1.8640300464612187</c:v>
                      </c:pt>
                      <c:pt idx="22">
                        <c:v>1.9487586849367287</c:v>
                      </c:pt>
                      <c:pt idx="23">
                        <c:v>2.0334873234122388</c:v>
                      </c:pt>
                      <c:pt idx="24">
                        <c:v>2.1182159618877487</c:v>
                      </c:pt>
                      <c:pt idx="25">
                        <c:v>2.2029446003632587</c:v>
                      </c:pt>
                      <c:pt idx="26">
                        <c:v>2.2876732388387686</c:v>
                      </c:pt>
                      <c:pt idx="27">
                        <c:v>2.3724018773142785</c:v>
                      </c:pt>
                      <c:pt idx="28">
                        <c:v>2.4571305157897885</c:v>
                      </c:pt>
                      <c:pt idx="29">
                        <c:v>2.5418591542652984</c:v>
                      </c:pt>
                      <c:pt idx="30">
                        <c:v>2.6265877927408083</c:v>
                      </c:pt>
                      <c:pt idx="31">
                        <c:v>2.7113164312163183</c:v>
                      </c:pt>
                      <c:pt idx="32">
                        <c:v>2.7960450696918282</c:v>
                      </c:pt>
                      <c:pt idx="33">
                        <c:v>2.8807737081673381</c:v>
                      </c:pt>
                      <c:pt idx="34">
                        <c:v>2.9655023466428481</c:v>
                      </c:pt>
                      <c:pt idx="35">
                        <c:v>3.050230985118358</c:v>
                      </c:pt>
                      <c:pt idx="36">
                        <c:v>3.1349596235938679</c:v>
                      </c:pt>
                      <c:pt idx="37">
                        <c:v>3.2196882620693779</c:v>
                      </c:pt>
                      <c:pt idx="38">
                        <c:v>3.3044169005448878</c:v>
                      </c:pt>
                      <c:pt idx="39">
                        <c:v>3.3891455390203977</c:v>
                      </c:pt>
                      <c:pt idx="40">
                        <c:v>3.4738741774959077</c:v>
                      </c:pt>
                      <c:pt idx="41">
                        <c:v>3.5586028159714176</c:v>
                      </c:pt>
                      <c:pt idx="42">
                        <c:v>3.6433314544469275</c:v>
                      </c:pt>
                      <c:pt idx="43">
                        <c:v>3.7280600929224375</c:v>
                      </c:pt>
                      <c:pt idx="44">
                        <c:v>3.8127887313979474</c:v>
                      </c:pt>
                      <c:pt idx="45">
                        <c:v>3.8975173698734573</c:v>
                      </c:pt>
                      <c:pt idx="46">
                        <c:v>3.9822460083489672</c:v>
                      </c:pt>
                      <c:pt idx="47">
                        <c:v>4.0669746468244776</c:v>
                      </c:pt>
                      <c:pt idx="48">
                        <c:v>4.1517032852999876</c:v>
                      </c:pt>
                      <c:pt idx="49">
                        <c:v>4.2364319237754975</c:v>
                      </c:pt>
                      <c:pt idx="50">
                        <c:v>4.3211605622510074</c:v>
                      </c:pt>
                      <c:pt idx="51">
                        <c:v>4.4058892007265174</c:v>
                      </c:pt>
                    </c:numCache>
                  </c:numRef>
                </c:val>
                <c:smooth val="0"/>
                <c:extLst xmlns:c15="http://schemas.microsoft.com/office/drawing/2012/chart">
                  <c:ext xmlns:c16="http://schemas.microsoft.com/office/drawing/2014/chart" uri="{C3380CC4-5D6E-409C-BE32-E72D297353CC}">
                    <c16:uniqueId val="{0000000A-DF5C-4E09-B109-7000B6A71E8E}"/>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'PBL OLD'!$DF$6:$DF$7</c15:sqref>
                        </c15:formulaRef>
                      </c:ext>
                    </c:extLst>
                    <c:strCache>
                      <c:ptCount val="2"/>
                      <c:pt idx="0">
                        <c:v>Max</c:v>
                      </c:pt>
                    </c:strCache>
                  </c:strRef>
                </c:tx>
                <c:marker>
                  <c:symbol val="none"/>
                </c:marker>
                <c:cat>
                  <c:numRef>
                    <c:extLst xmlns:c15="http://schemas.microsoft.com/office/drawing/2012/chart">
                      <c:ext xmlns:c15="http://schemas.microsoft.com/office/drawing/2012/chart" uri="{02D57815-91ED-43cb-92C2-25804820EDAC}">
                        <c15:formulaRef>
                          <c15:sqref>'PBL OLD'!$GC$8:$GC$60</c15:sqref>
                        </c15:formulaRef>
                      </c:ext>
                    </c:extLst>
                    <c:numCache>
                      <c:formatCode>d\-mmm\-yy_);\(###0\);"-  ";" "@" "</c:formatCode>
                      <c:ptCount val="53"/>
                      <c:pt idx="0">
                        <c:v>45477</c:v>
                      </c:pt>
                      <c:pt idx="1">
                        <c:v>45484</c:v>
                      </c:pt>
                      <c:pt idx="2">
                        <c:v>45491</c:v>
                      </c:pt>
                      <c:pt idx="3">
                        <c:v>45498</c:v>
                      </c:pt>
                      <c:pt idx="4">
                        <c:v>45505</c:v>
                      </c:pt>
                      <c:pt idx="5">
                        <c:v>45512</c:v>
                      </c:pt>
                      <c:pt idx="6">
                        <c:v>45519</c:v>
                      </c:pt>
                      <c:pt idx="7">
                        <c:v>45526</c:v>
                      </c:pt>
                      <c:pt idx="8">
                        <c:v>45533</c:v>
                      </c:pt>
                      <c:pt idx="9">
                        <c:v>45540</c:v>
                      </c:pt>
                      <c:pt idx="10">
                        <c:v>45547</c:v>
                      </c:pt>
                      <c:pt idx="11">
                        <c:v>45554</c:v>
                      </c:pt>
                      <c:pt idx="12">
                        <c:v>45561</c:v>
                      </c:pt>
                      <c:pt idx="13">
                        <c:v>45568</c:v>
                      </c:pt>
                      <c:pt idx="14">
                        <c:v>45575</c:v>
                      </c:pt>
                      <c:pt idx="15">
                        <c:v>45582</c:v>
                      </c:pt>
                      <c:pt idx="16">
                        <c:v>45589</c:v>
                      </c:pt>
                      <c:pt idx="17">
                        <c:v>45596</c:v>
                      </c:pt>
                      <c:pt idx="18">
                        <c:v>45603</c:v>
                      </c:pt>
                      <c:pt idx="19">
                        <c:v>45610</c:v>
                      </c:pt>
                      <c:pt idx="20">
                        <c:v>45617</c:v>
                      </c:pt>
                      <c:pt idx="21">
                        <c:v>45624</c:v>
                      </c:pt>
                      <c:pt idx="22">
                        <c:v>45631</c:v>
                      </c:pt>
                      <c:pt idx="23">
                        <c:v>45638</c:v>
                      </c:pt>
                      <c:pt idx="24">
                        <c:v>45645</c:v>
                      </c:pt>
                      <c:pt idx="25">
                        <c:v>45652</c:v>
                      </c:pt>
                      <c:pt idx="26">
                        <c:v>45659</c:v>
                      </c:pt>
                      <c:pt idx="27">
                        <c:v>45666</c:v>
                      </c:pt>
                      <c:pt idx="28">
                        <c:v>45673</c:v>
                      </c:pt>
                      <c:pt idx="29">
                        <c:v>45680</c:v>
                      </c:pt>
                      <c:pt idx="30">
                        <c:v>45687</c:v>
                      </c:pt>
                      <c:pt idx="31">
                        <c:v>45694</c:v>
                      </c:pt>
                      <c:pt idx="32">
                        <c:v>45701</c:v>
                      </c:pt>
                      <c:pt idx="33">
                        <c:v>45708</c:v>
                      </c:pt>
                      <c:pt idx="34">
                        <c:v>45715</c:v>
                      </c:pt>
                      <c:pt idx="35">
                        <c:v>45722</c:v>
                      </c:pt>
                      <c:pt idx="36">
                        <c:v>45729</c:v>
                      </c:pt>
                      <c:pt idx="37">
                        <c:v>45736</c:v>
                      </c:pt>
                      <c:pt idx="38">
                        <c:v>45743</c:v>
                      </c:pt>
                      <c:pt idx="39">
                        <c:v>45750</c:v>
                      </c:pt>
                      <c:pt idx="40">
                        <c:v>45757</c:v>
                      </c:pt>
                      <c:pt idx="41">
                        <c:v>45764</c:v>
                      </c:pt>
                      <c:pt idx="42">
                        <c:v>45771</c:v>
                      </c:pt>
                      <c:pt idx="43">
                        <c:v>45778</c:v>
                      </c:pt>
                      <c:pt idx="44">
                        <c:v>45785</c:v>
                      </c:pt>
                      <c:pt idx="45">
                        <c:v>45792</c:v>
                      </c:pt>
                      <c:pt idx="46">
                        <c:v>45799</c:v>
                      </c:pt>
                      <c:pt idx="47">
                        <c:v>45806</c:v>
                      </c:pt>
                      <c:pt idx="48">
                        <c:v>45813</c:v>
                      </c:pt>
                      <c:pt idx="49">
                        <c:v>45820</c:v>
                      </c:pt>
                      <c:pt idx="50">
                        <c:v>45827</c:v>
                      </c:pt>
                      <c:pt idx="51">
                        <c:v>45834</c:v>
                      </c:pt>
                    </c:numCache>
                  </c:numRef>
                </c:cat>
                <c:val>
                  <c:numRef>
                    <c:extLst xmlns:c15="http://schemas.microsoft.com/office/drawing/2012/chart">
                      <c:ext xmlns:c15="http://schemas.microsoft.com/office/drawing/2012/chart" uri="{02D57815-91ED-43cb-92C2-25804820EDAC}">
                        <c15:formulaRef>
                          <c15:sqref>'PBL OLD'!$DF$8:$DF$60</c15:sqref>
                        </c15:formulaRef>
                      </c:ext>
                    </c:extLst>
                    <c:numCache>
                      <c:formatCode>0.000</c:formatCode>
                      <c:ptCount val="53"/>
                      <c:pt idx="0">
                        <c:v>0.10288241710741779</c:v>
                      </c:pt>
                      <c:pt idx="1">
                        <c:v>0.20576483421483557</c:v>
                      </c:pt>
                      <c:pt idx="2">
                        <c:v>0.30864725132225335</c:v>
                      </c:pt>
                      <c:pt idx="3">
                        <c:v>0.41152966842967115</c:v>
                      </c:pt>
                      <c:pt idx="4">
                        <c:v>0.51441208553708895</c:v>
                      </c:pt>
                      <c:pt idx="5">
                        <c:v>0.61729450264450669</c:v>
                      </c:pt>
                      <c:pt idx="6">
                        <c:v>0.72017691975192444</c:v>
                      </c:pt>
                      <c:pt idx="7">
                        <c:v>0.82305933685934218</c:v>
                      </c:pt>
                      <c:pt idx="8">
                        <c:v>0.92594175396675993</c:v>
                      </c:pt>
                      <c:pt idx="9">
                        <c:v>1.0288241710741777</c:v>
                      </c:pt>
                      <c:pt idx="10">
                        <c:v>1.1317065881815955</c:v>
                      </c:pt>
                      <c:pt idx="11">
                        <c:v>1.2345890052890134</c:v>
                      </c:pt>
                      <c:pt idx="12">
                        <c:v>1.3374714223964312</c:v>
                      </c:pt>
                      <c:pt idx="13">
                        <c:v>1.4403538395038491</c:v>
                      </c:pt>
                      <c:pt idx="14">
                        <c:v>1.543236256611267</c:v>
                      </c:pt>
                      <c:pt idx="15">
                        <c:v>1.6461186737186848</c:v>
                      </c:pt>
                      <c:pt idx="16">
                        <c:v>1.7490010908261027</c:v>
                      </c:pt>
                      <c:pt idx="17">
                        <c:v>1.8518835079335205</c:v>
                      </c:pt>
                      <c:pt idx="18">
                        <c:v>1.9547659250409384</c:v>
                      </c:pt>
                      <c:pt idx="19">
                        <c:v>2.0576483421483562</c:v>
                      </c:pt>
                      <c:pt idx="20">
                        <c:v>2.1605307592557739</c:v>
                      </c:pt>
                      <c:pt idx="21">
                        <c:v>2.2634131763631915</c:v>
                      </c:pt>
                      <c:pt idx="22">
                        <c:v>2.3662955934706091</c:v>
                      </c:pt>
                      <c:pt idx="23">
                        <c:v>2.4691780105780268</c:v>
                      </c:pt>
                      <c:pt idx="24">
                        <c:v>2.5720604276854444</c:v>
                      </c:pt>
                      <c:pt idx="25">
                        <c:v>2.674942844792862</c:v>
                      </c:pt>
                      <c:pt idx="26">
                        <c:v>2.7778252619002797</c:v>
                      </c:pt>
                      <c:pt idx="27">
                        <c:v>2.8807076790076973</c:v>
                      </c:pt>
                      <c:pt idx="28">
                        <c:v>2.9835900961151149</c:v>
                      </c:pt>
                      <c:pt idx="29">
                        <c:v>3.0864725132225326</c:v>
                      </c:pt>
                      <c:pt idx="30">
                        <c:v>3.1893549303299502</c:v>
                      </c:pt>
                      <c:pt idx="31">
                        <c:v>3.2922373474373678</c:v>
                      </c:pt>
                      <c:pt idx="32">
                        <c:v>3.3951197645447855</c:v>
                      </c:pt>
                      <c:pt idx="33">
                        <c:v>3.4980021816522031</c:v>
                      </c:pt>
                      <c:pt idx="34">
                        <c:v>3.6008845987596207</c:v>
                      </c:pt>
                      <c:pt idx="35">
                        <c:v>3.7037670158670384</c:v>
                      </c:pt>
                      <c:pt idx="36">
                        <c:v>3.806649432974456</c:v>
                      </c:pt>
                      <c:pt idx="37">
                        <c:v>3.9095318500818736</c:v>
                      </c:pt>
                      <c:pt idx="38">
                        <c:v>4.0124142671892917</c:v>
                      </c:pt>
                      <c:pt idx="39">
                        <c:v>4.1152966842967098</c:v>
                      </c:pt>
                      <c:pt idx="40">
                        <c:v>4.2181791014041279</c:v>
                      </c:pt>
                      <c:pt idx="41">
                        <c:v>4.321061518511546</c:v>
                      </c:pt>
                      <c:pt idx="42">
                        <c:v>4.423943935618964</c:v>
                      </c:pt>
                      <c:pt idx="43">
                        <c:v>4.5268263527263821</c:v>
                      </c:pt>
                      <c:pt idx="44">
                        <c:v>4.6297087698338002</c:v>
                      </c:pt>
                      <c:pt idx="45">
                        <c:v>4.7325911869412183</c:v>
                      </c:pt>
                      <c:pt idx="46">
                        <c:v>4.8354736040486364</c:v>
                      </c:pt>
                      <c:pt idx="47">
                        <c:v>4.9383560211560544</c:v>
                      </c:pt>
                      <c:pt idx="48">
                        <c:v>5.0412384382634725</c:v>
                      </c:pt>
                      <c:pt idx="49">
                        <c:v>5.1441208553708906</c:v>
                      </c:pt>
                      <c:pt idx="50">
                        <c:v>5.2470032724783087</c:v>
                      </c:pt>
                      <c:pt idx="51">
                        <c:v>5.3498856895857267</c:v>
                      </c:pt>
                    </c:numCache>
                  </c:numRef>
                </c:val>
                <c:smooth val="0"/>
                <c:extLst xmlns:c15="http://schemas.microsoft.com/office/drawing/2012/chart">
                  <c:ext xmlns:c16="http://schemas.microsoft.com/office/drawing/2014/chart" uri="{C3380CC4-5D6E-409C-BE32-E72D297353CC}">
                    <c16:uniqueId val="{0000000B-DF5C-4E09-B109-7000B6A71E8E}"/>
                  </c:ext>
                </c:extLst>
              </c15:ser>
            </c15:filteredLineSeries>
          </c:ext>
        </c:extLst>
      </c:lineChart>
      <c:dateAx>
        <c:axId val="1388952432"/>
        <c:scaling>
          <c:orientation val="minMax"/>
        </c:scaling>
        <c:delete val="0"/>
        <c:axPos val="b"/>
        <c:numFmt formatCode="mmm\-yy_);\(###0\);&quot;-  &quot;;&quot; &quot;@&quot; &quot;" sourceLinked="0"/>
        <c:majorTickMark val="none"/>
        <c:minorTickMark val="none"/>
        <c:tickLblPos val="nextTo"/>
        <c:spPr>
          <a:noFill/>
          <a:ln w="9525" cap="flat" cmpd="sng" algn="ctr">
            <a:noFill/>
            <a:round/>
          </a:ln>
          <a:effectLst/>
        </c:spPr>
        <c:txPr>
          <a:bodyPr rot="-5400000" vert="horz"/>
          <a:lstStyle/>
          <a:p>
            <a:pPr>
              <a:defRPr/>
            </a:pPr>
            <a:endParaRPr lang="en-US"/>
          </a:p>
        </c:txPr>
        <c:crossAx val="1388953088"/>
        <c:crosses val="autoZero"/>
        <c:auto val="1"/>
        <c:lblOffset val="100"/>
        <c:baseTimeUnit val="days"/>
        <c:majorUnit val="1"/>
        <c:majorTimeUnit val="months"/>
      </c:dateAx>
      <c:valAx>
        <c:axId val="1388953088"/>
        <c:scaling>
          <c:orientation val="minMax"/>
          <c:max val="4.5"/>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vert="horz"/>
          <a:lstStyle/>
          <a:p>
            <a:pPr>
              <a:defRPr/>
            </a:pPr>
            <a:endParaRPr lang="en-US"/>
          </a:p>
        </c:txPr>
        <c:crossAx val="1388952432"/>
        <c:crosses val="autoZero"/>
        <c:crossBetween val="between"/>
      </c:valAx>
    </c:plotArea>
    <c:legend>
      <c:legendPos val="b"/>
      <c:legendEntry>
        <c:idx val="1"/>
        <c:delete val="1"/>
      </c:legendEntry>
      <c:legendEntry>
        <c:idx val="3"/>
        <c:delete val="1"/>
      </c:legendEntry>
      <c:legendEntry>
        <c:idx val="4"/>
        <c:delete val="1"/>
      </c:legendEntry>
      <c:legendEntry>
        <c:idx val="5"/>
        <c:delete val="1"/>
      </c:legendEntry>
      <c:overlay val="0"/>
      <c:spPr>
        <a:noFill/>
        <a:ln>
          <a:noFill/>
        </a:ln>
        <a:effectLst/>
      </c:spPr>
      <c:txPr>
        <a:bodyPr rot="0" vert="horz"/>
        <a:lstStyle/>
        <a:p>
          <a:pPr>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orientation="portrait"/>
  </c:printSettings>
</c:chartSpace>
</file>

<file path=xl/charts/chart1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'PBL OLD'!$CU$6:$CU$7</c:f>
              <c:strCache>
                <c:ptCount val="2"/>
                <c:pt idx="0">
                  <c:v>Actual</c:v>
                </c:pt>
              </c:strCache>
            </c:strRef>
          </c:tx>
          <c:spPr>
            <a:ln>
              <a:solidFill>
                <a:schemeClr val="tx2"/>
              </a:solidFill>
            </a:ln>
          </c:spPr>
          <c:marker>
            <c:symbol val="none"/>
          </c:marker>
          <c:cat>
            <c:numRef>
              <c:f>'PBL OLD'!$FL$8:$FL$60</c:f>
              <c:numCache>
                <c:formatCode>d\-mmm\-yy_);\(###0\);"-  ";" "@" "</c:formatCode>
                <c:ptCount val="53"/>
                <c:pt idx="0">
                  <c:v>45841</c:v>
                </c:pt>
                <c:pt idx="1">
                  <c:v>45848</c:v>
                </c:pt>
                <c:pt idx="2">
                  <c:v>45855</c:v>
                </c:pt>
                <c:pt idx="3">
                  <c:v>45862</c:v>
                </c:pt>
                <c:pt idx="4">
                  <c:v>45869</c:v>
                </c:pt>
                <c:pt idx="5">
                  <c:v>45876</c:v>
                </c:pt>
                <c:pt idx="6">
                  <c:v>45883</c:v>
                </c:pt>
                <c:pt idx="7">
                  <c:v>45890</c:v>
                </c:pt>
                <c:pt idx="8">
                  <c:v>45897</c:v>
                </c:pt>
                <c:pt idx="9">
                  <c:v>45904</c:v>
                </c:pt>
                <c:pt idx="10">
                  <c:v>45911</c:v>
                </c:pt>
                <c:pt idx="11">
                  <c:v>45918</c:v>
                </c:pt>
                <c:pt idx="12">
                  <c:v>45925</c:v>
                </c:pt>
                <c:pt idx="13">
                  <c:v>45932</c:v>
                </c:pt>
                <c:pt idx="14">
                  <c:v>45939</c:v>
                </c:pt>
                <c:pt idx="15">
                  <c:v>45946</c:v>
                </c:pt>
                <c:pt idx="16">
                  <c:v>45953</c:v>
                </c:pt>
                <c:pt idx="17">
                  <c:v>45960</c:v>
                </c:pt>
                <c:pt idx="18">
                  <c:v>45967</c:v>
                </c:pt>
                <c:pt idx="19">
                  <c:v>45974</c:v>
                </c:pt>
                <c:pt idx="20">
                  <c:v>45981</c:v>
                </c:pt>
                <c:pt idx="21">
                  <c:v>45988</c:v>
                </c:pt>
                <c:pt idx="22">
                  <c:v>45995</c:v>
                </c:pt>
                <c:pt idx="23">
                  <c:v>46002</c:v>
                </c:pt>
                <c:pt idx="24">
                  <c:v>46009</c:v>
                </c:pt>
                <c:pt idx="25">
                  <c:v>46016</c:v>
                </c:pt>
              </c:numCache>
            </c:numRef>
          </c:cat>
          <c:val>
            <c:numRef>
              <c:f>'PBL OLD'!$FM$8:$FM$60</c:f>
              <c:numCache>
                <c:formatCode>0.000</c:formatCode>
                <c:ptCount val="53"/>
                <c:pt idx="0">
                  <c:v>2.7363571392640895E-2</c:v>
                </c:pt>
                <c:pt idx="1">
                  <c:v>6.9103400977044371E-2</c:v>
                </c:pt>
                <c:pt idx="2">
                  <c:v>0.12094884715456784</c:v>
                </c:pt>
                <c:pt idx="3">
                  <c:v>0.18174940468201475</c:v>
                </c:pt>
                <c:pt idx="4">
                  <c:v>0.20861682392960276</c:v>
                </c:pt>
                <c:pt idx="5">
                  <c:v>0.24776279176671767</c:v>
                </c:pt>
                <c:pt idx="6">
                  <c:v>0.30199165700858344</c:v>
                </c:pt>
                <c:pt idx="7">
                  <c:v>0.36537692849224829</c:v>
                </c:pt>
                <c:pt idx="8">
                  <c:v>0.45506235485381591</c:v>
                </c:pt>
                <c:pt idx="9">
                  <c:v>0.59242059367835509</c:v>
                </c:pt>
                <c:pt idx="10">
                  <c:v>0.6200240218505555</c:v>
                </c:pt>
                <c:pt idx="11">
                  <c:v>0.66169152422729383</c:v>
                </c:pt>
                <c:pt idx="12">
                  <c:v>0.71608250840628107</c:v>
                </c:pt>
                <c:pt idx="13">
                  <c:v>0.78060292673138598</c:v>
                </c:pt>
                <c:pt idx="14">
                  <c:v>0.87198709947887409</c:v>
                </c:pt>
                <c:pt idx="15">
                  <c:v>0.90088765549244787</c:v>
                </c:pt>
                <c:pt idx="16">
                  <c:v>0.94413120426934583</c:v>
                </c:pt>
                <c:pt idx="17">
                  <c:v>0.99803686698782346</c:v>
                </c:pt>
                <c:pt idx="18">
                  <c:v>1.0670066596328251</c:v>
                </c:pt>
                <c:pt idx="19">
                  <c:v>1.1661566498179092</c:v>
                </c:pt>
                <c:pt idx="20">
                  <c:v>1.1988021588869033</c:v>
                </c:pt>
                <c:pt idx="21">
                  <c:v>1.2300273550067382</c:v>
                </c:pt>
                <c:pt idx="22">
                  <c:v>1.2604920006417746</c:v>
                </c:pt>
                <c:pt idx="23">
                  <c:v>1.3031097435807781</c:v>
                </c:pt>
                <c:pt idx="24">
                  <c:v>1.3454875933339994</c:v>
                </c:pt>
                <c:pt idx="25">
                  <c:v>1.4110872544968049</c:v>
                </c:pt>
              </c:numCache>
            </c:numRef>
          </c:val>
          <c:smooth val="0"/>
          <c:extLst>
            <c:ext xmlns:c16="http://schemas.microsoft.com/office/drawing/2014/chart" uri="{C3380CC4-5D6E-409C-BE32-E72D297353CC}">
              <c16:uniqueId val="{00000000-F990-4A7C-A5BA-F162D68FF575}"/>
            </c:ext>
          </c:extLst>
        </c:ser>
        <c:ser>
          <c:idx val="7"/>
          <c:order val="1"/>
          <c:tx>
            <c:strRef>
              <c:f>'PBL OLD'!$CX$6:$CX$7</c:f>
              <c:strCache>
                <c:ptCount val="2"/>
                <c:pt idx="0">
                  <c:v>5th Percentile</c:v>
                </c:pt>
              </c:strCache>
            </c:strRef>
          </c:tx>
          <c:spPr>
            <a:ln w="19050">
              <a:solidFill>
                <a:schemeClr val="bg2">
                  <a:lumMod val="60000"/>
                  <a:lumOff val="40000"/>
                </a:schemeClr>
              </a:solidFill>
              <a:prstDash val="sysDot"/>
            </a:ln>
          </c:spPr>
          <c:marker>
            <c:symbol val="none"/>
          </c:marker>
          <c:cat>
            <c:numRef>
              <c:f>'PBL OLD'!$FL$8:$FL$60</c:f>
              <c:numCache>
                <c:formatCode>d\-mmm\-yy_);\(###0\);"-  ";" "@" "</c:formatCode>
                <c:ptCount val="53"/>
                <c:pt idx="0">
                  <c:v>45841</c:v>
                </c:pt>
                <c:pt idx="1">
                  <c:v>45848</c:v>
                </c:pt>
                <c:pt idx="2">
                  <c:v>45855</c:v>
                </c:pt>
                <c:pt idx="3">
                  <c:v>45862</c:v>
                </c:pt>
                <c:pt idx="4">
                  <c:v>45869</c:v>
                </c:pt>
                <c:pt idx="5">
                  <c:v>45876</c:v>
                </c:pt>
                <c:pt idx="6">
                  <c:v>45883</c:v>
                </c:pt>
                <c:pt idx="7">
                  <c:v>45890</c:v>
                </c:pt>
                <c:pt idx="8">
                  <c:v>45897</c:v>
                </c:pt>
                <c:pt idx="9">
                  <c:v>45904</c:v>
                </c:pt>
                <c:pt idx="10">
                  <c:v>45911</c:v>
                </c:pt>
                <c:pt idx="11">
                  <c:v>45918</c:v>
                </c:pt>
                <c:pt idx="12">
                  <c:v>45925</c:v>
                </c:pt>
                <c:pt idx="13">
                  <c:v>45932</c:v>
                </c:pt>
                <c:pt idx="14">
                  <c:v>45939</c:v>
                </c:pt>
                <c:pt idx="15">
                  <c:v>45946</c:v>
                </c:pt>
                <c:pt idx="16">
                  <c:v>45953</c:v>
                </c:pt>
                <c:pt idx="17">
                  <c:v>45960</c:v>
                </c:pt>
                <c:pt idx="18">
                  <c:v>45967</c:v>
                </c:pt>
                <c:pt idx="19">
                  <c:v>45974</c:v>
                </c:pt>
                <c:pt idx="20">
                  <c:v>45981</c:v>
                </c:pt>
                <c:pt idx="21">
                  <c:v>45988</c:v>
                </c:pt>
                <c:pt idx="22">
                  <c:v>45995</c:v>
                </c:pt>
                <c:pt idx="23">
                  <c:v>46002</c:v>
                </c:pt>
                <c:pt idx="24">
                  <c:v>46009</c:v>
                </c:pt>
                <c:pt idx="25">
                  <c:v>46016</c:v>
                </c:pt>
              </c:numCache>
            </c:numRef>
          </c:cat>
          <c:val>
            <c:numRef>
              <c:f>'PBL OLD'!$FP$8:$FP$60</c:f>
              <c:numCache>
                <c:formatCode>0.000</c:formatCode>
                <c:ptCount val="53"/>
                <c:pt idx="0">
                  <c:v>4.5397175090041493E-2</c:v>
                </c:pt>
                <c:pt idx="1">
                  <c:v>9.0794350180082986E-2</c:v>
                </c:pt>
                <c:pt idx="2">
                  <c:v>0.13619152527012449</c:v>
                </c:pt>
                <c:pt idx="3">
                  <c:v>0.18158870036016597</c:v>
                </c:pt>
                <c:pt idx="4">
                  <c:v>0.22698587545020746</c:v>
                </c:pt>
                <c:pt idx="5">
                  <c:v>0.27238305054024897</c:v>
                </c:pt>
                <c:pt idx="6">
                  <c:v>0.31778022563029046</c:v>
                </c:pt>
                <c:pt idx="7">
                  <c:v>0.36317740072033194</c:v>
                </c:pt>
                <c:pt idx="8">
                  <c:v>0.40857457581037343</c:v>
                </c:pt>
                <c:pt idx="9">
                  <c:v>0.45397175090041492</c:v>
                </c:pt>
                <c:pt idx="10">
                  <c:v>0.4993689259904564</c:v>
                </c:pt>
                <c:pt idx="11">
                  <c:v>0.54476610108049794</c:v>
                </c:pt>
                <c:pt idx="12">
                  <c:v>0.59016327617053943</c:v>
                </c:pt>
                <c:pt idx="13">
                  <c:v>0.63556045126058092</c:v>
                </c:pt>
                <c:pt idx="14">
                  <c:v>0.6809576263506224</c:v>
                </c:pt>
                <c:pt idx="15">
                  <c:v>0.72635480144066389</c:v>
                </c:pt>
                <c:pt idx="16">
                  <c:v>0.77175197653070537</c:v>
                </c:pt>
                <c:pt idx="17">
                  <c:v>0.81714915162074686</c:v>
                </c:pt>
                <c:pt idx="18">
                  <c:v>0.86254632671078835</c:v>
                </c:pt>
                <c:pt idx="19">
                  <c:v>0.90794350180082983</c:v>
                </c:pt>
                <c:pt idx="20">
                  <c:v>0.95334067689087132</c:v>
                </c:pt>
                <c:pt idx="21">
                  <c:v>0.99873785198091281</c:v>
                </c:pt>
                <c:pt idx="22">
                  <c:v>1.0441350270709544</c:v>
                </c:pt>
                <c:pt idx="23">
                  <c:v>1.0895322021609959</c:v>
                </c:pt>
                <c:pt idx="24">
                  <c:v>1.1349293772510374</c:v>
                </c:pt>
                <c:pt idx="25">
                  <c:v>1.1803265523410789</c:v>
                </c:pt>
              </c:numCache>
            </c:numRef>
          </c:val>
          <c:smooth val="0"/>
          <c:extLst xmlns:c15="http://schemas.microsoft.com/office/drawing/2012/chart">
            <c:ext xmlns:c16="http://schemas.microsoft.com/office/drawing/2014/chart" uri="{C3380CC4-5D6E-409C-BE32-E72D297353CC}">
              <c16:uniqueId val="{00000001-F990-4A7C-A5BA-F162D68FF575}"/>
            </c:ext>
          </c:extLst>
        </c:ser>
        <c:ser>
          <c:idx val="2"/>
          <c:order val="2"/>
          <c:tx>
            <c:v>5/25/50/75/95th percentile</c:v>
          </c:tx>
          <c:spPr>
            <a:ln w="19050">
              <a:solidFill>
                <a:schemeClr val="bg2">
                  <a:lumMod val="60000"/>
                  <a:lumOff val="40000"/>
                </a:schemeClr>
              </a:solidFill>
              <a:prstDash val="sysDot"/>
            </a:ln>
          </c:spPr>
          <c:marker>
            <c:symbol val="none"/>
          </c:marker>
          <c:cat>
            <c:numRef>
              <c:f>'PBL OLD'!$FL$8:$FL$60</c:f>
              <c:numCache>
                <c:formatCode>d\-mmm\-yy_);\(###0\);"-  ";" "@" "</c:formatCode>
                <c:ptCount val="53"/>
                <c:pt idx="0">
                  <c:v>45841</c:v>
                </c:pt>
                <c:pt idx="1">
                  <c:v>45848</c:v>
                </c:pt>
                <c:pt idx="2">
                  <c:v>45855</c:v>
                </c:pt>
                <c:pt idx="3">
                  <c:v>45862</c:v>
                </c:pt>
                <c:pt idx="4">
                  <c:v>45869</c:v>
                </c:pt>
                <c:pt idx="5">
                  <c:v>45876</c:v>
                </c:pt>
                <c:pt idx="6">
                  <c:v>45883</c:v>
                </c:pt>
                <c:pt idx="7">
                  <c:v>45890</c:v>
                </c:pt>
                <c:pt idx="8">
                  <c:v>45897</c:v>
                </c:pt>
                <c:pt idx="9">
                  <c:v>45904</c:v>
                </c:pt>
                <c:pt idx="10">
                  <c:v>45911</c:v>
                </c:pt>
                <c:pt idx="11">
                  <c:v>45918</c:v>
                </c:pt>
                <c:pt idx="12">
                  <c:v>45925</c:v>
                </c:pt>
                <c:pt idx="13">
                  <c:v>45932</c:v>
                </c:pt>
                <c:pt idx="14">
                  <c:v>45939</c:v>
                </c:pt>
                <c:pt idx="15">
                  <c:v>45946</c:v>
                </c:pt>
                <c:pt idx="16">
                  <c:v>45953</c:v>
                </c:pt>
                <c:pt idx="17">
                  <c:v>45960</c:v>
                </c:pt>
                <c:pt idx="18">
                  <c:v>45967</c:v>
                </c:pt>
                <c:pt idx="19">
                  <c:v>45974</c:v>
                </c:pt>
                <c:pt idx="20">
                  <c:v>45981</c:v>
                </c:pt>
                <c:pt idx="21">
                  <c:v>45988</c:v>
                </c:pt>
                <c:pt idx="22">
                  <c:v>45995</c:v>
                </c:pt>
                <c:pt idx="23">
                  <c:v>46002</c:v>
                </c:pt>
                <c:pt idx="24">
                  <c:v>46009</c:v>
                </c:pt>
                <c:pt idx="25">
                  <c:v>46016</c:v>
                </c:pt>
              </c:numCache>
            </c:numRef>
          </c:cat>
          <c:val>
            <c:numRef>
              <c:f>'PBL OLD'!$FR$8:$FR$60</c:f>
              <c:numCache>
                <c:formatCode>0.000</c:formatCode>
                <c:ptCount val="53"/>
                <c:pt idx="0">
                  <c:v>5.1603631730858246E-2</c:v>
                </c:pt>
                <c:pt idx="1">
                  <c:v>0.10320726346171649</c:v>
                </c:pt>
                <c:pt idx="2">
                  <c:v>0.15481089519257474</c:v>
                </c:pt>
                <c:pt idx="3">
                  <c:v>0.20641452692343298</c:v>
                </c:pt>
                <c:pt idx="4">
                  <c:v>0.25801815865429123</c:v>
                </c:pt>
                <c:pt idx="5">
                  <c:v>0.30962179038514948</c:v>
                </c:pt>
                <c:pt idx="6">
                  <c:v>0.36122542211600772</c:v>
                </c:pt>
                <c:pt idx="7">
                  <c:v>0.41282905384686597</c:v>
                </c:pt>
                <c:pt idx="8">
                  <c:v>0.46443268557772421</c:v>
                </c:pt>
                <c:pt idx="9">
                  <c:v>0.51603631730858246</c:v>
                </c:pt>
                <c:pt idx="10">
                  <c:v>0.56763994903944071</c:v>
                </c:pt>
                <c:pt idx="11">
                  <c:v>0.61924358077029895</c:v>
                </c:pt>
                <c:pt idx="12">
                  <c:v>0.6708472125011572</c:v>
                </c:pt>
                <c:pt idx="13">
                  <c:v>0.72245084423201544</c:v>
                </c:pt>
                <c:pt idx="14">
                  <c:v>0.77405447596287369</c:v>
                </c:pt>
                <c:pt idx="15">
                  <c:v>0.82565810769373194</c:v>
                </c:pt>
                <c:pt idx="16">
                  <c:v>0.87726173942459018</c:v>
                </c:pt>
                <c:pt idx="17">
                  <c:v>0.92886537115544843</c:v>
                </c:pt>
                <c:pt idx="18">
                  <c:v>0.98046900288630667</c:v>
                </c:pt>
                <c:pt idx="19">
                  <c:v>1.0320726346171649</c:v>
                </c:pt>
                <c:pt idx="20">
                  <c:v>1.0836762663480233</c:v>
                </c:pt>
                <c:pt idx="21">
                  <c:v>1.1352798980788816</c:v>
                </c:pt>
                <c:pt idx="22">
                  <c:v>1.18688352980974</c:v>
                </c:pt>
                <c:pt idx="23">
                  <c:v>1.2384871615405983</c:v>
                </c:pt>
                <c:pt idx="24">
                  <c:v>1.2900907932714567</c:v>
                </c:pt>
                <c:pt idx="25">
                  <c:v>1.3416944250023151</c:v>
                </c:pt>
              </c:numCache>
            </c:numRef>
          </c:val>
          <c:smooth val="0"/>
          <c:extLst>
            <c:ext xmlns:c16="http://schemas.microsoft.com/office/drawing/2014/chart" uri="{C3380CC4-5D6E-409C-BE32-E72D297353CC}">
              <c16:uniqueId val="{00000002-F990-4A7C-A5BA-F162D68FF575}"/>
            </c:ext>
          </c:extLst>
        </c:ser>
        <c:ser>
          <c:idx val="4"/>
          <c:order val="3"/>
          <c:tx>
            <c:strRef>
              <c:f>'PBL OLD'!$DA$6:$DA$7</c:f>
              <c:strCache>
                <c:ptCount val="2"/>
                <c:pt idx="0">
                  <c:v>50th Percentile</c:v>
                </c:pt>
              </c:strCache>
            </c:strRef>
          </c:tx>
          <c:spPr>
            <a:ln w="19050" cap="rnd">
              <a:solidFill>
                <a:schemeClr val="bg2">
                  <a:lumMod val="60000"/>
                  <a:lumOff val="40000"/>
                </a:schemeClr>
              </a:solidFill>
              <a:prstDash val="sysDot"/>
              <a:round/>
            </a:ln>
            <a:effectLst/>
          </c:spPr>
          <c:marker>
            <c:symbol val="none"/>
          </c:marker>
          <c:cat>
            <c:numRef>
              <c:f>'PBL OLD'!$FL$8:$FL$60</c:f>
              <c:numCache>
                <c:formatCode>d\-mmm\-yy_);\(###0\);"-  ";" "@" "</c:formatCode>
                <c:ptCount val="53"/>
                <c:pt idx="0">
                  <c:v>45841</c:v>
                </c:pt>
                <c:pt idx="1">
                  <c:v>45848</c:v>
                </c:pt>
                <c:pt idx="2">
                  <c:v>45855</c:v>
                </c:pt>
                <c:pt idx="3">
                  <c:v>45862</c:v>
                </c:pt>
                <c:pt idx="4">
                  <c:v>45869</c:v>
                </c:pt>
                <c:pt idx="5">
                  <c:v>45876</c:v>
                </c:pt>
                <c:pt idx="6">
                  <c:v>45883</c:v>
                </c:pt>
                <c:pt idx="7">
                  <c:v>45890</c:v>
                </c:pt>
                <c:pt idx="8">
                  <c:v>45897</c:v>
                </c:pt>
                <c:pt idx="9">
                  <c:v>45904</c:v>
                </c:pt>
                <c:pt idx="10">
                  <c:v>45911</c:v>
                </c:pt>
                <c:pt idx="11">
                  <c:v>45918</c:v>
                </c:pt>
                <c:pt idx="12">
                  <c:v>45925</c:v>
                </c:pt>
                <c:pt idx="13">
                  <c:v>45932</c:v>
                </c:pt>
                <c:pt idx="14">
                  <c:v>45939</c:v>
                </c:pt>
                <c:pt idx="15">
                  <c:v>45946</c:v>
                </c:pt>
                <c:pt idx="16">
                  <c:v>45953</c:v>
                </c:pt>
                <c:pt idx="17">
                  <c:v>45960</c:v>
                </c:pt>
                <c:pt idx="18">
                  <c:v>45967</c:v>
                </c:pt>
                <c:pt idx="19">
                  <c:v>45974</c:v>
                </c:pt>
                <c:pt idx="20">
                  <c:v>45981</c:v>
                </c:pt>
                <c:pt idx="21">
                  <c:v>45988</c:v>
                </c:pt>
                <c:pt idx="22">
                  <c:v>45995</c:v>
                </c:pt>
                <c:pt idx="23">
                  <c:v>46002</c:v>
                </c:pt>
                <c:pt idx="24">
                  <c:v>46009</c:v>
                </c:pt>
                <c:pt idx="25">
                  <c:v>46016</c:v>
                </c:pt>
              </c:numCache>
            </c:numRef>
          </c:cat>
          <c:val>
            <c:numRef>
              <c:f>'PBL OLD'!$FS$8:$FS$60</c:f>
              <c:numCache>
                <c:formatCode>0.000</c:formatCode>
                <c:ptCount val="53"/>
                <c:pt idx="0">
                  <c:v>5.8043397021066458E-2</c:v>
                </c:pt>
                <c:pt idx="1">
                  <c:v>0.11608679404213292</c:v>
                </c:pt>
                <c:pt idx="2">
                  <c:v>0.17413019106319938</c:v>
                </c:pt>
                <c:pt idx="3">
                  <c:v>0.23217358808426583</c:v>
                </c:pt>
                <c:pt idx="4">
                  <c:v>0.29021698510533228</c:v>
                </c:pt>
                <c:pt idx="5">
                  <c:v>0.34826038212639876</c:v>
                </c:pt>
                <c:pt idx="6">
                  <c:v>0.40630377914746524</c:v>
                </c:pt>
                <c:pt idx="7">
                  <c:v>0.46434717616853172</c:v>
                </c:pt>
                <c:pt idx="8">
                  <c:v>0.52239057318959814</c:v>
                </c:pt>
                <c:pt idx="9">
                  <c:v>0.58043397021066456</c:v>
                </c:pt>
                <c:pt idx="10">
                  <c:v>0.63847736723173099</c:v>
                </c:pt>
                <c:pt idx="11">
                  <c:v>0.69652076425279741</c:v>
                </c:pt>
                <c:pt idx="12">
                  <c:v>0.75456416127386383</c:v>
                </c:pt>
                <c:pt idx="13">
                  <c:v>0.81260755829493025</c:v>
                </c:pt>
                <c:pt idx="14">
                  <c:v>0.87065095531599668</c:v>
                </c:pt>
                <c:pt idx="15">
                  <c:v>0.9286943523370631</c:v>
                </c:pt>
                <c:pt idx="16">
                  <c:v>0.98673774935812952</c:v>
                </c:pt>
                <c:pt idx="17">
                  <c:v>1.0447811463791961</c:v>
                </c:pt>
                <c:pt idx="18">
                  <c:v>1.1028245434002626</c:v>
                </c:pt>
                <c:pt idx="19">
                  <c:v>1.1608679404213291</c:v>
                </c:pt>
                <c:pt idx="20">
                  <c:v>1.2189113374423957</c:v>
                </c:pt>
                <c:pt idx="21">
                  <c:v>1.2769547344634622</c:v>
                </c:pt>
                <c:pt idx="22">
                  <c:v>1.3349981314845287</c:v>
                </c:pt>
                <c:pt idx="23">
                  <c:v>1.3930415285055953</c:v>
                </c:pt>
                <c:pt idx="24">
                  <c:v>1.4510849255266618</c:v>
                </c:pt>
                <c:pt idx="25">
                  <c:v>1.5091283225477283</c:v>
                </c:pt>
              </c:numCache>
            </c:numRef>
          </c:val>
          <c:smooth val="0"/>
          <c:extLst>
            <c:ext xmlns:c16="http://schemas.microsoft.com/office/drawing/2014/chart" uri="{C3380CC4-5D6E-409C-BE32-E72D297353CC}">
              <c16:uniqueId val="{00000003-F990-4A7C-A5BA-F162D68FF575}"/>
            </c:ext>
          </c:extLst>
        </c:ser>
        <c:ser>
          <c:idx val="6"/>
          <c:order val="4"/>
          <c:tx>
            <c:strRef>
              <c:f>'PBL OLD'!$DB$6:$DB$7</c:f>
              <c:strCache>
                <c:ptCount val="2"/>
                <c:pt idx="0">
                  <c:v>75th Percentile</c:v>
                </c:pt>
              </c:strCache>
            </c:strRef>
          </c:tx>
          <c:spPr>
            <a:ln>
              <a:solidFill>
                <a:schemeClr val="bg2">
                  <a:lumMod val="60000"/>
                  <a:lumOff val="40000"/>
                </a:schemeClr>
              </a:solidFill>
              <a:prstDash val="sysDot"/>
            </a:ln>
          </c:spPr>
          <c:marker>
            <c:symbol val="none"/>
          </c:marker>
          <c:cat>
            <c:numRef>
              <c:f>'PBL OLD'!$FL$8:$FL$60</c:f>
              <c:numCache>
                <c:formatCode>d\-mmm\-yy_);\(###0\);"-  ";" "@" "</c:formatCode>
                <c:ptCount val="53"/>
                <c:pt idx="0">
                  <c:v>45841</c:v>
                </c:pt>
                <c:pt idx="1">
                  <c:v>45848</c:v>
                </c:pt>
                <c:pt idx="2">
                  <c:v>45855</c:v>
                </c:pt>
                <c:pt idx="3">
                  <c:v>45862</c:v>
                </c:pt>
                <c:pt idx="4">
                  <c:v>45869</c:v>
                </c:pt>
                <c:pt idx="5">
                  <c:v>45876</c:v>
                </c:pt>
                <c:pt idx="6">
                  <c:v>45883</c:v>
                </c:pt>
                <c:pt idx="7">
                  <c:v>45890</c:v>
                </c:pt>
                <c:pt idx="8">
                  <c:v>45897</c:v>
                </c:pt>
                <c:pt idx="9">
                  <c:v>45904</c:v>
                </c:pt>
                <c:pt idx="10">
                  <c:v>45911</c:v>
                </c:pt>
                <c:pt idx="11">
                  <c:v>45918</c:v>
                </c:pt>
                <c:pt idx="12">
                  <c:v>45925</c:v>
                </c:pt>
                <c:pt idx="13">
                  <c:v>45932</c:v>
                </c:pt>
                <c:pt idx="14">
                  <c:v>45939</c:v>
                </c:pt>
                <c:pt idx="15">
                  <c:v>45946</c:v>
                </c:pt>
                <c:pt idx="16">
                  <c:v>45953</c:v>
                </c:pt>
                <c:pt idx="17">
                  <c:v>45960</c:v>
                </c:pt>
                <c:pt idx="18">
                  <c:v>45967</c:v>
                </c:pt>
                <c:pt idx="19">
                  <c:v>45974</c:v>
                </c:pt>
                <c:pt idx="20">
                  <c:v>45981</c:v>
                </c:pt>
                <c:pt idx="21">
                  <c:v>45988</c:v>
                </c:pt>
                <c:pt idx="22">
                  <c:v>45995</c:v>
                </c:pt>
                <c:pt idx="23">
                  <c:v>46002</c:v>
                </c:pt>
                <c:pt idx="24">
                  <c:v>46009</c:v>
                </c:pt>
                <c:pt idx="25">
                  <c:v>46016</c:v>
                </c:pt>
              </c:numCache>
            </c:numRef>
          </c:cat>
          <c:val>
            <c:numRef>
              <c:f>'PBL OLD'!$FT$8:$FT$60</c:f>
              <c:numCache>
                <c:formatCode>0.000</c:formatCode>
                <c:ptCount val="53"/>
                <c:pt idx="0">
                  <c:v>6.6707209392596042E-2</c:v>
                </c:pt>
                <c:pt idx="1">
                  <c:v>0.13341441878519208</c:v>
                </c:pt>
                <c:pt idx="2">
                  <c:v>0.20012162817778811</c:v>
                </c:pt>
                <c:pt idx="3">
                  <c:v>0.26682883757038417</c:v>
                </c:pt>
                <c:pt idx="4">
                  <c:v>0.33353604696298023</c:v>
                </c:pt>
                <c:pt idx="5">
                  <c:v>0.40024325635557628</c:v>
                </c:pt>
                <c:pt idx="6">
                  <c:v>0.46695046574817234</c:v>
                </c:pt>
                <c:pt idx="7">
                  <c:v>0.53365767514076834</c:v>
                </c:pt>
                <c:pt idx="8">
                  <c:v>0.60036488453336434</c:v>
                </c:pt>
                <c:pt idx="9">
                  <c:v>0.66707209392596034</c:v>
                </c:pt>
                <c:pt idx="10">
                  <c:v>0.73377930331855634</c:v>
                </c:pt>
                <c:pt idx="11">
                  <c:v>0.80048651271115234</c:v>
                </c:pt>
                <c:pt idx="12">
                  <c:v>0.86719372210374834</c:v>
                </c:pt>
                <c:pt idx="13">
                  <c:v>0.93390093149634434</c:v>
                </c:pt>
                <c:pt idx="14">
                  <c:v>1.0006081408889405</c:v>
                </c:pt>
                <c:pt idx="15">
                  <c:v>1.0673153502815365</c:v>
                </c:pt>
                <c:pt idx="16">
                  <c:v>1.1340225596741325</c:v>
                </c:pt>
                <c:pt idx="17">
                  <c:v>1.2007297690667285</c:v>
                </c:pt>
                <c:pt idx="18">
                  <c:v>1.2674369784593245</c:v>
                </c:pt>
                <c:pt idx="19">
                  <c:v>1.3341441878519205</c:v>
                </c:pt>
                <c:pt idx="20">
                  <c:v>1.4008513972445165</c:v>
                </c:pt>
                <c:pt idx="21">
                  <c:v>1.4675586066371125</c:v>
                </c:pt>
                <c:pt idx="22">
                  <c:v>1.5342658160297085</c:v>
                </c:pt>
                <c:pt idx="23">
                  <c:v>1.6009730254223045</c:v>
                </c:pt>
                <c:pt idx="24">
                  <c:v>1.6676802348149005</c:v>
                </c:pt>
                <c:pt idx="25">
                  <c:v>1.7343874442074965</c:v>
                </c:pt>
              </c:numCache>
            </c:numRef>
          </c:val>
          <c:smooth val="0"/>
          <c:extLst xmlns:c15="http://schemas.microsoft.com/office/drawing/2012/chart">
            <c:ext xmlns:c16="http://schemas.microsoft.com/office/drawing/2014/chart" uri="{C3380CC4-5D6E-409C-BE32-E72D297353CC}">
              <c16:uniqueId val="{00000004-F990-4A7C-A5BA-F162D68FF575}"/>
            </c:ext>
          </c:extLst>
        </c:ser>
        <c:ser>
          <c:idx val="8"/>
          <c:order val="5"/>
          <c:tx>
            <c:strRef>
              <c:f>'PBL OLD'!$FA$6:$FA$7</c:f>
              <c:strCache>
                <c:ptCount val="2"/>
                <c:pt idx="0">
                  <c:v>95th Percentile</c:v>
                </c:pt>
              </c:strCache>
            </c:strRef>
          </c:tx>
          <c:spPr>
            <a:ln w="19050" cap="rnd">
              <a:solidFill>
                <a:schemeClr val="bg2">
                  <a:lumMod val="60000"/>
                  <a:lumOff val="40000"/>
                </a:schemeClr>
              </a:solidFill>
              <a:prstDash val="sysDot"/>
              <a:round/>
            </a:ln>
            <a:effectLst/>
          </c:spPr>
          <c:marker>
            <c:symbol val="none"/>
          </c:marker>
          <c:cat>
            <c:numRef>
              <c:f>'PBL OLD'!$FL$8:$FL$60</c:f>
              <c:numCache>
                <c:formatCode>d\-mmm\-yy_);\(###0\);"-  ";" "@" "</c:formatCode>
                <c:ptCount val="53"/>
                <c:pt idx="0">
                  <c:v>45841</c:v>
                </c:pt>
                <c:pt idx="1">
                  <c:v>45848</c:v>
                </c:pt>
                <c:pt idx="2">
                  <c:v>45855</c:v>
                </c:pt>
                <c:pt idx="3">
                  <c:v>45862</c:v>
                </c:pt>
                <c:pt idx="4">
                  <c:v>45869</c:v>
                </c:pt>
                <c:pt idx="5">
                  <c:v>45876</c:v>
                </c:pt>
                <c:pt idx="6">
                  <c:v>45883</c:v>
                </c:pt>
                <c:pt idx="7">
                  <c:v>45890</c:v>
                </c:pt>
                <c:pt idx="8">
                  <c:v>45897</c:v>
                </c:pt>
                <c:pt idx="9">
                  <c:v>45904</c:v>
                </c:pt>
                <c:pt idx="10">
                  <c:v>45911</c:v>
                </c:pt>
                <c:pt idx="11">
                  <c:v>45918</c:v>
                </c:pt>
                <c:pt idx="12">
                  <c:v>45925</c:v>
                </c:pt>
                <c:pt idx="13">
                  <c:v>45932</c:v>
                </c:pt>
                <c:pt idx="14">
                  <c:v>45939</c:v>
                </c:pt>
                <c:pt idx="15">
                  <c:v>45946</c:v>
                </c:pt>
                <c:pt idx="16">
                  <c:v>45953</c:v>
                </c:pt>
                <c:pt idx="17">
                  <c:v>45960</c:v>
                </c:pt>
                <c:pt idx="18">
                  <c:v>45967</c:v>
                </c:pt>
                <c:pt idx="19">
                  <c:v>45974</c:v>
                </c:pt>
                <c:pt idx="20">
                  <c:v>45981</c:v>
                </c:pt>
                <c:pt idx="21">
                  <c:v>45988</c:v>
                </c:pt>
                <c:pt idx="22">
                  <c:v>45995</c:v>
                </c:pt>
                <c:pt idx="23">
                  <c:v>46002</c:v>
                </c:pt>
                <c:pt idx="24">
                  <c:v>46009</c:v>
                </c:pt>
                <c:pt idx="25">
                  <c:v>46016</c:v>
                </c:pt>
              </c:numCache>
            </c:numRef>
          </c:cat>
          <c:val>
            <c:numRef>
              <c:f>'PBL OLD'!$FV$8:$FV$60</c:f>
              <c:numCache>
                <c:formatCode>0.000</c:formatCode>
                <c:ptCount val="53"/>
                <c:pt idx="0">
                  <c:v>8.2309620944215067E-2</c:v>
                </c:pt>
                <c:pt idx="1">
                  <c:v>0.16461924188843013</c:v>
                </c:pt>
                <c:pt idx="2">
                  <c:v>0.2469288628326452</c:v>
                </c:pt>
                <c:pt idx="3">
                  <c:v>0.32923848377686027</c:v>
                </c:pt>
                <c:pt idx="4">
                  <c:v>0.41154810472107534</c:v>
                </c:pt>
                <c:pt idx="5">
                  <c:v>0.4938577256652904</c:v>
                </c:pt>
                <c:pt idx="6">
                  <c:v>0.57616734660950542</c:v>
                </c:pt>
                <c:pt idx="7">
                  <c:v>0.65847696755372054</c:v>
                </c:pt>
                <c:pt idx="8">
                  <c:v>0.74078658849793566</c:v>
                </c:pt>
                <c:pt idx="9">
                  <c:v>0.82309620944215078</c:v>
                </c:pt>
                <c:pt idx="10">
                  <c:v>0.90540583038636591</c:v>
                </c:pt>
                <c:pt idx="11">
                  <c:v>0.98771545133058103</c:v>
                </c:pt>
                <c:pt idx="12">
                  <c:v>1.0700250722747962</c:v>
                </c:pt>
                <c:pt idx="13">
                  <c:v>1.1523346932190113</c:v>
                </c:pt>
                <c:pt idx="14">
                  <c:v>1.2346443141632264</c:v>
                </c:pt>
                <c:pt idx="15">
                  <c:v>1.3169539351074415</c:v>
                </c:pt>
                <c:pt idx="16">
                  <c:v>1.3992635560516566</c:v>
                </c:pt>
                <c:pt idx="17">
                  <c:v>1.4815731769958718</c:v>
                </c:pt>
                <c:pt idx="18">
                  <c:v>1.5638827979400869</c:v>
                </c:pt>
                <c:pt idx="19">
                  <c:v>1.646192418884302</c:v>
                </c:pt>
                <c:pt idx="20">
                  <c:v>1.7285020398285171</c:v>
                </c:pt>
                <c:pt idx="21">
                  <c:v>1.8108116607727323</c:v>
                </c:pt>
                <c:pt idx="22">
                  <c:v>1.8931212817169474</c:v>
                </c:pt>
                <c:pt idx="23">
                  <c:v>1.9754309026611625</c:v>
                </c:pt>
                <c:pt idx="24">
                  <c:v>2.0577405236053776</c:v>
                </c:pt>
                <c:pt idx="25">
                  <c:v>2.1400501445495927</c:v>
                </c:pt>
              </c:numCache>
            </c:numRef>
          </c:val>
          <c:smooth val="0"/>
          <c:extLst xmlns:c15="http://schemas.microsoft.com/office/drawing/2012/chart">
            <c:ext xmlns:c16="http://schemas.microsoft.com/office/drawing/2014/chart" uri="{C3380CC4-5D6E-409C-BE32-E72D297353CC}">
              <c16:uniqueId val="{00000005-F990-4A7C-A5BA-F162D68FF575}"/>
            </c:ext>
          </c:extLst>
        </c:ser>
        <c:dLbls>
          <c:showLegendKey val="0"/>
          <c:showVal val="0"/>
          <c:showCatName val="0"/>
          <c:showSerName val="0"/>
          <c:showPercent val="0"/>
          <c:showBubbleSize val="0"/>
        </c:dLbls>
        <c:smooth val="0"/>
        <c:axId val="1388952432"/>
        <c:axId val="1388953088"/>
        <c:extLst/>
      </c:lineChart>
      <c:dateAx>
        <c:axId val="1388952432"/>
        <c:scaling>
          <c:orientation val="minMax"/>
        </c:scaling>
        <c:delete val="0"/>
        <c:axPos val="b"/>
        <c:numFmt formatCode="mmm\-yy_);\(###0\);&quot;-  &quot;;&quot; &quot;@&quot; &quot;" sourceLinked="0"/>
        <c:majorTickMark val="none"/>
        <c:minorTickMark val="none"/>
        <c:tickLblPos val="nextTo"/>
        <c:spPr>
          <a:noFill/>
          <a:ln w="9525" cap="flat" cmpd="sng" algn="ctr">
            <a:noFill/>
            <a:round/>
          </a:ln>
          <a:effectLst/>
        </c:spPr>
        <c:txPr>
          <a:bodyPr rot="-5400000" vert="horz"/>
          <a:lstStyle/>
          <a:p>
            <a:pPr>
              <a:defRPr/>
            </a:pPr>
            <a:endParaRPr lang="en-US"/>
          </a:p>
        </c:txPr>
        <c:crossAx val="1388953088"/>
        <c:crosses val="autoZero"/>
        <c:auto val="1"/>
        <c:lblOffset val="100"/>
        <c:baseTimeUnit val="days"/>
        <c:majorUnit val="1"/>
        <c:majorTimeUnit val="months"/>
      </c:dateAx>
      <c:valAx>
        <c:axId val="1388953088"/>
        <c:scaling>
          <c:orientation val="minMax"/>
          <c:max val="2.5"/>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vert="horz"/>
          <a:lstStyle/>
          <a:p>
            <a:pPr>
              <a:defRPr/>
            </a:pPr>
            <a:endParaRPr lang="en-US"/>
          </a:p>
        </c:txPr>
        <c:crossAx val="1388952432"/>
        <c:crosses val="autoZero"/>
        <c:crossBetween val="between"/>
      </c:valAx>
    </c:plotArea>
    <c:legend>
      <c:legendPos val="b"/>
      <c:legendEntry>
        <c:idx val="1"/>
        <c:delete val="1"/>
      </c:legendEntry>
      <c:legendEntry>
        <c:idx val="3"/>
        <c:delete val="1"/>
      </c:legendEntry>
      <c:legendEntry>
        <c:idx val="4"/>
        <c:delete val="1"/>
      </c:legendEntry>
      <c:legendEntry>
        <c:idx val="5"/>
        <c:delete val="1"/>
      </c:legendEntry>
      <c:overlay val="0"/>
      <c:spPr>
        <a:noFill/>
        <a:ln>
          <a:noFill/>
        </a:ln>
        <a:effectLst/>
      </c:spPr>
      <c:txPr>
        <a:bodyPr rot="0" vert="horz"/>
        <a:lstStyle/>
        <a:p>
          <a:pPr>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orientation="portrait"/>
  </c:printSettings>
</c:chartSpace>
</file>

<file path=xl/charts/chart1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'OZL Summary'!$KA$6</c:f>
              <c:strCache>
                <c:ptCount val="1"/>
                <c:pt idx="0">
                  <c:v>Actual</c:v>
                </c:pt>
              </c:strCache>
            </c:strRef>
          </c:tx>
          <c:spPr>
            <a:ln w="28575" cap="rnd">
              <a:solidFill>
                <a:schemeClr val="tx2"/>
              </a:solidFill>
              <a:round/>
            </a:ln>
            <a:effectLst/>
          </c:spPr>
          <c:marker>
            <c:symbol val="none"/>
          </c:marker>
          <c:cat>
            <c:numRef>
              <c:f>'OZL Summary'!$JZ$8:$JZ$59</c:f>
              <c:numCache>
                <c:formatCode>d\-mmm\-yy_);\(###0\);"-  ";" "@" "</c:formatCode>
                <c:ptCount val="52"/>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Summary'!$KA$8:$KA$59</c:f>
              <c:numCache>
                <c:formatCode>0.000</c:formatCode>
                <c:ptCount val="52"/>
                <c:pt idx="0">
                  <c:v>3.4282144018799997E-2</c:v>
                </c:pt>
                <c:pt idx="1">
                  <c:v>4.61727482976E-2</c:v>
                </c:pt>
                <c:pt idx="2">
                  <c:v>6.0744925144799997E-2</c:v>
                </c:pt>
                <c:pt idx="3">
                  <c:v>7.9887071887199998E-2</c:v>
                </c:pt>
                <c:pt idx="4">
                  <c:v>9.0591598206000004E-2</c:v>
                </c:pt>
                <c:pt idx="5">
                  <c:v>0.10471594425839999</c:v>
                </c:pt>
                <c:pt idx="6">
                  <c:v>0.13024126318319998</c:v>
                </c:pt>
                <c:pt idx="7">
                  <c:v>0.14299494069599997</c:v>
                </c:pt>
                <c:pt idx="8">
                  <c:v>0.15712274134439999</c:v>
                </c:pt>
                <c:pt idx="9">
                  <c:v>0.18211939192799997</c:v>
                </c:pt>
                <c:pt idx="10">
                  <c:v>0.21562528822559998</c:v>
                </c:pt>
                <c:pt idx="11">
                  <c:v>0.26312805598319994</c:v>
                </c:pt>
                <c:pt idx="12">
                  <c:v>0.27559419595559997</c:v>
                </c:pt>
                <c:pt idx="13">
                  <c:v>0.29338294713839996</c:v>
                </c:pt>
                <c:pt idx="14">
                  <c:v>0.31479798774239992</c:v>
                </c:pt>
                <c:pt idx="15">
                  <c:v>0.34138237064759991</c:v>
                </c:pt>
                <c:pt idx="16">
                  <c:v>0.38401116406199992</c:v>
                </c:pt>
                <c:pt idx="17">
                  <c:v>0.45353502371519994</c:v>
                </c:pt>
                <c:pt idx="18">
                  <c:v>0.46636884785519994</c:v>
                </c:pt>
                <c:pt idx="19">
                  <c:v>0.48057414660719988</c:v>
                </c:pt>
                <c:pt idx="20">
                  <c:v>0.50512031787239997</c:v>
                </c:pt>
                <c:pt idx="21">
                  <c:v>0.53195446806839985</c:v>
                </c:pt>
                <c:pt idx="22">
                  <c:v>0.57374874624239991</c:v>
                </c:pt>
                <c:pt idx="23">
                  <c:v>0.58543426267199994</c:v>
                </c:pt>
                <c:pt idx="24">
                  <c:v>0.59798193110999986</c:v>
                </c:pt>
                <c:pt idx="25">
                  <c:v>0.60953824564919989</c:v>
                </c:pt>
                <c:pt idx="26">
                  <c:v>0.62793005414039982</c:v>
                </c:pt>
                <c:pt idx="27">
                  <c:v>0.66085868744639986</c:v>
                </c:pt>
                <c:pt idx="28">
                  <c:v>0.70280784667439988</c:v>
                </c:pt>
                <c:pt idx="29">
                  <c:v>0.76647478426919979</c:v>
                </c:pt>
                <c:pt idx="30">
                  <c:v>0.77875598820239988</c:v>
                </c:pt>
                <c:pt idx="31">
                  <c:v>0.79341798454559986</c:v>
                </c:pt>
                <c:pt idx="32">
                  <c:v>0.81253514304359986</c:v>
                </c:pt>
                <c:pt idx="33">
                  <c:v>0.82340606573639985</c:v>
                </c:pt>
                <c:pt idx="34">
                  <c:v>0.84006470341439987</c:v>
                </c:pt>
                <c:pt idx="35">
                  <c:v>0.86433934343399987</c:v>
                </c:pt>
                <c:pt idx="36">
                  <c:v>0.87578580182039989</c:v>
                </c:pt>
                <c:pt idx="37">
                  <c:v>0.89565744408479986</c:v>
                </c:pt>
                <c:pt idx="38">
                  <c:v>0.90846581936759985</c:v>
                </c:pt>
                <c:pt idx="39">
                  <c:v>0.91858582836759983</c:v>
                </c:pt>
                <c:pt idx="40">
                  <c:v>0.93370152831879982</c:v>
                </c:pt>
                <c:pt idx="41">
                  <c:v>0.95559030918759991</c:v>
                </c:pt>
                <c:pt idx="42">
                  <c:v>0.98300771034159995</c:v>
                </c:pt>
                <c:pt idx="43">
                  <c:v>0.99433233664239995</c:v>
                </c:pt>
              </c:numCache>
            </c:numRef>
          </c:val>
          <c:smooth val="0"/>
          <c:extLst>
            <c:ext xmlns:c16="http://schemas.microsoft.com/office/drawing/2014/chart" uri="{C3380CC4-5D6E-409C-BE32-E72D297353CC}">
              <c16:uniqueId val="{00000000-251C-4A30-A70B-DD1DFD29CCA5}"/>
            </c:ext>
          </c:extLst>
        </c:ser>
        <c:ser>
          <c:idx val="7"/>
          <c:order val="1"/>
          <c:tx>
            <c:strRef>
              <c:f>'OZL Summary'!$KB$6</c:f>
              <c:strCache>
                <c:ptCount val="1"/>
                <c:pt idx="0">
                  <c:v>50th percentile from 6th May (jackpot = 5m)</c:v>
                </c:pt>
              </c:strCache>
            </c:strRef>
          </c:tx>
          <c:spPr>
            <a:ln w="28575" cap="rnd">
              <a:solidFill>
                <a:schemeClr val="accent1"/>
              </a:solidFill>
              <a:prstDash val="sysDot"/>
              <a:round/>
            </a:ln>
            <a:effectLst/>
          </c:spPr>
          <c:marker>
            <c:symbol val="none"/>
          </c:marker>
          <c:cat>
            <c:numRef>
              <c:f>'OZL Summary'!$JZ$8:$JZ$59</c:f>
              <c:numCache>
                <c:formatCode>d\-mmm\-yy_);\(###0\);"-  ";" "@" "</c:formatCode>
                <c:ptCount val="52"/>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Summary'!$KB$8:$KB$59</c:f>
              <c:numCache>
                <c:formatCode>0.000</c:formatCode>
                <c:ptCount val="52"/>
                <c:pt idx="43">
                  <c:v>0.99433233664239995</c:v>
                </c:pt>
                <c:pt idx="44">
                  <c:v>1.0121739119566751</c:v>
                </c:pt>
                <c:pt idx="45">
                  <c:v>1.0300154872709502</c:v>
                </c:pt>
                <c:pt idx="46">
                  <c:v>1.0478570625852253</c:v>
                </c:pt>
                <c:pt idx="47">
                  <c:v>1.0656986378995004</c:v>
                </c:pt>
                <c:pt idx="48">
                  <c:v>1.0835402132137755</c:v>
                </c:pt>
                <c:pt idx="49">
                  <c:v>1.1013817885280506</c:v>
                </c:pt>
                <c:pt idx="50">
                  <c:v>1.1192233638423257</c:v>
                </c:pt>
                <c:pt idx="51">
                  <c:v>1.1370649391566008</c:v>
                </c:pt>
              </c:numCache>
            </c:numRef>
          </c:val>
          <c:smooth val="0"/>
          <c:extLst xmlns:c15="http://schemas.microsoft.com/office/drawing/2012/chart">
            <c:ext xmlns:c16="http://schemas.microsoft.com/office/drawing/2014/chart" uri="{C3380CC4-5D6E-409C-BE32-E72D297353CC}">
              <c16:uniqueId val="{00000001-251C-4A30-A70B-DD1DFD29CCA5}"/>
            </c:ext>
          </c:extLst>
        </c:ser>
        <c:ser>
          <c:idx val="9"/>
          <c:order val="2"/>
          <c:tx>
            <c:strRef>
              <c:f>'OZL Summary'!$KC$6</c:f>
              <c:strCache>
                <c:ptCount val="1"/>
                <c:pt idx="0">
                  <c:v>50th percentile from 6th May (jackpot = 2m)</c:v>
                </c:pt>
              </c:strCache>
            </c:strRef>
          </c:tx>
          <c:spPr>
            <a:ln w="28575" cap="rnd">
              <a:solidFill>
                <a:schemeClr val="accent6"/>
              </a:solidFill>
              <a:prstDash val="sysDot"/>
              <a:round/>
            </a:ln>
            <a:effectLst/>
          </c:spPr>
          <c:marker>
            <c:symbol val="none"/>
          </c:marker>
          <c:cat>
            <c:numRef>
              <c:f>'OZL Summary'!$JZ$8:$JZ$59</c:f>
              <c:numCache>
                <c:formatCode>d\-mmm\-yy_);\(###0\);"-  ";" "@" "</c:formatCode>
                <c:ptCount val="52"/>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Summary'!$KC$8:$KC$59</c:f>
              <c:numCache>
                <c:formatCode>0.000</c:formatCode>
                <c:ptCount val="52"/>
                <c:pt idx="43">
                  <c:v>0.99433233664239995</c:v>
                </c:pt>
                <c:pt idx="44">
                  <c:v>1.0148530447166499</c:v>
                </c:pt>
                <c:pt idx="45">
                  <c:v>1.0353737527908999</c:v>
                </c:pt>
                <c:pt idx="46">
                  <c:v>1.0558944608651499</c:v>
                </c:pt>
                <c:pt idx="47">
                  <c:v>1.0764151689393999</c:v>
                </c:pt>
                <c:pt idx="48">
                  <c:v>1.0969358770136499</c:v>
                </c:pt>
                <c:pt idx="49">
                  <c:v>1.1174565850878999</c:v>
                </c:pt>
                <c:pt idx="50">
                  <c:v>1.1379772931621499</c:v>
                </c:pt>
                <c:pt idx="51">
                  <c:v>1.1584980012363999</c:v>
                </c:pt>
              </c:numCache>
            </c:numRef>
          </c:val>
          <c:smooth val="0"/>
          <c:extLst xmlns:c15="http://schemas.microsoft.com/office/drawing/2012/chart">
            <c:ext xmlns:c16="http://schemas.microsoft.com/office/drawing/2014/chart" uri="{C3380CC4-5D6E-409C-BE32-E72D297353CC}">
              <c16:uniqueId val="{00000002-251C-4A30-A70B-DD1DFD29CCA5}"/>
            </c:ext>
          </c:extLst>
        </c:ser>
        <c:dLbls>
          <c:showLegendKey val="0"/>
          <c:showVal val="0"/>
          <c:showCatName val="0"/>
          <c:showSerName val="0"/>
          <c:showPercent val="0"/>
          <c:showBubbleSize val="0"/>
        </c:dLbls>
        <c:smooth val="0"/>
        <c:axId val="1388952432"/>
        <c:axId val="1388953088"/>
        <c:extLst/>
      </c:lineChart>
      <c:dateAx>
        <c:axId val="1388952432"/>
        <c:scaling>
          <c:orientation val="minMax"/>
          <c:min val="44593"/>
        </c:scaling>
        <c:delete val="0"/>
        <c:axPos val="b"/>
        <c:numFmt formatCode="mmm\-yy" sourceLinked="0"/>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3088"/>
        <c:crosses val="autoZero"/>
        <c:auto val="1"/>
        <c:lblOffset val="100"/>
        <c:baseTimeUnit val="days"/>
        <c:majorUnit val="1"/>
        <c:majorTimeUnit val="months"/>
      </c:dateAx>
      <c:valAx>
        <c:axId val="1388953088"/>
        <c:scaling>
          <c:orientation val="minMax"/>
          <c:min val="0.8"/>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2432"/>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orientation="portrait"/>
  </c:printSettings>
  <c:userShapes r:id="rId1"/>
</c:chartSpace>
</file>

<file path=xl/charts/chart1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'OZL Summary'!$AD$6</c:f>
              <c:strCache>
                <c:ptCount val="1"/>
                <c:pt idx="0">
                  <c:v>FY18</c:v>
                </c:pt>
              </c:strCache>
            </c:strRef>
          </c:tx>
          <c:spPr>
            <a:ln w="28575">
              <a:solidFill>
                <a:schemeClr val="tx2"/>
              </a:solidFill>
            </a:ln>
          </c:spPr>
          <c:marker>
            <c:symbol val="none"/>
          </c:marker>
          <c:cat>
            <c:numRef>
              <c:f>'OZL Summary'!$AC$7:$AC$59</c:f>
              <c:numCache>
                <c:formatCode>General</c:formatCode>
                <c:ptCount val="5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numCache>
            </c:numRef>
          </c:cat>
          <c:val>
            <c:numRef>
              <c:f>'OZL Summary'!$AD$7:$AD$59</c:f>
              <c:numCache>
                <c:formatCode>_-* #,##0.000_-;\-* #,##0.000_-;_-* "-"??_-;_-@_-</c:formatCode>
                <c:ptCount val="53"/>
                <c:pt idx="0" formatCode="0.000">
                  <c:v>0</c:v>
                </c:pt>
                <c:pt idx="1">
                  <c:v>4.1865866715599998E-2</c:v>
                </c:pt>
                <c:pt idx="2">
                  <c:v>9.2468276110799996E-2</c:v>
                </c:pt>
                <c:pt idx="3">
                  <c:v>0.17050162431239999</c:v>
                </c:pt>
                <c:pt idx="4">
                  <c:v>0.18218560762799998</c:v>
                </c:pt>
                <c:pt idx="5">
                  <c:v>0.19622206621079999</c:v>
                </c:pt>
                <c:pt idx="6">
                  <c:v>0.206705392524</c:v>
                </c:pt>
                <c:pt idx="7">
                  <c:v>0.22251225534479999</c:v>
                </c:pt>
                <c:pt idx="8">
                  <c:v>0.24197346529559999</c:v>
                </c:pt>
                <c:pt idx="9">
                  <c:v>0.26554203590039999</c:v>
                </c:pt>
                <c:pt idx="10">
                  <c:v>0.30560372205479996</c:v>
                </c:pt>
                <c:pt idx="11">
                  <c:v>0.31474615115879995</c:v>
                </c:pt>
                <c:pt idx="12">
                  <c:v>0.32586301175039994</c:v>
                </c:pt>
                <c:pt idx="13">
                  <c:v>0.34525005072119991</c:v>
                </c:pt>
                <c:pt idx="14">
                  <c:v>0.36818554348439991</c:v>
                </c:pt>
                <c:pt idx="15">
                  <c:v>0.37907703840599988</c:v>
                </c:pt>
                <c:pt idx="16">
                  <c:v>0.39079274407919989</c:v>
                </c:pt>
                <c:pt idx="17">
                  <c:v>0.4074880611311999</c:v>
                </c:pt>
                <c:pt idx="18">
                  <c:v>0.42965856581759987</c:v>
                </c:pt>
                <c:pt idx="19">
                  <c:v>0.4716976502987999</c:v>
                </c:pt>
                <c:pt idx="20">
                  <c:v>0.52751667588119988</c:v>
                </c:pt>
                <c:pt idx="21">
                  <c:v>0.53745775527599982</c:v>
                </c:pt>
                <c:pt idx="22">
                  <c:v>0.5541113083607998</c:v>
                </c:pt>
                <c:pt idx="23">
                  <c:v>0.57557684640959983</c:v>
                </c:pt>
                <c:pt idx="24">
                  <c:v>0.60107546002319978</c:v>
                </c:pt>
                <c:pt idx="25">
                  <c:v>0.62906359405319978</c:v>
                </c:pt>
                <c:pt idx="26">
                  <c:v>0.6607169155871998</c:v>
                </c:pt>
                <c:pt idx="27">
                  <c:v>0.71433089498879976</c:v>
                </c:pt>
                <c:pt idx="28">
                  <c:v>0.72382888835999981</c:v>
                </c:pt>
                <c:pt idx="29">
                  <c:v>0.73498682826359973</c:v>
                </c:pt>
                <c:pt idx="30">
                  <c:v>0.74900423060999977</c:v>
                </c:pt>
                <c:pt idx="31">
                  <c:v>0.77073724062359972</c:v>
                </c:pt>
                <c:pt idx="32">
                  <c:v>0.78072316493399974</c:v>
                </c:pt>
                <c:pt idx="33">
                  <c:v>0.79333816521239975</c:v>
                </c:pt>
                <c:pt idx="34">
                  <c:v>0.8178297651359997</c:v>
                </c:pt>
                <c:pt idx="35">
                  <c:v>0.8417582361575997</c:v>
                </c:pt>
                <c:pt idx="36">
                  <c:v>0.87944485342319967</c:v>
                </c:pt>
                <c:pt idx="37">
                  <c:v>0.89012752850879973</c:v>
                </c:pt>
                <c:pt idx="38">
                  <c:v>0.90302380796519965</c:v>
                </c:pt>
                <c:pt idx="39">
                  <c:v>0.92330192567879976</c:v>
                </c:pt>
                <c:pt idx="40">
                  <c:v>0.93214002554639974</c:v>
                </c:pt>
                <c:pt idx="41">
                  <c:v>0.94608108883799968</c:v>
                </c:pt>
                <c:pt idx="42">
                  <c:v>0.96821918651159966</c:v>
                </c:pt>
                <c:pt idx="43">
                  <c:v>0.97848524890799959</c:v>
                </c:pt>
                <c:pt idx="44">
                  <c:v>0.99548797614479956</c:v>
                </c:pt>
                <c:pt idx="45">
                  <c:v>1.0121927642603996</c:v>
                </c:pt>
                <c:pt idx="46">
                  <c:v>1.0332556109423996</c:v>
                </c:pt>
                <c:pt idx="47">
                  <c:v>1.0422277891199996</c:v>
                </c:pt>
                <c:pt idx="48">
                  <c:v>1.0548498641687996</c:v>
                </c:pt>
                <c:pt idx="49">
                  <c:v>1.0721666199239996</c:v>
                </c:pt>
                <c:pt idx="50">
                  <c:v>1.0970216576495995</c:v>
                </c:pt>
                <c:pt idx="51">
                  <c:v>1.1065877742131995</c:v>
                </c:pt>
                <c:pt idx="52">
                  <c:v>1.1195470419479998</c:v>
                </c:pt>
              </c:numCache>
            </c:numRef>
          </c:val>
          <c:smooth val="0"/>
          <c:extLst>
            <c:ext xmlns:c16="http://schemas.microsoft.com/office/drawing/2014/chart" uri="{C3380CC4-5D6E-409C-BE32-E72D297353CC}">
              <c16:uniqueId val="{00000000-8B11-4F29-A1EE-D8DE7770325D}"/>
            </c:ext>
          </c:extLst>
        </c:ser>
        <c:ser>
          <c:idx val="1"/>
          <c:order val="1"/>
          <c:tx>
            <c:strRef>
              <c:f>'OZL Summary'!$AE$6</c:f>
              <c:strCache>
                <c:ptCount val="1"/>
                <c:pt idx="0">
                  <c:v>FY19</c:v>
                </c:pt>
              </c:strCache>
            </c:strRef>
          </c:tx>
          <c:spPr>
            <a:ln w="28575">
              <a:solidFill>
                <a:schemeClr val="bg2"/>
              </a:solidFill>
            </a:ln>
          </c:spPr>
          <c:marker>
            <c:symbol val="none"/>
          </c:marker>
          <c:cat>
            <c:numRef>
              <c:f>'OZL Summary'!$AC$7:$AC$59</c:f>
              <c:numCache>
                <c:formatCode>General</c:formatCode>
                <c:ptCount val="5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numCache>
            </c:numRef>
          </c:cat>
          <c:val>
            <c:numRef>
              <c:f>'OZL Summary'!$AE$7:$AE$59</c:f>
              <c:numCache>
                <c:formatCode>_-* #,##0.000_-;\-* #,##0.000_-;_-* "-"??_-;_-@_-</c:formatCode>
                <c:ptCount val="53"/>
                <c:pt idx="0" formatCode="0.000">
                  <c:v>0</c:v>
                </c:pt>
                <c:pt idx="1">
                  <c:v>1.8046255870799999E-2</c:v>
                </c:pt>
                <c:pt idx="2">
                  <c:v>3.9156686089199998E-2</c:v>
                </c:pt>
                <c:pt idx="3">
                  <c:v>7.2989607452400004E-2</c:v>
                </c:pt>
                <c:pt idx="4">
                  <c:v>0.1138105762236</c:v>
                </c:pt>
                <c:pt idx="5">
                  <c:v>0.16491871759320001</c:v>
                </c:pt>
                <c:pt idx="6">
                  <c:v>0.249567660774</c:v>
                </c:pt>
                <c:pt idx="7">
                  <c:v>0.26071304866560002</c:v>
                </c:pt>
                <c:pt idx="8">
                  <c:v>0.27667806683759999</c:v>
                </c:pt>
                <c:pt idx="9">
                  <c:v>0.30000940441559998</c:v>
                </c:pt>
                <c:pt idx="10">
                  <c:v>0.32356736286479998</c:v>
                </c:pt>
                <c:pt idx="11">
                  <c:v>0.36099198540719996</c:v>
                </c:pt>
                <c:pt idx="12">
                  <c:v>0.37042881624719998</c:v>
                </c:pt>
                <c:pt idx="13">
                  <c:v>0.38485838102399994</c:v>
                </c:pt>
                <c:pt idx="14">
                  <c:v>0.40465450147679993</c:v>
                </c:pt>
                <c:pt idx="15">
                  <c:v>0.41403827153879991</c:v>
                </c:pt>
                <c:pt idx="16">
                  <c:v>0.42646533396479991</c:v>
                </c:pt>
                <c:pt idx="17">
                  <c:v>0.44495273600279989</c:v>
                </c:pt>
                <c:pt idx="18">
                  <c:v>0.46498209566039983</c:v>
                </c:pt>
                <c:pt idx="19">
                  <c:v>0.47493766692359984</c:v>
                </c:pt>
                <c:pt idx="20">
                  <c:v>0.48971070039239983</c:v>
                </c:pt>
                <c:pt idx="21">
                  <c:v>0.51235361716679984</c:v>
                </c:pt>
                <c:pt idx="22">
                  <c:v>0.52414805818799981</c:v>
                </c:pt>
                <c:pt idx="23">
                  <c:v>0.53353764781919988</c:v>
                </c:pt>
                <c:pt idx="24">
                  <c:v>0.54216430333919985</c:v>
                </c:pt>
                <c:pt idx="25">
                  <c:v>0.55393443910079987</c:v>
                </c:pt>
                <c:pt idx="26">
                  <c:v>0.56990379342239983</c:v>
                </c:pt>
                <c:pt idx="27">
                  <c:v>0.5783201456867999</c:v>
                </c:pt>
                <c:pt idx="28">
                  <c:v>0.58951585573559984</c:v>
                </c:pt>
                <c:pt idx="29">
                  <c:v>0.6051757459067999</c:v>
                </c:pt>
                <c:pt idx="30">
                  <c:v>0.63210083862959998</c:v>
                </c:pt>
                <c:pt idx="31">
                  <c:v>0.66280351641839996</c:v>
                </c:pt>
                <c:pt idx="32">
                  <c:v>0.67393794982679989</c:v>
                </c:pt>
                <c:pt idx="33">
                  <c:v>0.68737647620159981</c:v>
                </c:pt>
                <c:pt idx="34">
                  <c:v>0.70257011618159981</c:v>
                </c:pt>
                <c:pt idx="35">
                  <c:v>0.7218676935395999</c:v>
                </c:pt>
                <c:pt idx="36">
                  <c:v>0.75228361490879991</c:v>
                </c:pt>
                <c:pt idx="37">
                  <c:v>0.79527402779039991</c:v>
                </c:pt>
                <c:pt idx="38">
                  <c:v>0.85210303390199993</c:v>
                </c:pt>
                <c:pt idx="39">
                  <c:v>0.93403697688719989</c:v>
                </c:pt>
                <c:pt idx="40">
                  <c:v>0.94515908650199987</c:v>
                </c:pt>
                <c:pt idx="41">
                  <c:v>0.95825950731719978</c:v>
                </c:pt>
                <c:pt idx="42">
                  <c:v>0.98010605598479983</c:v>
                </c:pt>
                <c:pt idx="43">
                  <c:v>1.0045153831751998</c:v>
                </c:pt>
                <c:pt idx="44">
                  <c:v>1.0132552350216</c:v>
                </c:pt>
                <c:pt idx="45">
                  <c:v>1.0250197794323999</c:v>
                </c:pt>
                <c:pt idx="46">
                  <c:v>1.0428277752935999</c:v>
                </c:pt>
                <c:pt idx="47">
                  <c:v>1.0656557771903998</c:v>
                </c:pt>
                <c:pt idx="48">
                  <c:v>1.1026852395732001</c:v>
                </c:pt>
                <c:pt idx="49">
                  <c:v>1.1475832159512001</c:v>
                </c:pt>
                <c:pt idx="50">
                  <c:v>1.1994928603416</c:v>
                </c:pt>
                <c:pt idx="51">
                  <c:v>1.276863119982</c:v>
                </c:pt>
                <c:pt idx="52">
                  <c:v>1.3802681923667999</c:v>
                </c:pt>
              </c:numCache>
            </c:numRef>
          </c:val>
          <c:smooth val="0"/>
          <c:extLst>
            <c:ext xmlns:c16="http://schemas.microsoft.com/office/drawing/2014/chart" uri="{C3380CC4-5D6E-409C-BE32-E72D297353CC}">
              <c16:uniqueId val="{00000001-8B11-4F29-A1EE-D8DE7770325D}"/>
            </c:ext>
          </c:extLst>
        </c:ser>
        <c:ser>
          <c:idx val="2"/>
          <c:order val="2"/>
          <c:tx>
            <c:strRef>
              <c:f>'OZL Summary'!$AF$6</c:f>
              <c:strCache>
                <c:ptCount val="1"/>
                <c:pt idx="0">
                  <c:v>FY20</c:v>
                </c:pt>
              </c:strCache>
            </c:strRef>
          </c:tx>
          <c:spPr>
            <a:ln w="28575" cap="rnd">
              <a:solidFill>
                <a:schemeClr val="accent4"/>
              </a:solidFill>
              <a:round/>
            </a:ln>
            <a:effectLst/>
          </c:spPr>
          <c:marker>
            <c:symbol val="none"/>
          </c:marker>
          <c:cat>
            <c:numRef>
              <c:f>'OZL Summary'!$AC$7:$AC$59</c:f>
              <c:numCache>
                <c:formatCode>General</c:formatCode>
                <c:ptCount val="5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numCache>
            </c:numRef>
          </c:cat>
          <c:val>
            <c:numRef>
              <c:f>'OZL Summary'!$AF$7:$AF$59</c:f>
              <c:numCache>
                <c:formatCode>_-* #,##0.000_-;\-* #,##0.000_-;_-* "-"??_-;_-@_-</c:formatCode>
                <c:ptCount val="53"/>
                <c:pt idx="0" formatCode="0.000">
                  <c:v>0</c:v>
                </c:pt>
                <c:pt idx="1">
                  <c:v>9.8744396219999989E-3</c:v>
                </c:pt>
                <c:pt idx="2">
                  <c:v>2.2080700746E-2</c:v>
                </c:pt>
                <c:pt idx="3">
                  <c:v>4.0729453192799997E-2</c:v>
                </c:pt>
                <c:pt idx="4">
                  <c:v>6.8186180678400002E-2</c:v>
                </c:pt>
                <c:pt idx="5">
                  <c:v>0.10528102763279998</c:v>
                </c:pt>
                <c:pt idx="6">
                  <c:v>0.15115338246959997</c:v>
                </c:pt>
                <c:pt idx="7">
                  <c:v>0.16385544806759994</c:v>
                </c:pt>
                <c:pt idx="8">
                  <c:v>0.17701223882759995</c:v>
                </c:pt>
                <c:pt idx="9">
                  <c:v>0.19517808113999993</c:v>
                </c:pt>
                <c:pt idx="10">
                  <c:v>0.20624678764919993</c:v>
                </c:pt>
                <c:pt idx="11">
                  <c:v>0.21933796561919994</c:v>
                </c:pt>
                <c:pt idx="12">
                  <c:v>0.23574207599279995</c:v>
                </c:pt>
                <c:pt idx="13">
                  <c:v>0.26336494647359993</c:v>
                </c:pt>
                <c:pt idx="14">
                  <c:v>0.30404454167159994</c:v>
                </c:pt>
                <c:pt idx="15">
                  <c:v>0.34759087578359993</c:v>
                </c:pt>
                <c:pt idx="16">
                  <c:v>0.40667310387359989</c:v>
                </c:pt>
                <c:pt idx="17">
                  <c:v>0.41804425206719986</c:v>
                </c:pt>
                <c:pt idx="18">
                  <c:v>0.43163578426319987</c:v>
                </c:pt>
                <c:pt idx="19">
                  <c:v>0.44924121155159985</c:v>
                </c:pt>
                <c:pt idx="20">
                  <c:v>0.45865648264319986</c:v>
                </c:pt>
                <c:pt idx="21">
                  <c:v>0.47142939074039986</c:v>
                </c:pt>
                <c:pt idx="22">
                  <c:v>0.48320691457679982</c:v>
                </c:pt>
                <c:pt idx="23">
                  <c:v>0.4970837964023998</c:v>
                </c:pt>
                <c:pt idx="24">
                  <c:v>0.51712425325799982</c:v>
                </c:pt>
                <c:pt idx="25">
                  <c:v>0.53876061831239974</c:v>
                </c:pt>
                <c:pt idx="26">
                  <c:v>0.56593493106119974</c:v>
                </c:pt>
                <c:pt idx="27">
                  <c:v>0.57956100921719977</c:v>
                </c:pt>
                <c:pt idx="28">
                  <c:v>0.59448624577559983</c:v>
                </c:pt>
                <c:pt idx="29">
                  <c:v>0.61592489278559981</c:v>
                </c:pt>
                <c:pt idx="30">
                  <c:v>0.62652152055599986</c:v>
                </c:pt>
                <c:pt idx="31">
                  <c:v>0.63901737005399994</c:v>
                </c:pt>
                <c:pt idx="32">
                  <c:v>0.65936689809839988</c:v>
                </c:pt>
                <c:pt idx="33">
                  <c:v>0.67157958587759981</c:v>
                </c:pt>
                <c:pt idx="34">
                  <c:v>0.68545612224359986</c:v>
                </c:pt>
                <c:pt idx="35">
                  <c:v>0.69467736019319992</c:v>
                </c:pt>
                <c:pt idx="36">
                  <c:v>0.70884995543639984</c:v>
                </c:pt>
                <c:pt idx="37">
                  <c:v>0.72478750377599976</c:v>
                </c:pt>
                <c:pt idx="38">
                  <c:v>0.74574964684439982</c:v>
                </c:pt>
                <c:pt idx="39">
                  <c:v>0.75705227888399984</c:v>
                </c:pt>
                <c:pt idx="40">
                  <c:v>0.77033289743999978</c:v>
                </c:pt>
                <c:pt idx="41">
                  <c:v>0.79173342874079977</c:v>
                </c:pt>
                <c:pt idx="42">
                  <c:v>0.81594208597679974</c:v>
                </c:pt>
                <c:pt idx="43">
                  <c:v>0.82818471358799972</c:v>
                </c:pt>
                <c:pt idx="44">
                  <c:v>0.83860838125199977</c:v>
                </c:pt>
                <c:pt idx="45">
                  <c:v>0.85320047960279977</c:v>
                </c:pt>
                <c:pt idx="46">
                  <c:v>0.87936305633639977</c:v>
                </c:pt>
                <c:pt idx="47">
                  <c:v>0.91026902368439988</c:v>
                </c:pt>
                <c:pt idx="48">
                  <c:v>0.92313750893759994</c:v>
                </c:pt>
                <c:pt idx="49">
                  <c:v>0.9347243390747999</c:v>
                </c:pt>
                <c:pt idx="50">
                  <c:v>0.9509455097459999</c:v>
                </c:pt>
                <c:pt idx="51">
                  <c:v>0.97466937201000003</c:v>
                </c:pt>
                <c:pt idx="52">
                  <c:v>1.0078410937211999</c:v>
                </c:pt>
              </c:numCache>
            </c:numRef>
          </c:val>
          <c:smooth val="0"/>
          <c:extLst>
            <c:ext xmlns:c16="http://schemas.microsoft.com/office/drawing/2014/chart" uri="{C3380CC4-5D6E-409C-BE32-E72D297353CC}">
              <c16:uniqueId val="{00000002-8B11-4F29-A1EE-D8DE7770325D}"/>
            </c:ext>
          </c:extLst>
        </c:ser>
        <c:ser>
          <c:idx val="3"/>
          <c:order val="3"/>
          <c:tx>
            <c:strRef>
              <c:f>'OZL Summary'!$AG$6</c:f>
              <c:strCache>
                <c:ptCount val="1"/>
                <c:pt idx="0">
                  <c:v>FY21</c:v>
                </c:pt>
              </c:strCache>
            </c:strRef>
          </c:tx>
          <c:spPr>
            <a:ln w="28575" cap="rnd">
              <a:solidFill>
                <a:schemeClr val="accent2"/>
              </a:solidFill>
              <a:round/>
            </a:ln>
            <a:effectLst/>
          </c:spPr>
          <c:marker>
            <c:symbol val="none"/>
          </c:marker>
          <c:cat>
            <c:numRef>
              <c:f>'OZL Summary'!$AC$7:$AC$59</c:f>
              <c:numCache>
                <c:formatCode>General</c:formatCode>
                <c:ptCount val="5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numCache>
            </c:numRef>
          </c:cat>
          <c:val>
            <c:numRef>
              <c:f>'OZL Summary'!$AG$7:$AG$59</c:f>
              <c:numCache>
                <c:formatCode>_-* #,##0.000_-;\-* #,##0.000_-;_-* "-"??_-;_-@_-</c:formatCode>
                <c:ptCount val="53"/>
                <c:pt idx="0" formatCode="0.000">
                  <c:v>0</c:v>
                </c:pt>
                <c:pt idx="1">
                  <c:v>6.577873212959999E-2</c:v>
                </c:pt>
                <c:pt idx="2">
                  <c:v>7.9237838145599995E-2</c:v>
                </c:pt>
                <c:pt idx="3">
                  <c:v>9.5214653726399992E-2</c:v>
                </c:pt>
                <c:pt idx="4">
                  <c:v>0.12221692759439999</c:v>
                </c:pt>
                <c:pt idx="5">
                  <c:v>0.134362481058</c:v>
                </c:pt>
                <c:pt idx="6">
                  <c:v>0.15302904508439999</c:v>
                </c:pt>
                <c:pt idx="7">
                  <c:v>0.18299536232040001</c:v>
                </c:pt>
                <c:pt idx="8">
                  <c:v>0.19685485601280001</c:v>
                </c:pt>
                <c:pt idx="9">
                  <c:v>0.21172470388199999</c:v>
                </c:pt>
                <c:pt idx="10">
                  <c:v>0.23446999425239998</c:v>
                </c:pt>
                <c:pt idx="11">
                  <c:v>0.26403845718239999</c:v>
                </c:pt>
                <c:pt idx="12">
                  <c:v>0.27659061659520001</c:v>
                </c:pt>
                <c:pt idx="13">
                  <c:v>0.29648494404000003</c:v>
                </c:pt>
                <c:pt idx="14">
                  <c:v>0.32108040087480005</c:v>
                </c:pt>
                <c:pt idx="15">
                  <c:v>0.3340215477972</c:v>
                </c:pt>
                <c:pt idx="16">
                  <c:v>0.34666306609320002</c:v>
                </c:pt>
                <c:pt idx="17">
                  <c:v>0.36126311001479999</c:v>
                </c:pt>
                <c:pt idx="18">
                  <c:v>0.38231484227280005</c:v>
                </c:pt>
                <c:pt idx="19">
                  <c:v>0.41671306071720005</c:v>
                </c:pt>
                <c:pt idx="20">
                  <c:v>0.46322643218039999</c:v>
                </c:pt>
                <c:pt idx="21">
                  <c:v>0.47600486763120003</c:v>
                </c:pt>
                <c:pt idx="22">
                  <c:v>0.48888763188119999</c:v>
                </c:pt>
                <c:pt idx="23">
                  <c:v>0.5056046522316</c:v>
                </c:pt>
                <c:pt idx="24">
                  <c:v>0.5170673472192</c:v>
                </c:pt>
                <c:pt idx="25">
                  <c:v>0.53222450232240004</c:v>
                </c:pt>
                <c:pt idx="26">
                  <c:v>0.55445528819520007</c:v>
                </c:pt>
                <c:pt idx="27">
                  <c:v>0.56700641122920015</c:v>
                </c:pt>
                <c:pt idx="28">
                  <c:v>0.58385010009960003</c:v>
                </c:pt>
                <c:pt idx="29">
                  <c:v>0.60753342843720004</c:v>
                </c:pt>
                <c:pt idx="30">
                  <c:v>0.64174797752760004</c:v>
                </c:pt>
                <c:pt idx="31">
                  <c:v>0.68425355701800006</c:v>
                </c:pt>
                <c:pt idx="32">
                  <c:v>0.69658646473800001</c:v>
                </c:pt>
                <c:pt idx="33">
                  <c:v>0.710723823102</c:v>
                </c:pt>
                <c:pt idx="34">
                  <c:v>0.73618914720959994</c:v>
                </c:pt>
                <c:pt idx="35">
                  <c:v>0.76795680595319993</c:v>
                </c:pt>
                <c:pt idx="36">
                  <c:v>0.80888628359519998</c:v>
                </c:pt>
                <c:pt idx="37">
                  <c:v>0.82083342809519999</c:v>
                </c:pt>
                <c:pt idx="38">
                  <c:v>0.83646754775279997</c:v>
                </c:pt>
                <c:pt idx="39">
                  <c:v>0.86199862433759999</c:v>
                </c:pt>
                <c:pt idx="40">
                  <c:v>0.89119260906120001</c:v>
                </c:pt>
                <c:pt idx="41">
                  <c:v>0.92705050946880008</c:v>
                </c:pt>
                <c:pt idx="42">
                  <c:v>0.93862075754520014</c:v>
                </c:pt>
                <c:pt idx="43">
                  <c:v>0.95423898606120017</c:v>
                </c:pt>
                <c:pt idx="44">
                  <c:v>0.97812095366880014</c:v>
                </c:pt>
                <c:pt idx="45">
                  <c:v>0.98951939317080007</c:v>
                </c:pt>
                <c:pt idx="46">
                  <c:v>1.0056603020616002</c:v>
                </c:pt>
                <c:pt idx="47">
                  <c:v>1.0166076864792002</c:v>
                </c:pt>
                <c:pt idx="48">
                  <c:v>1.0320049360044001</c:v>
                </c:pt>
                <c:pt idx="49">
                  <c:v>1.0555580260728001</c:v>
                </c:pt>
                <c:pt idx="50">
                  <c:v>1.0676514151368002</c:v>
                </c:pt>
                <c:pt idx="51">
                  <c:v>1.0827075808836002</c:v>
                </c:pt>
                <c:pt idx="52">
                  <c:v>1.1024372392524002</c:v>
                </c:pt>
              </c:numCache>
            </c:numRef>
          </c:val>
          <c:smooth val="0"/>
          <c:extLst>
            <c:ext xmlns:c16="http://schemas.microsoft.com/office/drawing/2014/chart" uri="{C3380CC4-5D6E-409C-BE32-E72D297353CC}">
              <c16:uniqueId val="{00000003-8B11-4F29-A1EE-D8DE7770325D}"/>
            </c:ext>
          </c:extLst>
        </c:ser>
        <c:ser>
          <c:idx val="4"/>
          <c:order val="4"/>
          <c:tx>
            <c:strRef>
              <c:f>'OZL Summary'!$AH$6</c:f>
              <c:strCache>
                <c:ptCount val="1"/>
                <c:pt idx="0">
                  <c:v>FY22</c:v>
                </c:pt>
              </c:strCache>
            </c:strRef>
          </c:tx>
          <c:spPr>
            <a:ln w="28575" cap="rnd">
              <a:solidFill>
                <a:schemeClr val="accent1"/>
              </a:solidFill>
              <a:round/>
            </a:ln>
            <a:effectLst/>
          </c:spPr>
          <c:marker>
            <c:symbol val="none"/>
          </c:marker>
          <c:cat>
            <c:numRef>
              <c:f>'OZL Summary'!$AC$7:$AC$59</c:f>
              <c:numCache>
                <c:formatCode>General</c:formatCode>
                <c:ptCount val="5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numCache>
            </c:numRef>
          </c:cat>
          <c:val>
            <c:numRef>
              <c:f>'OZL Summary'!$AH$7:$AH$59</c:f>
              <c:numCache>
                <c:formatCode>_-* #,##0.000_-;\-* #,##0.000_-;_-* "-"??_-;_-@_-</c:formatCode>
                <c:ptCount val="53"/>
                <c:pt idx="0" formatCode="0.000">
                  <c:v>0</c:v>
                </c:pt>
                <c:pt idx="1">
                  <c:v>3.4282144018799997E-2</c:v>
                </c:pt>
                <c:pt idx="2">
                  <c:v>4.61727482976E-2</c:v>
                </c:pt>
                <c:pt idx="3">
                  <c:v>6.0744925144799997E-2</c:v>
                </c:pt>
                <c:pt idx="4">
                  <c:v>7.9887071887199998E-2</c:v>
                </c:pt>
                <c:pt idx="5">
                  <c:v>9.0591598206000004E-2</c:v>
                </c:pt>
                <c:pt idx="6">
                  <c:v>0.10471594425839999</c:v>
                </c:pt>
                <c:pt idx="7">
                  <c:v>0.13024126318319998</c:v>
                </c:pt>
                <c:pt idx="8">
                  <c:v>0.14299494069599997</c:v>
                </c:pt>
                <c:pt idx="9">
                  <c:v>0.15712274134439999</c:v>
                </c:pt>
                <c:pt idx="10">
                  <c:v>0.18211939192799997</c:v>
                </c:pt>
                <c:pt idx="11">
                  <c:v>0.21562528822559998</c:v>
                </c:pt>
                <c:pt idx="12">
                  <c:v>0.26312805598319994</c:v>
                </c:pt>
                <c:pt idx="13">
                  <c:v>0.27559419595559997</c:v>
                </c:pt>
                <c:pt idx="14">
                  <c:v>0.29338294713839996</c:v>
                </c:pt>
                <c:pt idx="15">
                  <c:v>0.31479798774239992</c:v>
                </c:pt>
                <c:pt idx="16">
                  <c:v>0.34138237064759991</c:v>
                </c:pt>
                <c:pt idx="17">
                  <c:v>0.38401116406199992</c:v>
                </c:pt>
                <c:pt idx="18">
                  <c:v>0.45353502371519994</c:v>
                </c:pt>
                <c:pt idx="19">
                  <c:v>0.46636884785519994</c:v>
                </c:pt>
                <c:pt idx="20">
                  <c:v>0.48057414660719988</c:v>
                </c:pt>
                <c:pt idx="21">
                  <c:v>0.50512031787239997</c:v>
                </c:pt>
                <c:pt idx="22">
                  <c:v>0.53195446806839985</c:v>
                </c:pt>
                <c:pt idx="23">
                  <c:v>0.57374874624239991</c:v>
                </c:pt>
                <c:pt idx="24">
                  <c:v>0.58543426267199994</c:v>
                </c:pt>
                <c:pt idx="25">
                  <c:v>0.59798193110999986</c:v>
                </c:pt>
                <c:pt idx="26">
                  <c:v>0.60953824564919989</c:v>
                </c:pt>
                <c:pt idx="27">
                  <c:v>0.62793005414039982</c:v>
                </c:pt>
                <c:pt idx="28">
                  <c:v>0.66085868744639986</c:v>
                </c:pt>
                <c:pt idx="29">
                  <c:v>0.70280784667439988</c:v>
                </c:pt>
                <c:pt idx="30">
                  <c:v>0.76647478426919979</c:v>
                </c:pt>
                <c:pt idx="31">
                  <c:v>0.77875598820239988</c:v>
                </c:pt>
                <c:pt idx="32">
                  <c:v>0.79341798454559986</c:v>
                </c:pt>
                <c:pt idx="33">
                  <c:v>0.81253514304359986</c:v>
                </c:pt>
                <c:pt idx="34">
                  <c:v>0.82340606573639985</c:v>
                </c:pt>
                <c:pt idx="35">
                  <c:v>0.84006470341439987</c:v>
                </c:pt>
                <c:pt idx="36">
                  <c:v>0.86433934343399987</c:v>
                </c:pt>
                <c:pt idx="37">
                  <c:v>0.87578580182039989</c:v>
                </c:pt>
                <c:pt idx="38">
                  <c:v>0.89565744408479986</c:v>
                </c:pt>
                <c:pt idx="39">
                  <c:v>0.90846581936759985</c:v>
                </c:pt>
                <c:pt idx="40">
                  <c:v>0.91858582836759983</c:v>
                </c:pt>
                <c:pt idx="41">
                  <c:v>0.93370152831879982</c:v>
                </c:pt>
                <c:pt idx="42">
                  <c:v>0.95559030918759991</c:v>
                </c:pt>
                <c:pt idx="43">
                  <c:v>0.98300771034159995</c:v>
                </c:pt>
                <c:pt idx="44">
                  <c:v>0.99330666708999993</c:v>
                </c:pt>
                <c:pt idx="45">
                  <c:v>1.0075762213275998</c:v>
                </c:pt>
                <c:pt idx="46">
                  <c:v>1.0281208537475999</c:v>
                </c:pt>
                <c:pt idx="47">
                  <c:v>1.0382225415931998</c:v>
                </c:pt>
                <c:pt idx="48">
                  <c:v>1.0541579684225999</c:v>
                </c:pt>
                <c:pt idx="49">
                  <c:v>1.0687637971379997</c:v>
                </c:pt>
                <c:pt idx="50">
                  <c:v>1.0815684581785998</c:v>
                </c:pt>
                <c:pt idx="51">
                  <c:v>1.0986668252266998</c:v>
                </c:pt>
                <c:pt idx="52">
                  <c:v>1.1194431701510998</c:v>
                </c:pt>
              </c:numCache>
            </c:numRef>
          </c:val>
          <c:smooth val="0"/>
          <c:extLst>
            <c:ext xmlns:c16="http://schemas.microsoft.com/office/drawing/2014/chart" uri="{C3380CC4-5D6E-409C-BE32-E72D297353CC}">
              <c16:uniqueId val="{00000004-8B11-4F29-A1EE-D8DE7770325D}"/>
            </c:ext>
          </c:extLst>
        </c:ser>
        <c:ser>
          <c:idx val="5"/>
          <c:order val="5"/>
          <c:tx>
            <c:strRef>
              <c:f>'OZL Summary'!$AJ$6</c:f>
              <c:strCache>
                <c:ptCount val="1"/>
                <c:pt idx="0">
                  <c:v>0.8x Yr Avg</c:v>
                </c:pt>
              </c:strCache>
            </c:strRef>
          </c:tx>
          <c:spPr>
            <a:ln>
              <a:solidFill>
                <a:schemeClr val="accent1">
                  <a:lumMod val="40000"/>
                  <a:lumOff val="60000"/>
                </a:schemeClr>
              </a:solidFill>
              <a:prstDash val="dash"/>
            </a:ln>
          </c:spPr>
          <c:marker>
            <c:symbol val="none"/>
          </c:marker>
          <c:cat>
            <c:numRef>
              <c:f>'OZL Summary'!$AC$7:$AC$59</c:f>
              <c:numCache>
                <c:formatCode>General</c:formatCode>
                <c:ptCount val="5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numCache>
            </c:numRef>
          </c:cat>
          <c:val>
            <c:numRef>
              <c:f>'OZL Summary'!$AJ$7:$AJ$59</c:f>
              <c:numCache>
                <c:formatCode>0.000</c:formatCode>
                <c:ptCount val="53"/>
                <c:pt idx="43">
                  <c:v>0.98300771034159995</c:v>
                </c:pt>
                <c:pt idx="44">
                  <c:v>0.98300771034159995</c:v>
                </c:pt>
                <c:pt idx="45">
                  <c:v>0.98300771034159995</c:v>
                </c:pt>
                <c:pt idx="46">
                  <c:v>0.98300771034159995</c:v>
                </c:pt>
                <c:pt idx="47">
                  <c:v>0.98300771034159995</c:v>
                </c:pt>
                <c:pt idx="48">
                  <c:v>0.98300771034159995</c:v>
                </c:pt>
                <c:pt idx="49">
                  <c:v>0.98300771034159995</c:v>
                </c:pt>
                <c:pt idx="50">
                  <c:v>0.98300771034159995</c:v>
                </c:pt>
                <c:pt idx="51">
                  <c:v>0.98300771034159995</c:v>
                </c:pt>
                <c:pt idx="52">
                  <c:v>0.98300771034159995</c:v>
                </c:pt>
              </c:numCache>
            </c:numRef>
          </c:val>
          <c:smooth val="0"/>
          <c:extLst>
            <c:ext xmlns:c16="http://schemas.microsoft.com/office/drawing/2014/chart" uri="{C3380CC4-5D6E-409C-BE32-E72D297353CC}">
              <c16:uniqueId val="{00000005-8B11-4F29-A1EE-D8DE7770325D}"/>
            </c:ext>
          </c:extLst>
        </c:ser>
        <c:ser>
          <c:idx val="6"/>
          <c:order val="6"/>
          <c:tx>
            <c:strRef>
              <c:f>'OZL Summary'!$AK$6</c:f>
              <c:strCache>
                <c:ptCount val="1"/>
                <c:pt idx="0">
                  <c:v>1.0x Yr Avg</c:v>
                </c:pt>
              </c:strCache>
            </c:strRef>
          </c:tx>
          <c:spPr>
            <a:ln>
              <a:solidFill>
                <a:schemeClr val="accent5"/>
              </a:solidFill>
              <a:prstDash val="sysDash"/>
            </a:ln>
          </c:spPr>
          <c:marker>
            <c:symbol val="none"/>
          </c:marker>
          <c:cat>
            <c:numRef>
              <c:f>'OZL Summary'!$AC$7:$AC$59</c:f>
              <c:numCache>
                <c:formatCode>General</c:formatCode>
                <c:ptCount val="5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numCache>
            </c:numRef>
          </c:cat>
          <c:val>
            <c:numRef>
              <c:f>'OZL Summary'!$AK$7:$AK$59</c:f>
              <c:numCache>
                <c:formatCode>0.000</c:formatCode>
                <c:ptCount val="53"/>
                <c:pt idx="43">
                  <c:v>0.98300771034159995</c:v>
                </c:pt>
                <c:pt idx="44">
                  <c:v>0.98300771034159995</c:v>
                </c:pt>
                <c:pt idx="45">
                  <c:v>0.98300771034159995</c:v>
                </c:pt>
                <c:pt idx="46">
                  <c:v>0.98300771034159995</c:v>
                </c:pt>
                <c:pt idx="47">
                  <c:v>0.98300771034159995</c:v>
                </c:pt>
                <c:pt idx="48">
                  <c:v>0.98300771034159995</c:v>
                </c:pt>
                <c:pt idx="49">
                  <c:v>0.98300771034159995</c:v>
                </c:pt>
                <c:pt idx="50">
                  <c:v>0.98300771034159995</c:v>
                </c:pt>
                <c:pt idx="51">
                  <c:v>0.98300771034159995</c:v>
                </c:pt>
                <c:pt idx="52">
                  <c:v>0.98300771034159995</c:v>
                </c:pt>
              </c:numCache>
            </c:numRef>
          </c:val>
          <c:smooth val="0"/>
          <c:extLst>
            <c:ext xmlns:c16="http://schemas.microsoft.com/office/drawing/2014/chart" uri="{C3380CC4-5D6E-409C-BE32-E72D297353CC}">
              <c16:uniqueId val="{00000006-8B11-4F29-A1EE-D8DE7770325D}"/>
            </c:ext>
          </c:extLst>
        </c:ser>
        <c:ser>
          <c:idx val="7"/>
          <c:order val="7"/>
          <c:tx>
            <c:strRef>
              <c:f>'OZL Summary'!$AL$6</c:f>
              <c:strCache>
                <c:ptCount val="1"/>
                <c:pt idx="0">
                  <c:v>1.2x Yr Avg</c:v>
                </c:pt>
              </c:strCache>
            </c:strRef>
          </c:tx>
          <c:spPr>
            <a:ln>
              <a:solidFill>
                <a:schemeClr val="accent1">
                  <a:lumMod val="75000"/>
                </a:schemeClr>
              </a:solidFill>
              <a:prstDash val="dash"/>
            </a:ln>
          </c:spPr>
          <c:marker>
            <c:symbol val="none"/>
          </c:marker>
          <c:cat>
            <c:numRef>
              <c:f>'OZL Summary'!$AC$7:$AC$59</c:f>
              <c:numCache>
                <c:formatCode>General</c:formatCode>
                <c:ptCount val="5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numCache>
            </c:numRef>
          </c:cat>
          <c:val>
            <c:numRef>
              <c:f>'OZL Summary'!$AL$7:$AL$59</c:f>
              <c:numCache>
                <c:formatCode>0.000</c:formatCode>
                <c:ptCount val="53"/>
                <c:pt idx="43">
                  <c:v>0.98300771034159995</c:v>
                </c:pt>
                <c:pt idx="44">
                  <c:v>0.98300771034159995</c:v>
                </c:pt>
                <c:pt idx="45">
                  <c:v>0.98300771034159995</c:v>
                </c:pt>
                <c:pt idx="46">
                  <c:v>0.98300771034159995</c:v>
                </c:pt>
                <c:pt idx="47">
                  <c:v>0.98300771034159995</c:v>
                </c:pt>
                <c:pt idx="48">
                  <c:v>0.98300771034159995</c:v>
                </c:pt>
                <c:pt idx="49">
                  <c:v>0.98300771034159995</c:v>
                </c:pt>
                <c:pt idx="50">
                  <c:v>0.98300771034159995</c:v>
                </c:pt>
                <c:pt idx="51">
                  <c:v>0.98300771034159995</c:v>
                </c:pt>
                <c:pt idx="52">
                  <c:v>0.98300771034159995</c:v>
                </c:pt>
              </c:numCache>
            </c:numRef>
          </c:val>
          <c:smooth val="0"/>
          <c:extLst>
            <c:ext xmlns:c16="http://schemas.microsoft.com/office/drawing/2014/chart" uri="{C3380CC4-5D6E-409C-BE32-E72D297353CC}">
              <c16:uniqueId val="{00000007-8B11-4F29-A1EE-D8DE7770325D}"/>
            </c:ext>
          </c:extLst>
        </c:ser>
        <c:dLbls>
          <c:showLegendKey val="0"/>
          <c:showVal val="0"/>
          <c:showCatName val="0"/>
          <c:showSerName val="0"/>
          <c:showPercent val="0"/>
          <c:showBubbleSize val="0"/>
        </c:dLbls>
        <c:smooth val="0"/>
        <c:axId val="1388952432"/>
        <c:axId val="1388953088"/>
        <c:extLst/>
      </c:lineChart>
      <c:catAx>
        <c:axId val="1388952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3088"/>
        <c:crosses val="autoZero"/>
        <c:auto val="1"/>
        <c:lblAlgn val="ctr"/>
        <c:lblOffset val="100"/>
        <c:tickLblSkip val="10"/>
        <c:noMultiLvlLbl val="0"/>
      </c:catAx>
      <c:valAx>
        <c:axId val="1388953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Ticket Sales ($b)</a:t>
                </a:r>
              </a:p>
            </c:rich>
          </c:tx>
          <c:overlay val="0"/>
          <c:spPr>
            <a:noFill/>
            <a:ln>
              <a:noFill/>
            </a:ln>
            <a:effectLst/>
          </c:sp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2432"/>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ln>
      <a:noFill/>
    </a:ln>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'OZL Summary'!$AD$6</c:f>
              <c:strCache>
                <c:ptCount val="1"/>
                <c:pt idx="0">
                  <c:v>FY18</c:v>
                </c:pt>
              </c:strCache>
            </c:strRef>
          </c:tx>
          <c:spPr>
            <a:ln w="28575" cap="rnd">
              <a:solidFill>
                <a:schemeClr val="tx2"/>
              </a:solidFill>
              <a:round/>
            </a:ln>
            <a:effectLst/>
          </c:spPr>
          <c:marker>
            <c:symbol val="none"/>
          </c:marker>
          <c:cat>
            <c:numRef>
              <c:f>'OZL Summary'!$AC$7:$AC$59</c:f>
              <c:numCache>
                <c:formatCode>General</c:formatCode>
                <c:ptCount val="5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numCache>
            </c:numRef>
          </c:cat>
          <c:val>
            <c:numRef>
              <c:f>'OZL Summary'!$AD$7:$AD$59</c:f>
              <c:numCache>
                <c:formatCode>_-* #,##0.000_-;\-* #,##0.000_-;_-* "-"??_-;_-@_-</c:formatCode>
                <c:ptCount val="53"/>
                <c:pt idx="0" formatCode="0.000">
                  <c:v>0</c:v>
                </c:pt>
                <c:pt idx="1">
                  <c:v>4.1865866715599998E-2</c:v>
                </c:pt>
                <c:pt idx="2">
                  <c:v>9.2468276110799996E-2</c:v>
                </c:pt>
                <c:pt idx="3">
                  <c:v>0.17050162431239999</c:v>
                </c:pt>
                <c:pt idx="4">
                  <c:v>0.18218560762799998</c:v>
                </c:pt>
                <c:pt idx="5">
                  <c:v>0.19622206621079999</c:v>
                </c:pt>
                <c:pt idx="6">
                  <c:v>0.206705392524</c:v>
                </c:pt>
                <c:pt idx="7">
                  <c:v>0.22251225534479999</c:v>
                </c:pt>
                <c:pt idx="8">
                  <c:v>0.24197346529559999</c:v>
                </c:pt>
                <c:pt idx="9">
                  <c:v>0.26554203590039999</c:v>
                </c:pt>
                <c:pt idx="10">
                  <c:v>0.30560372205479996</c:v>
                </c:pt>
                <c:pt idx="11">
                  <c:v>0.31474615115879995</c:v>
                </c:pt>
                <c:pt idx="12">
                  <c:v>0.32586301175039994</c:v>
                </c:pt>
                <c:pt idx="13">
                  <c:v>0.34525005072119991</c:v>
                </c:pt>
                <c:pt idx="14">
                  <c:v>0.36818554348439991</c:v>
                </c:pt>
                <c:pt idx="15">
                  <c:v>0.37907703840599988</c:v>
                </c:pt>
                <c:pt idx="16">
                  <c:v>0.39079274407919989</c:v>
                </c:pt>
                <c:pt idx="17">
                  <c:v>0.4074880611311999</c:v>
                </c:pt>
                <c:pt idx="18">
                  <c:v>0.42965856581759987</c:v>
                </c:pt>
                <c:pt idx="19">
                  <c:v>0.4716976502987999</c:v>
                </c:pt>
                <c:pt idx="20">
                  <c:v>0.52751667588119988</c:v>
                </c:pt>
                <c:pt idx="21">
                  <c:v>0.53745775527599982</c:v>
                </c:pt>
                <c:pt idx="22">
                  <c:v>0.5541113083607998</c:v>
                </c:pt>
                <c:pt idx="23">
                  <c:v>0.57557684640959983</c:v>
                </c:pt>
                <c:pt idx="24">
                  <c:v>0.60107546002319978</c:v>
                </c:pt>
                <c:pt idx="25">
                  <c:v>0.62906359405319978</c:v>
                </c:pt>
                <c:pt idx="26">
                  <c:v>0.6607169155871998</c:v>
                </c:pt>
                <c:pt idx="27">
                  <c:v>0.71433089498879976</c:v>
                </c:pt>
                <c:pt idx="28">
                  <c:v>0.72382888835999981</c:v>
                </c:pt>
                <c:pt idx="29">
                  <c:v>0.73498682826359973</c:v>
                </c:pt>
                <c:pt idx="30">
                  <c:v>0.74900423060999977</c:v>
                </c:pt>
                <c:pt idx="31">
                  <c:v>0.77073724062359972</c:v>
                </c:pt>
                <c:pt idx="32">
                  <c:v>0.78072316493399974</c:v>
                </c:pt>
                <c:pt idx="33">
                  <c:v>0.79333816521239975</c:v>
                </c:pt>
                <c:pt idx="34">
                  <c:v>0.8178297651359997</c:v>
                </c:pt>
                <c:pt idx="35">
                  <c:v>0.8417582361575997</c:v>
                </c:pt>
                <c:pt idx="36">
                  <c:v>0.87944485342319967</c:v>
                </c:pt>
                <c:pt idx="37">
                  <c:v>0.89012752850879973</c:v>
                </c:pt>
                <c:pt idx="38">
                  <c:v>0.90302380796519965</c:v>
                </c:pt>
                <c:pt idx="39">
                  <c:v>0.92330192567879976</c:v>
                </c:pt>
                <c:pt idx="40">
                  <c:v>0.93214002554639974</c:v>
                </c:pt>
                <c:pt idx="41">
                  <c:v>0.94608108883799968</c:v>
                </c:pt>
                <c:pt idx="42">
                  <c:v>0.96821918651159966</c:v>
                </c:pt>
                <c:pt idx="43">
                  <c:v>0.97848524890799959</c:v>
                </c:pt>
                <c:pt idx="44">
                  <c:v>0.99548797614479956</c:v>
                </c:pt>
                <c:pt idx="45">
                  <c:v>1.0121927642603996</c:v>
                </c:pt>
                <c:pt idx="46">
                  <c:v>1.0332556109423996</c:v>
                </c:pt>
                <c:pt idx="47">
                  <c:v>1.0422277891199996</c:v>
                </c:pt>
                <c:pt idx="48">
                  <c:v>1.0548498641687996</c:v>
                </c:pt>
                <c:pt idx="49">
                  <c:v>1.0721666199239996</c:v>
                </c:pt>
                <c:pt idx="50">
                  <c:v>1.0970216576495995</c:v>
                </c:pt>
                <c:pt idx="51">
                  <c:v>1.1065877742131995</c:v>
                </c:pt>
                <c:pt idx="52">
                  <c:v>1.1195470419479998</c:v>
                </c:pt>
              </c:numCache>
            </c:numRef>
          </c:val>
          <c:smooth val="0"/>
          <c:extLst>
            <c:ext xmlns:c16="http://schemas.microsoft.com/office/drawing/2014/chart" uri="{C3380CC4-5D6E-409C-BE32-E72D297353CC}">
              <c16:uniqueId val="{00000000-33D2-480D-9DDC-319004886725}"/>
            </c:ext>
          </c:extLst>
        </c:ser>
        <c:ser>
          <c:idx val="1"/>
          <c:order val="1"/>
          <c:tx>
            <c:strRef>
              <c:f>'OZL Summary'!$AE$6</c:f>
              <c:strCache>
                <c:ptCount val="1"/>
                <c:pt idx="0">
                  <c:v>FY19</c:v>
                </c:pt>
              </c:strCache>
            </c:strRef>
          </c:tx>
          <c:spPr>
            <a:ln w="28575" cap="rnd">
              <a:solidFill>
                <a:schemeClr val="bg2"/>
              </a:solidFill>
              <a:round/>
            </a:ln>
            <a:effectLst/>
          </c:spPr>
          <c:marker>
            <c:symbol val="none"/>
          </c:marker>
          <c:cat>
            <c:numRef>
              <c:f>'OZL Summary'!$AC$7:$AC$59</c:f>
              <c:numCache>
                <c:formatCode>General</c:formatCode>
                <c:ptCount val="5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numCache>
            </c:numRef>
          </c:cat>
          <c:val>
            <c:numRef>
              <c:f>'OZL Summary'!$AE$7:$AE$59</c:f>
              <c:numCache>
                <c:formatCode>_-* #,##0.000_-;\-* #,##0.000_-;_-* "-"??_-;_-@_-</c:formatCode>
                <c:ptCount val="53"/>
                <c:pt idx="0" formatCode="0.000">
                  <c:v>0</c:v>
                </c:pt>
                <c:pt idx="1">
                  <c:v>1.8046255870799999E-2</c:v>
                </c:pt>
                <c:pt idx="2">
                  <c:v>3.9156686089199998E-2</c:v>
                </c:pt>
                <c:pt idx="3">
                  <c:v>7.2989607452400004E-2</c:v>
                </c:pt>
                <c:pt idx="4">
                  <c:v>0.1138105762236</c:v>
                </c:pt>
                <c:pt idx="5">
                  <c:v>0.16491871759320001</c:v>
                </c:pt>
                <c:pt idx="6">
                  <c:v>0.249567660774</c:v>
                </c:pt>
                <c:pt idx="7">
                  <c:v>0.26071304866560002</c:v>
                </c:pt>
                <c:pt idx="8">
                  <c:v>0.27667806683759999</c:v>
                </c:pt>
                <c:pt idx="9">
                  <c:v>0.30000940441559998</c:v>
                </c:pt>
                <c:pt idx="10">
                  <c:v>0.32356736286479998</c:v>
                </c:pt>
                <c:pt idx="11">
                  <c:v>0.36099198540719996</c:v>
                </c:pt>
                <c:pt idx="12">
                  <c:v>0.37042881624719998</c:v>
                </c:pt>
                <c:pt idx="13">
                  <c:v>0.38485838102399994</c:v>
                </c:pt>
                <c:pt idx="14">
                  <c:v>0.40465450147679993</c:v>
                </c:pt>
                <c:pt idx="15">
                  <c:v>0.41403827153879991</c:v>
                </c:pt>
                <c:pt idx="16">
                  <c:v>0.42646533396479991</c:v>
                </c:pt>
                <c:pt idx="17">
                  <c:v>0.44495273600279989</c:v>
                </c:pt>
                <c:pt idx="18">
                  <c:v>0.46498209566039983</c:v>
                </c:pt>
                <c:pt idx="19">
                  <c:v>0.47493766692359984</c:v>
                </c:pt>
                <c:pt idx="20">
                  <c:v>0.48971070039239983</c:v>
                </c:pt>
                <c:pt idx="21">
                  <c:v>0.51235361716679984</c:v>
                </c:pt>
                <c:pt idx="22">
                  <c:v>0.52414805818799981</c:v>
                </c:pt>
                <c:pt idx="23">
                  <c:v>0.53353764781919988</c:v>
                </c:pt>
                <c:pt idx="24">
                  <c:v>0.54216430333919985</c:v>
                </c:pt>
                <c:pt idx="25">
                  <c:v>0.55393443910079987</c:v>
                </c:pt>
                <c:pt idx="26">
                  <c:v>0.56990379342239983</c:v>
                </c:pt>
                <c:pt idx="27">
                  <c:v>0.5783201456867999</c:v>
                </c:pt>
                <c:pt idx="28">
                  <c:v>0.58951585573559984</c:v>
                </c:pt>
                <c:pt idx="29">
                  <c:v>0.6051757459067999</c:v>
                </c:pt>
                <c:pt idx="30">
                  <c:v>0.63210083862959998</c:v>
                </c:pt>
                <c:pt idx="31">
                  <c:v>0.66280351641839996</c:v>
                </c:pt>
                <c:pt idx="32">
                  <c:v>0.67393794982679989</c:v>
                </c:pt>
                <c:pt idx="33">
                  <c:v>0.68737647620159981</c:v>
                </c:pt>
                <c:pt idx="34">
                  <c:v>0.70257011618159981</c:v>
                </c:pt>
                <c:pt idx="35">
                  <c:v>0.7218676935395999</c:v>
                </c:pt>
                <c:pt idx="36">
                  <c:v>0.75228361490879991</c:v>
                </c:pt>
                <c:pt idx="37">
                  <c:v>0.79527402779039991</c:v>
                </c:pt>
                <c:pt idx="38">
                  <c:v>0.85210303390199993</c:v>
                </c:pt>
                <c:pt idx="39">
                  <c:v>0.93403697688719989</c:v>
                </c:pt>
                <c:pt idx="40">
                  <c:v>0.94515908650199987</c:v>
                </c:pt>
                <c:pt idx="41">
                  <c:v>0.95825950731719978</c:v>
                </c:pt>
                <c:pt idx="42">
                  <c:v>0.98010605598479983</c:v>
                </c:pt>
                <c:pt idx="43">
                  <c:v>1.0045153831751998</c:v>
                </c:pt>
                <c:pt idx="44">
                  <c:v>1.0132552350216</c:v>
                </c:pt>
                <c:pt idx="45">
                  <c:v>1.0250197794323999</c:v>
                </c:pt>
                <c:pt idx="46">
                  <c:v>1.0428277752935999</c:v>
                </c:pt>
                <c:pt idx="47">
                  <c:v>1.0656557771903998</c:v>
                </c:pt>
                <c:pt idx="48">
                  <c:v>1.1026852395732001</c:v>
                </c:pt>
                <c:pt idx="49">
                  <c:v>1.1475832159512001</c:v>
                </c:pt>
                <c:pt idx="50">
                  <c:v>1.1994928603416</c:v>
                </c:pt>
                <c:pt idx="51">
                  <c:v>1.276863119982</c:v>
                </c:pt>
                <c:pt idx="52">
                  <c:v>1.3802681923667999</c:v>
                </c:pt>
              </c:numCache>
            </c:numRef>
          </c:val>
          <c:smooth val="0"/>
          <c:extLst>
            <c:ext xmlns:c16="http://schemas.microsoft.com/office/drawing/2014/chart" uri="{C3380CC4-5D6E-409C-BE32-E72D297353CC}">
              <c16:uniqueId val="{00000001-33D2-480D-9DDC-319004886725}"/>
            </c:ext>
          </c:extLst>
        </c:ser>
        <c:ser>
          <c:idx val="2"/>
          <c:order val="2"/>
          <c:tx>
            <c:strRef>
              <c:f>'OZL Summary'!$AF$6</c:f>
              <c:strCache>
                <c:ptCount val="1"/>
                <c:pt idx="0">
                  <c:v>FY20</c:v>
                </c:pt>
              </c:strCache>
            </c:strRef>
          </c:tx>
          <c:spPr>
            <a:ln w="28575" cap="rnd">
              <a:solidFill>
                <a:schemeClr val="accent4"/>
              </a:solidFill>
              <a:round/>
            </a:ln>
            <a:effectLst/>
          </c:spPr>
          <c:marker>
            <c:symbol val="none"/>
          </c:marker>
          <c:cat>
            <c:numRef>
              <c:f>'OZL Summary'!$AC$7:$AC$59</c:f>
              <c:numCache>
                <c:formatCode>General</c:formatCode>
                <c:ptCount val="5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numCache>
            </c:numRef>
          </c:cat>
          <c:val>
            <c:numRef>
              <c:f>'OZL Summary'!$AF$7:$AF$59</c:f>
              <c:numCache>
                <c:formatCode>_-* #,##0.000_-;\-* #,##0.000_-;_-* "-"??_-;_-@_-</c:formatCode>
                <c:ptCount val="53"/>
                <c:pt idx="0" formatCode="0.000">
                  <c:v>0</c:v>
                </c:pt>
                <c:pt idx="1">
                  <c:v>9.8744396219999989E-3</c:v>
                </c:pt>
                <c:pt idx="2">
                  <c:v>2.2080700746E-2</c:v>
                </c:pt>
                <c:pt idx="3">
                  <c:v>4.0729453192799997E-2</c:v>
                </c:pt>
                <c:pt idx="4">
                  <c:v>6.8186180678400002E-2</c:v>
                </c:pt>
                <c:pt idx="5">
                  <c:v>0.10528102763279998</c:v>
                </c:pt>
                <c:pt idx="6">
                  <c:v>0.15115338246959997</c:v>
                </c:pt>
                <c:pt idx="7">
                  <c:v>0.16385544806759994</c:v>
                </c:pt>
                <c:pt idx="8">
                  <c:v>0.17701223882759995</c:v>
                </c:pt>
                <c:pt idx="9">
                  <c:v>0.19517808113999993</c:v>
                </c:pt>
                <c:pt idx="10">
                  <c:v>0.20624678764919993</c:v>
                </c:pt>
                <c:pt idx="11">
                  <c:v>0.21933796561919994</c:v>
                </c:pt>
                <c:pt idx="12">
                  <c:v>0.23574207599279995</c:v>
                </c:pt>
                <c:pt idx="13">
                  <c:v>0.26336494647359993</c:v>
                </c:pt>
                <c:pt idx="14">
                  <c:v>0.30404454167159994</c:v>
                </c:pt>
                <c:pt idx="15">
                  <c:v>0.34759087578359993</c:v>
                </c:pt>
                <c:pt idx="16">
                  <c:v>0.40667310387359989</c:v>
                </c:pt>
                <c:pt idx="17">
                  <c:v>0.41804425206719986</c:v>
                </c:pt>
                <c:pt idx="18">
                  <c:v>0.43163578426319987</c:v>
                </c:pt>
                <c:pt idx="19">
                  <c:v>0.44924121155159985</c:v>
                </c:pt>
                <c:pt idx="20">
                  <c:v>0.45865648264319986</c:v>
                </c:pt>
                <c:pt idx="21">
                  <c:v>0.47142939074039986</c:v>
                </c:pt>
                <c:pt idx="22">
                  <c:v>0.48320691457679982</c:v>
                </c:pt>
                <c:pt idx="23">
                  <c:v>0.4970837964023998</c:v>
                </c:pt>
                <c:pt idx="24">
                  <c:v>0.51712425325799982</c:v>
                </c:pt>
                <c:pt idx="25">
                  <c:v>0.53876061831239974</c:v>
                </c:pt>
                <c:pt idx="26">
                  <c:v>0.56593493106119974</c:v>
                </c:pt>
                <c:pt idx="27">
                  <c:v>0.57956100921719977</c:v>
                </c:pt>
                <c:pt idx="28">
                  <c:v>0.59448624577559983</c:v>
                </c:pt>
                <c:pt idx="29">
                  <c:v>0.61592489278559981</c:v>
                </c:pt>
                <c:pt idx="30">
                  <c:v>0.62652152055599986</c:v>
                </c:pt>
                <c:pt idx="31">
                  <c:v>0.63901737005399994</c:v>
                </c:pt>
                <c:pt idx="32">
                  <c:v>0.65936689809839988</c:v>
                </c:pt>
                <c:pt idx="33">
                  <c:v>0.67157958587759981</c:v>
                </c:pt>
                <c:pt idx="34">
                  <c:v>0.68545612224359986</c:v>
                </c:pt>
                <c:pt idx="35">
                  <c:v>0.69467736019319992</c:v>
                </c:pt>
                <c:pt idx="36">
                  <c:v>0.70884995543639984</c:v>
                </c:pt>
                <c:pt idx="37">
                  <c:v>0.72478750377599976</c:v>
                </c:pt>
                <c:pt idx="38">
                  <c:v>0.74574964684439982</c:v>
                </c:pt>
                <c:pt idx="39">
                  <c:v>0.75705227888399984</c:v>
                </c:pt>
                <c:pt idx="40">
                  <c:v>0.77033289743999978</c:v>
                </c:pt>
                <c:pt idx="41">
                  <c:v>0.79173342874079977</c:v>
                </c:pt>
                <c:pt idx="42">
                  <c:v>0.81594208597679974</c:v>
                </c:pt>
                <c:pt idx="43">
                  <c:v>0.82818471358799972</c:v>
                </c:pt>
                <c:pt idx="44">
                  <c:v>0.83860838125199977</c:v>
                </c:pt>
                <c:pt idx="45">
                  <c:v>0.85320047960279977</c:v>
                </c:pt>
                <c:pt idx="46">
                  <c:v>0.87936305633639977</c:v>
                </c:pt>
                <c:pt idx="47">
                  <c:v>0.91026902368439988</c:v>
                </c:pt>
                <c:pt idx="48">
                  <c:v>0.92313750893759994</c:v>
                </c:pt>
                <c:pt idx="49">
                  <c:v>0.9347243390747999</c:v>
                </c:pt>
                <c:pt idx="50">
                  <c:v>0.9509455097459999</c:v>
                </c:pt>
                <c:pt idx="51">
                  <c:v>0.97466937201000003</c:v>
                </c:pt>
                <c:pt idx="52">
                  <c:v>1.0078410937211999</c:v>
                </c:pt>
              </c:numCache>
            </c:numRef>
          </c:val>
          <c:smooth val="0"/>
          <c:extLst>
            <c:ext xmlns:c16="http://schemas.microsoft.com/office/drawing/2014/chart" uri="{C3380CC4-5D6E-409C-BE32-E72D297353CC}">
              <c16:uniqueId val="{00000002-33D2-480D-9DDC-319004886725}"/>
            </c:ext>
          </c:extLst>
        </c:ser>
        <c:ser>
          <c:idx val="3"/>
          <c:order val="3"/>
          <c:tx>
            <c:strRef>
              <c:f>'OZL Summary'!$AG$6</c:f>
              <c:strCache>
                <c:ptCount val="1"/>
                <c:pt idx="0">
                  <c:v>FY21</c:v>
                </c:pt>
              </c:strCache>
            </c:strRef>
          </c:tx>
          <c:spPr>
            <a:ln w="28575" cap="rnd">
              <a:solidFill>
                <a:schemeClr val="accent2"/>
              </a:solidFill>
              <a:round/>
            </a:ln>
            <a:effectLst/>
          </c:spPr>
          <c:marker>
            <c:symbol val="none"/>
          </c:marker>
          <c:cat>
            <c:numRef>
              <c:f>'OZL Summary'!$AC$7:$AC$59</c:f>
              <c:numCache>
                <c:formatCode>General</c:formatCode>
                <c:ptCount val="5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numCache>
            </c:numRef>
          </c:cat>
          <c:val>
            <c:numRef>
              <c:f>'OZL Summary'!$AG$7:$AG$59</c:f>
              <c:numCache>
                <c:formatCode>_-* #,##0.000_-;\-* #,##0.000_-;_-* "-"??_-;_-@_-</c:formatCode>
                <c:ptCount val="53"/>
                <c:pt idx="0" formatCode="0.000">
                  <c:v>0</c:v>
                </c:pt>
                <c:pt idx="1">
                  <c:v>6.577873212959999E-2</c:v>
                </c:pt>
                <c:pt idx="2">
                  <c:v>7.9237838145599995E-2</c:v>
                </c:pt>
                <c:pt idx="3">
                  <c:v>9.5214653726399992E-2</c:v>
                </c:pt>
                <c:pt idx="4">
                  <c:v>0.12221692759439999</c:v>
                </c:pt>
                <c:pt idx="5">
                  <c:v>0.134362481058</c:v>
                </c:pt>
                <c:pt idx="6">
                  <c:v>0.15302904508439999</c:v>
                </c:pt>
                <c:pt idx="7">
                  <c:v>0.18299536232040001</c:v>
                </c:pt>
                <c:pt idx="8">
                  <c:v>0.19685485601280001</c:v>
                </c:pt>
                <c:pt idx="9">
                  <c:v>0.21172470388199999</c:v>
                </c:pt>
                <c:pt idx="10">
                  <c:v>0.23446999425239998</c:v>
                </c:pt>
                <c:pt idx="11">
                  <c:v>0.26403845718239999</c:v>
                </c:pt>
                <c:pt idx="12">
                  <c:v>0.27659061659520001</c:v>
                </c:pt>
                <c:pt idx="13">
                  <c:v>0.29648494404000003</c:v>
                </c:pt>
                <c:pt idx="14">
                  <c:v>0.32108040087480005</c:v>
                </c:pt>
                <c:pt idx="15">
                  <c:v>0.3340215477972</c:v>
                </c:pt>
                <c:pt idx="16">
                  <c:v>0.34666306609320002</c:v>
                </c:pt>
                <c:pt idx="17">
                  <c:v>0.36126311001479999</c:v>
                </c:pt>
                <c:pt idx="18">
                  <c:v>0.38231484227280005</c:v>
                </c:pt>
                <c:pt idx="19">
                  <c:v>0.41671306071720005</c:v>
                </c:pt>
                <c:pt idx="20">
                  <c:v>0.46322643218039999</c:v>
                </c:pt>
                <c:pt idx="21">
                  <c:v>0.47600486763120003</c:v>
                </c:pt>
                <c:pt idx="22">
                  <c:v>0.48888763188119999</c:v>
                </c:pt>
                <c:pt idx="23">
                  <c:v>0.5056046522316</c:v>
                </c:pt>
                <c:pt idx="24">
                  <c:v>0.5170673472192</c:v>
                </c:pt>
                <c:pt idx="25">
                  <c:v>0.53222450232240004</c:v>
                </c:pt>
                <c:pt idx="26">
                  <c:v>0.55445528819520007</c:v>
                </c:pt>
                <c:pt idx="27">
                  <c:v>0.56700641122920015</c:v>
                </c:pt>
                <c:pt idx="28">
                  <c:v>0.58385010009960003</c:v>
                </c:pt>
                <c:pt idx="29">
                  <c:v>0.60753342843720004</c:v>
                </c:pt>
                <c:pt idx="30">
                  <c:v>0.64174797752760004</c:v>
                </c:pt>
                <c:pt idx="31">
                  <c:v>0.68425355701800006</c:v>
                </c:pt>
                <c:pt idx="32">
                  <c:v>0.69658646473800001</c:v>
                </c:pt>
                <c:pt idx="33">
                  <c:v>0.710723823102</c:v>
                </c:pt>
                <c:pt idx="34">
                  <c:v>0.73618914720959994</c:v>
                </c:pt>
                <c:pt idx="35">
                  <c:v>0.76795680595319993</c:v>
                </c:pt>
                <c:pt idx="36">
                  <c:v>0.80888628359519998</c:v>
                </c:pt>
                <c:pt idx="37">
                  <c:v>0.82083342809519999</c:v>
                </c:pt>
                <c:pt idx="38">
                  <c:v>0.83646754775279997</c:v>
                </c:pt>
                <c:pt idx="39">
                  <c:v>0.86199862433759999</c:v>
                </c:pt>
                <c:pt idx="40">
                  <c:v>0.89119260906120001</c:v>
                </c:pt>
                <c:pt idx="41">
                  <c:v>0.92705050946880008</c:v>
                </c:pt>
                <c:pt idx="42">
                  <c:v>0.93862075754520014</c:v>
                </c:pt>
                <c:pt idx="43">
                  <c:v>0.95423898606120017</c:v>
                </c:pt>
                <c:pt idx="44">
                  <c:v>0.97812095366880014</c:v>
                </c:pt>
                <c:pt idx="45">
                  <c:v>0.98951939317080007</c:v>
                </c:pt>
                <c:pt idx="46">
                  <c:v>1.0056603020616002</c:v>
                </c:pt>
                <c:pt idx="47">
                  <c:v>1.0166076864792002</c:v>
                </c:pt>
                <c:pt idx="48">
                  <c:v>1.0320049360044001</c:v>
                </c:pt>
                <c:pt idx="49">
                  <c:v>1.0555580260728001</c:v>
                </c:pt>
                <c:pt idx="50">
                  <c:v>1.0676514151368002</c:v>
                </c:pt>
                <c:pt idx="51">
                  <c:v>1.0827075808836002</c:v>
                </c:pt>
                <c:pt idx="52">
                  <c:v>1.1024372392524002</c:v>
                </c:pt>
              </c:numCache>
            </c:numRef>
          </c:val>
          <c:smooth val="0"/>
          <c:extLst xmlns:c15="http://schemas.microsoft.com/office/drawing/2012/chart">
            <c:ext xmlns:c16="http://schemas.microsoft.com/office/drawing/2014/chart" uri="{C3380CC4-5D6E-409C-BE32-E72D297353CC}">
              <c16:uniqueId val="{00000003-33D2-480D-9DDC-319004886725}"/>
            </c:ext>
          </c:extLst>
        </c:ser>
        <c:ser>
          <c:idx val="4"/>
          <c:order val="4"/>
          <c:tx>
            <c:strRef>
              <c:f>'OZL Summary'!$AH$6</c:f>
              <c:strCache>
                <c:ptCount val="1"/>
                <c:pt idx="0">
                  <c:v>FY22</c:v>
                </c:pt>
              </c:strCache>
            </c:strRef>
          </c:tx>
          <c:spPr>
            <a:ln w="28575" cap="rnd">
              <a:solidFill>
                <a:schemeClr val="accent1"/>
              </a:solidFill>
              <a:round/>
            </a:ln>
            <a:effectLst/>
          </c:spPr>
          <c:marker>
            <c:symbol val="none"/>
          </c:marker>
          <c:cat>
            <c:numRef>
              <c:f>'OZL Summary'!$AC$7:$AC$59</c:f>
              <c:numCache>
                <c:formatCode>General</c:formatCode>
                <c:ptCount val="5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numCache>
            </c:numRef>
          </c:cat>
          <c:val>
            <c:numRef>
              <c:f>'OZL Summary'!$AH$7:$AH$59</c:f>
              <c:numCache>
                <c:formatCode>_-* #,##0.000_-;\-* #,##0.000_-;_-* "-"??_-;_-@_-</c:formatCode>
                <c:ptCount val="53"/>
                <c:pt idx="0" formatCode="0.000">
                  <c:v>0</c:v>
                </c:pt>
                <c:pt idx="1">
                  <c:v>3.4282144018799997E-2</c:v>
                </c:pt>
                <c:pt idx="2">
                  <c:v>4.61727482976E-2</c:v>
                </c:pt>
                <c:pt idx="3">
                  <c:v>6.0744925144799997E-2</c:v>
                </c:pt>
                <c:pt idx="4">
                  <c:v>7.9887071887199998E-2</c:v>
                </c:pt>
                <c:pt idx="5">
                  <c:v>9.0591598206000004E-2</c:v>
                </c:pt>
                <c:pt idx="6">
                  <c:v>0.10471594425839999</c:v>
                </c:pt>
                <c:pt idx="7">
                  <c:v>0.13024126318319998</c:v>
                </c:pt>
                <c:pt idx="8">
                  <c:v>0.14299494069599997</c:v>
                </c:pt>
                <c:pt idx="9">
                  <c:v>0.15712274134439999</c:v>
                </c:pt>
                <c:pt idx="10">
                  <c:v>0.18211939192799997</c:v>
                </c:pt>
                <c:pt idx="11">
                  <c:v>0.21562528822559998</c:v>
                </c:pt>
                <c:pt idx="12">
                  <c:v>0.26312805598319994</c:v>
                </c:pt>
                <c:pt idx="13">
                  <c:v>0.27559419595559997</c:v>
                </c:pt>
                <c:pt idx="14">
                  <c:v>0.29338294713839996</c:v>
                </c:pt>
                <c:pt idx="15">
                  <c:v>0.31479798774239992</c:v>
                </c:pt>
                <c:pt idx="16">
                  <c:v>0.34138237064759991</c:v>
                </c:pt>
                <c:pt idx="17">
                  <c:v>0.38401116406199992</c:v>
                </c:pt>
                <c:pt idx="18">
                  <c:v>0.45353502371519994</c:v>
                </c:pt>
                <c:pt idx="19">
                  <c:v>0.46636884785519994</c:v>
                </c:pt>
                <c:pt idx="20">
                  <c:v>0.48057414660719988</c:v>
                </c:pt>
                <c:pt idx="21">
                  <c:v>0.50512031787239997</c:v>
                </c:pt>
                <c:pt idx="22">
                  <c:v>0.53195446806839985</c:v>
                </c:pt>
                <c:pt idx="23">
                  <c:v>0.57374874624239991</c:v>
                </c:pt>
                <c:pt idx="24">
                  <c:v>0.58543426267199994</c:v>
                </c:pt>
                <c:pt idx="25">
                  <c:v>0.59798193110999986</c:v>
                </c:pt>
                <c:pt idx="26">
                  <c:v>0.60953824564919989</c:v>
                </c:pt>
                <c:pt idx="27">
                  <c:v>0.62793005414039982</c:v>
                </c:pt>
                <c:pt idx="28">
                  <c:v>0.66085868744639986</c:v>
                </c:pt>
                <c:pt idx="29">
                  <c:v>0.70280784667439988</c:v>
                </c:pt>
                <c:pt idx="30">
                  <c:v>0.76647478426919979</c:v>
                </c:pt>
                <c:pt idx="31">
                  <c:v>0.77875598820239988</c:v>
                </c:pt>
                <c:pt idx="32">
                  <c:v>0.79341798454559986</c:v>
                </c:pt>
                <c:pt idx="33">
                  <c:v>0.81253514304359986</c:v>
                </c:pt>
                <c:pt idx="34">
                  <c:v>0.82340606573639985</c:v>
                </c:pt>
                <c:pt idx="35">
                  <c:v>0.84006470341439987</c:v>
                </c:pt>
                <c:pt idx="36">
                  <c:v>0.86433934343399987</c:v>
                </c:pt>
                <c:pt idx="37">
                  <c:v>0.87578580182039989</c:v>
                </c:pt>
                <c:pt idx="38">
                  <c:v>0.89565744408479986</c:v>
                </c:pt>
                <c:pt idx="39">
                  <c:v>0.90846581936759985</c:v>
                </c:pt>
                <c:pt idx="40">
                  <c:v>0.91858582836759983</c:v>
                </c:pt>
                <c:pt idx="41">
                  <c:v>0.93370152831879982</c:v>
                </c:pt>
                <c:pt idx="42">
                  <c:v>0.95559030918759991</c:v>
                </c:pt>
                <c:pt idx="43">
                  <c:v>0.98300771034159995</c:v>
                </c:pt>
                <c:pt idx="44">
                  <c:v>0.99330666708999993</c:v>
                </c:pt>
                <c:pt idx="45">
                  <c:v>1.0075762213275998</c:v>
                </c:pt>
                <c:pt idx="46">
                  <c:v>1.0281208537475999</c:v>
                </c:pt>
                <c:pt idx="47">
                  <c:v>1.0382225415931998</c:v>
                </c:pt>
                <c:pt idx="48">
                  <c:v>1.0541579684225999</c:v>
                </c:pt>
                <c:pt idx="49">
                  <c:v>1.0687637971379997</c:v>
                </c:pt>
                <c:pt idx="50">
                  <c:v>1.0815684581785998</c:v>
                </c:pt>
                <c:pt idx="51">
                  <c:v>1.0986668252266998</c:v>
                </c:pt>
                <c:pt idx="52">
                  <c:v>1.1194431701510998</c:v>
                </c:pt>
              </c:numCache>
            </c:numRef>
          </c:val>
          <c:smooth val="0"/>
          <c:extLst xmlns:c15="http://schemas.microsoft.com/office/drawing/2012/chart">
            <c:ext xmlns:c16="http://schemas.microsoft.com/office/drawing/2014/chart" uri="{C3380CC4-5D6E-409C-BE32-E72D297353CC}">
              <c16:uniqueId val="{00000004-33D2-480D-9DDC-319004886725}"/>
            </c:ext>
          </c:extLst>
        </c:ser>
        <c:dLbls>
          <c:showLegendKey val="0"/>
          <c:showVal val="0"/>
          <c:showCatName val="0"/>
          <c:showSerName val="0"/>
          <c:showPercent val="0"/>
          <c:showBubbleSize val="0"/>
        </c:dLbls>
        <c:smooth val="0"/>
        <c:axId val="1388952432"/>
        <c:axId val="1388953088"/>
        <c:extLst>
          <c:ext xmlns:c15="http://schemas.microsoft.com/office/drawing/2012/chart" uri="{02D57815-91ED-43cb-92C2-25804820EDAC}">
            <c15:filteredLineSeries>
              <c15:ser>
                <c:idx val="5"/>
                <c:order val="5"/>
                <c:tx>
                  <c:strRef>
                    <c:extLst>
                      <c:ext uri="{02D57815-91ED-43cb-92C2-25804820EDAC}">
                        <c15:formulaRef>
                          <c15:sqref>'OZL Summary'!$AJ$6</c15:sqref>
                        </c15:formulaRef>
                      </c:ext>
                    </c:extLst>
                    <c:strCache>
                      <c:ptCount val="1"/>
                      <c:pt idx="0">
                        <c:v>0.8x Yr Avg</c:v>
                      </c:pt>
                    </c:strCache>
                  </c:strRef>
                </c:tx>
                <c:spPr>
                  <a:ln w="28575" cap="rnd">
                    <a:solidFill>
                      <a:schemeClr val="accent5">
                        <a:lumMod val="40000"/>
                        <a:lumOff val="60000"/>
                      </a:schemeClr>
                    </a:solidFill>
                    <a:prstDash val="sysDash"/>
                    <a:round/>
                  </a:ln>
                  <a:effectLst/>
                </c:spPr>
                <c:marker>
                  <c:symbol val="none"/>
                </c:marker>
                <c:cat>
                  <c:numRef>
                    <c:extLst>
                      <c:ext uri="{02D57815-91ED-43cb-92C2-25804820EDAC}">
                        <c15:formulaRef>
                          <c15:sqref>'OZL Summary'!$AC$7:$AC$59</c15:sqref>
                        </c15:formulaRef>
                      </c:ext>
                    </c:extLst>
                    <c:numCache>
                      <c:formatCode>General</c:formatCode>
                      <c:ptCount val="5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numCache>
                  </c:numRef>
                </c:cat>
                <c:val>
                  <c:numRef>
                    <c:extLst>
                      <c:ext uri="{02D57815-91ED-43cb-92C2-25804820EDAC}">
                        <c15:formulaRef>
                          <c15:sqref>'OZL Summary'!$AJ$7:$AJ$59</c15:sqref>
                        </c15:formulaRef>
                      </c:ext>
                    </c:extLst>
                    <c:numCache>
                      <c:formatCode>0.000</c:formatCode>
                      <c:ptCount val="53"/>
                      <c:pt idx="43">
                        <c:v>0.98300771034159995</c:v>
                      </c:pt>
                      <c:pt idx="44">
                        <c:v>0.98300771034159995</c:v>
                      </c:pt>
                      <c:pt idx="45">
                        <c:v>0.98300771034159995</c:v>
                      </c:pt>
                      <c:pt idx="46">
                        <c:v>0.98300771034159995</c:v>
                      </c:pt>
                      <c:pt idx="47">
                        <c:v>0.98300771034159995</c:v>
                      </c:pt>
                      <c:pt idx="48">
                        <c:v>0.98300771034159995</c:v>
                      </c:pt>
                      <c:pt idx="49">
                        <c:v>0.98300771034159995</c:v>
                      </c:pt>
                      <c:pt idx="50">
                        <c:v>0.98300771034159995</c:v>
                      </c:pt>
                      <c:pt idx="51">
                        <c:v>0.98300771034159995</c:v>
                      </c:pt>
                      <c:pt idx="52">
                        <c:v>0.98300771034159995</c:v>
                      </c:pt>
                    </c:numCache>
                  </c:numRef>
                </c:val>
                <c:smooth val="0"/>
                <c:extLst>
                  <c:ext xmlns:c16="http://schemas.microsoft.com/office/drawing/2014/chart" uri="{C3380CC4-5D6E-409C-BE32-E72D297353CC}">
                    <c16:uniqueId val="{00000005-33D2-480D-9DDC-319004886725}"/>
                  </c:ext>
                </c:extLst>
              </c15:ser>
            </c15:filteredLineSeries>
            <c15:filteredLineSeries>
              <c15:ser>
                <c:idx val="6"/>
                <c:order val="6"/>
                <c:tx>
                  <c:strRef>
                    <c:extLst xmlns:c15="http://schemas.microsoft.com/office/drawing/2012/chart">
                      <c:ext xmlns:c15="http://schemas.microsoft.com/office/drawing/2012/chart" uri="{02D57815-91ED-43cb-92C2-25804820EDAC}">
                        <c15:formulaRef>
                          <c15:sqref>'OZL Summary'!$AK$6</c15:sqref>
                        </c15:formulaRef>
                      </c:ext>
                    </c:extLst>
                    <c:strCache>
                      <c:ptCount val="1"/>
                      <c:pt idx="0">
                        <c:v>1.0x Yr Avg</c:v>
                      </c:pt>
                    </c:strCache>
                  </c:strRef>
                </c:tx>
                <c:spPr>
                  <a:ln w="28575" cap="rnd">
                    <a:solidFill>
                      <a:schemeClr val="accent1">
                        <a:lumMod val="60000"/>
                      </a:schemeClr>
                    </a:solidFill>
                    <a:prstDash val="sysDash"/>
                    <a:round/>
                  </a:ln>
                  <a:effectLst/>
                </c:spPr>
                <c:marker>
                  <c:symbol val="none"/>
                </c:marker>
                <c:cat>
                  <c:numRef>
                    <c:extLst xmlns:c15="http://schemas.microsoft.com/office/drawing/2012/chart">
                      <c:ext xmlns:c15="http://schemas.microsoft.com/office/drawing/2012/chart" uri="{02D57815-91ED-43cb-92C2-25804820EDAC}">
                        <c15:formulaRef>
                          <c15:sqref>'OZL Summary'!$AC$7:$AC$59</c15:sqref>
                        </c15:formulaRef>
                      </c:ext>
                    </c:extLst>
                    <c:numCache>
                      <c:formatCode>General</c:formatCode>
                      <c:ptCount val="5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numCache>
                  </c:numRef>
                </c:cat>
                <c:val>
                  <c:numRef>
                    <c:extLst xmlns:c15="http://schemas.microsoft.com/office/drawing/2012/chart">
                      <c:ext xmlns:c15="http://schemas.microsoft.com/office/drawing/2012/chart" uri="{02D57815-91ED-43cb-92C2-25804820EDAC}">
                        <c15:formulaRef>
                          <c15:sqref>'OZL Summary'!$AK$7:$AK$59</c15:sqref>
                        </c15:formulaRef>
                      </c:ext>
                    </c:extLst>
                    <c:numCache>
                      <c:formatCode>0.000</c:formatCode>
                      <c:ptCount val="53"/>
                      <c:pt idx="43">
                        <c:v>0.98300771034159995</c:v>
                      </c:pt>
                      <c:pt idx="44">
                        <c:v>0.98300771034159995</c:v>
                      </c:pt>
                      <c:pt idx="45">
                        <c:v>0.98300771034159995</c:v>
                      </c:pt>
                      <c:pt idx="46">
                        <c:v>0.98300771034159995</c:v>
                      </c:pt>
                      <c:pt idx="47">
                        <c:v>0.98300771034159995</c:v>
                      </c:pt>
                      <c:pt idx="48">
                        <c:v>0.98300771034159995</c:v>
                      </c:pt>
                      <c:pt idx="49">
                        <c:v>0.98300771034159995</c:v>
                      </c:pt>
                      <c:pt idx="50">
                        <c:v>0.98300771034159995</c:v>
                      </c:pt>
                      <c:pt idx="51">
                        <c:v>0.98300771034159995</c:v>
                      </c:pt>
                      <c:pt idx="52">
                        <c:v>0.98300771034159995</c:v>
                      </c:pt>
                    </c:numCache>
                  </c:numRef>
                </c:val>
                <c:smooth val="0"/>
                <c:extLst xmlns:c15="http://schemas.microsoft.com/office/drawing/2012/chart">
                  <c:ext xmlns:c16="http://schemas.microsoft.com/office/drawing/2014/chart" uri="{C3380CC4-5D6E-409C-BE32-E72D297353CC}">
                    <c16:uniqueId val="{00000006-33D2-480D-9DDC-319004886725}"/>
                  </c:ext>
                </c:extLst>
              </c15:ser>
            </c15:filteredLineSeries>
            <c15:filteredLineSeries>
              <c15:ser>
                <c:idx val="7"/>
                <c:order val="7"/>
                <c:tx>
                  <c:strRef>
                    <c:extLst xmlns:c15="http://schemas.microsoft.com/office/drawing/2012/chart">
                      <c:ext xmlns:c15="http://schemas.microsoft.com/office/drawing/2012/chart" uri="{02D57815-91ED-43cb-92C2-25804820EDAC}">
                        <c15:formulaRef>
                          <c15:sqref>'OZL Summary'!$AL$6</c15:sqref>
                        </c15:formulaRef>
                      </c:ext>
                    </c:extLst>
                    <c:strCache>
                      <c:ptCount val="1"/>
                      <c:pt idx="0">
                        <c:v>1.2x Yr Avg</c:v>
                      </c:pt>
                    </c:strCache>
                  </c:strRef>
                </c:tx>
                <c:spPr>
                  <a:ln w="28575" cap="rnd">
                    <a:solidFill>
                      <a:schemeClr val="accent5">
                        <a:lumMod val="50000"/>
                      </a:schemeClr>
                    </a:solidFill>
                    <a:prstDash val="dash"/>
                    <a:round/>
                  </a:ln>
                  <a:effectLst/>
                </c:spPr>
                <c:marker>
                  <c:symbol val="none"/>
                </c:marker>
                <c:cat>
                  <c:numRef>
                    <c:extLst xmlns:c15="http://schemas.microsoft.com/office/drawing/2012/chart">
                      <c:ext xmlns:c15="http://schemas.microsoft.com/office/drawing/2012/chart" uri="{02D57815-91ED-43cb-92C2-25804820EDAC}">
                        <c15:formulaRef>
                          <c15:sqref>'OZL Summary'!$AC$7:$AC$59</c15:sqref>
                        </c15:formulaRef>
                      </c:ext>
                    </c:extLst>
                    <c:numCache>
                      <c:formatCode>General</c:formatCode>
                      <c:ptCount val="5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numCache>
                  </c:numRef>
                </c:cat>
                <c:val>
                  <c:numRef>
                    <c:extLst xmlns:c15="http://schemas.microsoft.com/office/drawing/2012/chart">
                      <c:ext xmlns:c15="http://schemas.microsoft.com/office/drawing/2012/chart" uri="{02D57815-91ED-43cb-92C2-25804820EDAC}">
                        <c15:formulaRef>
                          <c15:sqref>'OZL Summary'!$AL$7:$AL$59</c15:sqref>
                        </c15:formulaRef>
                      </c:ext>
                    </c:extLst>
                    <c:numCache>
                      <c:formatCode>0.000</c:formatCode>
                      <c:ptCount val="53"/>
                      <c:pt idx="43">
                        <c:v>0.98300771034159995</c:v>
                      </c:pt>
                      <c:pt idx="44">
                        <c:v>0.98300771034159995</c:v>
                      </c:pt>
                      <c:pt idx="45">
                        <c:v>0.98300771034159995</c:v>
                      </c:pt>
                      <c:pt idx="46">
                        <c:v>0.98300771034159995</c:v>
                      </c:pt>
                      <c:pt idx="47">
                        <c:v>0.98300771034159995</c:v>
                      </c:pt>
                      <c:pt idx="48">
                        <c:v>0.98300771034159995</c:v>
                      </c:pt>
                      <c:pt idx="49">
                        <c:v>0.98300771034159995</c:v>
                      </c:pt>
                      <c:pt idx="50">
                        <c:v>0.98300771034159995</c:v>
                      </c:pt>
                      <c:pt idx="51">
                        <c:v>0.98300771034159995</c:v>
                      </c:pt>
                      <c:pt idx="52">
                        <c:v>0.98300771034159995</c:v>
                      </c:pt>
                    </c:numCache>
                  </c:numRef>
                </c:val>
                <c:smooth val="0"/>
                <c:extLst xmlns:c15="http://schemas.microsoft.com/office/drawing/2012/chart">
                  <c:ext xmlns:c16="http://schemas.microsoft.com/office/drawing/2014/chart" uri="{C3380CC4-5D6E-409C-BE32-E72D297353CC}">
                    <c16:uniqueId val="{00000007-33D2-480D-9DDC-319004886725}"/>
                  </c:ext>
                </c:extLst>
              </c15:ser>
            </c15:filteredLineSeries>
          </c:ext>
        </c:extLst>
      </c:lineChart>
      <c:catAx>
        <c:axId val="1388952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3088"/>
        <c:crosses val="autoZero"/>
        <c:auto val="1"/>
        <c:lblAlgn val="ctr"/>
        <c:lblOffset val="100"/>
        <c:tickLblSkip val="10"/>
        <c:noMultiLvlLbl val="0"/>
      </c:catAx>
      <c:valAx>
        <c:axId val="1388953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Ticket Sales ($b)</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'OZL Summary'!$JC$6</c:f>
              <c:strCache>
                <c:ptCount val="1"/>
                <c:pt idx="0">
                  <c:v>Actual</c:v>
                </c:pt>
              </c:strCache>
            </c:strRef>
          </c:tx>
          <c:spPr>
            <a:ln w="28575" cap="rnd">
              <a:solidFill>
                <a:schemeClr val="tx2"/>
              </a:solidFill>
              <a:round/>
            </a:ln>
            <a:effectLst/>
          </c:spPr>
          <c:marker>
            <c:symbol val="none"/>
          </c:marker>
          <c:cat>
            <c:numRef>
              <c:extLst>
                <c:ext xmlns:c15="http://schemas.microsoft.com/office/drawing/2012/chart" uri="{02D57815-91ED-43cb-92C2-25804820EDAC}">
                  <c15:fullRef>
                    <c15:sqref>'OZL Summary'!$JB$7:$JB$59</c15:sqref>
                  </c15:fullRef>
                </c:ext>
              </c:extLst>
              <c:f>'OZL Summary'!$JB$8:$JB$59</c:f>
              <c:numCache>
                <c:formatCode>d\-mmm\-yy_);\(###0\);"-  ";" "@" "</c:formatCode>
                <c:ptCount val="52"/>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c:ext xmlns:c15="http://schemas.microsoft.com/office/drawing/2012/chart" uri="{02D57815-91ED-43cb-92C2-25804820EDAC}">
                  <c15:fullRef>
                    <c15:sqref>'OZL Summary'!$JC$7:$JC$59</c15:sqref>
                  </c15:fullRef>
                </c:ext>
              </c:extLst>
              <c:f>'OZL Summary'!$JC$8:$JC$59</c:f>
              <c:numCache>
                <c:formatCode>0.000</c:formatCode>
                <c:ptCount val="52"/>
                <c:pt idx="0">
                  <c:v>3.4282144018799997E-2</c:v>
                </c:pt>
                <c:pt idx="1">
                  <c:v>4.61727482976E-2</c:v>
                </c:pt>
                <c:pt idx="2">
                  <c:v>6.0744925144799997E-2</c:v>
                </c:pt>
                <c:pt idx="3">
                  <c:v>7.9887071887199998E-2</c:v>
                </c:pt>
                <c:pt idx="4">
                  <c:v>9.0591598206000004E-2</c:v>
                </c:pt>
                <c:pt idx="5">
                  <c:v>0.10471594425839999</c:v>
                </c:pt>
                <c:pt idx="6">
                  <c:v>0.13024126318319998</c:v>
                </c:pt>
                <c:pt idx="7">
                  <c:v>0.14299494069599997</c:v>
                </c:pt>
                <c:pt idx="8">
                  <c:v>0.15712274134439999</c:v>
                </c:pt>
                <c:pt idx="9">
                  <c:v>0.18211939192799997</c:v>
                </c:pt>
                <c:pt idx="10">
                  <c:v>0.21562528822559998</c:v>
                </c:pt>
                <c:pt idx="11">
                  <c:v>0.26312805598319994</c:v>
                </c:pt>
                <c:pt idx="12">
                  <c:v>0.27559419595559997</c:v>
                </c:pt>
                <c:pt idx="13">
                  <c:v>0.29338294713839996</c:v>
                </c:pt>
                <c:pt idx="14">
                  <c:v>0.31479798774239992</c:v>
                </c:pt>
                <c:pt idx="15">
                  <c:v>0.34138237064759991</c:v>
                </c:pt>
                <c:pt idx="16">
                  <c:v>0.38401116406199992</c:v>
                </c:pt>
                <c:pt idx="17">
                  <c:v>0.45353502371519994</c:v>
                </c:pt>
                <c:pt idx="18">
                  <c:v>0.46636884785519994</c:v>
                </c:pt>
                <c:pt idx="19">
                  <c:v>0.48057414660719988</c:v>
                </c:pt>
                <c:pt idx="20">
                  <c:v>0.50512031787239997</c:v>
                </c:pt>
                <c:pt idx="21">
                  <c:v>0.53195446806839985</c:v>
                </c:pt>
                <c:pt idx="22">
                  <c:v>0.57374874624239991</c:v>
                </c:pt>
                <c:pt idx="23">
                  <c:v>0.58543426267199994</c:v>
                </c:pt>
                <c:pt idx="24">
                  <c:v>0.59798193110999986</c:v>
                </c:pt>
                <c:pt idx="25">
                  <c:v>0.60953824564919989</c:v>
                </c:pt>
                <c:pt idx="26">
                  <c:v>0.62793005414039982</c:v>
                </c:pt>
                <c:pt idx="27">
                  <c:v>0.66085868744639986</c:v>
                </c:pt>
                <c:pt idx="28">
                  <c:v>0.70280784667439988</c:v>
                </c:pt>
                <c:pt idx="29">
                  <c:v>0.76647478426919979</c:v>
                </c:pt>
                <c:pt idx="30">
                  <c:v>0.77875598820239988</c:v>
                </c:pt>
                <c:pt idx="31">
                  <c:v>0.79341798454559986</c:v>
                </c:pt>
                <c:pt idx="32">
                  <c:v>0.81253514304359986</c:v>
                </c:pt>
                <c:pt idx="33">
                  <c:v>0.82340606573639985</c:v>
                </c:pt>
                <c:pt idx="34">
                  <c:v>0.84006470341439987</c:v>
                </c:pt>
                <c:pt idx="35">
                  <c:v>0.86433934343399987</c:v>
                </c:pt>
                <c:pt idx="36">
                  <c:v>0.87578580182039989</c:v>
                </c:pt>
                <c:pt idx="37">
                  <c:v>0.89565744408479986</c:v>
                </c:pt>
                <c:pt idx="38">
                  <c:v>0.90846581936759985</c:v>
                </c:pt>
                <c:pt idx="39">
                  <c:v>0.91858582836759983</c:v>
                </c:pt>
                <c:pt idx="40">
                  <c:v>0.93370152831879982</c:v>
                </c:pt>
                <c:pt idx="41">
                  <c:v>0.95559030918759991</c:v>
                </c:pt>
                <c:pt idx="42">
                  <c:v>0.98300771034159995</c:v>
                </c:pt>
              </c:numCache>
            </c:numRef>
          </c:val>
          <c:smooth val="0"/>
          <c:extLst>
            <c:ext xmlns:c16="http://schemas.microsoft.com/office/drawing/2014/chart" uri="{C3380CC4-5D6E-409C-BE32-E72D297353CC}">
              <c16:uniqueId val="{00000000-5018-4D88-B57D-C1FCD6950A05}"/>
            </c:ext>
          </c:extLst>
        </c:ser>
        <c:ser>
          <c:idx val="7"/>
          <c:order val="4"/>
          <c:tx>
            <c:strRef>
              <c:f>'OZL Summary'!$JG$6</c:f>
              <c:strCache>
                <c:ptCount val="1"/>
                <c:pt idx="0">
                  <c:v>10th Percentile</c:v>
                </c:pt>
              </c:strCache>
            </c:strRef>
          </c:tx>
          <c:spPr>
            <a:ln w="28575" cap="rnd">
              <a:solidFill>
                <a:schemeClr val="accent6"/>
              </a:solidFill>
              <a:prstDash val="sysDot"/>
              <a:round/>
            </a:ln>
            <a:effectLst/>
          </c:spPr>
          <c:marker>
            <c:symbol val="none"/>
          </c:marker>
          <c:cat>
            <c:numRef>
              <c:extLst>
                <c:ext xmlns:c15="http://schemas.microsoft.com/office/drawing/2012/chart" uri="{02D57815-91ED-43cb-92C2-25804820EDAC}">
                  <c15:fullRef>
                    <c15:sqref>'OZL Summary'!$JB$7:$JB$59</c15:sqref>
                  </c15:fullRef>
                </c:ext>
              </c:extLst>
              <c:f>'OZL Summary'!$JB$8:$JB$59</c:f>
              <c:numCache>
                <c:formatCode>d\-mmm\-yy_);\(###0\);"-  ";" "@" "</c:formatCode>
                <c:ptCount val="52"/>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c:ext xmlns:c15="http://schemas.microsoft.com/office/drawing/2012/chart" uri="{02D57815-91ED-43cb-92C2-25804820EDAC}">
                  <c15:fullRef>
                    <c15:sqref>'OZL Summary'!$JG$7:$JG$59</c15:sqref>
                  </c15:fullRef>
                </c:ext>
              </c:extLst>
              <c:f>'OZL Summary'!$JG$8:$JG$59</c:f>
              <c:numCache>
                <c:formatCode>0.000</c:formatCode>
                <c:ptCount val="52"/>
                <c:pt idx="42">
                  <c:v>0.98300771034159995</c:v>
                </c:pt>
                <c:pt idx="43">
                  <c:v>0.99838144728933331</c:v>
                </c:pt>
                <c:pt idx="44">
                  <c:v>1.0137551842370667</c:v>
                </c:pt>
                <c:pt idx="45">
                  <c:v>1.0291289211848</c:v>
                </c:pt>
                <c:pt idx="46">
                  <c:v>1.0445026581325334</c:v>
                </c:pt>
                <c:pt idx="47">
                  <c:v>1.0598763950802668</c:v>
                </c:pt>
                <c:pt idx="48">
                  <c:v>1.0752501320280001</c:v>
                </c:pt>
                <c:pt idx="49">
                  <c:v>1.0906238689757335</c:v>
                </c:pt>
                <c:pt idx="50">
                  <c:v>1.1059976059234669</c:v>
                </c:pt>
                <c:pt idx="51">
                  <c:v>1.1213713428712002</c:v>
                </c:pt>
              </c:numCache>
            </c:numRef>
          </c:val>
          <c:smooth val="0"/>
          <c:extLst>
            <c:ext xmlns:c16="http://schemas.microsoft.com/office/drawing/2014/chart" uri="{C3380CC4-5D6E-409C-BE32-E72D297353CC}">
              <c16:uniqueId val="{00000001-5018-4D88-B57D-C1FCD6950A05}"/>
            </c:ext>
          </c:extLst>
        </c:ser>
        <c:ser>
          <c:idx val="1"/>
          <c:order val="6"/>
          <c:tx>
            <c:strRef>
              <c:f>'OZL Summary'!$JI$6</c:f>
              <c:strCache>
                <c:ptCount val="1"/>
                <c:pt idx="0">
                  <c:v>50th Percentile</c:v>
                </c:pt>
              </c:strCache>
            </c:strRef>
          </c:tx>
          <c:spPr>
            <a:ln w="28575">
              <a:solidFill>
                <a:schemeClr val="bg2"/>
              </a:solidFill>
              <a:prstDash val="sysDot"/>
            </a:ln>
          </c:spPr>
          <c:marker>
            <c:symbol val="none"/>
          </c:marker>
          <c:cat>
            <c:numRef>
              <c:extLst>
                <c:ext xmlns:c15="http://schemas.microsoft.com/office/drawing/2012/chart" uri="{02D57815-91ED-43cb-92C2-25804820EDAC}">
                  <c15:fullRef>
                    <c15:sqref>'OZL Summary'!$JB$7:$JB$59</c15:sqref>
                  </c15:fullRef>
                </c:ext>
              </c:extLst>
              <c:f>'OZL Summary'!$JB$8:$JB$59</c:f>
              <c:numCache>
                <c:formatCode>d\-mmm\-yy_);\(###0\);"-  ";" "@" "</c:formatCode>
                <c:ptCount val="52"/>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c:ext xmlns:c15="http://schemas.microsoft.com/office/drawing/2012/chart" uri="{02D57815-91ED-43cb-92C2-25804820EDAC}">
                  <c15:fullRef>
                    <c15:sqref>'OZL Summary'!$JI$7:$JI$59</c15:sqref>
                  </c15:fullRef>
                </c:ext>
              </c:extLst>
              <c:f>'OZL Summary'!$JI$8:$JI$59</c:f>
              <c:numCache>
                <c:formatCode>0.000</c:formatCode>
                <c:ptCount val="52"/>
                <c:pt idx="42">
                  <c:v>0.98300771034159995</c:v>
                </c:pt>
                <c:pt idx="43">
                  <c:v>1.0025256254327333</c:v>
                </c:pt>
                <c:pt idx="44">
                  <c:v>1.0220435405238666</c:v>
                </c:pt>
                <c:pt idx="45">
                  <c:v>1.0415614556149999</c:v>
                </c:pt>
                <c:pt idx="46">
                  <c:v>1.0610793707061332</c:v>
                </c:pt>
                <c:pt idx="47">
                  <c:v>1.0805972857972665</c:v>
                </c:pt>
                <c:pt idx="48">
                  <c:v>1.1001152008883999</c:v>
                </c:pt>
                <c:pt idx="49">
                  <c:v>1.1196331159795332</c:v>
                </c:pt>
                <c:pt idx="50">
                  <c:v>1.1391510310706665</c:v>
                </c:pt>
                <c:pt idx="51">
                  <c:v>1.1586689461617998</c:v>
                </c:pt>
              </c:numCache>
            </c:numRef>
          </c:val>
          <c:smooth val="0"/>
          <c:extLst>
            <c:ext xmlns:c16="http://schemas.microsoft.com/office/drawing/2014/chart" uri="{C3380CC4-5D6E-409C-BE32-E72D297353CC}">
              <c16:uniqueId val="{00000002-5018-4D88-B57D-C1FCD6950A05}"/>
            </c:ext>
          </c:extLst>
        </c:ser>
        <c:ser>
          <c:idx val="4"/>
          <c:order val="8"/>
          <c:tx>
            <c:strRef>
              <c:f>'OZL Summary'!$JK$6</c:f>
              <c:strCache>
                <c:ptCount val="1"/>
                <c:pt idx="0">
                  <c:v>90th Percentile</c:v>
                </c:pt>
              </c:strCache>
            </c:strRef>
          </c:tx>
          <c:spPr>
            <a:ln w="28575">
              <a:solidFill>
                <a:schemeClr val="accent1"/>
              </a:solidFill>
              <a:prstDash val="sysDot"/>
            </a:ln>
          </c:spPr>
          <c:marker>
            <c:symbol val="none"/>
          </c:marker>
          <c:cat>
            <c:numRef>
              <c:extLst>
                <c:ext xmlns:c15="http://schemas.microsoft.com/office/drawing/2012/chart" uri="{02D57815-91ED-43cb-92C2-25804820EDAC}">
                  <c15:fullRef>
                    <c15:sqref>'OZL Summary'!$JB$7:$JB$59</c15:sqref>
                  </c15:fullRef>
                </c:ext>
              </c:extLst>
              <c:f>'OZL Summary'!$JB$8:$JB$59</c:f>
              <c:numCache>
                <c:formatCode>d\-mmm\-yy_);\(###0\);"-  ";" "@" "</c:formatCode>
                <c:ptCount val="52"/>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c:ext xmlns:c15="http://schemas.microsoft.com/office/drawing/2012/chart" uri="{02D57815-91ED-43cb-92C2-25804820EDAC}">
                  <c15:fullRef>
                    <c15:sqref>'OZL Summary'!$JK$7:$JK$59</c15:sqref>
                  </c15:fullRef>
                </c:ext>
              </c:extLst>
              <c:f>'OZL Summary'!$JK$8:$JK$59</c:f>
              <c:numCache>
                <c:formatCode>0.000</c:formatCode>
                <c:ptCount val="52"/>
                <c:pt idx="42">
                  <c:v>0.98300771034159995</c:v>
                </c:pt>
                <c:pt idx="43">
                  <c:v>1.0093247245761332</c:v>
                </c:pt>
                <c:pt idx="44">
                  <c:v>1.0356417388106665</c:v>
                </c:pt>
                <c:pt idx="45">
                  <c:v>1.0619587530451997</c:v>
                </c:pt>
                <c:pt idx="46">
                  <c:v>1.088275767279733</c:v>
                </c:pt>
                <c:pt idx="47">
                  <c:v>1.1145927815142662</c:v>
                </c:pt>
                <c:pt idx="48">
                  <c:v>1.1409097957487995</c:v>
                </c:pt>
                <c:pt idx="49">
                  <c:v>1.1672268099833327</c:v>
                </c:pt>
                <c:pt idx="50">
                  <c:v>1.193543824217866</c:v>
                </c:pt>
                <c:pt idx="51">
                  <c:v>1.2198608384523992</c:v>
                </c:pt>
              </c:numCache>
            </c:numRef>
          </c:val>
          <c:smooth val="0"/>
          <c:extLst>
            <c:ext xmlns:c16="http://schemas.microsoft.com/office/drawing/2014/chart" uri="{C3380CC4-5D6E-409C-BE32-E72D297353CC}">
              <c16:uniqueId val="{00000003-5018-4D88-B57D-C1FCD6950A05}"/>
            </c:ext>
          </c:extLst>
        </c:ser>
        <c:ser>
          <c:idx val="12"/>
          <c:order val="12"/>
          <c:tx>
            <c:strRef>
              <c:f>'OZL Summary'!$JO$6</c:f>
              <c:strCache>
                <c:ptCount val="1"/>
                <c:pt idx="0">
                  <c:v>Yearly Average</c:v>
                </c:pt>
              </c:strCache>
            </c:strRef>
          </c:tx>
          <c:spPr>
            <a:ln>
              <a:solidFill>
                <a:schemeClr val="accent2"/>
              </a:solidFill>
              <a:prstDash val="dash"/>
            </a:ln>
          </c:spPr>
          <c:marker>
            <c:symbol val="none"/>
          </c:marker>
          <c:cat>
            <c:numRef>
              <c:extLst>
                <c:ext xmlns:c15="http://schemas.microsoft.com/office/drawing/2012/chart" uri="{02D57815-91ED-43cb-92C2-25804820EDAC}">
                  <c15:fullRef>
                    <c15:sqref>'OZL Summary'!$JB$7:$JB$59</c15:sqref>
                  </c15:fullRef>
                </c:ext>
              </c:extLst>
              <c:f>'OZL Summary'!$JB$8:$JB$59</c:f>
              <c:numCache>
                <c:formatCode>d\-mmm\-yy_);\(###0\);"-  ";" "@" "</c:formatCode>
                <c:ptCount val="52"/>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c:ext xmlns:c15="http://schemas.microsoft.com/office/drawing/2012/chart" uri="{02D57815-91ED-43cb-92C2-25804820EDAC}">
                  <c15:fullRef>
                    <c15:sqref>'OZL Summary'!$JO$7:$JO$59</c15:sqref>
                  </c15:fullRef>
                </c:ext>
              </c:extLst>
              <c:f>'OZL Summary'!$JO$8:$JO$59</c:f>
              <c:numCache>
                <c:formatCode>0.000</c:formatCode>
                <c:ptCount val="52"/>
                <c:pt idx="42">
                  <c:v>0.98300771034159995</c:v>
                </c:pt>
                <c:pt idx="43">
                  <c:v>0.98300771034159995</c:v>
                </c:pt>
                <c:pt idx="44">
                  <c:v>0.98300771034159995</c:v>
                </c:pt>
                <c:pt idx="45">
                  <c:v>0.98300771034159995</c:v>
                </c:pt>
                <c:pt idx="46">
                  <c:v>0.98300771034159995</c:v>
                </c:pt>
                <c:pt idx="47">
                  <c:v>0.98300771034159995</c:v>
                </c:pt>
                <c:pt idx="48">
                  <c:v>0.98300771034159995</c:v>
                </c:pt>
                <c:pt idx="49">
                  <c:v>0.98300771034159995</c:v>
                </c:pt>
                <c:pt idx="50">
                  <c:v>0.98300771034159995</c:v>
                </c:pt>
                <c:pt idx="51">
                  <c:v>0.98300771034159995</c:v>
                </c:pt>
              </c:numCache>
            </c:numRef>
          </c:val>
          <c:smooth val="0"/>
          <c:extLst>
            <c:ext xmlns:c16="http://schemas.microsoft.com/office/drawing/2014/chart" uri="{C3380CC4-5D6E-409C-BE32-E72D297353CC}">
              <c16:uniqueId val="{00000004-5018-4D88-B57D-C1FCD6950A05}"/>
            </c:ext>
          </c:extLst>
        </c:ser>
        <c:dLbls>
          <c:showLegendKey val="0"/>
          <c:showVal val="0"/>
          <c:showCatName val="0"/>
          <c:showSerName val="0"/>
          <c:showPercent val="0"/>
          <c:showBubbleSize val="0"/>
        </c:dLbls>
        <c:smooth val="0"/>
        <c:axId val="1388952432"/>
        <c:axId val="1388953088"/>
        <c:extLst>
          <c:ext xmlns:c15="http://schemas.microsoft.com/office/drawing/2012/chart" uri="{02D57815-91ED-43cb-92C2-25804820EDAC}">
            <c15:filteredLineSeries>
              <c15:ser>
                <c:idx val="3"/>
                <c:order val="1"/>
                <c:tx>
                  <c:strRef>
                    <c:extLst>
                      <c:ext uri="{02D57815-91ED-43cb-92C2-25804820EDAC}">
                        <c15:formulaRef>
                          <c15:sqref>'OZL Summary'!$JD$6</c15:sqref>
                        </c15:formulaRef>
                      </c:ext>
                    </c:extLst>
                    <c:strCache>
                      <c:ptCount val="1"/>
                      <c:pt idx="0">
                        <c:v>Min</c:v>
                      </c:pt>
                    </c:strCache>
                  </c:strRef>
                </c:tx>
                <c:spPr>
                  <a:ln w="28575" cap="rnd">
                    <a:solidFill>
                      <a:schemeClr val="accent6"/>
                    </a:solidFill>
                    <a:prstDash val="sysDot"/>
                    <a:round/>
                  </a:ln>
                  <a:effectLst/>
                </c:spPr>
                <c:marker>
                  <c:symbol val="none"/>
                </c:marker>
                <c:cat>
                  <c:numRef>
                    <c:extLst>
                      <c:ext uri="{02D57815-91ED-43cb-92C2-25804820EDAC}">
                        <c15:fullRef>
                          <c15:sqref>'OZL Summary'!$JB$7:$JB$59</c15:sqref>
                        </c15:fullRef>
                        <c15:formulaRef>
                          <c15:sqref>'OZL Summary'!$JB$8:$JB$59</c15:sqref>
                        </c15:formulaRef>
                      </c:ext>
                    </c:extLst>
                    <c:numCache>
                      <c:formatCode>d\-mmm\-yy_);\(###0\);"-  ";" "@" "</c:formatCode>
                      <c:ptCount val="52"/>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c:ext uri="{02D57815-91ED-43cb-92C2-25804820EDAC}">
                        <c15:fullRef>
                          <c15:sqref>'OZL Summary'!$JD$7:$JD$59</c15:sqref>
                        </c15:fullRef>
                        <c15:formulaRef>
                          <c15:sqref>'OZL Summary'!$JD$8:$JD$59</c15:sqref>
                        </c15:formulaRef>
                      </c:ext>
                    </c:extLst>
                    <c:numCache>
                      <c:formatCode>0.000</c:formatCode>
                      <c:ptCount val="52"/>
                      <c:pt idx="42">
                        <c:v>0.98300771034159995</c:v>
                      </c:pt>
                      <c:pt idx="43">
                        <c:v>0.99574073064979995</c:v>
                      </c:pt>
                      <c:pt idx="44">
                        <c:v>1.008473750958</c:v>
                      </c:pt>
                      <c:pt idx="45">
                        <c:v>1.0212067712661999</c:v>
                      </c:pt>
                      <c:pt idx="46">
                        <c:v>1.0339397915743997</c:v>
                      </c:pt>
                      <c:pt idx="47">
                        <c:v>1.0466728118825996</c:v>
                      </c:pt>
                      <c:pt idx="48">
                        <c:v>1.0594058321907995</c:v>
                      </c:pt>
                      <c:pt idx="49">
                        <c:v>1.0721388524989994</c:v>
                      </c:pt>
                      <c:pt idx="50">
                        <c:v>1.0848718728071993</c:v>
                      </c:pt>
                      <c:pt idx="51">
                        <c:v>1.0976048931153992</c:v>
                      </c:pt>
                    </c:numCache>
                  </c:numRef>
                </c:val>
                <c:smooth val="0"/>
                <c:extLst>
                  <c:ext xmlns:c16="http://schemas.microsoft.com/office/drawing/2014/chart" uri="{C3380CC4-5D6E-409C-BE32-E72D297353CC}">
                    <c16:uniqueId val="{00000005-5018-4D88-B57D-C1FCD6950A05}"/>
                  </c:ext>
                </c:extLst>
              </c15:ser>
            </c15:filteredLineSeries>
            <c15:filteredLineSeries>
              <c15:ser>
                <c:idx val="5"/>
                <c:order val="2"/>
                <c:tx>
                  <c:strRef>
                    <c:extLst xmlns:c15="http://schemas.microsoft.com/office/drawing/2012/chart">
                      <c:ext xmlns:c15="http://schemas.microsoft.com/office/drawing/2012/chart" uri="{02D57815-91ED-43cb-92C2-25804820EDAC}">
                        <c15:formulaRef>
                          <c15:sqref>'OZL Summary'!$JE$6</c15:sqref>
                        </c15:formulaRef>
                      </c:ext>
                    </c:extLst>
                    <c:strCache>
                      <c:ptCount val="1"/>
                      <c:pt idx="0">
                        <c:v>1st Percentile</c:v>
                      </c:pt>
                    </c:strCache>
                  </c:strRef>
                </c:tx>
                <c:spPr>
                  <a:ln w="28575" cap="rnd">
                    <a:solidFill>
                      <a:schemeClr val="accent5"/>
                    </a:solidFill>
                    <a:prstDash val="sysDot"/>
                    <a:round/>
                  </a:ln>
                  <a:effectLst/>
                </c:spPr>
                <c:marker>
                  <c:symbol val="none"/>
                </c:marker>
                <c:cat>
                  <c:numRef>
                    <c:extLst>
                      <c:ext xmlns:c15="http://schemas.microsoft.com/office/drawing/2012/chart" uri="{02D57815-91ED-43cb-92C2-25804820EDAC}">
                        <c15:fullRef>
                          <c15:sqref>'OZL Summary'!$JB$7:$JB$59</c15:sqref>
                        </c15:fullRef>
                        <c15:formulaRef>
                          <c15:sqref>'OZL Summary'!$JB$8:$JB$59</c15:sqref>
                        </c15:formulaRef>
                      </c:ext>
                    </c:extLst>
                    <c:numCache>
                      <c:formatCode>d\-mmm\-yy_);\(###0\);"-  ";" "@" "</c:formatCode>
                      <c:ptCount val="52"/>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c:ext xmlns:c15="http://schemas.microsoft.com/office/drawing/2012/chart" uri="{02D57815-91ED-43cb-92C2-25804820EDAC}">
                        <c15:fullRef>
                          <c15:sqref>'OZL Summary'!$JE$7:$JE$59</c15:sqref>
                        </c15:fullRef>
                        <c15:formulaRef>
                          <c15:sqref>'OZL Summary'!$JE$8:$JE$59</c15:sqref>
                        </c15:formulaRef>
                      </c:ext>
                    </c:extLst>
                    <c:numCache>
                      <c:formatCode>0.000</c:formatCode>
                      <c:ptCount val="52"/>
                      <c:pt idx="42">
                        <c:v>0.98300771034159995</c:v>
                      </c:pt>
                      <c:pt idx="43">
                        <c:v>0.99675172669906664</c:v>
                      </c:pt>
                      <c:pt idx="44">
                        <c:v>1.0104957430565333</c:v>
                      </c:pt>
                      <c:pt idx="45">
                        <c:v>1.024239759414</c:v>
                      </c:pt>
                      <c:pt idx="46">
                        <c:v>1.0379837757714667</c:v>
                      </c:pt>
                      <c:pt idx="47">
                        <c:v>1.0517277921289334</c:v>
                      </c:pt>
                      <c:pt idx="48">
                        <c:v>1.0654718084864001</c:v>
                      </c:pt>
                      <c:pt idx="49">
                        <c:v>1.0792158248438668</c:v>
                      </c:pt>
                      <c:pt idx="50">
                        <c:v>1.0929598412013335</c:v>
                      </c:pt>
                      <c:pt idx="51">
                        <c:v>1.1067038575588002</c:v>
                      </c:pt>
                    </c:numCache>
                  </c:numRef>
                </c:val>
                <c:smooth val="0"/>
                <c:extLst xmlns:c15="http://schemas.microsoft.com/office/drawing/2012/chart">
                  <c:ext xmlns:c16="http://schemas.microsoft.com/office/drawing/2014/chart" uri="{C3380CC4-5D6E-409C-BE32-E72D297353CC}">
                    <c16:uniqueId val="{00000006-5018-4D88-B57D-C1FCD6950A05}"/>
                  </c:ext>
                </c:extLst>
              </c15:ser>
            </c15:filteredLineSeries>
            <c15:filteredLineSeries>
              <c15:ser>
                <c:idx val="6"/>
                <c:order val="3"/>
                <c:tx>
                  <c:strRef>
                    <c:extLst xmlns:c15="http://schemas.microsoft.com/office/drawing/2012/chart">
                      <c:ext xmlns:c15="http://schemas.microsoft.com/office/drawing/2012/chart" uri="{02D57815-91ED-43cb-92C2-25804820EDAC}">
                        <c15:formulaRef>
                          <c15:sqref>'OZL Summary'!$JF$6</c15:sqref>
                        </c15:formulaRef>
                      </c:ext>
                    </c:extLst>
                    <c:strCache>
                      <c:ptCount val="1"/>
                      <c:pt idx="0">
                        <c:v>5th Percentile</c:v>
                      </c:pt>
                    </c:strCache>
                  </c:strRef>
                </c:tx>
                <c:spPr>
                  <a:ln w="28575" cap="rnd">
                    <a:solidFill>
                      <a:schemeClr val="bg2"/>
                    </a:solidFill>
                    <a:prstDash val="sysDot"/>
                    <a:round/>
                  </a:ln>
                  <a:effectLst/>
                </c:spPr>
                <c:marker>
                  <c:symbol val="none"/>
                </c:marker>
                <c:cat>
                  <c:numRef>
                    <c:extLst>
                      <c:ext xmlns:c15="http://schemas.microsoft.com/office/drawing/2012/chart" uri="{02D57815-91ED-43cb-92C2-25804820EDAC}">
                        <c15:fullRef>
                          <c15:sqref>'OZL Summary'!$JB$7:$JB$59</c15:sqref>
                        </c15:fullRef>
                        <c15:formulaRef>
                          <c15:sqref>'OZL Summary'!$JB$8:$JB$59</c15:sqref>
                        </c15:formulaRef>
                      </c:ext>
                    </c:extLst>
                    <c:numCache>
                      <c:formatCode>d\-mmm\-yy_);\(###0\);"-  ";" "@" "</c:formatCode>
                      <c:ptCount val="52"/>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c:ext xmlns:c15="http://schemas.microsoft.com/office/drawing/2012/chart" uri="{02D57815-91ED-43cb-92C2-25804820EDAC}">
                        <c15:fullRef>
                          <c15:sqref>'OZL Summary'!$JF$7:$JF$59</c15:sqref>
                        </c15:fullRef>
                        <c15:formulaRef>
                          <c15:sqref>'OZL Summary'!$JF$8:$JF$59</c15:sqref>
                        </c15:formulaRef>
                      </c:ext>
                    </c:extLst>
                    <c:numCache>
                      <c:formatCode>0.000</c:formatCode>
                      <c:ptCount val="52"/>
                      <c:pt idx="42">
                        <c:v>0.98300771034159995</c:v>
                      </c:pt>
                      <c:pt idx="43">
                        <c:v>0.99737045124006662</c:v>
                      </c:pt>
                      <c:pt idx="44">
                        <c:v>1.0117331921385333</c:v>
                      </c:pt>
                      <c:pt idx="45">
                        <c:v>1.0260959330369999</c:v>
                      </c:pt>
                      <c:pt idx="46">
                        <c:v>1.0404586739354664</c:v>
                      </c:pt>
                      <c:pt idx="47">
                        <c:v>1.054821414833933</c:v>
                      </c:pt>
                      <c:pt idx="48">
                        <c:v>1.0691841557323996</c:v>
                      </c:pt>
                      <c:pt idx="49">
                        <c:v>1.0835468966308661</c:v>
                      </c:pt>
                      <c:pt idx="50">
                        <c:v>1.0979096375293327</c:v>
                      </c:pt>
                      <c:pt idx="51">
                        <c:v>1.1122723784277992</c:v>
                      </c:pt>
                    </c:numCache>
                  </c:numRef>
                </c:val>
                <c:smooth val="0"/>
                <c:extLst xmlns:c15="http://schemas.microsoft.com/office/drawing/2012/chart">
                  <c:ext xmlns:c16="http://schemas.microsoft.com/office/drawing/2014/chart" uri="{C3380CC4-5D6E-409C-BE32-E72D297353CC}">
                    <c16:uniqueId val="{00000007-5018-4D88-B57D-C1FCD6950A05}"/>
                  </c:ext>
                </c:extLst>
              </c15:ser>
            </c15:filteredLineSeries>
            <c15:filteredLineSeries>
              <c15:ser>
                <c:idx val="9"/>
                <c:order val="5"/>
                <c:tx>
                  <c:strRef>
                    <c:extLst xmlns:c15="http://schemas.microsoft.com/office/drawing/2012/chart">
                      <c:ext xmlns:c15="http://schemas.microsoft.com/office/drawing/2012/chart" uri="{02D57815-91ED-43cb-92C2-25804820EDAC}">
                        <c15:formulaRef>
                          <c15:sqref>'OZL Summary'!$JH$6</c15:sqref>
                        </c15:formulaRef>
                      </c:ext>
                    </c:extLst>
                    <c:strCache>
                      <c:ptCount val="1"/>
                      <c:pt idx="0">
                        <c:v>25th Percentile</c:v>
                      </c:pt>
                    </c:strCache>
                  </c:strRef>
                </c:tx>
                <c:spPr>
                  <a:ln w="28575" cap="rnd">
                    <a:solidFill>
                      <a:schemeClr val="accent1"/>
                    </a:solidFill>
                    <a:prstDash val="sysDot"/>
                    <a:round/>
                  </a:ln>
                  <a:effectLst/>
                </c:spPr>
                <c:marker>
                  <c:symbol val="none"/>
                </c:marker>
                <c:cat>
                  <c:numRef>
                    <c:extLst>
                      <c:ext xmlns:c15="http://schemas.microsoft.com/office/drawing/2012/chart" uri="{02D57815-91ED-43cb-92C2-25804820EDAC}">
                        <c15:fullRef>
                          <c15:sqref>'OZL Summary'!$JB$7:$JB$59</c15:sqref>
                        </c15:fullRef>
                        <c15:formulaRef>
                          <c15:sqref>'OZL Summary'!$JB$8:$JB$59</c15:sqref>
                        </c15:formulaRef>
                      </c:ext>
                    </c:extLst>
                    <c:numCache>
                      <c:formatCode>d\-mmm\-yy_);\(###0\);"-  ";" "@" "</c:formatCode>
                      <c:ptCount val="52"/>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c:ext xmlns:c15="http://schemas.microsoft.com/office/drawing/2012/chart" uri="{02D57815-91ED-43cb-92C2-25804820EDAC}">
                        <c15:fullRef>
                          <c15:sqref>'OZL Summary'!$JH$7:$JH$59</c15:sqref>
                        </c15:fullRef>
                        <c15:formulaRef>
                          <c15:sqref>'OZL Summary'!$JH$8:$JH$59</c15:sqref>
                        </c15:formulaRef>
                      </c:ext>
                    </c:extLst>
                    <c:numCache>
                      <c:formatCode>0.000</c:formatCode>
                      <c:ptCount val="52"/>
                      <c:pt idx="42">
                        <c:v>0.98300771034159995</c:v>
                      </c:pt>
                      <c:pt idx="43">
                        <c:v>0.99975190258226665</c:v>
                      </c:pt>
                      <c:pt idx="44">
                        <c:v>1.0164960948229333</c:v>
                      </c:pt>
                      <c:pt idx="45">
                        <c:v>1.0332402870635999</c:v>
                      </c:pt>
                      <c:pt idx="46">
                        <c:v>1.0499844793042665</c:v>
                      </c:pt>
                      <c:pt idx="47">
                        <c:v>1.0667286715449331</c:v>
                      </c:pt>
                      <c:pt idx="48">
                        <c:v>1.0834728637855997</c:v>
                      </c:pt>
                      <c:pt idx="49">
                        <c:v>1.1002170560262663</c:v>
                      </c:pt>
                      <c:pt idx="50">
                        <c:v>1.1169612482669329</c:v>
                      </c:pt>
                      <c:pt idx="51">
                        <c:v>1.1337054405075995</c:v>
                      </c:pt>
                    </c:numCache>
                  </c:numRef>
                </c:val>
                <c:smooth val="0"/>
                <c:extLst xmlns:c15="http://schemas.microsoft.com/office/drawing/2012/chart">
                  <c:ext xmlns:c16="http://schemas.microsoft.com/office/drawing/2014/chart" uri="{C3380CC4-5D6E-409C-BE32-E72D297353CC}">
                    <c16:uniqueId val="{00000008-5018-4D88-B57D-C1FCD6950A05}"/>
                  </c:ext>
                </c:extLst>
              </c15:ser>
            </c15:filteredLineSeries>
            <c15:filteredLineSeries>
              <c15:ser>
                <c:idx val="2"/>
                <c:order val="7"/>
                <c:tx>
                  <c:strRef>
                    <c:extLst xmlns:c15="http://schemas.microsoft.com/office/drawing/2012/chart">
                      <c:ext xmlns:c15="http://schemas.microsoft.com/office/drawing/2012/chart" uri="{02D57815-91ED-43cb-92C2-25804820EDAC}">
                        <c15:formulaRef>
                          <c15:sqref>'OZL Summary'!$JJ$6</c15:sqref>
                        </c15:formulaRef>
                      </c:ext>
                    </c:extLst>
                    <c:strCache>
                      <c:ptCount val="1"/>
                      <c:pt idx="0">
                        <c:v>75th Percentile</c:v>
                      </c:pt>
                    </c:strCache>
                  </c:strRef>
                </c:tx>
                <c:marker>
                  <c:symbol val="none"/>
                </c:marker>
                <c:cat>
                  <c:numRef>
                    <c:extLst>
                      <c:ext xmlns:c15="http://schemas.microsoft.com/office/drawing/2012/chart" uri="{02D57815-91ED-43cb-92C2-25804820EDAC}">
                        <c15:fullRef>
                          <c15:sqref>'OZL Summary'!$JB$7:$JB$59</c15:sqref>
                        </c15:fullRef>
                        <c15:formulaRef>
                          <c15:sqref>'OZL Summary'!$JB$8:$JB$59</c15:sqref>
                        </c15:formulaRef>
                      </c:ext>
                    </c:extLst>
                    <c:numCache>
                      <c:formatCode>d\-mmm\-yy_);\(###0\);"-  ";" "@" "</c:formatCode>
                      <c:ptCount val="52"/>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c:ext xmlns:c15="http://schemas.microsoft.com/office/drawing/2012/chart" uri="{02D57815-91ED-43cb-92C2-25804820EDAC}">
                        <c15:fullRef>
                          <c15:sqref>'OZL Summary'!$JJ$7:$JJ$59</c15:sqref>
                        </c15:fullRef>
                        <c15:formulaRef>
                          <c15:sqref>'OZL Summary'!$JJ$8:$JJ$59</c15:sqref>
                        </c15:formulaRef>
                      </c:ext>
                    </c:extLst>
                    <c:numCache>
                      <c:formatCode>0.000</c:formatCode>
                      <c:ptCount val="52"/>
                      <c:pt idx="42">
                        <c:v>0.98300771034159995</c:v>
                      </c:pt>
                      <c:pt idx="43">
                        <c:v>1.0059093574329332</c:v>
                      </c:pt>
                      <c:pt idx="44">
                        <c:v>1.0288110045242664</c:v>
                      </c:pt>
                      <c:pt idx="45">
                        <c:v>1.0517126516155997</c:v>
                      </c:pt>
                      <c:pt idx="46">
                        <c:v>1.0746142987069329</c:v>
                      </c:pt>
                      <c:pt idx="47">
                        <c:v>1.0975159457982662</c:v>
                      </c:pt>
                      <c:pt idx="48">
                        <c:v>1.1204175928895994</c:v>
                      </c:pt>
                      <c:pt idx="49">
                        <c:v>1.1433192399809327</c:v>
                      </c:pt>
                      <c:pt idx="50">
                        <c:v>1.1662208870722659</c:v>
                      </c:pt>
                      <c:pt idx="51">
                        <c:v>1.1891225341635991</c:v>
                      </c:pt>
                    </c:numCache>
                  </c:numRef>
                </c:val>
                <c:smooth val="0"/>
                <c:extLst xmlns:c15="http://schemas.microsoft.com/office/drawing/2012/chart">
                  <c:ext xmlns:c16="http://schemas.microsoft.com/office/drawing/2014/chart" uri="{C3380CC4-5D6E-409C-BE32-E72D297353CC}">
                    <c16:uniqueId val="{00000009-5018-4D88-B57D-C1FCD6950A05}"/>
                  </c:ext>
                </c:extLst>
              </c15:ser>
            </c15:filteredLineSeries>
            <c15:filteredLineSeries>
              <c15:ser>
                <c:idx val="8"/>
                <c:order val="9"/>
                <c:tx>
                  <c:strRef>
                    <c:extLst xmlns:c15="http://schemas.microsoft.com/office/drawing/2012/chart">
                      <c:ext xmlns:c15="http://schemas.microsoft.com/office/drawing/2012/chart" uri="{02D57815-91ED-43cb-92C2-25804820EDAC}">
                        <c15:formulaRef>
                          <c15:sqref>'OZL Summary'!$JL$6</c15:sqref>
                        </c15:formulaRef>
                      </c:ext>
                    </c:extLst>
                    <c:strCache>
                      <c:ptCount val="1"/>
                      <c:pt idx="0">
                        <c:v>95th Percentile</c:v>
                      </c:pt>
                    </c:strCache>
                  </c:strRef>
                </c:tx>
                <c:marker>
                  <c:symbol val="none"/>
                </c:marker>
                <c:cat>
                  <c:numRef>
                    <c:extLst>
                      <c:ext xmlns:c15="http://schemas.microsoft.com/office/drawing/2012/chart" uri="{02D57815-91ED-43cb-92C2-25804820EDAC}">
                        <c15:fullRef>
                          <c15:sqref>'OZL Summary'!$JB$7:$JB$59</c15:sqref>
                        </c15:fullRef>
                        <c15:formulaRef>
                          <c15:sqref>'OZL Summary'!$JB$8:$JB$59</c15:sqref>
                        </c15:formulaRef>
                      </c:ext>
                    </c:extLst>
                    <c:numCache>
                      <c:formatCode>d\-mmm\-yy_);\(###0\);"-  ";" "@" "</c:formatCode>
                      <c:ptCount val="52"/>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c:ext xmlns:c15="http://schemas.microsoft.com/office/drawing/2012/chart" uri="{02D57815-91ED-43cb-92C2-25804820EDAC}">
                        <c15:fullRef>
                          <c15:sqref>'OZL Summary'!$JL$7:$JL$59</c15:sqref>
                        </c15:fullRef>
                        <c15:formulaRef>
                          <c15:sqref>'OZL Summary'!$JL$8:$JL$59</c15:sqref>
                        </c15:formulaRef>
                      </c:ext>
                    </c:extLst>
                    <c:numCache>
                      <c:formatCode>0.000</c:formatCode>
                      <c:ptCount val="52"/>
                      <c:pt idx="42">
                        <c:v>0.98300771034159995</c:v>
                      </c:pt>
                      <c:pt idx="43">
                        <c:v>1.0156829182940665</c:v>
                      </c:pt>
                      <c:pt idx="44">
                        <c:v>1.0483581262465331</c:v>
                      </c:pt>
                      <c:pt idx="45">
                        <c:v>1.0810333341989997</c:v>
                      </c:pt>
                      <c:pt idx="46">
                        <c:v>1.1137085421514663</c:v>
                      </c:pt>
                      <c:pt idx="47">
                        <c:v>1.1463837501039329</c:v>
                      </c:pt>
                      <c:pt idx="48">
                        <c:v>1.1790589580563995</c:v>
                      </c:pt>
                      <c:pt idx="49">
                        <c:v>1.2117341660088661</c:v>
                      </c:pt>
                      <c:pt idx="50">
                        <c:v>1.2444093739613327</c:v>
                      </c:pt>
                      <c:pt idx="51">
                        <c:v>1.2770845819137993</c:v>
                      </c:pt>
                    </c:numCache>
                  </c:numRef>
                </c:val>
                <c:smooth val="0"/>
                <c:extLst xmlns:c15="http://schemas.microsoft.com/office/drawing/2012/chart">
                  <c:ext xmlns:c16="http://schemas.microsoft.com/office/drawing/2014/chart" uri="{C3380CC4-5D6E-409C-BE32-E72D297353CC}">
                    <c16:uniqueId val="{0000000A-5018-4D88-B57D-C1FCD6950A05}"/>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'OZL Summary'!$JM$6</c15:sqref>
                        </c15:formulaRef>
                      </c:ext>
                    </c:extLst>
                    <c:strCache>
                      <c:ptCount val="1"/>
                      <c:pt idx="0">
                        <c:v>99th Percentile</c:v>
                      </c:pt>
                    </c:strCache>
                  </c:strRef>
                </c:tx>
                <c:spPr>
                  <a:ln>
                    <a:solidFill>
                      <a:schemeClr val="accent6"/>
                    </a:solidFill>
                    <a:prstDash val="sysDot"/>
                  </a:ln>
                </c:spPr>
                <c:marker>
                  <c:symbol val="none"/>
                </c:marker>
                <c:cat>
                  <c:numRef>
                    <c:extLst>
                      <c:ext xmlns:c15="http://schemas.microsoft.com/office/drawing/2012/chart" uri="{02D57815-91ED-43cb-92C2-25804820EDAC}">
                        <c15:fullRef>
                          <c15:sqref>'OZL Summary'!$JB$7:$JB$59</c15:sqref>
                        </c15:fullRef>
                        <c15:formulaRef>
                          <c15:sqref>'OZL Summary'!$JB$8:$JB$59</c15:sqref>
                        </c15:formulaRef>
                      </c:ext>
                    </c:extLst>
                    <c:numCache>
                      <c:formatCode>d\-mmm\-yy_);\(###0\);"-  ";" "@" "</c:formatCode>
                      <c:ptCount val="52"/>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c:ext xmlns:c15="http://schemas.microsoft.com/office/drawing/2012/chart" uri="{02D57815-91ED-43cb-92C2-25804820EDAC}">
                        <c15:fullRef>
                          <c15:sqref>'OZL Summary'!$JM$7:$JM$59</c15:sqref>
                        </c15:fullRef>
                        <c15:formulaRef>
                          <c15:sqref>'OZL Summary'!$JM$8:$JM$59</c15:sqref>
                        </c15:formulaRef>
                      </c:ext>
                    </c:extLst>
                    <c:numCache>
                      <c:formatCode>0.000</c:formatCode>
                      <c:ptCount val="52"/>
                      <c:pt idx="42">
                        <c:v>0.98300771034159995</c:v>
                      </c:pt>
                      <c:pt idx="43">
                        <c:v>1.0266121659356</c:v>
                      </c:pt>
                      <c:pt idx="44">
                        <c:v>1.0702166215296001</c:v>
                      </c:pt>
                      <c:pt idx="45">
                        <c:v>1.1138210771236001</c:v>
                      </c:pt>
                      <c:pt idx="46">
                        <c:v>1.1574255327176002</c:v>
                      </c:pt>
                      <c:pt idx="47">
                        <c:v>1.2010299883116002</c:v>
                      </c:pt>
                      <c:pt idx="48">
                        <c:v>1.2446344439056003</c:v>
                      </c:pt>
                      <c:pt idx="49">
                        <c:v>1.2882388994996004</c:v>
                      </c:pt>
                      <c:pt idx="50">
                        <c:v>1.3318433550936004</c:v>
                      </c:pt>
                      <c:pt idx="51">
                        <c:v>1.3754478106876005</c:v>
                      </c:pt>
                    </c:numCache>
                  </c:numRef>
                </c:val>
                <c:smooth val="0"/>
                <c:extLst xmlns:c15="http://schemas.microsoft.com/office/drawing/2012/chart">
                  <c:ext xmlns:c16="http://schemas.microsoft.com/office/drawing/2014/chart" uri="{C3380CC4-5D6E-409C-BE32-E72D297353CC}">
                    <c16:uniqueId val="{0000000B-5018-4D88-B57D-C1FCD6950A05}"/>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'OZL Summary'!$JN$6</c15:sqref>
                        </c15:formulaRef>
                      </c:ext>
                    </c:extLst>
                    <c:strCache>
                      <c:ptCount val="1"/>
                      <c:pt idx="0">
                        <c:v>Max</c:v>
                      </c:pt>
                    </c:strCache>
                  </c:strRef>
                </c:tx>
                <c:marker>
                  <c:symbol val="none"/>
                </c:marker>
                <c:cat>
                  <c:numRef>
                    <c:extLst>
                      <c:ext xmlns:c15="http://schemas.microsoft.com/office/drawing/2012/chart" uri="{02D57815-91ED-43cb-92C2-25804820EDAC}">
                        <c15:fullRef>
                          <c15:sqref>'OZL Summary'!$JB$7:$JB$59</c15:sqref>
                        </c15:fullRef>
                        <c15:formulaRef>
                          <c15:sqref>'OZL Summary'!$JB$8:$JB$59</c15:sqref>
                        </c15:formulaRef>
                      </c:ext>
                    </c:extLst>
                    <c:numCache>
                      <c:formatCode>d\-mmm\-yy_);\(###0\);"-  ";" "@" "</c:formatCode>
                      <c:ptCount val="52"/>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c:ext xmlns:c15="http://schemas.microsoft.com/office/drawing/2012/chart" uri="{02D57815-91ED-43cb-92C2-25804820EDAC}">
                        <c15:fullRef>
                          <c15:sqref>'OZL Summary'!$JN$7:$JN$59</c15:sqref>
                        </c15:fullRef>
                        <c15:formulaRef>
                          <c15:sqref>'OZL Summary'!$JN$8:$JN$59</c15:sqref>
                        </c15:formulaRef>
                      </c:ext>
                    </c:extLst>
                    <c:numCache>
                      <c:formatCode>0.000</c:formatCode>
                      <c:ptCount val="52"/>
                      <c:pt idx="42">
                        <c:v>0.98300771034159995</c:v>
                      </c:pt>
                      <c:pt idx="43">
                        <c:v>1.0406298135771332</c:v>
                      </c:pt>
                      <c:pt idx="44">
                        <c:v>1.0982519168126665</c:v>
                      </c:pt>
                      <c:pt idx="45">
                        <c:v>1.1558740200481998</c:v>
                      </c:pt>
                      <c:pt idx="46">
                        <c:v>1.2134961232837331</c:v>
                      </c:pt>
                      <c:pt idx="47">
                        <c:v>1.2711182265192664</c:v>
                      </c:pt>
                      <c:pt idx="48">
                        <c:v>1.3287403297547997</c:v>
                      </c:pt>
                      <c:pt idx="49">
                        <c:v>1.386362432990333</c:v>
                      </c:pt>
                      <c:pt idx="50">
                        <c:v>1.4439845362258663</c:v>
                      </c:pt>
                      <c:pt idx="51">
                        <c:v>1.5016066394613996</c:v>
                      </c:pt>
                    </c:numCache>
                  </c:numRef>
                </c:val>
                <c:smooth val="0"/>
                <c:extLst xmlns:c15="http://schemas.microsoft.com/office/drawing/2012/chart">
                  <c:ext xmlns:c16="http://schemas.microsoft.com/office/drawing/2014/chart" uri="{C3380CC4-5D6E-409C-BE32-E72D297353CC}">
                    <c16:uniqueId val="{0000000C-5018-4D88-B57D-C1FCD6950A05}"/>
                  </c:ext>
                </c:extLst>
              </c15:ser>
            </c15:filteredLineSeries>
          </c:ext>
        </c:extLst>
      </c:lineChart>
      <c:dateAx>
        <c:axId val="1388952432"/>
        <c:scaling>
          <c:orientation val="minMax"/>
        </c:scaling>
        <c:delete val="0"/>
        <c:axPos val="b"/>
        <c:numFmt formatCode="d\-mmm\-yy_);\(###0\);&quot;-  &quot;;&quot; &quot;@&quot; &quot;"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3088"/>
        <c:crosses val="autoZero"/>
        <c:auto val="1"/>
        <c:lblOffset val="100"/>
        <c:baseTimeUnit val="days"/>
        <c:majorUnit val="3"/>
        <c:majorTimeUnit val="months"/>
      </c:dateAx>
      <c:valAx>
        <c:axId val="1388953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Ticket Sales ($b)</a:t>
                </a:r>
              </a:p>
            </c:rich>
          </c:tx>
          <c:overlay val="0"/>
          <c:spPr>
            <a:noFill/>
            <a:ln>
              <a:noFill/>
            </a:ln>
            <a:effectLst/>
          </c:sp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2432"/>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'OZL Summary'!$BN$6:$BN$7</c:f>
              <c:strCache>
                <c:ptCount val="2"/>
                <c:pt idx="0">
                  <c:v>Actual</c:v>
                </c:pt>
              </c:strCache>
            </c:strRef>
          </c:tx>
          <c:spPr>
            <a:ln w="28575" cap="rnd">
              <a:solidFill>
                <a:schemeClr val="tx2"/>
              </a:solidFill>
              <a:round/>
            </a:ln>
            <a:effectLst/>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Summary'!$BN$8:$BN$60</c:f>
              <c:numCache>
                <c:formatCode>0.000</c:formatCode>
                <c:ptCount val="53"/>
                <c:pt idx="0">
                  <c:v>3.4282144018799997E-2</c:v>
                </c:pt>
                <c:pt idx="1">
                  <c:v>4.61727482976E-2</c:v>
                </c:pt>
                <c:pt idx="2">
                  <c:v>6.0744925144799997E-2</c:v>
                </c:pt>
                <c:pt idx="3">
                  <c:v>7.9887071887199998E-2</c:v>
                </c:pt>
                <c:pt idx="4">
                  <c:v>9.0591598206000004E-2</c:v>
                </c:pt>
                <c:pt idx="5">
                  <c:v>0.10471594425839999</c:v>
                </c:pt>
                <c:pt idx="6">
                  <c:v>0.13024126318319998</c:v>
                </c:pt>
                <c:pt idx="7">
                  <c:v>0.14299494069599997</c:v>
                </c:pt>
                <c:pt idx="8">
                  <c:v>0.15712274134439999</c:v>
                </c:pt>
                <c:pt idx="9">
                  <c:v>0.18211939192799997</c:v>
                </c:pt>
                <c:pt idx="10">
                  <c:v>0.21562528822559998</c:v>
                </c:pt>
                <c:pt idx="11">
                  <c:v>0.26312805598319994</c:v>
                </c:pt>
                <c:pt idx="12">
                  <c:v>0.27559419595559997</c:v>
                </c:pt>
                <c:pt idx="13">
                  <c:v>0.29338294713839996</c:v>
                </c:pt>
                <c:pt idx="14">
                  <c:v>0.31479798774239992</c:v>
                </c:pt>
                <c:pt idx="15">
                  <c:v>0.34138237064759991</c:v>
                </c:pt>
                <c:pt idx="16">
                  <c:v>0.38401116406199992</c:v>
                </c:pt>
                <c:pt idx="17">
                  <c:v>0.45353502371519994</c:v>
                </c:pt>
                <c:pt idx="18">
                  <c:v>0.46636884785519994</c:v>
                </c:pt>
                <c:pt idx="19">
                  <c:v>0.48057414660719988</c:v>
                </c:pt>
                <c:pt idx="20">
                  <c:v>0.50512031787239997</c:v>
                </c:pt>
                <c:pt idx="21">
                  <c:v>0.53195446806839985</c:v>
                </c:pt>
                <c:pt idx="22">
                  <c:v>0.57374874624239991</c:v>
                </c:pt>
                <c:pt idx="23">
                  <c:v>0.58543426267199994</c:v>
                </c:pt>
                <c:pt idx="24">
                  <c:v>0.59798193110999986</c:v>
                </c:pt>
                <c:pt idx="25">
                  <c:v>0.60953824564919989</c:v>
                </c:pt>
                <c:pt idx="26">
                  <c:v>0.62793005414039982</c:v>
                </c:pt>
                <c:pt idx="27">
                  <c:v>0.66085868744639986</c:v>
                </c:pt>
                <c:pt idx="28">
                  <c:v>0.70280784667439988</c:v>
                </c:pt>
                <c:pt idx="29">
                  <c:v>0.76647478426919979</c:v>
                </c:pt>
                <c:pt idx="30">
                  <c:v>0.77875598820239988</c:v>
                </c:pt>
                <c:pt idx="31">
                  <c:v>0.79341798454559986</c:v>
                </c:pt>
                <c:pt idx="32">
                  <c:v>0.81253514304359986</c:v>
                </c:pt>
                <c:pt idx="33">
                  <c:v>0.82340606573639985</c:v>
                </c:pt>
                <c:pt idx="34">
                  <c:v>0.84006470341439987</c:v>
                </c:pt>
                <c:pt idx="35">
                  <c:v>0.86433934343399987</c:v>
                </c:pt>
                <c:pt idx="36">
                  <c:v>0.87578580182039989</c:v>
                </c:pt>
                <c:pt idx="37">
                  <c:v>0.89565744408479986</c:v>
                </c:pt>
                <c:pt idx="38">
                  <c:v>0.90846581936759985</c:v>
                </c:pt>
                <c:pt idx="39">
                  <c:v>0.91858582836759983</c:v>
                </c:pt>
                <c:pt idx="40">
                  <c:v>0.93370152831879982</c:v>
                </c:pt>
                <c:pt idx="41">
                  <c:v>0.95559030918759991</c:v>
                </c:pt>
                <c:pt idx="42">
                  <c:v>0.98300771034159995</c:v>
                </c:pt>
                <c:pt idx="43">
                  <c:v>0.99330666708999993</c:v>
                </c:pt>
                <c:pt idx="44">
                  <c:v>1.0075762213275998</c:v>
                </c:pt>
                <c:pt idx="45">
                  <c:v>1.0281208537475999</c:v>
                </c:pt>
                <c:pt idx="46">
                  <c:v>1.0382225415931998</c:v>
                </c:pt>
                <c:pt idx="47">
                  <c:v>1.0541579684225999</c:v>
                </c:pt>
                <c:pt idx="48">
                  <c:v>1.0687637971379997</c:v>
                </c:pt>
                <c:pt idx="49">
                  <c:v>1.0815684581785998</c:v>
                </c:pt>
                <c:pt idx="50">
                  <c:v>1.0986668252266998</c:v>
                </c:pt>
                <c:pt idx="51">
                  <c:v>1.1194431701510998</c:v>
                </c:pt>
              </c:numCache>
            </c:numRef>
          </c:val>
          <c:smooth val="0"/>
          <c:extLst>
            <c:ext xmlns:c16="http://schemas.microsoft.com/office/drawing/2014/chart" uri="{C3380CC4-5D6E-409C-BE32-E72D297353CC}">
              <c16:uniqueId val="{00000000-CA82-4200-A173-E9362FB174F1}"/>
            </c:ext>
          </c:extLst>
        </c:ser>
        <c:ser>
          <c:idx val="1"/>
          <c:order val="4"/>
          <c:tx>
            <c:strRef>
              <c:f>'OZL Summary'!$BR$6:$BR$7</c:f>
              <c:strCache>
                <c:ptCount val="2"/>
                <c:pt idx="0">
                  <c:v>10th Percentile</c:v>
                </c:pt>
              </c:strCache>
            </c:strRef>
          </c:tx>
          <c:spPr>
            <a:ln w="28575" cap="rnd" cmpd="sng">
              <a:solidFill>
                <a:schemeClr val="accent6"/>
              </a:solidFill>
              <a:prstDash val="sysDot"/>
              <a:round/>
              <a:headEnd type="none"/>
            </a:ln>
            <a:effectLst/>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Summary'!$BR$8:$BR$60</c:f>
              <c:numCache>
                <c:formatCode>0.000</c:formatCode>
                <c:ptCount val="53"/>
                <c:pt idx="0">
                  <c:v>2.0199848897457344E-2</c:v>
                </c:pt>
                <c:pt idx="1">
                  <c:v>4.0399697794914688E-2</c:v>
                </c:pt>
                <c:pt idx="2">
                  <c:v>6.0599546692372032E-2</c:v>
                </c:pt>
                <c:pt idx="3">
                  <c:v>8.0799395589829376E-2</c:v>
                </c:pt>
                <c:pt idx="4">
                  <c:v>0.10099924448728673</c:v>
                </c:pt>
                <c:pt idx="5">
                  <c:v>0.12119909338474408</c:v>
                </c:pt>
                <c:pt idx="6">
                  <c:v>0.14139894228220143</c:v>
                </c:pt>
                <c:pt idx="7">
                  <c:v>0.16159879117965878</c:v>
                </c:pt>
                <c:pt idx="8">
                  <c:v>0.18179864007711613</c:v>
                </c:pt>
                <c:pt idx="9">
                  <c:v>0.20199848897457348</c:v>
                </c:pt>
                <c:pt idx="10">
                  <c:v>0.22219833787203083</c:v>
                </c:pt>
                <c:pt idx="11">
                  <c:v>0.24239818676948818</c:v>
                </c:pt>
                <c:pt idx="12">
                  <c:v>0.26259803566694551</c:v>
                </c:pt>
                <c:pt idx="13">
                  <c:v>0.28279788456440286</c:v>
                </c:pt>
                <c:pt idx="14">
                  <c:v>0.30299773346186021</c:v>
                </c:pt>
                <c:pt idx="15">
                  <c:v>0.32319758235931756</c:v>
                </c:pt>
                <c:pt idx="16">
                  <c:v>0.34339743125677491</c:v>
                </c:pt>
                <c:pt idx="17">
                  <c:v>0.36359728015423226</c:v>
                </c:pt>
                <c:pt idx="18">
                  <c:v>0.38379712905168961</c:v>
                </c:pt>
                <c:pt idx="19">
                  <c:v>0.40399697794914696</c:v>
                </c:pt>
                <c:pt idx="20">
                  <c:v>0.42419682684660431</c:v>
                </c:pt>
                <c:pt idx="21">
                  <c:v>0.44439667574406166</c:v>
                </c:pt>
                <c:pt idx="22">
                  <c:v>0.46459652464151902</c:v>
                </c:pt>
                <c:pt idx="23">
                  <c:v>0.48479637353897637</c:v>
                </c:pt>
                <c:pt idx="24">
                  <c:v>0.50499622243643372</c:v>
                </c:pt>
                <c:pt idx="25">
                  <c:v>0.52519607133389101</c:v>
                </c:pt>
                <c:pt idx="26">
                  <c:v>0.54539592023134831</c:v>
                </c:pt>
                <c:pt idx="27">
                  <c:v>0.5655957691288056</c:v>
                </c:pt>
                <c:pt idx="28">
                  <c:v>0.5857956180262629</c:v>
                </c:pt>
                <c:pt idx="29">
                  <c:v>0.60599546692372019</c:v>
                </c:pt>
                <c:pt idx="30">
                  <c:v>0.62619531582117749</c:v>
                </c:pt>
                <c:pt idx="31">
                  <c:v>0.64639516471863478</c:v>
                </c:pt>
                <c:pt idx="32">
                  <c:v>0.66659501361609208</c:v>
                </c:pt>
                <c:pt idx="33">
                  <c:v>0.68679486251354938</c:v>
                </c:pt>
                <c:pt idx="34">
                  <c:v>0.70699471141100667</c:v>
                </c:pt>
                <c:pt idx="35">
                  <c:v>0.72719456030846397</c:v>
                </c:pt>
                <c:pt idx="36">
                  <c:v>0.74739440920592126</c:v>
                </c:pt>
                <c:pt idx="37">
                  <c:v>0.76759425810337856</c:v>
                </c:pt>
                <c:pt idx="38">
                  <c:v>0.78779410700083585</c:v>
                </c:pt>
                <c:pt idx="39">
                  <c:v>0.80799395589829315</c:v>
                </c:pt>
                <c:pt idx="40">
                  <c:v>0.82819380479575044</c:v>
                </c:pt>
                <c:pt idx="41">
                  <c:v>0.84839365369320774</c:v>
                </c:pt>
                <c:pt idx="42">
                  <c:v>0.86859350259066503</c:v>
                </c:pt>
                <c:pt idx="43">
                  <c:v>0.88879335148812233</c:v>
                </c:pt>
                <c:pt idx="44">
                  <c:v>0.90899320038557962</c:v>
                </c:pt>
                <c:pt idx="45">
                  <c:v>0.92919304928303692</c:v>
                </c:pt>
                <c:pt idx="46">
                  <c:v>0.94939289818049422</c:v>
                </c:pt>
                <c:pt idx="47">
                  <c:v>0.96959274707795151</c:v>
                </c:pt>
                <c:pt idx="48">
                  <c:v>0.98979259597540881</c:v>
                </c:pt>
                <c:pt idx="49">
                  <c:v>1.0099924448728661</c:v>
                </c:pt>
                <c:pt idx="50">
                  <c:v>1.0301922937703234</c:v>
                </c:pt>
                <c:pt idx="51">
                  <c:v>1.0503921426677807</c:v>
                </c:pt>
              </c:numCache>
            </c:numRef>
          </c:val>
          <c:smooth val="0"/>
          <c:extLst xmlns:c15="http://schemas.microsoft.com/office/drawing/2012/chart">
            <c:ext xmlns:c16="http://schemas.microsoft.com/office/drawing/2014/chart" uri="{C3380CC4-5D6E-409C-BE32-E72D297353CC}">
              <c16:uniqueId val="{00000001-CA82-4200-A173-E9362FB174F1}"/>
            </c:ext>
          </c:extLst>
        </c:ser>
        <c:ser>
          <c:idx val="4"/>
          <c:order val="6"/>
          <c:tx>
            <c:strRef>
              <c:f>'OZL Summary'!$BT$6:$BT$7</c:f>
              <c:strCache>
                <c:ptCount val="2"/>
                <c:pt idx="0">
                  <c:v>50th Percentile</c:v>
                </c:pt>
              </c:strCache>
            </c:strRef>
          </c:tx>
          <c:spPr>
            <a:ln w="28575">
              <a:solidFill>
                <a:schemeClr val="bg2"/>
              </a:solidFill>
              <a:prstDash val="sysDot"/>
            </a:ln>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Summary'!$BT$8:$BT$60</c:f>
              <c:numCache>
                <c:formatCode>0.000</c:formatCode>
                <c:ptCount val="53"/>
                <c:pt idx="0">
                  <c:v>2.3469807538576672E-2</c:v>
                </c:pt>
                <c:pt idx="1">
                  <c:v>4.6939615077153343E-2</c:v>
                </c:pt>
                <c:pt idx="2">
                  <c:v>7.0409422615730022E-2</c:v>
                </c:pt>
                <c:pt idx="3">
                  <c:v>9.3879230154306686E-2</c:v>
                </c:pt>
                <c:pt idx="4">
                  <c:v>0.11734903769288335</c:v>
                </c:pt>
                <c:pt idx="5">
                  <c:v>0.14081884523146002</c:v>
                </c:pt>
                <c:pt idx="6">
                  <c:v>0.16428865277003668</c:v>
                </c:pt>
                <c:pt idx="7">
                  <c:v>0.18775846030861335</c:v>
                </c:pt>
                <c:pt idx="8">
                  <c:v>0.21122826784719001</c:v>
                </c:pt>
                <c:pt idx="9">
                  <c:v>0.23469807538576667</c:v>
                </c:pt>
                <c:pt idx="10">
                  <c:v>0.25816788292434334</c:v>
                </c:pt>
                <c:pt idx="11">
                  <c:v>0.28163769046292003</c:v>
                </c:pt>
                <c:pt idx="12">
                  <c:v>0.30510749800149672</c:v>
                </c:pt>
                <c:pt idx="13">
                  <c:v>0.32857730554007342</c:v>
                </c:pt>
                <c:pt idx="14">
                  <c:v>0.35204711307865011</c:v>
                </c:pt>
                <c:pt idx="15">
                  <c:v>0.3755169206172268</c:v>
                </c:pt>
                <c:pt idx="16">
                  <c:v>0.39898672815580349</c:v>
                </c:pt>
                <c:pt idx="17">
                  <c:v>0.42245653569438019</c:v>
                </c:pt>
                <c:pt idx="18">
                  <c:v>0.44592634323295688</c:v>
                </c:pt>
                <c:pt idx="19">
                  <c:v>0.46939615077153357</c:v>
                </c:pt>
                <c:pt idx="20">
                  <c:v>0.49286595831011026</c:v>
                </c:pt>
                <c:pt idx="21">
                  <c:v>0.5163357658486869</c:v>
                </c:pt>
                <c:pt idx="22">
                  <c:v>0.53980557338726354</c:v>
                </c:pt>
                <c:pt idx="23">
                  <c:v>0.56327538092584017</c:v>
                </c:pt>
                <c:pt idx="24">
                  <c:v>0.58674518846441681</c:v>
                </c:pt>
                <c:pt idx="25">
                  <c:v>0.61021499600299345</c:v>
                </c:pt>
                <c:pt idx="26">
                  <c:v>0.63368480354157009</c:v>
                </c:pt>
                <c:pt idx="27">
                  <c:v>0.65715461108014672</c:v>
                </c:pt>
                <c:pt idx="28">
                  <c:v>0.68062441861872336</c:v>
                </c:pt>
                <c:pt idx="29">
                  <c:v>0.7040942261573</c:v>
                </c:pt>
                <c:pt idx="30">
                  <c:v>0.72756403369587663</c:v>
                </c:pt>
                <c:pt idx="31">
                  <c:v>0.75103384123445327</c:v>
                </c:pt>
                <c:pt idx="32">
                  <c:v>0.77450364877302991</c:v>
                </c:pt>
                <c:pt idx="33">
                  <c:v>0.79797345631160654</c:v>
                </c:pt>
                <c:pt idx="34">
                  <c:v>0.82144326385018318</c:v>
                </c:pt>
                <c:pt idx="35">
                  <c:v>0.84491307138875982</c:v>
                </c:pt>
                <c:pt idx="36">
                  <c:v>0.86838287892733645</c:v>
                </c:pt>
                <c:pt idx="37">
                  <c:v>0.89185268646591309</c:v>
                </c:pt>
                <c:pt idx="38">
                  <c:v>0.91532249400448973</c:v>
                </c:pt>
                <c:pt idx="39">
                  <c:v>0.93879230154306637</c:v>
                </c:pt>
                <c:pt idx="40">
                  <c:v>0.962262109081643</c:v>
                </c:pt>
                <c:pt idx="41">
                  <c:v>0.98573191662021964</c:v>
                </c:pt>
                <c:pt idx="42">
                  <c:v>1.0092017241587963</c:v>
                </c:pt>
                <c:pt idx="43">
                  <c:v>1.0326715316973729</c:v>
                </c:pt>
                <c:pt idx="44">
                  <c:v>1.0561413392359496</c:v>
                </c:pt>
                <c:pt idx="45">
                  <c:v>1.0796111467745262</c:v>
                </c:pt>
                <c:pt idx="46">
                  <c:v>1.1030809543131028</c:v>
                </c:pt>
                <c:pt idx="47">
                  <c:v>1.1265507618516795</c:v>
                </c:pt>
                <c:pt idx="48">
                  <c:v>1.1500205693902561</c:v>
                </c:pt>
                <c:pt idx="49">
                  <c:v>1.1734903769288327</c:v>
                </c:pt>
                <c:pt idx="50">
                  <c:v>1.1969601844674094</c:v>
                </c:pt>
                <c:pt idx="51">
                  <c:v>1.220429992005986</c:v>
                </c:pt>
              </c:numCache>
            </c:numRef>
          </c:val>
          <c:smooth val="0"/>
          <c:extLst xmlns:c15="http://schemas.microsoft.com/office/drawing/2012/chart">
            <c:ext xmlns:c16="http://schemas.microsoft.com/office/drawing/2014/chart" uri="{C3380CC4-5D6E-409C-BE32-E72D297353CC}">
              <c16:uniqueId val="{00000002-CA82-4200-A173-E9362FB174F1}"/>
            </c:ext>
          </c:extLst>
        </c:ser>
        <c:ser>
          <c:idx val="8"/>
          <c:order val="8"/>
          <c:tx>
            <c:strRef>
              <c:f>'OZL Summary'!$BV$6:$BV$7</c:f>
              <c:strCache>
                <c:ptCount val="2"/>
                <c:pt idx="0">
                  <c:v>90th Percentile</c:v>
                </c:pt>
              </c:strCache>
            </c:strRef>
          </c:tx>
          <c:spPr>
            <a:ln w="28575">
              <a:solidFill>
                <a:schemeClr val="accent1"/>
              </a:solidFill>
              <a:prstDash val="sysDot"/>
            </a:ln>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Summary'!$BV$8:$BV$60</c:f>
              <c:numCache>
                <c:formatCode>0.000</c:formatCode>
                <c:ptCount val="53"/>
                <c:pt idx="0">
                  <c:v>2.7720420236719803E-2</c:v>
                </c:pt>
                <c:pt idx="1">
                  <c:v>5.5440840473439605E-2</c:v>
                </c:pt>
                <c:pt idx="2">
                  <c:v>8.3161260710159404E-2</c:v>
                </c:pt>
                <c:pt idx="3">
                  <c:v>0.11088168094687921</c:v>
                </c:pt>
                <c:pt idx="4">
                  <c:v>0.138602101183599</c:v>
                </c:pt>
                <c:pt idx="5">
                  <c:v>0.16632252142031881</c:v>
                </c:pt>
                <c:pt idx="6">
                  <c:v>0.19404294165703861</c:v>
                </c:pt>
                <c:pt idx="7">
                  <c:v>0.22176336189375842</c:v>
                </c:pt>
                <c:pt idx="8">
                  <c:v>0.24948378213047823</c:v>
                </c:pt>
                <c:pt idx="9">
                  <c:v>0.277204202367198</c:v>
                </c:pt>
                <c:pt idx="10">
                  <c:v>0.30492462260391778</c:v>
                </c:pt>
                <c:pt idx="11">
                  <c:v>0.33264504284063756</c:v>
                </c:pt>
                <c:pt idx="12">
                  <c:v>0.36036546307735734</c:v>
                </c:pt>
                <c:pt idx="13">
                  <c:v>0.38808588331407712</c:v>
                </c:pt>
                <c:pt idx="14">
                  <c:v>0.4158063035507969</c:v>
                </c:pt>
                <c:pt idx="15">
                  <c:v>0.44352672378751667</c:v>
                </c:pt>
                <c:pt idx="16">
                  <c:v>0.47124714402423645</c:v>
                </c:pt>
                <c:pt idx="17">
                  <c:v>0.49896756426095623</c:v>
                </c:pt>
                <c:pt idx="18">
                  <c:v>0.52668798449767606</c:v>
                </c:pt>
                <c:pt idx="19">
                  <c:v>0.5544084047343959</c:v>
                </c:pt>
                <c:pt idx="20">
                  <c:v>0.58212882497111573</c:v>
                </c:pt>
                <c:pt idx="21">
                  <c:v>0.60984924520783557</c:v>
                </c:pt>
                <c:pt idx="22">
                  <c:v>0.6375696654445554</c:v>
                </c:pt>
                <c:pt idx="23">
                  <c:v>0.66529008568127523</c:v>
                </c:pt>
                <c:pt idx="24">
                  <c:v>0.69301050591799507</c:v>
                </c:pt>
                <c:pt idx="25">
                  <c:v>0.7207309261547149</c:v>
                </c:pt>
                <c:pt idx="26">
                  <c:v>0.74845134639143474</c:v>
                </c:pt>
                <c:pt idx="27">
                  <c:v>0.77617176662815457</c:v>
                </c:pt>
                <c:pt idx="28">
                  <c:v>0.8038921868648744</c:v>
                </c:pt>
                <c:pt idx="29">
                  <c:v>0.83161260710159424</c:v>
                </c:pt>
                <c:pt idx="30">
                  <c:v>0.85933302733831407</c:v>
                </c:pt>
                <c:pt idx="31">
                  <c:v>0.8870534475750339</c:v>
                </c:pt>
                <c:pt idx="32">
                  <c:v>0.91477386781175374</c:v>
                </c:pt>
                <c:pt idx="33">
                  <c:v>0.94249428804847357</c:v>
                </c:pt>
                <c:pt idx="34">
                  <c:v>0.97021470828519341</c:v>
                </c:pt>
                <c:pt idx="35">
                  <c:v>0.99793512852191324</c:v>
                </c:pt>
                <c:pt idx="36">
                  <c:v>1.025655548758633</c:v>
                </c:pt>
                <c:pt idx="37">
                  <c:v>1.0533759689953528</c:v>
                </c:pt>
                <c:pt idx="38">
                  <c:v>1.0810963892320726</c:v>
                </c:pt>
                <c:pt idx="39">
                  <c:v>1.1088168094687925</c:v>
                </c:pt>
                <c:pt idx="40">
                  <c:v>1.1365372297055123</c:v>
                </c:pt>
                <c:pt idx="41">
                  <c:v>1.1642576499422321</c:v>
                </c:pt>
                <c:pt idx="42">
                  <c:v>1.191978070178952</c:v>
                </c:pt>
                <c:pt idx="43">
                  <c:v>1.2196984904156718</c:v>
                </c:pt>
                <c:pt idx="44">
                  <c:v>1.2474189106523916</c:v>
                </c:pt>
                <c:pt idx="45">
                  <c:v>1.2751393308891115</c:v>
                </c:pt>
                <c:pt idx="46">
                  <c:v>1.3028597511258313</c:v>
                </c:pt>
                <c:pt idx="47">
                  <c:v>1.3305801713625511</c:v>
                </c:pt>
                <c:pt idx="48">
                  <c:v>1.358300591599271</c:v>
                </c:pt>
                <c:pt idx="49">
                  <c:v>1.3860210118359908</c:v>
                </c:pt>
                <c:pt idx="50">
                  <c:v>1.4137414320727106</c:v>
                </c:pt>
                <c:pt idx="51">
                  <c:v>1.4414618523094305</c:v>
                </c:pt>
              </c:numCache>
            </c:numRef>
          </c:val>
          <c:smooth val="0"/>
          <c:extLst xmlns:c15="http://schemas.microsoft.com/office/drawing/2012/chart">
            <c:ext xmlns:c16="http://schemas.microsoft.com/office/drawing/2014/chart" uri="{C3380CC4-5D6E-409C-BE32-E72D297353CC}">
              <c16:uniqueId val="{00000003-CA82-4200-A173-E9362FB174F1}"/>
            </c:ext>
          </c:extLst>
        </c:ser>
        <c:dLbls>
          <c:showLegendKey val="0"/>
          <c:showVal val="0"/>
          <c:showCatName val="0"/>
          <c:showSerName val="0"/>
          <c:showPercent val="0"/>
          <c:showBubbleSize val="0"/>
        </c:dLbls>
        <c:smooth val="0"/>
        <c:axId val="1388952432"/>
        <c:axId val="1388953088"/>
        <c:extLst>
          <c:ext xmlns:c15="http://schemas.microsoft.com/office/drawing/2012/chart" uri="{02D57815-91ED-43cb-92C2-25804820EDAC}">
            <c15:filteredLineSeries>
              <c15:ser>
                <c:idx val="3"/>
                <c:order val="1"/>
                <c:tx>
                  <c:strRef>
                    <c:extLst>
                      <c:ext uri="{02D57815-91ED-43cb-92C2-25804820EDAC}">
                        <c15:formulaRef>
                          <c15:sqref>'OZL Summary'!$BO$6:$BO$7</c15:sqref>
                        </c15:formulaRef>
                      </c:ext>
                    </c:extLst>
                    <c:strCache>
                      <c:ptCount val="2"/>
                      <c:pt idx="0">
                        <c:v>Min</c:v>
                      </c:pt>
                    </c:strCache>
                  </c:strRef>
                </c:tx>
                <c:marker>
                  <c:symbol val="none"/>
                </c:marker>
                <c:cat>
                  <c:numRef>
                    <c:extLst>
                      <c:ex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c:ext uri="{02D57815-91ED-43cb-92C2-25804820EDAC}">
                        <c15:formulaRef>
                          <c15:sqref>'OZL Summary'!$BO$8:$BO$60</c15:sqref>
                        </c15:formulaRef>
                      </c:ext>
                    </c:extLst>
                    <c:numCache>
                      <c:formatCode>0.000</c:formatCode>
                      <c:ptCount val="53"/>
                      <c:pt idx="0">
                        <c:v>1.6032204874777817E-2</c:v>
                      </c:pt>
                      <c:pt idx="1">
                        <c:v>3.2064409749555635E-2</c:v>
                      </c:pt>
                      <c:pt idx="2">
                        <c:v>4.8096614624333456E-2</c:v>
                      </c:pt>
                      <c:pt idx="3">
                        <c:v>6.412881949911127E-2</c:v>
                      </c:pt>
                      <c:pt idx="4">
                        <c:v>8.0161024373889084E-2</c:v>
                      </c:pt>
                      <c:pt idx="5">
                        <c:v>9.6193229248666898E-2</c:v>
                      </c:pt>
                      <c:pt idx="6">
                        <c:v>0.11222543412344471</c:v>
                      </c:pt>
                      <c:pt idx="7">
                        <c:v>0.12825763899822254</c:v>
                      </c:pt>
                      <c:pt idx="8">
                        <c:v>0.14428984387300037</c:v>
                      </c:pt>
                      <c:pt idx="9">
                        <c:v>0.1603220487477782</c:v>
                      </c:pt>
                      <c:pt idx="10">
                        <c:v>0.17635425362255602</c:v>
                      </c:pt>
                      <c:pt idx="11">
                        <c:v>0.19238645849733385</c:v>
                      </c:pt>
                      <c:pt idx="12">
                        <c:v>0.20841866337211168</c:v>
                      </c:pt>
                      <c:pt idx="13">
                        <c:v>0.22445086824688951</c:v>
                      </c:pt>
                      <c:pt idx="14">
                        <c:v>0.24048307312166733</c:v>
                      </c:pt>
                      <c:pt idx="15">
                        <c:v>0.25651527799644513</c:v>
                      </c:pt>
                      <c:pt idx="16">
                        <c:v>0.27254748287122293</c:v>
                      </c:pt>
                      <c:pt idx="17">
                        <c:v>0.28857968774600073</c:v>
                      </c:pt>
                      <c:pt idx="18">
                        <c:v>0.30461189262077853</c:v>
                      </c:pt>
                      <c:pt idx="19">
                        <c:v>0.32064409749555633</c:v>
                      </c:pt>
                      <c:pt idx="20">
                        <c:v>0.33667630237033414</c:v>
                      </c:pt>
                      <c:pt idx="21">
                        <c:v>0.35270850724511194</c:v>
                      </c:pt>
                      <c:pt idx="22">
                        <c:v>0.36874071211988974</c:v>
                      </c:pt>
                      <c:pt idx="23">
                        <c:v>0.38477291699466754</c:v>
                      </c:pt>
                      <c:pt idx="24">
                        <c:v>0.40080512186944534</c:v>
                      </c:pt>
                      <c:pt idx="25">
                        <c:v>0.41683732674422314</c:v>
                      </c:pt>
                      <c:pt idx="26">
                        <c:v>0.43286953161900094</c:v>
                      </c:pt>
                      <c:pt idx="27">
                        <c:v>0.44890173649377874</c:v>
                      </c:pt>
                      <c:pt idx="28">
                        <c:v>0.46493394136855654</c:v>
                      </c:pt>
                      <c:pt idx="29">
                        <c:v>0.48096614624333434</c:v>
                      </c:pt>
                      <c:pt idx="30">
                        <c:v>0.49699835111811214</c:v>
                      </c:pt>
                      <c:pt idx="31">
                        <c:v>0.51303055599288994</c:v>
                      </c:pt>
                      <c:pt idx="32">
                        <c:v>0.52906276086766779</c:v>
                      </c:pt>
                      <c:pt idx="33">
                        <c:v>0.54509496574244565</c:v>
                      </c:pt>
                      <c:pt idx="34">
                        <c:v>0.5611271706172235</c:v>
                      </c:pt>
                      <c:pt idx="35">
                        <c:v>0.57715937549200136</c:v>
                      </c:pt>
                      <c:pt idx="36">
                        <c:v>0.59319158036677921</c:v>
                      </c:pt>
                      <c:pt idx="37">
                        <c:v>0.60922378524155707</c:v>
                      </c:pt>
                      <c:pt idx="38">
                        <c:v>0.62525599011633493</c:v>
                      </c:pt>
                      <c:pt idx="39">
                        <c:v>0.64128819499111278</c:v>
                      </c:pt>
                      <c:pt idx="40">
                        <c:v>0.65732039986589064</c:v>
                      </c:pt>
                      <c:pt idx="41">
                        <c:v>0.67335260474066849</c:v>
                      </c:pt>
                      <c:pt idx="42">
                        <c:v>0.68938480961544635</c:v>
                      </c:pt>
                      <c:pt idx="43">
                        <c:v>0.7054170144902242</c:v>
                      </c:pt>
                      <c:pt idx="44">
                        <c:v>0.72144921936500206</c:v>
                      </c:pt>
                      <c:pt idx="45">
                        <c:v>0.73748142423977991</c:v>
                      </c:pt>
                      <c:pt idx="46">
                        <c:v>0.75351362911455777</c:v>
                      </c:pt>
                      <c:pt idx="47">
                        <c:v>0.76954583398933563</c:v>
                      </c:pt>
                      <c:pt idx="48">
                        <c:v>0.78557803886411348</c:v>
                      </c:pt>
                      <c:pt idx="49">
                        <c:v>0.80161024373889134</c:v>
                      </c:pt>
                      <c:pt idx="50">
                        <c:v>0.81764244861366919</c:v>
                      </c:pt>
                      <c:pt idx="51">
                        <c:v>0.83367465348844705</c:v>
                      </c:pt>
                    </c:numCache>
                  </c:numRef>
                </c:val>
                <c:smooth val="0"/>
                <c:extLst>
                  <c:ext xmlns:c16="http://schemas.microsoft.com/office/drawing/2014/chart" uri="{C3380CC4-5D6E-409C-BE32-E72D297353CC}">
                    <c16:uniqueId val="{00000004-CA82-4200-A173-E9362FB174F1}"/>
                  </c:ext>
                </c:extLst>
              </c15:ser>
            </c15:filteredLineSeries>
            <c15:filteredLineSeries>
              <c15:ser>
                <c:idx val="5"/>
                <c:order val="2"/>
                <c:tx>
                  <c:strRef>
                    <c:extLst xmlns:c15="http://schemas.microsoft.com/office/drawing/2012/chart">
                      <c:ext xmlns:c15="http://schemas.microsoft.com/office/drawing/2012/chart" uri="{02D57815-91ED-43cb-92C2-25804820EDAC}">
                        <c15:formulaRef>
                          <c15:sqref>'OZL Summary'!$BP$6:$BP$7</c15:sqref>
                        </c15:formulaRef>
                      </c:ext>
                    </c:extLst>
                    <c:strCache>
                      <c:ptCount val="2"/>
                      <c:pt idx="0">
                        <c:v>1st Percentile</c:v>
                      </c:pt>
                    </c:strCache>
                  </c:strRef>
                </c:tx>
                <c:spPr>
                  <a:ln w="28575" cap="rnd">
                    <a:solidFill>
                      <a:schemeClr val="accent2"/>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Summary'!$BP$8:$BP$60</c15:sqref>
                        </c15:formulaRef>
                      </c:ext>
                    </c:extLst>
                    <c:numCache>
                      <c:formatCode>0.000</c:formatCode>
                      <c:ptCount val="53"/>
                      <c:pt idx="0">
                        <c:v>1.8223138082807688E-2</c:v>
                      </c:pt>
                      <c:pt idx="1">
                        <c:v>3.6446276165615375E-2</c:v>
                      </c:pt>
                      <c:pt idx="2">
                        <c:v>5.4669414248423059E-2</c:v>
                      </c:pt>
                      <c:pt idx="3">
                        <c:v>7.2892552331230751E-2</c:v>
                      </c:pt>
                      <c:pt idx="4">
                        <c:v>9.1115690414038442E-2</c:v>
                      </c:pt>
                      <c:pt idx="5">
                        <c:v>0.10933882849684613</c:v>
                      </c:pt>
                      <c:pt idx="6">
                        <c:v>0.12756196657965382</c:v>
                      </c:pt>
                      <c:pt idx="7">
                        <c:v>0.1457851046624615</c:v>
                      </c:pt>
                      <c:pt idx="8">
                        <c:v>0.16400824274526918</c:v>
                      </c:pt>
                      <c:pt idx="9">
                        <c:v>0.18223138082807686</c:v>
                      </c:pt>
                      <c:pt idx="10">
                        <c:v>0.20045451891088453</c:v>
                      </c:pt>
                      <c:pt idx="11">
                        <c:v>0.21867765699369221</c:v>
                      </c:pt>
                      <c:pt idx="12">
                        <c:v>0.23690079507649989</c:v>
                      </c:pt>
                      <c:pt idx="13">
                        <c:v>0.25512393315930759</c:v>
                      </c:pt>
                      <c:pt idx="14">
                        <c:v>0.27334707124211527</c:v>
                      </c:pt>
                      <c:pt idx="15">
                        <c:v>0.29157020932492295</c:v>
                      </c:pt>
                      <c:pt idx="16">
                        <c:v>0.30979334740773062</c:v>
                      </c:pt>
                      <c:pt idx="17">
                        <c:v>0.3280164854905383</c:v>
                      </c:pt>
                      <c:pt idx="18">
                        <c:v>0.34623962357334598</c:v>
                      </c:pt>
                      <c:pt idx="19">
                        <c:v>0.36446276165615366</c:v>
                      </c:pt>
                      <c:pt idx="20">
                        <c:v>0.38268589973896133</c:v>
                      </c:pt>
                      <c:pt idx="21">
                        <c:v>0.40090903782176901</c:v>
                      </c:pt>
                      <c:pt idx="22">
                        <c:v>0.41913217590457669</c:v>
                      </c:pt>
                      <c:pt idx="23">
                        <c:v>0.43735531398738436</c:v>
                      </c:pt>
                      <c:pt idx="24">
                        <c:v>0.45557845207019204</c:v>
                      </c:pt>
                      <c:pt idx="25">
                        <c:v>0.47380159015299972</c:v>
                      </c:pt>
                      <c:pt idx="26">
                        <c:v>0.4920247282358074</c:v>
                      </c:pt>
                      <c:pt idx="27">
                        <c:v>0.51024786631861507</c:v>
                      </c:pt>
                      <c:pt idx="28">
                        <c:v>0.52847100440142281</c:v>
                      </c:pt>
                      <c:pt idx="29">
                        <c:v>0.54669414248423054</c:v>
                      </c:pt>
                      <c:pt idx="30">
                        <c:v>0.56491728056703827</c:v>
                      </c:pt>
                      <c:pt idx="31">
                        <c:v>0.583140418649846</c:v>
                      </c:pt>
                      <c:pt idx="32">
                        <c:v>0.60136355673265374</c:v>
                      </c:pt>
                      <c:pt idx="33">
                        <c:v>0.61958669481546147</c:v>
                      </c:pt>
                      <c:pt idx="34">
                        <c:v>0.6378098328982692</c:v>
                      </c:pt>
                      <c:pt idx="35">
                        <c:v>0.65603297098107693</c:v>
                      </c:pt>
                      <c:pt idx="36">
                        <c:v>0.67425610906388467</c:v>
                      </c:pt>
                      <c:pt idx="37">
                        <c:v>0.6924792471466924</c:v>
                      </c:pt>
                      <c:pt idx="38">
                        <c:v>0.71070238522950013</c:v>
                      </c:pt>
                      <c:pt idx="39">
                        <c:v>0.72892552331230787</c:v>
                      </c:pt>
                      <c:pt idx="40">
                        <c:v>0.7471486613951156</c:v>
                      </c:pt>
                      <c:pt idx="41">
                        <c:v>0.76537179947792333</c:v>
                      </c:pt>
                      <c:pt idx="42">
                        <c:v>0.78359493756073106</c:v>
                      </c:pt>
                      <c:pt idx="43">
                        <c:v>0.8018180756435388</c:v>
                      </c:pt>
                      <c:pt idx="44">
                        <c:v>0.82004121372634653</c:v>
                      </c:pt>
                      <c:pt idx="45">
                        <c:v>0.83826435180915426</c:v>
                      </c:pt>
                      <c:pt idx="46">
                        <c:v>0.85648748989196199</c:v>
                      </c:pt>
                      <c:pt idx="47">
                        <c:v>0.87471062797476973</c:v>
                      </c:pt>
                      <c:pt idx="48">
                        <c:v>0.89293376605757746</c:v>
                      </c:pt>
                      <c:pt idx="49">
                        <c:v>0.91115690414038519</c:v>
                      </c:pt>
                      <c:pt idx="50">
                        <c:v>0.92938004222319293</c:v>
                      </c:pt>
                      <c:pt idx="51">
                        <c:v>0.94760318030600066</c:v>
                      </c:pt>
                    </c:numCache>
                  </c:numRef>
                </c:val>
                <c:smooth val="0"/>
                <c:extLst xmlns:c15="http://schemas.microsoft.com/office/drawing/2012/chart">
                  <c:ext xmlns:c16="http://schemas.microsoft.com/office/drawing/2014/chart" uri="{C3380CC4-5D6E-409C-BE32-E72D297353CC}">
                    <c16:uniqueId val="{00000005-CA82-4200-A173-E9362FB174F1}"/>
                  </c:ext>
                </c:extLst>
              </c15:ser>
            </c15:filteredLineSeries>
            <c15:filteredLineSeries>
              <c15:ser>
                <c:idx val="7"/>
                <c:order val="3"/>
                <c:tx>
                  <c:strRef>
                    <c:extLst xmlns:c15="http://schemas.microsoft.com/office/drawing/2012/chart">
                      <c:ext xmlns:c15="http://schemas.microsoft.com/office/drawing/2012/chart" uri="{02D57815-91ED-43cb-92C2-25804820EDAC}">
                        <c15:formulaRef>
                          <c15:sqref>'OZL Summary'!$BQ$6:$BQ$7</c15:sqref>
                        </c15:formulaRef>
                      </c:ext>
                    </c:extLst>
                    <c:strCache>
                      <c:ptCount val="2"/>
                      <c:pt idx="0">
                        <c:v>5th Percentile</c:v>
                      </c:pt>
                    </c:strCache>
                  </c:strRef>
                </c:tx>
                <c:spPr>
                  <a:ln w="28575" cap="rnd">
                    <a:solidFill>
                      <a:schemeClr val="bg2"/>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Summary'!$BQ$8:$BQ$60</c15:sqref>
                        </c15:formulaRef>
                      </c:ext>
                    </c:extLst>
                    <c:numCache>
                      <c:formatCode>0.000</c:formatCode>
                      <c:ptCount val="53"/>
                      <c:pt idx="0">
                        <c:v>1.9443728141978436E-2</c:v>
                      </c:pt>
                      <c:pt idx="1">
                        <c:v>3.8887456283956873E-2</c:v>
                      </c:pt>
                      <c:pt idx="2">
                        <c:v>5.8331184425935309E-2</c:v>
                      </c:pt>
                      <c:pt idx="3">
                        <c:v>7.7774912567913745E-2</c:v>
                      </c:pt>
                      <c:pt idx="4">
                        <c:v>9.7218640709892182E-2</c:v>
                      </c:pt>
                      <c:pt idx="5">
                        <c:v>0.11666236885187062</c:v>
                      </c:pt>
                      <c:pt idx="6">
                        <c:v>0.13610609699384907</c:v>
                      </c:pt>
                      <c:pt idx="7">
                        <c:v>0.15554982513582749</c:v>
                      </c:pt>
                      <c:pt idx="8">
                        <c:v>0.17499355327780591</c:v>
                      </c:pt>
                      <c:pt idx="9">
                        <c:v>0.19443728141978434</c:v>
                      </c:pt>
                      <c:pt idx="10">
                        <c:v>0.21388100956176276</c:v>
                      </c:pt>
                      <c:pt idx="11">
                        <c:v>0.23332473770374118</c:v>
                      </c:pt>
                      <c:pt idx="12">
                        <c:v>0.2527684658457196</c:v>
                      </c:pt>
                      <c:pt idx="13">
                        <c:v>0.27221219398769803</c:v>
                      </c:pt>
                      <c:pt idx="14">
                        <c:v>0.29165592212967645</c:v>
                      </c:pt>
                      <c:pt idx="15">
                        <c:v>0.31109965027165487</c:v>
                      </c:pt>
                      <c:pt idx="16">
                        <c:v>0.33054337841363329</c:v>
                      </c:pt>
                      <c:pt idx="17">
                        <c:v>0.34998710655561172</c:v>
                      </c:pt>
                      <c:pt idx="18">
                        <c:v>0.36943083469759014</c:v>
                      </c:pt>
                      <c:pt idx="19">
                        <c:v>0.38887456283956856</c:v>
                      </c:pt>
                      <c:pt idx="20">
                        <c:v>0.40831829098154698</c:v>
                      </c:pt>
                      <c:pt idx="21">
                        <c:v>0.42776201912352541</c:v>
                      </c:pt>
                      <c:pt idx="22">
                        <c:v>0.44720574726550383</c:v>
                      </c:pt>
                      <c:pt idx="23">
                        <c:v>0.46664947540748225</c:v>
                      </c:pt>
                      <c:pt idx="24">
                        <c:v>0.48609320354946067</c:v>
                      </c:pt>
                      <c:pt idx="25">
                        <c:v>0.5055369316914391</c:v>
                      </c:pt>
                      <c:pt idx="26">
                        <c:v>0.52498065983341757</c:v>
                      </c:pt>
                      <c:pt idx="27">
                        <c:v>0.54442438797539605</c:v>
                      </c:pt>
                      <c:pt idx="28">
                        <c:v>0.56386811611737453</c:v>
                      </c:pt>
                      <c:pt idx="29">
                        <c:v>0.58331184425935301</c:v>
                      </c:pt>
                      <c:pt idx="30">
                        <c:v>0.60275557240133149</c:v>
                      </c:pt>
                      <c:pt idx="31">
                        <c:v>0.62219930054330996</c:v>
                      </c:pt>
                      <c:pt idx="32">
                        <c:v>0.64164302868528844</c:v>
                      </c:pt>
                      <c:pt idx="33">
                        <c:v>0.66108675682726692</c:v>
                      </c:pt>
                      <c:pt idx="34">
                        <c:v>0.6805304849692454</c:v>
                      </c:pt>
                      <c:pt idx="35">
                        <c:v>0.69997421311122388</c:v>
                      </c:pt>
                      <c:pt idx="36">
                        <c:v>0.71941794125320235</c:v>
                      </c:pt>
                      <c:pt idx="37">
                        <c:v>0.73886166939518083</c:v>
                      </c:pt>
                      <c:pt idx="38">
                        <c:v>0.75830539753715931</c:v>
                      </c:pt>
                      <c:pt idx="39">
                        <c:v>0.77774912567913779</c:v>
                      </c:pt>
                      <c:pt idx="40">
                        <c:v>0.79719285382111627</c:v>
                      </c:pt>
                      <c:pt idx="41">
                        <c:v>0.81663658196309474</c:v>
                      </c:pt>
                      <c:pt idx="42">
                        <c:v>0.83608031010507322</c:v>
                      </c:pt>
                      <c:pt idx="43">
                        <c:v>0.8555240382470517</c:v>
                      </c:pt>
                      <c:pt idx="44">
                        <c:v>0.87496776638903018</c:v>
                      </c:pt>
                      <c:pt idx="45">
                        <c:v>0.89441149453100866</c:v>
                      </c:pt>
                      <c:pt idx="46">
                        <c:v>0.91385522267298713</c:v>
                      </c:pt>
                      <c:pt idx="47">
                        <c:v>0.93329895081496561</c:v>
                      </c:pt>
                      <c:pt idx="48">
                        <c:v>0.95274267895694409</c:v>
                      </c:pt>
                      <c:pt idx="49">
                        <c:v>0.97218640709892257</c:v>
                      </c:pt>
                      <c:pt idx="50">
                        <c:v>0.99163013524090105</c:v>
                      </c:pt>
                      <c:pt idx="51">
                        <c:v>1.0110738633828795</c:v>
                      </c:pt>
                    </c:numCache>
                  </c:numRef>
                </c:val>
                <c:smooth val="0"/>
                <c:extLst xmlns:c15="http://schemas.microsoft.com/office/drawing/2012/chart">
                  <c:ext xmlns:c16="http://schemas.microsoft.com/office/drawing/2014/chart" uri="{C3380CC4-5D6E-409C-BE32-E72D297353CC}">
                    <c16:uniqueId val="{00000006-CA82-4200-A173-E9362FB174F1}"/>
                  </c:ext>
                </c:extLst>
              </c15:ser>
            </c15:filteredLineSeries>
            <c15:filteredLineSeries>
              <c15:ser>
                <c:idx val="2"/>
                <c:order val="5"/>
                <c:tx>
                  <c:strRef>
                    <c:extLst xmlns:c15="http://schemas.microsoft.com/office/drawing/2012/chart">
                      <c:ext xmlns:c15="http://schemas.microsoft.com/office/drawing/2012/chart" uri="{02D57815-91ED-43cb-92C2-25804820EDAC}">
                        <c15:formulaRef>
                          <c15:sqref>'OZL Summary'!$BS$6:$BS$7</c15:sqref>
                        </c15:formulaRef>
                      </c:ext>
                    </c:extLst>
                    <c:strCache>
                      <c:ptCount val="2"/>
                      <c:pt idx="0">
                        <c:v>25th Percentile</c:v>
                      </c:pt>
                    </c:strCache>
                  </c:strRef>
                </c:tx>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Summary'!$BS$8:$BS$60</c15:sqref>
                        </c15:formulaRef>
                      </c:ext>
                    </c:extLst>
                    <c:numCache>
                      <c:formatCode>0.000</c:formatCode>
                      <c:ptCount val="53"/>
                      <c:pt idx="0">
                        <c:v>2.1609953490484776E-2</c:v>
                      </c:pt>
                      <c:pt idx="1">
                        <c:v>4.3219906980969551E-2</c:v>
                      </c:pt>
                      <c:pt idx="2">
                        <c:v>6.4829860471454323E-2</c:v>
                      </c:pt>
                      <c:pt idx="3">
                        <c:v>8.6439813961939102E-2</c:v>
                      </c:pt>
                      <c:pt idx="4">
                        <c:v>0.10804976745242388</c:v>
                      </c:pt>
                      <c:pt idx="5">
                        <c:v>0.12965972094290865</c:v>
                      </c:pt>
                      <c:pt idx="6">
                        <c:v>0.15126967443339343</c:v>
                      </c:pt>
                      <c:pt idx="7">
                        <c:v>0.1728796279238782</c:v>
                      </c:pt>
                      <c:pt idx="8">
                        <c:v>0.19448958141436298</c:v>
                      </c:pt>
                      <c:pt idx="9">
                        <c:v>0.21609953490484776</c:v>
                      </c:pt>
                      <c:pt idx="10">
                        <c:v>0.23770948839533254</c:v>
                      </c:pt>
                      <c:pt idx="11">
                        <c:v>0.25931944188581729</c:v>
                      </c:pt>
                      <c:pt idx="12">
                        <c:v>0.28092939537630207</c:v>
                      </c:pt>
                      <c:pt idx="13">
                        <c:v>0.30253934886678685</c:v>
                      </c:pt>
                      <c:pt idx="14">
                        <c:v>0.32414930235727163</c:v>
                      </c:pt>
                      <c:pt idx="15">
                        <c:v>0.34575925584775641</c:v>
                      </c:pt>
                      <c:pt idx="16">
                        <c:v>0.36736920933824119</c:v>
                      </c:pt>
                      <c:pt idx="17">
                        <c:v>0.38897916282872597</c:v>
                      </c:pt>
                      <c:pt idx="18">
                        <c:v>0.41058911631921075</c:v>
                      </c:pt>
                      <c:pt idx="19">
                        <c:v>0.43219906980969552</c:v>
                      </c:pt>
                      <c:pt idx="20">
                        <c:v>0.4538090233001803</c:v>
                      </c:pt>
                      <c:pt idx="21">
                        <c:v>0.47541897679066508</c:v>
                      </c:pt>
                      <c:pt idx="22">
                        <c:v>0.49702893028114986</c:v>
                      </c:pt>
                      <c:pt idx="23">
                        <c:v>0.51863888377163458</c:v>
                      </c:pt>
                      <c:pt idx="24">
                        <c:v>0.54024883726211936</c:v>
                      </c:pt>
                      <c:pt idx="25">
                        <c:v>0.56185879075260414</c:v>
                      </c:pt>
                      <c:pt idx="26">
                        <c:v>0.58346874424308892</c:v>
                      </c:pt>
                      <c:pt idx="27">
                        <c:v>0.6050786977335737</c:v>
                      </c:pt>
                      <c:pt idx="28">
                        <c:v>0.62668865122405848</c:v>
                      </c:pt>
                      <c:pt idx="29">
                        <c:v>0.64829860471454326</c:v>
                      </c:pt>
                      <c:pt idx="30">
                        <c:v>0.66990855820502804</c:v>
                      </c:pt>
                      <c:pt idx="31">
                        <c:v>0.69151851169551282</c:v>
                      </c:pt>
                      <c:pt idx="32">
                        <c:v>0.7131284651859976</c:v>
                      </c:pt>
                      <c:pt idx="33">
                        <c:v>0.73473841867648237</c:v>
                      </c:pt>
                      <c:pt idx="34">
                        <c:v>0.75634837216696715</c:v>
                      </c:pt>
                      <c:pt idx="35">
                        <c:v>0.77795832565745193</c:v>
                      </c:pt>
                      <c:pt idx="36">
                        <c:v>0.79956827914793671</c:v>
                      </c:pt>
                      <c:pt idx="37">
                        <c:v>0.82117823263842149</c:v>
                      </c:pt>
                      <c:pt idx="38">
                        <c:v>0.84278818612890627</c:v>
                      </c:pt>
                      <c:pt idx="39">
                        <c:v>0.86439813961939105</c:v>
                      </c:pt>
                      <c:pt idx="40">
                        <c:v>0.88600809310987583</c:v>
                      </c:pt>
                      <c:pt idx="41">
                        <c:v>0.90761804660036061</c:v>
                      </c:pt>
                      <c:pt idx="42">
                        <c:v>0.92922800009084539</c:v>
                      </c:pt>
                      <c:pt idx="43">
                        <c:v>0.95083795358133016</c:v>
                      </c:pt>
                      <c:pt idx="44">
                        <c:v>0.97244790707181494</c:v>
                      </c:pt>
                      <c:pt idx="45">
                        <c:v>0.99405786056229972</c:v>
                      </c:pt>
                      <c:pt idx="46">
                        <c:v>1.0156678140527844</c:v>
                      </c:pt>
                      <c:pt idx="47">
                        <c:v>1.0372777675432692</c:v>
                      </c:pt>
                      <c:pt idx="48">
                        <c:v>1.0588877210337539</c:v>
                      </c:pt>
                      <c:pt idx="49">
                        <c:v>1.0804976745242387</c:v>
                      </c:pt>
                      <c:pt idx="50">
                        <c:v>1.1021076280147235</c:v>
                      </c:pt>
                      <c:pt idx="51">
                        <c:v>1.1237175815052083</c:v>
                      </c:pt>
                    </c:numCache>
                  </c:numRef>
                </c:val>
                <c:smooth val="0"/>
                <c:extLst xmlns:c15="http://schemas.microsoft.com/office/drawing/2012/chart">
                  <c:ext xmlns:c16="http://schemas.microsoft.com/office/drawing/2014/chart" uri="{C3380CC4-5D6E-409C-BE32-E72D297353CC}">
                    <c16:uniqueId val="{00000007-CA82-4200-A173-E9362FB174F1}"/>
                  </c:ext>
                </c:extLst>
              </c15:ser>
            </c15:filteredLineSeries>
            <c15:filteredLineSeries>
              <c15:ser>
                <c:idx val="6"/>
                <c:order val="7"/>
                <c:tx>
                  <c:strRef>
                    <c:extLst xmlns:c15="http://schemas.microsoft.com/office/drawing/2012/chart">
                      <c:ext xmlns:c15="http://schemas.microsoft.com/office/drawing/2012/chart" uri="{02D57815-91ED-43cb-92C2-25804820EDAC}">
                        <c15:formulaRef>
                          <c15:sqref>'OZL Summary'!$BU$6:$BU$7</c15:sqref>
                        </c15:formulaRef>
                      </c:ext>
                    </c:extLst>
                    <c:strCache>
                      <c:ptCount val="2"/>
                      <c:pt idx="0">
                        <c:v>75th Percentile</c:v>
                      </c:pt>
                    </c:strCache>
                  </c:strRef>
                </c:tx>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Summary'!$BU$8:$BU$60</c15:sqref>
                        </c15:formulaRef>
                      </c:ext>
                    </c:extLst>
                    <c:numCache>
                      <c:formatCode>0.000</c:formatCode>
                      <c:ptCount val="53"/>
                      <c:pt idx="0">
                        <c:v>2.5540580974329746E-2</c:v>
                      </c:pt>
                      <c:pt idx="1">
                        <c:v>5.1081161948659491E-2</c:v>
                      </c:pt>
                      <c:pt idx="2">
                        <c:v>7.6621742922989233E-2</c:v>
                      </c:pt>
                      <c:pt idx="3">
                        <c:v>0.10216232389731898</c:v>
                      </c:pt>
                      <c:pt idx="4">
                        <c:v>0.12770290487164873</c:v>
                      </c:pt>
                      <c:pt idx="5">
                        <c:v>0.15324348584597847</c:v>
                      </c:pt>
                      <c:pt idx="6">
                        <c:v>0.1787840668203082</c:v>
                      </c:pt>
                      <c:pt idx="7">
                        <c:v>0.20432464779463794</c:v>
                      </c:pt>
                      <c:pt idx="8">
                        <c:v>0.22986522876896767</c:v>
                      </c:pt>
                      <c:pt idx="9">
                        <c:v>0.25540580974329741</c:v>
                      </c:pt>
                      <c:pt idx="10">
                        <c:v>0.28094639071762717</c:v>
                      </c:pt>
                      <c:pt idx="11">
                        <c:v>0.30648697169195693</c:v>
                      </c:pt>
                      <c:pt idx="12">
                        <c:v>0.3320275526662867</c:v>
                      </c:pt>
                      <c:pt idx="13">
                        <c:v>0.35756813364061646</c:v>
                      </c:pt>
                      <c:pt idx="14">
                        <c:v>0.38310871461494622</c:v>
                      </c:pt>
                      <c:pt idx="15">
                        <c:v>0.40864929558927598</c:v>
                      </c:pt>
                      <c:pt idx="16">
                        <c:v>0.43418987656360575</c:v>
                      </c:pt>
                      <c:pt idx="17">
                        <c:v>0.45973045753793551</c:v>
                      </c:pt>
                      <c:pt idx="18">
                        <c:v>0.48527103851226527</c:v>
                      </c:pt>
                      <c:pt idx="19">
                        <c:v>0.51081161948659504</c:v>
                      </c:pt>
                      <c:pt idx="20">
                        <c:v>0.5363522004609248</c:v>
                      </c:pt>
                      <c:pt idx="21">
                        <c:v>0.56189278143525456</c:v>
                      </c:pt>
                      <c:pt idx="22">
                        <c:v>0.58743336240958433</c:v>
                      </c:pt>
                      <c:pt idx="23">
                        <c:v>0.61297394338391409</c:v>
                      </c:pt>
                      <c:pt idx="24">
                        <c:v>0.63851452435824385</c:v>
                      </c:pt>
                      <c:pt idx="25">
                        <c:v>0.66405510533257361</c:v>
                      </c:pt>
                      <c:pt idx="26">
                        <c:v>0.68959568630690338</c:v>
                      </c:pt>
                      <c:pt idx="27">
                        <c:v>0.71513626728123314</c:v>
                      </c:pt>
                      <c:pt idx="28">
                        <c:v>0.7406768482555629</c:v>
                      </c:pt>
                      <c:pt idx="29">
                        <c:v>0.76621742922989267</c:v>
                      </c:pt>
                      <c:pt idx="30">
                        <c:v>0.79175801020422243</c:v>
                      </c:pt>
                      <c:pt idx="31">
                        <c:v>0.81729859117855219</c:v>
                      </c:pt>
                      <c:pt idx="32">
                        <c:v>0.84283917215288195</c:v>
                      </c:pt>
                      <c:pt idx="33">
                        <c:v>0.86837975312721172</c:v>
                      </c:pt>
                      <c:pt idx="34">
                        <c:v>0.89392033410154148</c:v>
                      </c:pt>
                      <c:pt idx="35">
                        <c:v>0.91946091507587124</c:v>
                      </c:pt>
                      <c:pt idx="36">
                        <c:v>0.94500149605020101</c:v>
                      </c:pt>
                      <c:pt idx="37">
                        <c:v>0.97054207702453077</c:v>
                      </c:pt>
                      <c:pt idx="38">
                        <c:v>0.99608265799886053</c:v>
                      </c:pt>
                      <c:pt idx="39">
                        <c:v>1.0216232389731903</c:v>
                      </c:pt>
                      <c:pt idx="40">
                        <c:v>1.0471638199475199</c:v>
                      </c:pt>
                      <c:pt idx="41">
                        <c:v>1.0727044009218496</c:v>
                      </c:pt>
                      <c:pt idx="42">
                        <c:v>1.0982449818961793</c:v>
                      </c:pt>
                      <c:pt idx="43">
                        <c:v>1.1237855628705089</c:v>
                      </c:pt>
                      <c:pt idx="44">
                        <c:v>1.1493261438448386</c:v>
                      </c:pt>
                      <c:pt idx="45">
                        <c:v>1.1748667248191682</c:v>
                      </c:pt>
                      <c:pt idx="46">
                        <c:v>1.2004073057934979</c:v>
                      </c:pt>
                      <c:pt idx="47">
                        <c:v>1.2259478867678275</c:v>
                      </c:pt>
                      <c:pt idx="48">
                        <c:v>1.2514884677421572</c:v>
                      </c:pt>
                      <c:pt idx="49">
                        <c:v>1.2770290487164868</c:v>
                      </c:pt>
                      <c:pt idx="50">
                        <c:v>1.3025696296908165</c:v>
                      </c:pt>
                      <c:pt idx="51">
                        <c:v>1.3281102106651461</c:v>
                      </c:pt>
                    </c:numCache>
                  </c:numRef>
                </c:val>
                <c:smooth val="0"/>
                <c:extLst xmlns:c15="http://schemas.microsoft.com/office/drawing/2012/chart">
                  <c:ext xmlns:c16="http://schemas.microsoft.com/office/drawing/2014/chart" uri="{C3380CC4-5D6E-409C-BE32-E72D297353CC}">
                    <c16:uniqueId val="{00000008-CA82-4200-A173-E9362FB174F1}"/>
                  </c:ext>
                </c:extLst>
              </c15:ser>
            </c15:filteredLineSeries>
            <c15:filteredLineSeries>
              <c15:ser>
                <c:idx val="9"/>
                <c:order val="9"/>
                <c:tx>
                  <c:strRef>
                    <c:extLst xmlns:c15="http://schemas.microsoft.com/office/drawing/2012/chart">
                      <c:ext xmlns:c15="http://schemas.microsoft.com/office/drawing/2012/chart" uri="{02D57815-91ED-43cb-92C2-25804820EDAC}">
                        <c15:formulaRef>
                          <c15:sqref>'OZL Summary'!$BW$6:$BW$7</c15:sqref>
                        </c15:formulaRef>
                      </c:ext>
                    </c:extLst>
                    <c:strCache>
                      <c:ptCount val="2"/>
                      <c:pt idx="0">
                        <c:v>95th Percentile</c:v>
                      </c:pt>
                    </c:strCache>
                  </c:strRef>
                </c:tx>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Summary'!$BW$8:$BW$60</c15:sqref>
                        </c15:formulaRef>
                      </c:ext>
                    </c:extLst>
                    <c:numCache>
                      <c:formatCode>0.000</c:formatCode>
                      <c:ptCount val="53"/>
                      <c:pt idx="0">
                        <c:v>2.9126260596895739E-2</c:v>
                      </c:pt>
                      <c:pt idx="1">
                        <c:v>5.8252521193791477E-2</c:v>
                      </c:pt>
                      <c:pt idx="2">
                        <c:v>8.7378781790687213E-2</c:v>
                      </c:pt>
                      <c:pt idx="3">
                        <c:v>0.11650504238758295</c:v>
                      </c:pt>
                      <c:pt idx="4">
                        <c:v>0.14563130298447868</c:v>
                      </c:pt>
                      <c:pt idx="5">
                        <c:v>0.17475756358137443</c:v>
                      </c:pt>
                      <c:pt idx="6">
                        <c:v>0.20388382417827017</c:v>
                      </c:pt>
                      <c:pt idx="7">
                        <c:v>0.23301008477516591</c:v>
                      </c:pt>
                      <c:pt idx="8">
                        <c:v>0.26213634537206165</c:v>
                      </c:pt>
                      <c:pt idx="9">
                        <c:v>0.29126260596895737</c:v>
                      </c:pt>
                      <c:pt idx="10">
                        <c:v>0.32038886656585308</c:v>
                      </c:pt>
                      <c:pt idx="11">
                        <c:v>0.3495151271627488</c:v>
                      </c:pt>
                      <c:pt idx="12">
                        <c:v>0.37864138775964451</c:v>
                      </c:pt>
                      <c:pt idx="13">
                        <c:v>0.40776764835654022</c:v>
                      </c:pt>
                      <c:pt idx="14">
                        <c:v>0.43689390895343594</c:v>
                      </c:pt>
                      <c:pt idx="15">
                        <c:v>0.46602016955033165</c:v>
                      </c:pt>
                      <c:pt idx="16">
                        <c:v>0.49514643014722737</c:v>
                      </c:pt>
                      <c:pt idx="17">
                        <c:v>0.52427269074412308</c:v>
                      </c:pt>
                      <c:pt idx="18">
                        <c:v>0.5533989513410188</c:v>
                      </c:pt>
                      <c:pt idx="19">
                        <c:v>0.58252521193791451</c:v>
                      </c:pt>
                      <c:pt idx="20">
                        <c:v>0.61165147253481023</c:v>
                      </c:pt>
                      <c:pt idx="21">
                        <c:v>0.64077773313170594</c:v>
                      </c:pt>
                      <c:pt idx="22">
                        <c:v>0.66990399372860165</c:v>
                      </c:pt>
                      <c:pt idx="23">
                        <c:v>0.69903025432549737</c:v>
                      </c:pt>
                      <c:pt idx="24">
                        <c:v>0.72815651492239308</c:v>
                      </c:pt>
                      <c:pt idx="25">
                        <c:v>0.7572827755192888</c:v>
                      </c:pt>
                      <c:pt idx="26">
                        <c:v>0.78640903611618451</c:v>
                      </c:pt>
                      <c:pt idx="27">
                        <c:v>0.81553529671308023</c:v>
                      </c:pt>
                      <c:pt idx="28">
                        <c:v>0.84466155730997594</c:v>
                      </c:pt>
                      <c:pt idx="29">
                        <c:v>0.87378781790687166</c:v>
                      </c:pt>
                      <c:pt idx="30">
                        <c:v>0.90291407850376737</c:v>
                      </c:pt>
                      <c:pt idx="31">
                        <c:v>0.93204033910066308</c:v>
                      </c:pt>
                      <c:pt idx="32">
                        <c:v>0.9611665996975588</c:v>
                      </c:pt>
                      <c:pt idx="33">
                        <c:v>0.99029286029445451</c:v>
                      </c:pt>
                      <c:pt idx="34">
                        <c:v>1.0194191208913503</c:v>
                      </c:pt>
                      <c:pt idx="35">
                        <c:v>1.0485453814882462</c:v>
                      </c:pt>
                      <c:pt idx="36">
                        <c:v>1.077671642085142</c:v>
                      </c:pt>
                      <c:pt idx="37">
                        <c:v>1.1067979026820378</c:v>
                      </c:pt>
                      <c:pt idx="38">
                        <c:v>1.1359241632789336</c:v>
                      </c:pt>
                      <c:pt idx="39">
                        <c:v>1.1650504238758295</c:v>
                      </c:pt>
                      <c:pt idx="40">
                        <c:v>1.1941766844727253</c:v>
                      </c:pt>
                      <c:pt idx="41">
                        <c:v>1.2233029450696211</c:v>
                      </c:pt>
                      <c:pt idx="42">
                        <c:v>1.2524292056665169</c:v>
                      </c:pt>
                      <c:pt idx="43">
                        <c:v>1.2815554662634128</c:v>
                      </c:pt>
                      <c:pt idx="44">
                        <c:v>1.3106817268603086</c:v>
                      </c:pt>
                      <c:pt idx="45">
                        <c:v>1.3398079874572044</c:v>
                      </c:pt>
                      <c:pt idx="46">
                        <c:v>1.3689342480541002</c:v>
                      </c:pt>
                      <c:pt idx="47">
                        <c:v>1.3980605086509961</c:v>
                      </c:pt>
                      <c:pt idx="48">
                        <c:v>1.4271867692478919</c:v>
                      </c:pt>
                      <c:pt idx="49">
                        <c:v>1.4563130298447877</c:v>
                      </c:pt>
                      <c:pt idx="50">
                        <c:v>1.4854392904416835</c:v>
                      </c:pt>
                      <c:pt idx="51">
                        <c:v>1.5145655510385794</c:v>
                      </c:pt>
                    </c:numCache>
                  </c:numRef>
                </c:val>
                <c:smooth val="0"/>
                <c:extLst xmlns:c15="http://schemas.microsoft.com/office/drawing/2012/chart">
                  <c:ext xmlns:c16="http://schemas.microsoft.com/office/drawing/2014/chart" uri="{C3380CC4-5D6E-409C-BE32-E72D297353CC}">
                    <c16:uniqueId val="{00000009-CA82-4200-A173-E9362FB174F1}"/>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'OZL Summary'!$BX$6:$BX$7</c15:sqref>
                        </c15:formulaRef>
                      </c:ext>
                    </c:extLst>
                    <c:strCache>
                      <c:ptCount val="2"/>
                      <c:pt idx="0">
                        <c:v>99th Percentile</c:v>
                      </c:pt>
                    </c:strCache>
                  </c:strRef>
                </c:tx>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Summary'!$BX$8:$BX$60</c15:sqref>
                        </c15:formulaRef>
                      </c:ext>
                    </c:extLst>
                    <c:numCache>
                      <c:formatCode>0.000</c:formatCode>
                      <c:ptCount val="53"/>
                      <c:pt idx="0">
                        <c:v>3.2006943607976859E-2</c:v>
                      </c:pt>
                      <c:pt idx="1">
                        <c:v>6.4013887215953719E-2</c:v>
                      </c:pt>
                      <c:pt idx="2">
                        <c:v>9.6020830823930578E-2</c:v>
                      </c:pt>
                      <c:pt idx="3">
                        <c:v>0.12802777443190744</c:v>
                      </c:pt>
                      <c:pt idx="4">
                        <c:v>0.16003471803988428</c:v>
                      </c:pt>
                      <c:pt idx="5">
                        <c:v>0.19204166164786113</c:v>
                      </c:pt>
                      <c:pt idx="6">
                        <c:v>0.22404860525583797</c:v>
                      </c:pt>
                      <c:pt idx="7">
                        <c:v>0.25605554886381482</c:v>
                      </c:pt>
                      <c:pt idx="8">
                        <c:v>0.28806249247179166</c:v>
                      </c:pt>
                      <c:pt idx="9">
                        <c:v>0.32006943607976851</c:v>
                      </c:pt>
                      <c:pt idx="10">
                        <c:v>0.35207637968774536</c:v>
                      </c:pt>
                      <c:pt idx="11">
                        <c:v>0.3840833232957222</c:v>
                      </c:pt>
                      <c:pt idx="12">
                        <c:v>0.41609026690369905</c:v>
                      </c:pt>
                      <c:pt idx="13">
                        <c:v>0.44809721051167589</c:v>
                      </c:pt>
                      <c:pt idx="14">
                        <c:v>0.48010415411965274</c:v>
                      </c:pt>
                      <c:pt idx="15">
                        <c:v>0.51211109772762964</c:v>
                      </c:pt>
                      <c:pt idx="16">
                        <c:v>0.54411804133560648</c:v>
                      </c:pt>
                      <c:pt idx="17">
                        <c:v>0.57612498494358333</c:v>
                      </c:pt>
                      <c:pt idx="18">
                        <c:v>0.60813192855156017</c:v>
                      </c:pt>
                      <c:pt idx="19">
                        <c:v>0.64013887215953702</c:v>
                      </c:pt>
                      <c:pt idx="20">
                        <c:v>0.67214581576751387</c:v>
                      </c:pt>
                      <c:pt idx="21">
                        <c:v>0.70415275937549071</c:v>
                      </c:pt>
                      <c:pt idx="22">
                        <c:v>0.73615970298346756</c:v>
                      </c:pt>
                      <c:pt idx="23">
                        <c:v>0.7681666465914444</c:v>
                      </c:pt>
                      <c:pt idx="24">
                        <c:v>0.80017359019942125</c:v>
                      </c:pt>
                      <c:pt idx="25">
                        <c:v>0.83218053380739809</c:v>
                      </c:pt>
                      <c:pt idx="26">
                        <c:v>0.86418747741537494</c:v>
                      </c:pt>
                      <c:pt idx="27">
                        <c:v>0.89619442102335178</c:v>
                      </c:pt>
                      <c:pt idx="28">
                        <c:v>0.92820136463132863</c:v>
                      </c:pt>
                      <c:pt idx="29">
                        <c:v>0.96020830823930547</c:v>
                      </c:pt>
                      <c:pt idx="30">
                        <c:v>0.99221525184728232</c:v>
                      </c:pt>
                      <c:pt idx="31">
                        <c:v>1.0242221954552593</c:v>
                      </c:pt>
                      <c:pt idx="32">
                        <c:v>1.0562291390632361</c:v>
                      </c:pt>
                      <c:pt idx="33">
                        <c:v>1.088236082671213</c:v>
                      </c:pt>
                      <c:pt idx="34">
                        <c:v>1.1202430262791898</c:v>
                      </c:pt>
                      <c:pt idx="35">
                        <c:v>1.1522499698871667</c:v>
                      </c:pt>
                      <c:pt idx="36">
                        <c:v>1.1842569134951435</c:v>
                      </c:pt>
                      <c:pt idx="37">
                        <c:v>1.2162638571031203</c:v>
                      </c:pt>
                      <c:pt idx="38">
                        <c:v>1.2482708007110972</c:v>
                      </c:pt>
                      <c:pt idx="39">
                        <c:v>1.280277744319074</c:v>
                      </c:pt>
                      <c:pt idx="40">
                        <c:v>1.3122846879270509</c:v>
                      </c:pt>
                      <c:pt idx="41">
                        <c:v>1.3442916315350277</c:v>
                      </c:pt>
                      <c:pt idx="42">
                        <c:v>1.3762985751430046</c:v>
                      </c:pt>
                      <c:pt idx="43">
                        <c:v>1.4083055187509814</c:v>
                      </c:pt>
                      <c:pt idx="44">
                        <c:v>1.4403124623589583</c:v>
                      </c:pt>
                      <c:pt idx="45">
                        <c:v>1.4723194059669351</c:v>
                      </c:pt>
                      <c:pt idx="46">
                        <c:v>1.504326349574912</c:v>
                      </c:pt>
                      <c:pt idx="47">
                        <c:v>1.5363332931828888</c:v>
                      </c:pt>
                      <c:pt idx="48">
                        <c:v>1.5683402367908656</c:v>
                      </c:pt>
                      <c:pt idx="49">
                        <c:v>1.6003471803988425</c:v>
                      </c:pt>
                      <c:pt idx="50">
                        <c:v>1.6323541240068193</c:v>
                      </c:pt>
                      <c:pt idx="51">
                        <c:v>1.6643610676147962</c:v>
                      </c:pt>
                    </c:numCache>
                  </c:numRef>
                </c:val>
                <c:smooth val="0"/>
                <c:extLst xmlns:c15="http://schemas.microsoft.com/office/drawing/2012/chart">
                  <c:ext xmlns:c16="http://schemas.microsoft.com/office/drawing/2014/chart" uri="{C3380CC4-5D6E-409C-BE32-E72D297353CC}">
                    <c16:uniqueId val="{0000000A-CA82-4200-A173-E9362FB174F1}"/>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'OZL Summary'!$BY$6:$BY$7</c15:sqref>
                        </c15:formulaRef>
                      </c:ext>
                    </c:extLst>
                    <c:strCache>
                      <c:ptCount val="2"/>
                      <c:pt idx="0">
                        <c:v>Max</c:v>
                      </c:pt>
                    </c:strCache>
                  </c:strRef>
                </c:tx>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Summary'!$BY$8:$BY$60</c15:sqref>
                        </c15:formulaRef>
                      </c:ext>
                    </c:extLst>
                    <c:numCache>
                      <c:formatCode>0.000</c:formatCode>
                      <c:ptCount val="53"/>
                      <c:pt idx="0">
                        <c:v>3.9503586953510528E-2</c:v>
                      </c:pt>
                      <c:pt idx="1">
                        <c:v>7.9007173907021055E-2</c:v>
                      </c:pt>
                      <c:pt idx="2">
                        <c:v>0.11851076086053158</c:v>
                      </c:pt>
                      <c:pt idx="3">
                        <c:v>0.15801434781404211</c:v>
                      </c:pt>
                      <c:pt idx="4">
                        <c:v>0.19751793476755264</c:v>
                      </c:pt>
                      <c:pt idx="5">
                        <c:v>0.23702152172106317</c:v>
                      </c:pt>
                      <c:pt idx="6">
                        <c:v>0.27652510867457369</c:v>
                      </c:pt>
                      <c:pt idx="7">
                        <c:v>0.31602869562808422</c:v>
                      </c:pt>
                      <c:pt idx="8">
                        <c:v>0.35553228258159475</c:v>
                      </c:pt>
                      <c:pt idx="9">
                        <c:v>0.39503586953510528</c:v>
                      </c:pt>
                      <c:pt idx="10">
                        <c:v>0.43453945648861581</c:v>
                      </c:pt>
                      <c:pt idx="11">
                        <c:v>0.47404304344212633</c:v>
                      </c:pt>
                      <c:pt idx="12">
                        <c:v>0.51354663039563686</c:v>
                      </c:pt>
                      <c:pt idx="13">
                        <c:v>0.55305021734914739</c:v>
                      </c:pt>
                      <c:pt idx="14">
                        <c:v>0.59255380430265792</c:v>
                      </c:pt>
                      <c:pt idx="15">
                        <c:v>0.63205739125616844</c:v>
                      </c:pt>
                      <c:pt idx="16">
                        <c:v>0.67156097820967897</c:v>
                      </c:pt>
                      <c:pt idx="17">
                        <c:v>0.7110645651631895</c:v>
                      </c:pt>
                      <c:pt idx="18">
                        <c:v>0.75056815211670003</c:v>
                      </c:pt>
                      <c:pt idx="19">
                        <c:v>0.79007173907021055</c:v>
                      </c:pt>
                      <c:pt idx="20">
                        <c:v>0.82957532602372108</c:v>
                      </c:pt>
                      <c:pt idx="21">
                        <c:v>0.86907891297723161</c:v>
                      </c:pt>
                      <c:pt idx="22">
                        <c:v>0.90858249993074214</c:v>
                      </c:pt>
                      <c:pt idx="23">
                        <c:v>0.94808608688425267</c:v>
                      </c:pt>
                      <c:pt idx="24">
                        <c:v>0.98758967383776319</c:v>
                      </c:pt>
                      <c:pt idx="25">
                        <c:v>1.0270932607912737</c:v>
                      </c:pt>
                      <c:pt idx="26">
                        <c:v>1.0665968477447842</c:v>
                      </c:pt>
                      <c:pt idx="27">
                        <c:v>1.1061004346982948</c:v>
                      </c:pt>
                      <c:pt idx="28">
                        <c:v>1.1456040216518053</c:v>
                      </c:pt>
                      <c:pt idx="29">
                        <c:v>1.1851076086053158</c:v>
                      </c:pt>
                      <c:pt idx="30">
                        <c:v>1.2246111955588264</c:v>
                      </c:pt>
                      <c:pt idx="31">
                        <c:v>1.2641147825123369</c:v>
                      </c:pt>
                      <c:pt idx="32">
                        <c:v>1.3036183694658474</c:v>
                      </c:pt>
                      <c:pt idx="33">
                        <c:v>1.3431219564193579</c:v>
                      </c:pt>
                      <c:pt idx="34">
                        <c:v>1.3826255433728685</c:v>
                      </c:pt>
                      <c:pt idx="35">
                        <c:v>1.422129130326379</c:v>
                      </c:pt>
                      <c:pt idx="36">
                        <c:v>1.4616327172798895</c:v>
                      </c:pt>
                      <c:pt idx="37">
                        <c:v>1.5011363042334001</c:v>
                      </c:pt>
                      <c:pt idx="38">
                        <c:v>1.5406398911869106</c:v>
                      </c:pt>
                      <c:pt idx="39">
                        <c:v>1.5801434781404211</c:v>
                      </c:pt>
                      <c:pt idx="40">
                        <c:v>1.6196470650939316</c:v>
                      </c:pt>
                      <c:pt idx="41">
                        <c:v>1.6591506520474422</c:v>
                      </c:pt>
                      <c:pt idx="42">
                        <c:v>1.6986542390009527</c:v>
                      </c:pt>
                      <c:pt idx="43">
                        <c:v>1.7381578259544632</c:v>
                      </c:pt>
                      <c:pt idx="44">
                        <c:v>1.7776614129079737</c:v>
                      </c:pt>
                      <c:pt idx="45">
                        <c:v>1.8171649998614843</c:v>
                      </c:pt>
                      <c:pt idx="46">
                        <c:v>1.8566685868149948</c:v>
                      </c:pt>
                      <c:pt idx="47">
                        <c:v>1.8961721737685053</c:v>
                      </c:pt>
                      <c:pt idx="48">
                        <c:v>1.9356757607220159</c:v>
                      </c:pt>
                      <c:pt idx="49">
                        <c:v>1.9751793476755264</c:v>
                      </c:pt>
                      <c:pt idx="50">
                        <c:v>2.0146829346290369</c:v>
                      </c:pt>
                      <c:pt idx="51">
                        <c:v>2.0541865215825474</c:v>
                      </c:pt>
                    </c:numCache>
                  </c:numRef>
                </c:val>
                <c:smooth val="0"/>
                <c:extLst xmlns:c15="http://schemas.microsoft.com/office/drawing/2012/chart">
                  <c:ext xmlns:c16="http://schemas.microsoft.com/office/drawing/2014/chart" uri="{C3380CC4-5D6E-409C-BE32-E72D297353CC}">
                    <c16:uniqueId val="{0000000B-CA82-4200-A173-E9362FB174F1}"/>
                  </c:ext>
                </c:extLst>
              </c15:ser>
            </c15:filteredLineSeries>
          </c:ext>
        </c:extLst>
      </c:lineChart>
      <c:dateAx>
        <c:axId val="1388952432"/>
        <c:scaling>
          <c:orientation val="minMax"/>
        </c:scaling>
        <c:delete val="0"/>
        <c:axPos val="b"/>
        <c:numFmt formatCode="d\-mmm\-yy_);\(###0\);&quot;-  &quot;;&quot; &quot;@&quot; &quot;"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3088"/>
        <c:crosses val="autoZero"/>
        <c:auto val="1"/>
        <c:lblOffset val="100"/>
        <c:baseTimeUnit val="days"/>
        <c:majorUnit val="3"/>
        <c:majorTimeUnit val="months"/>
      </c:dateAx>
      <c:valAx>
        <c:axId val="1388953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Ticket Sales ($b)</a:t>
                </a:r>
              </a:p>
            </c:rich>
          </c:tx>
          <c:overlay val="0"/>
          <c:spPr>
            <a:noFill/>
            <a:ln>
              <a:noFill/>
            </a:ln>
            <a:effectLst/>
          </c:sp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2432"/>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'OZL Summary'!$BN$6:$BN$7</c:f>
              <c:strCache>
                <c:ptCount val="2"/>
                <c:pt idx="0">
                  <c:v>Actual</c:v>
                </c:pt>
              </c:strCache>
            </c:strRef>
          </c:tx>
          <c:spPr>
            <a:ln w="28575" cap="rnd">
              <a:solidFill>
                <a:schemeClr val="tx2"/>
              </a:solidFill>
              <a:round/>
            </a:ln>
            <a:effectLst/>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Summary'!$BN$8:$BN$60</c:f>
              <c:numCache>
                <c:formatCode>0.000</c:formatCode>
                <c:ptCount val="53"/>
                <c:pt idx="0">
                  <c:v>3.4282144018799997E-2</c:v>
                </c:pt>
                <c:pt idx="1">
                  <c:v>4.61727482976E-2</c:v>
                </c:pt>
                <c:pt idx="2">
                  <c:v>6.0744925144799997E-2</c:v>
                </c:pt>
                <c:pt idx="3">
                  <c:v>7.9887071887199998E-2</c:v>
                </c:pt>
                <c:pt idx="4">
                  <c:v>9.0591598206000004E-2</c:v>
                </c:pt>
                <c:pt idx="5">
                  <c:v>0.10471594425839999</c:v>
                </c:pt>
                <c:pt idx="6">
                  <c:v>0.13024126318319998</c:v>
                </c:pt>
                <c:pt idx="7">
                  <c:v>0.14299494069599997</c:v>
                </c:pt>
                <c:pt idx="8">
                  <c:v>0.15712274134439999</c:v>
                </c:pt>
                <c:pt idx="9">
                  <c:v>0.18211939192799997</c:v>
                </c:pt>
                <c:pt idx="10">
                  <c:v>0.21562528822559998</c:v>
                </c:pt>
                <c:pt idx="11">
                  <c:v>0.26312805598319994</c:v>
                </c:pt>
                <c:pt idx="12">
                  <c:v>0.27559419595559997</c:v>
                </c:pt>
                <c:pt idx="13">
                  <c:v>0.29338294713839996</c:v>
                </c:pt>
                <c:pt idx="14">
                  <c:v>0.31479798774239992</c:v>
                </c:pt>
                <c:pt idx="15">
                  <c:v>0.34138237064759991</c:v>
                </c:pt>
                <c:pt idx="16">
                  <c:v>0.38401116406199992</c:v>
                </c:pt>
                <c:pt idx="17">
                  <c:v>0.45353502371519994</c:v>
                </c:pt>
                <c:pt idx="18">
                  <c:v>0.46636884785519994</c:v>
                </c:pt>
                <c:pt idx="19">
                  <c:v>0.48057414660719988</c:v>
                </c:pt>
                <c:pt idx="20">
                  <c:v>0.50512031787239997</c:v>
                </c:pt>
                <c:pt idx="21">
                  <c:v>0.53195446806839985</c:v>
                </c:pt>
                <c:pt idx="22">
                  <c:v>0.57374874624239991</c:v>
                </c:pt>
                <c:pt idx="23">
                  <c:v>0.58543426267199994</c:v>
                </c:pt>
                <c:pt idx="24">
                  <c:v>0.59798193110999986</c:v>
                </c:pt>
                <c:pt idx="25">
                  <c:v>0.60953824564919989</c:v>
                </c:pt>
                <c:pt idx="26">
                  <c:v>0.62793005414039982</c:v>
                </c:pt>
                <c:pt idx="27">
                  <c:v>0.66085868744639986</c:v>
                </c:pt>
                <c:pt idx="28">
                  <c:v>0.70280784667439988</c:v>
                </c:pt>
                <c:pt idx="29">
                  <c:v>0.76647478426919979</c:v>
                </c:pt>
                <c:pt idx="30">
                  <c:v>0.77875598820239988</c:v>
                </c:pt>
                <c:pt idx="31">
                  <c:v>0.79341798454559986</c:v>
                </c:pt>
                <c:pt idx="32">
                  <c:v>0.81253514304359986</c:v>
                </c:pt>
                <c:pt idx="33">
                  <c:v>0.82340606573639985</c:v>
                </c:pt>
                <c:pt idx="34">
                  <c:v>0.84006470341439987</c:v>
                </c:pt>
                <c:pt idx="35">
                  <c:v>0.86433934343399987</c:v>
                </c:pt>
                <c:pt idx="36">
                  <c:v>0.87578580182039989</c:v>
                </c:pt>
                <c:pt idx="37">
                  <c:v>0.89565744408479986</c:v>
                </c:pt>
                <c:pt idx="38">
                  <c:v>0.90846581936759985</c:v>
                </c:pt>
                <c:pt idx="39">
                  <c:v>0.91858582836759983</c:v>
                </c:pt>
                <c:pt idx="40">
                  <c:v>0.93370152831879982</c:v>
                </c:pt>
                <c:pt idx="41">
                  <c:v>0.95559030918759991</c:v>
                </c:pt>
                <c:pt idx="42">
                  <c:v>0.98300771034159995</c:v>
                </c:pt>
                <c:pt idx="43">
                  <c:v>0.99330666708999993</c:v>
                </c:pt>
                <c:pt idx="44">
                  <c:v>1.0075762213275998</c:v>
                </c:pt>
                <c:pt idx="45">
                  <c:v>1.0281208537475999</c:v>
                </c:pt>
                <c:pt idx="46">
                  <c:v>1.0382225415931998</c:v>
                </c:pt>
                <c:pt idx="47">
                  <c:v>1.0541579684225999</c:v>
                </c:pt>
                <c:pt idx="48">
                  <c:v>1.0687637971379997</c:v>
                </c:pt>
                <c:pt idx="49">
                  <c:v>1.0815684581785998</c:v>
                </c:pt>
                <c:pt idx="50">
                  <c:v>1.0986668252266998</c:v>
                </c:pt>
                <c:pt idx="51">
                  <c:v>1.1194431701510998</c:v>
                </c:pt>
              </c:numCache>
            </c:numRef>
          </c:val>
          <c:smooth val="0"/>
          <c:extLst>
            <c:ext xmlns:c16="http://schemas.microsoft.com/office/drawing/2014/chart" uri="{C3380CC4-5D6E-409C-BE32-E72D297353CC}">
              <c16:uniqueId val="{00000000-3000-4E94-90F9-B6067101EB83}"/>
            </c:ext>
          </c:extLst>
        </c:ser>
        <c:ser>
          <c:idx val="7"/>
          <c:order val="3"/>
          <c:tx>
            <c:strRef>
              <c:f>'OZL Summary'!$BQ$6:$BQ$7</c:f>
              <c:strCache>
                <c:ptCount val="2"/>
                <c:pt idx="0">
                  <c:v>5th Percentile</c:v>
                </c:pt>
              </c:strCache>
            </c:strRef>
          </c:tx>
          <c:spPr>
            <a:ln w="28575" cap="rnd">
              <a:solidFill>
                <a:schemeClr val="accent6"/>
              </a:solidFill>
              <a:prstDash val="sysDot"/>
              <a:round/>
            </a:ln>
            <a:effectLst/>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Summary'!$BQ$8:$BQ$60</c:f>
              <c:numCache>
                <c:formatCode>0.000</c:formatCode>
                <c:ptCount val="53"/>
                <c:pt idx="0">
                  <c:v>1.9443728141978436E-2</c:v>
                </c:pt>
                <c:pt idx="1">
                  <c:v>3.8887456283956873E-2</c:v>
                </c:pt>
                <c:pt idx="2">
                  <c:v>5.8331184425935309E-2</c:v>
                </c:pt>
                <c:pt idx="3">
                  <c:v>7.7774912567913745E-2</c:v>
                </c:pt>
                <c:pt idx="4">
                  <c:v>9.7218640709892182E-2</c:v>
                </c:pt>
                <c:pt idx="5">
                  <c:v>0.11666236885187062</c:v>
                </c:pt>
                <c:pt idx="6">
                  <c:v>0.13610609699384907</c:v>
                </c:pt>
                <c:pt idx="7">
                  <c:v>0.15554982513582749</c:v>
                </c:pt>
                <c:pt idx="8">
                  <c:v>0.17499355327780591</c:v>
                </c:pt>
                <c:pt idx="9">
                  <c:v>0.19443728141978434</c:v>
                </c:pt>
                <c:pt idx="10">
                  <c:v>0.21388100956176276</c:v>
                </c:pt>
                <c:pt idx="11">
                  <c:v>0.23332473770374118</c:v>
                </c:pt>
                <c:pt idx="12">
                  <c:v>0.2527684658457196</c:v>
                </c:pt>
                <c:pt idx="13">
                  <c:v>0.27221219398769803</c:v>
                </c:pt>
                <c:pt idx="14">
                  <c:v>0.29165592212967645</c:v>
                </c:pt>
                <c:pt idx="15">
                  <c:v>0.31109965027165487</c:v>
                </c:pt>
                <c:pt idx="16">
                  <c:v>0.33054337841363329</c:v>
                </c:pt>
                <c:pt idx="17">
                  <c:v>0.34998710655561172</c:v>
                </c:pt>
                <c:pt idx="18">
                  <c:v>0.36943083469759014</c:v>
                </c:pt>
                <c:pt idx="19">
                  <c:v>0.38887456283956856</c:v>
                </c:pt>
                <c:pt idx="20">
                  <c:v>0.40831829098154698</c:v>
                </c:pt>
                <c:pt idx="21">
                  <c:v>0.42776201912352541</c:v>
                </c:pt>
                <c:pt idx="22">
                  <c:v>0.44720574726550383</c:v>
                </c:pt>
                <c:pt idx="23">
                  <c:v>0.46664947540748225</c:v>
                </c:pt>
                <c:pt idx="24">
                  <c:v>0.48609320354946067</c:v>
                </c:pt>
                <c:pt idx="25">
                  <c:v>0.5055369316914391</c:v>
                </c:pt>
                <c:pt idx="26">
                  <c:v>0.52498065983341757</c:v>
                </c:pt>
                <c:pt idx="27">
                  <c:v>0.54442438797539605</c:v>
                </c:pt>
                <c:pt idx="28">
                  <c:v>0.56386811611737453</c:v>
                </c:pt>
                <c:pt idx="29">
                  <c:v>0.58331184425935301</c:v>
                </c:pt>
                <c:pt idx="30">
                  <c:v>0.60275557240133149</c:v>
                </c:pt>
                <c:pt idx="31">
                  <c:v>0.62219930054330996</c:v>
                </c:pt>
                <c:pt idx="32">
                  <c:v>0.64164302868528844</c:v>
                </c:pt>
                <c:pt idx="33">
                  <c:v>0.66108675682726692</c:v>
                </c:pt>
                <c:pt idx="34">
                  <c:v>0.6805304849692454</c:v>
                </c:pt>
                <c:pt idx="35">
                  <c:v>0.69997421311122388</c:v>
                </c:pt>
                <c:pt idx="36">
                  <c:v>0.71941794125320235</c:v>
                </c:pt>
                <c:pt idx="37">
                  <c:v>0.73886166939518083</c:v>
                </c:pt>
                <c:pt idx="38">
                  <c:v>0.75830539753715931</c:v>
                </c:pt>
                <c:pt idx="39">
                  <c:v>0.77774912567913779</c:v>
                </c:pt>
                <c:pt idx="40">
                  <c:v>0.79719285382111627</c:v>
                </c:pt>
                <c:pt idx="41">
                  <c:v>0.81663658196309474</c:v>
                </c:pt>
                <c:pt idx="42">
                  <c:v>0.83608031010507322</c:v>
                </c:pt>
                <c:pt idx="43">
                  <c:v>0.8555240382470517</c:v>
                </c:pt>
                <c:pt idx="44">
                  <c:v>0.87496776638903018</c:v>
                </c:pt>
                <c:pt idx="45">
                  <c:v>0.89441149453100866</c:v>
                </c:pt>
                <c:pt idx="46">
                  <c:v>0.91385522267298713</c:v>
                </c:pt>
                <c:pt idx="47">
                  <c:v>0.93329895081496561</c:v>
                </c:pt>
                <c:pt idx="48">
                  <c:v>0.95274267895694409</c:v>
                </c:pt>
                <c:pt idx="49">
                  <c:v>0.97218640709892257</c:v>
                </c:pt>
                <c:pt idx="50">
                  <c:v>0.99163013524090105</c:v>
                </c:pt>
                <c:pt idx="51">
                  <c:v>1.0110738633828795</c:v>
                </c:pt>
              </c:numCache>
            </c:numRef>
          </c:val>
          <c:smooth val="0"/>
          <c:extLst xmlns:c15="http://schemas.microsoft.com/office/drawing/2012/chart">
            <c:ext xmlns:c16="http://schemas.microsoft.com/office/drawing/2014/chart" uri="{C3380CC4-5D6E-409C-BE32-E72D297353CC}">
              <c16:uniqueId val="{00000001-3000-4E94-90F9-B6067101EB83}"/>
            </c:ext>
          </c:extLst>
        </c:ser>
        <c:ser>
          <c:idx val="2"/>
          <c:order val="5"/>
          <c:tx>
            <c:strRef>
              <c:f>'OZL Summary'!$BS$6:$BS$7</c:f>
              <c:strCache>
                <c:ptCount val="2"/>
                <c:pt idx="0">
                  <c:v>25th Percentile</c:v>
                </c:pt>
              </c:strCache>
            </c:strRef>
          </c:tx>
          <c:spPr>
            <a:ln w="28575">
              <a:solidFill>
                <a:schemeClr val="accent5"/>
              </a:solidFill>
              <a:prstDash val="sysDot"/>
            </a:ln>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Summary'!$BS$8:$BS$60</c:f>
              <c:numCache>
                <c:formatCode>0.000</c:formatCode>
                <c:ptCount val="53"/>
                <c:pt idx="0">
                  <c:v>2.1609953490484776E-2</c:v>
                </c:pt>
                <c:pt idx="1">
                  <c:v>4.3219906980969551E-2</c:v>
                </c:pt>
                <c:pt idx="2">
                  <c:v>6.4829860471454323E-2</c:v>
                </c:pt>
                <c:pt idx="3">
                  <c:v>8.6439813961939102E-2</c:v>
                </c:pt>
                <c:pt idx="4">
                  <c:v>0.10804976745242388</c:v>
                </c:pt>
                <c:pt idx="5">
                  <c:v>0.12965972094290865</c:v>
                </c:pt>
                <c:pt idx="6">
                  <c:v>0.15126967443339343</c:v>
                </c:pt>
                <c:pt idx="7">
                  <c:v>0.1728796279238782</c:v>
                </c:pt>
                <c:pt idx="8">
                  <c:v>0.19448958141436298</c:v>
                </c:pt>
                <c:pt idx="9">
                  <c:v>0.21609953490484776</c:v>
                </c:pt>
                <c:pt idx="10">
                  <c:v>0.23770948839533254</c:v>
                </c:pt>
                <c:pt idx="11">
                  <c:v>0.25931944188581729</c:v>
                </c:pt>
                <c:pt idx="12">
                  <c:v>0.28092939537630207</c:v>
                </c:pt>
                <c:pt idx="13">
                  <c:v>0.30253934886678685</c:v>
                </c:pt>
                <c:pt idx="14">
                  <c:v>0.32414930235727163</c:v>
                </c:pt>
                <c:pt idx="15">
                  <c:v>0.34575925584775641</c:v>
                </c:pt>
                <c:pt idx="16">
                  <c:v>0.36736920933824119</c:v>
                </c:pt>
                <c:pt idx="17">
                  <c:v>0.38897916282872597</c:v>
                </c:pt>
                <c:pt idx="18">
                  <c:v>0.41058911631921075</c:v>
                </c:pt>
                <c:pt idx="19">
                  <c:v>0.43219906980969552</c:v>
                </c:pt>
                <c:pt idx="20">
                  <c:v>0.4538090233001803</c:v>
                </c:pt>
                <c:pt idx="21">
                  <c:v>0.47541897679066508</c:v>
                </c:pt>
                <c:pt idx="22">
                  <c:v>0.49702893028114986</c:v>
                </c:pt>
                <c:pt idx="23">
                  <c:v>0.51863888377163458</c:v>
                </c:pt>
                <c:pt idx="24">
                  <c:v>0.54024883726211936</c:v>
                </c:pt>
                <c:pt idx="25">
                  <c:v>0.56185879075260414</c:v>
                </c:pt>
                <c:pt idx="26">
                  <c:v>0.58346874424308892</c:v>
                </c:pt>
                <c:pt idx="27">
                  <c:v>0.6050786977335737</c:v>
                </c:pt>
                <c:pt idx="28">
                  <c:v>0.62668865122405848</c:v>
                </c:pt>
                <c:pt idx="29">
                  <c:v>0.64829860471454326</c:v>
                </c:pt>
                <c:pt idx="30">
                  <c:v>0.66990855820502804</c:v>
                </c:pt>
                <c:pt idx="31">
                  <c:v>0.69151851169551282</c:v>
                </c:pt>
                <c:pt idx="32">
                  <c:v>0.7131284651859976</c:v>
                </c:pt>
                <c:pt idx="33">
                  <c:v>0.73473841867648237</c:v>
                </c:pt>
                <c:pt idx="34">
                  <c:v>0.75634837216696715</c:v>
                </c:pt>
                <c:pt idx="35">
                  <c:v>0.77795832565745193</c:v>
                </c:pt>
                <c:pt idx="36">
                  <c:v>0.79956827914793671</c:v>
                </c:pt>
                <c:pt idx="37">
                  <c:v>0.82117823263842149</c:v>
                </c:pt>
                <c:pt idx="38">
                  <c:v>0.84278818612890627</c:v>
                </c:pt>
                <c:pt idx="39">
                  <c:v>0.86439813961939105</c:v>
                </c:pt>
                <c:pt idx="40">
                  <c:v>0.88600809310987583</c:v>
                </c:pt>
                <c:pt idx="41">
                  <c:v>0.90761804660036061</c:v>
                </c:pt>
                <c:pt idx="42">
                  <c:v>0.92922800009084539</c:v>
                </c:pt>
                <c:pt idx="43">
                  <c:v>0.95083795358133016</c:v>
                </c:pt>
                <c:pt idx="44">
                  <c:v>0.97244790707181494</c:v>
                </c:pt>
                <c:pt idx="45">
                  <c:v>0.99405786056229972</c:v>
                </c:pt>
                <c:pt idx="46">
                  <c:v>1.0156678140527844</c:v>
                </c:pt>
                <c:pt idx="47">
                  <c:v>1.0372777675432692</c:v>
                </c:pt>
                <c:pt idx="48">
                  <c:v>1.0588877210337539</c:v>
                </c:pt>
                <c:pt idx="49">
                  <c:v>1.0804976745242387</c:v>
                </c:pt>
                <c:pt idx="50">
                  <c:v>1.1021076280147235</c:v>
                </c:pt>
                <c:pt idx="51">
                  <c:v>1.1237175815052083</c:v>
                </c:pt>
              </c:numCache>
            </c:numRef>
          </c:val>
          <c:smooth val="0"/>
          <c:extLst>
            <c:ext xmlns:c16="http://schemas.microsoft.com/office/drawing/2014/chart" uri="{C3380CC4-5D6E-409C-BE32-E72D297353CC}">
              <c16:uniqueId val="{00000002-3000-4E94-90F9-B6067101EB83}"/>
            </c:ext>
          </c:extLst>
        </c:ser>
        <c:ser>
          <c:idx val="4"/>
          <c:order val="6"/>
          <c:tx>
            <c:strRef>
              <c:f>'OZL Summary'!$BT$6:$BT$7</c:f>
              <c:strCache>
                <c:ptCount val="2"/>
                <c:pt idx="0">
                  <c:v>50th Percentile</c:v>
                </c:pt>
              </c:strCache>
            </c:strRef>
          </c:tx>
          <c:spPr>
            <a:ln w="28575">
              <a:solidFill>
                <a:schemeClr val="accent2"/>
              </a:solidFill>
              <a:prstDash val="sysDot"/>
            </a:ln>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Summary'!$BT$8:$BT$60</c:f>
              <c:numCache>
                <c:formatCode>0.000</c:formatCode>
                <c:ptCount val="53"/>
                <c:pt idx="0">
                  <c:v>2.3469807538576672E-2</c:v>
                </c:pt>
                <c:pt idx="1">
                  <c:v>4.6939615077153343E-2</c:v>
                </c:pt>
                <c:pt idx="2">
                  <c:v>7.0409422615730022E-2</c:v>
                </c:pt>
                <c:pt idx="3">
                  <c:v>9.3879230154306686E-2</c:v>
                </c:pt>
                <c:pt idx="4">
                  <c:v>0.11734903769288335</c:v>
                </c:pt>
                <c:pt idx="5">
                  <c:v>0.14081884523146002</c:v>
                </c:pt>
                <c:pt idx="6">
                  <c:v>0.16428865277003668</c:v>
                </c:pt>
                <c:pt idx="7">
                  <c:v>0.18775846030861335</c:v>
                </c:pt>
                <c:pt idx="8">
                  <c:v>0.21122826784719001</c:v>
                </c:pt>
                <c:pt idx="9">
                  <c:v>0.23469807538576667</c:v>
                </c:pt>
                <c:pt idx="10">
                  <c:v>0.25816788292434334</c:v>
                </c:pt>
                <c:pt idx="11">
                  <c:v>0.28163769046292003</c:v>
                </c:pt>
                <c:pt idx="12">
                  <c:v>0.30510749800149672</c:v>
                </c:pt>
                <c:pt idx="13">
                  <c:v>0.32857730554007342</c:v>
                </c:pt>
                <c:pt idx="14">
                  <c:v>0.35204711307865011</c:v>
                </c:pt>
                <c:pt idx="15">
                  <c:v>0.3755169206172268</c:v>
                </c:pt>
                <c:pt idx="16">
                  <c:v>0.39898672815580349</c:v>
                </c:pt>
                <c:pt idx="17">
                  <c:v>0.42245653569438019</c:v>
                </c:pt>
                <c:pt idx="18">
                  <c:v>0.44592634323295688</c:v>
                </c:pt>
                <c:pt idx="19">
                  <c:v>0.46939615077153357</c:v>
                </c:pt>
                <c:pt idx="20">
                  <c:v>0.49286595831011026</c:v>
                </c:pt>
                <c:pt idx="21">
                  <c:v>0.5163357658486869</c:v>
                </c:pt>
                <c:pt idx="22">
                  <c:v>0.53980557338726354</c:v>
                </c:pt>
                <c:pt idx="23">
                  <c:v>0.56327538092584017</c:v>
                </c:pt>
                <c:pt idx="24">
                  <c:v>0.58674518846441681</c:v>
                </c:pt>
                <c:pt idx="25">
                  <c:v>0.61021499600299345</c:v>
                </c:pt>
                <c:pt idx="26">
                  <c:v>0.63368480354157009</c:v>
                </c:pt>
                <c:pt idx="27">
                  <c:v>0.65715461108014672</c:v>
                </c:pt>
                <c:pt idx="28">
                  <c:v>0.68062441861872336</c:v>
                </c:pt>
                <c:pt idx="29">
                  <c:v>0.7040942261573</c:v>
                </c:pt>
                <c:pt idx="30">
                  <c:v>0.72756403369587663</c:v>
                </c:pt>
                <c:pt idx="31">
                  <c:v>0.75103384123445327</c:v>
                </c:pt>
                <c:pt idx="32">
                  <c:v>0.77450364877302991</c:v>
                </c:pt>
                <c:pt idx="33">
                  <c:v>0.79797345631160654</c:v>
                </c:pt>
                <c:pt idx="34">
                  <c:v>0.82144326385018318</c:v>
                </c:pt>
                <c:pt idx="35">
                  <c:v>0.84491307138875982</c:v>
                </c:pt>
                <c:pt idx="36">
                  <c:v>0.86838287892733645</c:v>
                </c:pt>
                <c:pt idx="37">
                  <c:v>0.89185268646591309</c:v>
                </c:pt>
                <c:pt idx="38">
                  <c:v>0.91532249400448973</c:v>
                </c:pt>
                <c:pt idx="39">
                  <c:v>0.93879230154306637</c:v>
                </c:pt>
                <c:pt idx="40">
                  <c:v>0.962262109081643</c:v>
                </c:pt>
                <c:pt idx="41">
                  <c:v>0.98573191662021964</c:v>
                </c:pt>
                <c:pt idx="42">
                  <c:v>1.0092017241587963</c:v>
                </c:pt>
                <c:pt idx="43">
                  <c:v>1.0326715316973729</c:v>
                </c:pt>
                <c:pt idx="44">
                  <c:v>1.0561413392359496</c:v>
                </c:pt>
                <c:pt idx="45">
                  <c:v>1.0796111467745262</c:v>
                </c:pt>
                <c:pt idx="46">
                  <c:v>1.1030809543131028</c:v>
                </c:pt>
                <c:pt idx="47">
                  <c:v>1.1265507618516795</c:v>
                </c:pt>
                <c:pt idx="48">
                  <c:v>1.1500205693902561</c:v>
                </c:pt>
                <c:pt idx="49">
                  <c:v>1.1734903769288327</c:v>
                </c:pt>
                <c:pt idx="50">
                  <c:v>1.1969601844674094</c:v>
                </c:pt>
                <c:pt idx="51">
                  <c:v>1.220429992005986</c:v>
                </c:pt>
              </c:numCache>
            </c:numRef>
          </c:val>
          <c:smooth val="0"/>
          <c:extLst>
            <c:ext xmlns:c16="http://schemas.microsoft.com/office/drawing/2014/chart" uri="{C3380CC4-5D6E-409C-BE32-E72D297353CC}">
              <c16:uniqueId val="{00000003-3000-4E94-90F9-B6067101EB83}"/>
            </c:ext>
          </c:extLst>
        </c:ser>
        <c:ser>
          <c:idx val="6"/>
          <c:order val="7"/>
          <c:tx>
            <c:strRef>
              <c:f>'OZL Summary'!$BU$6:$BU$7</c:f>
              <c:strCache>
                <c:ptCount val="2"/>
                <c:pt idx="0">
                  <c:v>75th Percentile</c:v>
                </c:pt>
              </c:strCache>
            </c:strRef>
          </c:tx>
          <c:spPr>
            <a:ln w="28575">
              <a:solidFill>
                <a:schemeClr val="bg2"/>
              </a:solidFill>
              <a:prstDash val="sysDot"/>
            </a:ln>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Summary'!$BU$8:$BU$60</c:f>
              <c:numCache>
                <c:formatCode>0.000</c:formatCode>
                <c:ptCount val="53"/>
                <c:pt idx="0">
                  <c:v>2.5540580974329746E-2</c:v>
                </c:pt>
                <c:pt idx="1">
                  <c:v>5.1081161948659491E-2</c:v>
                </c:pt>
                <c:pt idx="2">
                  <c:v>7.6621742922989233E-2</c:v>
                </c:pt>
                <c:pt idx="3">
                  <c:v>0.10216232389731898</c:v>
                </c:pt>
                <c:pt idx="4">
                  <c:v>0.12770290487164873</c:v>
                </c:pt>
                <c:pt idx="5">
                  <c:v>0.15324348584597847</c:v>
                </c:pt>
                <c:pt idx="6">
                  <c:v>0.1787840668203082</c:v>
                </c:pt>
                <c:pt idx="7">
                  <c:v>0.20432464779463794</c:v>
                </c:pt>
                <c:pt idx="8">
                  <c:v>0.22986522876896767</c:v>
                </c:pt>
                <c:pt idx="9">
                  <c:v>0.25540580974329741</c:v>
                </c:pt>
                <c:pt idx="10">
                  <c:v>0.28094639071762717</c:v>
                </c:pt>
                <c:pt idx="11">
                  <c:v>0.30648697169195693</c:v>
                </c:pt>
                <c:pt idx="12">
                  <c:v>0.3320275526662867</c:v>
                </c:pt>
                <c:pt idx="13">
                  <c:v>0.35756813364061646</c:v>
                </c:pt>
                <c:pt idx="14">
                  <c:v>0.38310871461494622</c:v>
                </c:pt>
                <c:pt idx="15">
                  <c:v>0.40864929558927598</c:v>
                </c:pt>
                <c:pt idx="16">
                  <c:v>0.43418987656360575</c:v>
                </c:pt>
                <c:pt idx="17">
                  <c:v>0.45973045753793551</c:v>
                </c:pt>
                <c:pt idx="18">
                  <c:v>0.48527103851226527</c:v>
                </c:pt>
                <c:pt idx="19">
                  <c:v>0.51081161948659504</c:v>
                </c:pt>
                <c:pt idx="20">
                  <c:v>0.5363522004609248</c:v>
                </c:pt>
                <c:pt idx="21">
                  <c:v>0.56189278143525456</c:v>
                </c:pt>
                <c:pt idx="22">
                  <c:v>0.58743336240958433</c:v>
                </c:pt>
                <c:pt idx="23">
                  <c:v>0.61297394338391409</c:v>
                </c:pt>
                <c:pt idx="24">
                  <c:v>0.63851452435824385</c:v>
                </c:pt>
                <c:pt idx="25">
                  <c:v>0.66405510533257361</c:v>
                </c:pt>
                <c:pt idx="26">
                  <c:v>0.68959568630690338</c:v>
                </c:pt>
                <c:pt idx="27">
                  <c:v>0.71513626728123314</c:v>
                </c:pt>
                <c:pt idx="28">
                  <c:v>0.7406768482555629</c:v>
                </c:pt>
                <c:pt idx="29">
                  <c:v>0.76621742922989267</c:v>
                </c:pt>
                <c:pt idx="30">
                  <c:v>0.79175801020422243</c:v>
                </c:pt>
                <c:pt idx="31">
                  <c:v>0.81729859117855219</c:v>
                </c:pt>
                <c:pt idx="32">
                  <c:v>0.84283917215288195</c:v>
                </c:pt>
                <c:pt idx="33">
                  <c:v>0.86837975312721172</c:v>
                </c:pt>
                <c:pt idx="34">
                  <c:v>0.89392033410154148</c:v>
                </c:pt>
                <c:pt idx="35">
                  <c:v>0.91946091507587124</c:v>
                </c:pt>
                <c:pt idx="36">
                  <c:v>0.94500149605020101</c:v>
                </c:pt>
                <c:pt idx="37">
                  <c:v>0.97054207702453077</c:v>
                </c:pt>
                <c:pt idx="38">
                  <c:v>0.99608265799886053</c:v>
                </c:pt>
                <c:pt idx="39">
                  <c:v>1.0216232389731903</c:v>
                </c:pt>
                <c:pt idx="40">
                  <c:v>1.0471638199475199</c:v>
                </c:pt>
                <c:pt idx="41">
                  <c:v>1.0727044009218496</c:v>
                </c:pt>
                <c:pt idx="42">
                  <c:v>1.0982449818961793</c:v>
                </c:pt>
                <c:pt idx="43">
                  <c:v>1.1237855628705089</c:v>
                </c:pt>
                <c:pt idx="44">
                  <c:v>1.1493261438448386</c:v>
                </c:pt>
                <c:pt idx="45">
                  <c:v>1.1748667248191682</c:v>
                </c:pt>
                <c:pt idx="46">
                  <c:v>1.2004073057934979</c:v>
                </c:pt>
                <c:pt idx="47">
                  <c:v>1.2259478867678275</c:v>
                </c:pt>
                <c:pt idx="48">
                  <c:v>1.2514884677421572</c:v>
                </c:pt>
                <c:pt idx="49">
                  <c:v>1.2770290487164868</c:v>
                </c:pt>
                <c:pt idx="50">
                  <c:v>1.3025696296908165</c:v>
                </c:pt>
                <c:pt idx="51">
                  <c:v>1.3281102106651461</c:v>
                </c:pt>
              </c:numCache>
            </c:numRef>
          </c:val>
          <c:smooth val="0"/>
          <c:extLst xmlns:c15="http://schemas.microsoft.com/office/drawing/2012/chart">
            <c:ext xmlns:c16="http://schemas.microsoft.com/office/drawing/2014/chart" uri="{C3380CC4-5D6E-409C-BE32-E72D297353CC}">
              <c16:uniqueId val="{00000004-3000-4E94-90F9-B6067101EB83}"/>
            </c:ext>
          </c:extLst>
        </c:ser>
        <c:ser>
          <c:idx val="9"/>
          <c:order val="9"/>
          <c:tx>
            <c:strRef>
              <c:f>'OZL Summary'!$BW$6:$BW$7</c:f>
              <c:strCache>
                <c:ptCount val="2"/>
                <c:pt idx="0">
                  <c:v>95th Percentile</c:v>
                </c:pt>
              </c:strCache>
            </c:strRef>
          </c:tx>
          <c:spPr>
            <a:ln w="28575">
              <a:solidFill>
                <a:schemeClr val="accent1"/>
              </a:solidFill>
              <a:prstDash val="sysDot"/>
            </a:ln>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Summary'!$BW$8:$BW$60</c:f>
              <c:numCache>
                <c:formatCode>0.000</c:formatCode>
                <c:ptCount val="53"/>
                <c:pt idx="0">
                  <c:v>2.9126260596895739E-2</c:v>
                </c:pt>
                <c:pt idx="1">
                  <c:v>5.8252521193791477E-2</c:v>
                </c:pt>
                <c:pt idx="2">
                  <c:v>8.7378781790687213E-2</c:v>
                </c:pt>
                <c:pt idx="3">
                  <c:v>0.11650504238758295</c:v>
                </c:pt>
                <c:pt idx="4">
                  <c:v>0.14563130298447868</c:v>
                </c:pt>
                <c:pt idx="5">
                  <c:v>0.17475756358137443</c:v>
                </c:pt>
                <c:pt idx="6">
                  <c:v>0.20388382417827017</c:v>
                </c:pt>
                <c:pt idx="7">
                  <c:v>0.23301008477516591</c:v>
                </c:pt>
                <c:pt idx="8">
                  <c:v>0.26213634537206165</c:v>
                </c:pt>
                <c:pt idx="9">
                  <c:v>0.29126260596895737</c:v>
                </c:pt>
                <c:pt idx="10">
                  <c:v>0.32038886656585308</c:v>
                </c:pt>
                <c:pt idx="11">
                  <c:v>0.3495151271627488</c:v>
                </c:pt>
                <c:pt idx="12">
                  <c:v>0.37864138775964451</c:v>
                </c:pt>
                <c:pt idx="13">
                  <c:v>0.40776764835654022</c:v>
                </c:pt>
                <c:pt idx="14">
                  <c:v>0.43689390895343594</c:v>
                </c:pt>
                <c:pt idx="15">
                  <c:v>0.46602016955033165</c:v>
                </c:pt>
                <c:pt idx="16">
                  <c:v>0.49514643014722737</c:v>
                </c:pt>
                <c:pt idx="17">
                  <c:v>0.52427269074412308</c:v>
                </c:pt>
                <c:pt idx="18">
                  <c:v>0.5533989513410188</c:v>
                </c:pt>
                <c:pt idx="19">
                  <c:v>0.58252521193791451</c:v>
                </c:pt>
                <c:pt idx="20">
                  <c:v>0.61165147253481023</c:v>
                </c:pt>
                <c:pt idx="21">
                  <c:v>0.64077773313170594</c:v>
                </c:pt>
                <c:pt idx="22">
                  <c:v>0.66990399372860165</c:v>
                </c:pt>
                <c:pt idx="23">
                  <c:v>0.69903025432549737</c:v>
                </c:pt>
                <c:pt idx="24">
                  <c:v>0.72815651492239308</c:v>
                </c:pt>
                <c:pt idx="25">
                  <c:v>0.7572827755192888</c:v>
                </c:pt>
                <c:pt idx="26">
                  <c:v>0.78640903611618451</c:v>
                </c:pt>
                <c:pt idx="27">
                  <c:v>0.81553529671308023</c:v>
                </c:pt>
                <c:pt idx="28">
                  <c:v>0.84466155730997594</c:v>
                </c:pt>
                <c:pt idx="29">
                  <c:v>0.87378781790687166</c:v>
                </c:pt>
                <c:pt idx="30">
                  <c:v>0.90291407850376737</c:v>
                </c:pt>
                <c:pt idx="31">
                  <c:v>0.93204033910066308</c:v>
                </c:pt>
                <c:pt idx="32">
                  <c:v>0.9611665996975588</c:v>
                </c:pt>
                <c:pt idx="33">
                  <c:v>0.99029286029445451</c:v>
                </c:pt>
                <c:pt idx="34">
                  <c:v>1.0194191208913503</c:v>
                </c:pt>
                <c:pt idx="35">
                  <c:v>1.0485453814882462</c:v>
                </c:pt>
                <c:pt idx="36">
                  <c:v>1.077671642085142</c:v>
                </c:pt>
                <c:pt idx="37">
                  <c:v>1.1067979026820378</c:v>
                </c:pt>
                <c:pt idx="38">
                  <c:v>1.1359241632789336</c:v>
                </c:pt>
                <c:pt idx="39">
                  <c:v>1.1650504238758295</c:v>
                </c:pt>
                <c:pt idx="40">
                  <c:v>1.1941766844727253</c:v>
                </c:pt>
                <c:pt idx="41">
                  <c:v>1.2233029450696211</c:v>
                </c:pt>
                <c:pt idx="42">
                  <c:v>1.2524292056665169</c:v>
                </c:pt>
                <c:pt idx="43">
                  <c:v>1.2815554662634128</c:v>
                </c:pt>
                <c:pt idx="44">
                  <c:v>1.3106817268603086</c:v>
                </c:pt>
                <c:pt idx="45">
                  <c:v>1.3398079874572044</c:v>
                </c:pt>
                <c:pt idx="46">
                  <c:v>1.3689342480541002</c:v>
                </c:pt>
                <c:pt idx="47">
                  <c:v>1.3980605086509961</c:v>
                </c:pt>
                <c:pt idx="48">
                  <c:v>1.4271867692478919</c:v>
                </c:pt>
                <c:pt idx="49">
                  <c:v>1.4563130298447877</c:v>
                </c:pt>
                <c:pt idx="50">
                  <c:v>1.4854392904416835</c:v>
                </c:pt>
                <c:pt idx="51">
                  <c:v>1.5145655510385794</c:v>
                </c:pt>
              </c:numCache>
            </c:numRef>
          </c:val>
          <c:smooth val="0"/>
          <c:extLst xmlns:c15="http://schemas.microsoft.com/office/drawing/2012/chart">
            <c:ext xmlns:c16="http://schemas.microsoft.com/office/drawing/2014/chart" uri="{C3380CC4-5D6E-409C-BE32-E72D297353CC}">
              <c16:uniqueId val="{00000005-3000-4E94-90F9-B6067101EB83}"/>
            </c:ext>
          </c:extLst>
        </c:ser>
        <c:dLbls>
          <c:showLegendKey val="0"/>
          <c:showVal val="0"/>
          <c:showCatName val="0"/>
          <c:showSerName val="0"/>
          <c:showPercent val="0"/>
          <c:showBubbleSize val="0"/>
        </c:dLbls>
        <c:smooth val="0"/>
        <c:axId val="1388952432"/>
        <c:axId val="1388953088"/>
        <c:extLst>
          <c:ext xmlns:c15="http://schemas.microsoft.com/office/drawing/2012/chart" uri="{02D57815-91ED-43cb-92C2-25804820EDAC}">
            <c15:filteredLineSeries>
              <c15:ser>
                <c:idx val="3"/>
                <c:order val="1"/>
                <c:tx>
                  <c:strRef>
                    <c:extLst>
                      <c:ext uri="{02D57815-91ED-43cb-92C2-25804820EDAC}">
                        <c15:formulaRef>
                          <c15:sqref>'OZL Summary'!$BO$6:$BO$7</c15:sqref>
                        </c15:formulaRef>
                      </c:ext>
                    </c:extLst>
                    <c:strCache>
                      <c:ptCount val="2"/>
                      <c:pt idx="0">
                        <c:v>Min</c:v>
                      </c:pt>
                    </c:strCache>
                  </c:strRef>
                </c:tx>
                <c:marker>
                  <c:symbol val="none"/>
                </c:marker>
                <c:cat>
                  <c:numRef>
                    <c:extLst>
                      <c:ex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c:ext uri="{02D57815-91ED-43cb-92C2-25804820EDAC}">
                        <c15:formulaRef>
                          <c15:sqref>'OZL Summary'!$BO$8:$BO$60</c15:sqref>
                        </c15:formulaRef>
                      </c:ext>
                    </c:extLst>
                    <c:numCache>
                      <c:formatCode>0.000</c:formatCode>
                      <c:ptCount val="53"/>
                      <c:pt idx="0">
                        <c:v>1.6032204874777817E-2</c:v>
                      </c:pt>
                      <c:pt idx="1">
                        <c:v>3.2064409749555635E-2</c:v>
                      </c:pt>
                      <c:pt idx="2">
                        <c:v>4.8096614624333456E-2</c:v>
                      </c:pt>
                      <c:pt idx="3">
                        <c:v>6.412881949911127E-2</c:v>
                      </c:pt>
                      <c:pt idx="4">
                        <c:v>8.0161024373889084E-2</c:v>
                      </c:pt>
                      <c:pt idx="5">
                        <c:v>9.6193229248666898E-2</c:v>
                      </c:pt>
                      <c:pt idx="6">
                        <c:v>0.11222543412344471</c:v>
                      </c:pt>
                      <c:pt idx="7">
                        <c:v>0.12825763899822254</c:v>
                      </c:pt>
                      <c:pt idx="8">
                        <c:v>0.14428984387300037</c:v>
                      </c:pt>
                      <c:pt idx="9">
                        <c:v>0.1603220487477782</c:v>
                      </c:pt>
                      <c:pt idx="10">
                        <c:v>0.17635425362255602</c:v>
                      </c:pt>
                      <c:pt idx="11">
                        <c:v>0.19238645849733385</c:v>
                      </c:pt>
                      <c:pt idx="12">
                        <c:v>0.20841866337211168</c:v>
                      </c:pt>
                      <c:pt idx="13">
                        <c:v>0.22445086824688951</c:v>
                      </c:pt>
                      <c:pt idx="14">
                        <c:v>0.24048307312166733</c:v>
                      </c:pt>
                      <c:pt idx="15">
                        <c:v>0.25651527799644513</c:v>
                      </c:pt>
                      <c:pt idx="16">
                        <c:v>0.27254748287122293</c:v>
                      </c:pt>
                      <c:pt idx="17">
                        <c:v>0.28857968774600073</c:v>
                      </c:pt>
                      <c:pt idx="18">
                        <c:v>0.30461189262077853</c:v>
                      </c:pt>
                      <c:pt idx="19">
                        <c:v>0.32064409749555633</c:v>
                      </c:pt>
                      <c:pt idx="20">
                        <c:v>0.33667630237033414</c:v>
                      </c:pt>
                      <c:pt idx="21">
                        <c:v>0.35270850724511194</c:v>
                      </c:pt>
                      <c:pt idx="22">
                        <c:v>0.36874071211988974</c:v>
                      </c:pt>
                      <c:pt idx="23">
                        <c:v>0.38477291699466754</c:v>
                      </c:pt>
                      <c:pt idx="24">
                        <c:v>0.40080512186944534</c:v>
                      </c:pt>
                      <c:pt idx="25">
                        <c:v>0.41683732674422314</c:v>
                      </c:pt>
                      <c:pt idx="26">
                        <c:v>0.43286953161900094</c:v>
                      </c:pt>
                      <c:pt idx="27">
                        <c:v>0.44890173649377874</c:v>
                      </c:pt>
                      <c:pt idx="28">
                        <c:v>0.46493394136855654</c:v>
                      </c:pt>
                      <c:pt idx="29">
                        <c:v>0.48096614624333434</c:v>
                      </c:pt>
                      <c:pt idx="30">
                        <c:v>0.49699835111811214</c:v>
                      </c:pt>
                      <c:pt idx="31">
                        <c:v>0.51303055599288994</c:v>
                      </c:pt>
                      <c:pt idx="32">
                        <c:v>0.52906276086766779</c:v>
                      </c:pt>
                      <c:pt idx="33">
                        <c:v>0.54509496574244565</c:v>
                      </c:pt>
                      <c:pt idx="34">
                        <c:v>0.5611271706172235</c:v>
                      </c:pt>
                      <c:pt idx="35">
                        <c:v>0.57715937549200136</c:v>
                      </c:pt>
                      <c:pt idx="36">
                        <c:v>0.59319158036677921</c:v>
                      </c:pt>
                      <c:pt idx="37">
                        <c:v>0.60922378524155707</c:v>
                      </c:pt>
                      <c:pt idx="38">
                        <c:v>0.62525599011633493</c:v>
                      </c:pt>
                      <c:pt idx="39">
                        <c:v>0.64128819499111278</c:v>
                      </c:pt>
                      <c:pt idx="40">
                        <c:v>0.65732039986589064</c:v>
                      </c:pt>
                      <c:pt idx="41">
                        <c:v>0.67335260474066849</c:v>
                      </c:pt>
                      <c:pt idx="42">
                        <c:v>0.68938480961544635</c:v>
                      </c:pt>
                      <c:pt idx="43">
                        <c:v>0.7054170144902242</c:v>
                      </c:pt>
                      <c:pt idx="44">
                        <c:v>0.72144921936500206</c:v>
                      </c:pt>
                      <c:pt idx="45">
                        <c:v>0.73748142423977991</c:v>
                      </c:pt>
                      <c:pt idx="46">
                        <c:v>0.75351362911455777</c:v>
                      </c:pt>
                      <c:pt idx="47">
                        <c:v>0.76954583398933563</c:v>
                      </c:pt>
                      <c:pt idx="48">
                        <c:v>0.78557803886411348</c:v>
                      </c:pt>
                      <c:pt idx="49">
                        <c:v>0.80161024373889134</c:v>
                      </c:pt>
                      <c:pt idx="50">
                        <c:v>0.81764244861366919</c:v>
                      </c:pt>
                      <c:pt idx="51">
                        <c:v>0.83367465348844705</c:v>
                      </c:pt>
                    </c:numCache>
                  </c:numRef>
                </c:val>
                <c:smooth val="0"/>
                <c:extLst>
                  <c:ext xmlns:c16="http://schemas.microsoft.com/office/drawing/2014/chart" uri="{C3380CC4-5D6E-409C-BE32-E72D297353CC}">
                    <c16:uniqueId val="{00000006-3000-4E94-90F9-B6067101EB83}"/>
                  </c:ext>
                </c:extLst>
              </c15:ser>
            </c15:filteredLineSeries>
            <c15:filteredLineSeries>
              <c15:ser>
                <c:idx val="5"/>
                <c:order val="2"/>
                <c:tx>
                  <c:strRef>
                    <c:extLst xmlns:c15="http://schemas.microsoft.com/office/drawing/2012/chart">
                      <c:ext xmlns:c15="http://schemas.microsoft.com/office/drawing/2012/chart" uri="{02D57815-91ED-43cb-92C2-25804820EDAC}">
                        <c15:formulaRef>
                          <c15:sqref>'OZL Summary'!$BP$6:$BP$7</c15:sqref>
                        </c15:formulaRef>
                      </c:ext>
                    </c:extLst>
                    <c:strCache>
                      <c:ptCount val="2"/>
                      <c:pt idx="0">
                        <c:v>1st Percentile</c:v>
                      </c:pt>
                    </c:strCache>
                  </c:strRef>
                </c:tx>
                <c:spPr>
                  <a:ln w="28575" cap="rnd">
                    <a:solidFill>
                      <a:schemeClr val="accent6"/>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Summary'!$BP$8:$BP$60</c15:sqref>
                        </c15:formulaRef>
                      </c:ext>
                    </c:extLst>
                    <c:numCache>
                      <c:formatCode>0.000</c:formatCode>
                      <c:ptCount val="53"/>
                      <c:pt idx="0">
                        <c:v>1.8223138082807688E-2</c:v>
                      </c:pt>
                      <c:pt idx="1">
                        <c:v>3.6446276165615375E-2</c:v>
                      </c:pt>
                      <c:pt idx="2">
                        <c:v>5.4669414248423059E-2</c:v>
                      </c:pt>
                      <c:pt idx="3">
                        <c:v>7.2892552331230751E-2</c:v>
                      </c:pt>
                      <c:pt idx="4">
                        <c:v>9.1115690414038442E-2</c:v>
                      </c:pt>
                      <c:pt idx="5">
                        <c:v>0.10933882849684613</c:v>
                      </c:pt>
                      <c:pt idx="6">
                        <c:v>0.12756196657965382</c:v>
                      </c:pt>
                      <c:pt idx="7">
                        <c:v>0.1457851046624615</c:v>
                      </c:pt>
                      <c:pt idx="8">
                        <c:v>0.16400824274526918</c:v>
                      </c:pt>
                      <c:pt idx="9">
                        <c:v>0.18223138082807686</c:v>
                      </c:pt>
                      <c:pt idx="10">
                        <c:v>0.20045451891088453</c:v>
                      </c:pt>
                      <c:pt idx="11">
                        <c:v>0.21867765699369221</c:v>
                      </c:pt>
                      <c:pt idx="12">
                        <c:v>0.23690079507649989</c:v>
                      </c:pt>
                      <c:pt idx="13">
                        <c:v>0.25512393315930759</c:v>
                      </c:pt>
                      <c:pt idx="14">
                        <c:v>0.27334707124211527</c:v>
                      </c:pt>
                      <c:pt idx="15">
                        <c:v>0.29157020932492295</c:v>
                      </c:pt>
                      <c:pt idx="16">
                        <c:v>0.30979334740773062</c:v>
                      </c:pt>
                      <c:pt idx="17">
                        <c:v>0.3280164854905383</c:v>
                      </c:pt>
                      <c:pt idx="18">
                        <c:v>0.34623962357334598</c:v>
                      </c:pt>
                      <c:pt idx="19">
                        <c:v>0.36446276165615366</c:v>
                      </c:pt>
                      <c:pt idx="20">
                        <c:v>0.38268589973896133</c:v>
                      </c:pt>
                      <c:pt idx="21">
                        <c:v>0.40090903782176901</c:v>
                      </c:pt>
                      <c:pt idx="22">
                        <c:v>0.41913217590457669</c:v>
                      </c:pt>
                      <c:pt idx="23">
                        <c:v>0.43735531398738436</c:v>
                      </c:pt>
                      <c:pt idx="24">
                        <c:v>0.45557845207019204</c:v>
                      </c:pt>
                      <c:pt idx="25">
                        <c:v>0.47380159015299972</c:v>
                      </c:pt>
                      <c:pt idx="26">
                        <c:v>0.4920247282358074</c:v>
                      </c:pt>
                      <c:pt idx="27">
                        <c:v>0.51024786631861507</c:v>
                      </c:pt>
                      <c:pt idx="28">
                        <c:v>0.52847100440142281</c:v>
                      </c:pt>
                      <c:pt idx="29">
                        <c:v>0.54669414248423054</c:v>
                      </c:pt>
                      <c:pt idx="30">
                        <c:v>0.56491728056703827</c:v>
                      </c:pt>
                      <c:pt idx="31">
                        <c:v>0.583140418649846</c:v>
                      </c:pt>
                      <c:pt idx="32">
                        <c:v>0.60136355673265374</c:v>
                      </c:pt>
                      <c:pt idx="33">
                        <c:v>0.61958669481546147</c:v>
                      </c:pt>
                      <c:pt idx="34">
                        <c:v>0.6378098328982692</c:v>
                      </c:pt>
                      <c:pt idx="35">
                        <c:v>0.65603297098107693</c:v>
                      </c:pt>
                      <c:pt idx="36">
                        <c:v>0.67425610906388467</c:v>
                      </c:pt>
                      <c:pt idx="37">
                        <c:v>0.6924792471466924</c:v>
                      </c:pt>
                      <c:pt idx="38">
                        <c:v>0.71070238522950013</c:v>
                      </c:pt>
                      <c:pt idx="39">
                        <c:v>0.72892552331230787</c:v>
                      </c:pt>
                      <c:pt idx="40">
                        <c:v>0.7471486613951156</c:v>
                      </c:pt>
                      <c:pt idx="41">
                        <c:v>0.76537179947792333</c:v>
                      </c:pt>
                      <c:pt idx="42">
                        <c:v>0.78359493756073106</c:v>
                      </c:pt>
                      <c:pt idx="43">
                        <c:v>0.8018180756435388</c:v>
                      </c:pt>
                      <c:pt idx="44">
                        <c:v>0.82004121372634653</c:v>
                      </c:pt>
                      <c:pt idx="45">
                        <c:v>0.83826435180915426</c:v>
                      </c:pt>
                      <c:pt idx="46">
                        <c:v>0.85648748989196199</c:v>
                      </c:pt>
                      <c:pt idx="47">
                        <c:v>0.87471062797476973</c:v>
                      </c:pt>
                      <c:pt idx="48">
                        <c:v>0.89293376605757746</c:v>
                      </c:pt>
                      <c:pt idx="49">
                        <c:v>0.91115690414038519</c:v>
                      </c:pt>
                      <c:pt idx="50">
                        <c:v>0.92938004222319293</c:v>
                      </c:pt>
                      <c:pt idx="51">
                        <c:v>0.94760318030600066</c:v>
                      </c:pt>
                    </c:numCache>
                  </c:numRef>
                </c:val>
                <c:smooth val="0"/>
                <c:extLst xmlns:c15="http://schemas.microsoft.com/office/drawing/2012/chart">
                  <c:ext xmlns:c16="http://schemas.microsoft.com/office/drawing/2014/chart" uri="{C3380CC4-5D6E-409C-BE32-E72D297353CC}">
                    <c16:uniqueId val="{00000007-3000-4E94-90F9-B6067101EB83}"/>
                  </c:ext>
                </c:extLst>
              </c15:ser>
            </c15:filteredLineSeries>
            <c15:filteredLineSeries>
              <c15:ser>
                <c:idx val="1"/>
                <c:order val="4"/>
                <c:tx>
                  <c:strRef>
                    <c:extLst xmlns:c15="http://schemas.microsoft.com/office/drawing/2012/chart">
                      <c:ext xmlns:c15="http://schemas.microsoft.com/office/drawing/2012/chart" uri="{02D57815-91ED-43cb-92C2-25804820EDAC}">
                        <c15:formulaRef>
                          <c15:sqref>'OZL Summary'!$BR$6:$BR$7</c15:sqref>
                        </c15:formulaRef>
                      </c:ext>
                    </c:extLst>
                    <c:strCache>
                      <c:ptCount val="2"/>
                      <c:pt idx="0">
                        <c:v>10th Percentile</c:v>
                      </c:pt>
                    </c:strCache>
                  </c:strRef>
                </c:tx>
                <c:spPr>
                  <a:ln w="28575" cap="rnd" cmpd="sng">
                    <a:solidFill>
                      <a:schemeClr val="accent2"/>
                    </a:solidFill>
                    <a:prstDash val="sysDot"/>
                    <a:round/>
                    <a:headEnd type="none"/>
                  </a:ln>
                  <a:effectLst/>
                </c:spPr>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Summary'!$BR$8:$BR$60</c15:sqref>
                        </c15:formulaRef>
                      </c:ext>
                    </c:extLst>
                    <c:numCache>
                      <c:formatCode>0.000</c:formatCode>
                      <c:ptCount val="53"/>
                      <c:pt idx="0">
                        <c:v>2.0199848897457344E-2</c:v>
                      </c:pt>
                      <c:pt idx="1">
                        <c:v>4.0399697794914688E-2</c:v>
                      </c:pt>
                      <c:pt idx="2">
                        <c:v>6.0599546692372032E-2</c:v>
                      </c:pt>
                      <c:pt idx="3">
                        <c:v>8.0799395589829376E-2</c:v>
                      </c:pt>
                      <c:pt idx="4">
                        <c:v>0.10099924448728673</c:v>
                      </c:pt>
                      <c:pt idx="5">
                        <c:v>0.12119909338474408</c:v>
                      </c:pt>
                      <c:pt idx="6">
                        <c:v>0.14139894228220143</c:v>
                      </c:pt>
                      <c:pt idx="7">
                        <c:v>0.16159879117965878</c:v>
                      </c:pt>
                      <c:pt idx="8">
                        <c:v>0.18179864007711613</c:v>
                      </c:pt>
                      <c:pt idx="9">
                        <c:v>0.20199848897457348</c:v>
                      </c:pt>
                      <c:pt idx="10">
                        <c:v>0.22219833787203083</c:v>
                      </c:pt>
                      <c:pt idx="11">
                        <c:v>0.24239818676948818</c:v>
                      </c:pt>
                      <c:pt idx="12">
                        <c:v>0.26259803566694551</c:v>
                      </c:pt>
                      <c:pt idx="13">
                        <c:v>0.28279788456440286</c:v>
                      </c:pt>
                      <c:pt idx="14">
                        <c:v>0.30299773346186021</c:v>
                      </c:pt>
                      <c:pt idx="15">
                        <c:v>0.32319758235931756</c:v>
                      </c:pt>
                      <c:pt idx="16">
                        <c:v>0.34339743125677491</c:v>
                      </c:pt>
                      <c:pt idx="17">
                        <c:v>0.36359728015423226</c:v>
                      </c:pt>
                      <c:pt idx="18">
                        <c:v>0.38379712905168961</c:v>
                      </c:pt>
                      <c:pt idx="19">
                        <c:v>0.40399697794914696</c:v>
                      </c:pt>
                      <c:pt idx="20">
                        <c:v>0.42419682684660431</c:v>
                      </c:pt>
                      <c:pt idx="21">
                        <c:v>0.44439667574406166</c:v>
                      </c:pt>
                      <c:pt idx="22">
                        <c:v>0.46459652464151902</c:v>
                      </c:pt>
                      <c:pt idx="23">
                        <c:v>0.48479637353897637</c:v>
                      </c:pt>
                      <c:pt idx="24">
                        <c:v>0.50499622243643372</c:v>
                      </c:pt>
                      <c:pt idx="25">
                        <c:v>0.52519607133389101</c:v>
                      </c:pt>
                      <c:pt idx="26">
                        <c:v>0.54539592023134831</c:v>
                      </c:pt>
                      <c:pt idx="27">
                        <c:v>0.5655957691288056</c:v>
                      </c:pt>
                      <c:pt idx="28">
                        <c:v>0.5857956180262629</c:v>
                      </c:pt>
                      <c:pt idx="29">
                        <c:v>0.60599546692372019</c:v>
                      </c:pt>
                      <c:pt idx="30">
                        <c:v>0.62619531582117749</c:v>
                      </c:pt>
                      <c:pt idx="31">
                        <c:v>0.64639516471863478</c:v>
                      </c:pt>
                      <c:pt idx="32">
                        <c:v>0.66659501361609208</c:v>
                      </c:pt>
                      <c:pt idx="33">
                        <c:v>0.68679486251354938</c:v>
                      </c:pt>
                      <c:pt idx="34">
                        <c:v>0.70699471141100667</c:v>
                      </c:pt>
                      <c:pt idx="35">
                        <c:v>0.72719456030846397</c:v>
                      </c:pt>
                      <c:pt idx="36">
                        <c:v>0.74739440920592126</c:v>
                      </c:pt>
                      <c:pt idx="37">
                        <c:v>0.76759425810337856</c:v>
                      </c:pt>
                      <c:pt idx="38">
                        <c:v>0.78779410700083585</c:v>
                      </c:pt>
                      <c:pt idx="39">
                        <c:v>0.80799395589829315</c:v>
                      </c:pt>
                      <c:pt idx="40">
                        <c:v>0.82819380479575044</c:v>
                      </c:pt>
                      <c:pt idx="41">
                        <c:v>0.84839365369320774</c:v>
                      </c:pt>
                      <c:pt idx="42">
                        <c:v>0.86859350259066503</c:v>
                      </c:pt>
                      <c:pt idx="43">
                        <c:v>0.88879335148812233</c:v>
                      </c:pt>
                      <c:pt idx="44">
                        <c:v>0.90899320038557962</c:v>
                      </c:pt>
                      <c:pt idx="45">
                        <c:v>0.92919304928303692</c:v>
                      </c:pt>
                      <c:pt idx="46">
                        <c:v>0.94939289818049422</c:v>
                      </c:pt>
                      <c:pt idx="47">
                        <c:v>0.96959274707795151</c:v>
                      </c:pt>
                      <c:pt idx="48">
                        <c:v>0.98979259597540881</c:v>
                      </c:pt>
                      <c:pt idx="49">
                        <c:v>1.0099924448728661</c:v>
                      </c:pt>
                      <c:pt idx="50">
                        <c:v>1.0301922937703234</c:v>
                      </c:pt>
                      <c:pt idx="51">
                        <c:v>1.0503921426677807</c:v>
                      </c:pt>
                    </c:numCache>
                  </c:numRef>
                </c:val>
                <c:smooth val="0"/>
                <c:extLst xmlns:c15="http://schemas.microsoft.com/office/drawing/2012/chart">
                  <c:ext xmlns:c16="http://schemas.microsoft.com/office/drawing/2014/chart" uri="{C3380CC4-5D6E-409C-BE32-E72D297353CC}">
                    <c16:uniqueId val="{00000008-3000-4E94-90F9-B6067101EB83}"/>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'OZL Summary'!$BV$6:$BV$7</c15:sqref>
                        </c15:formulaRef>
                      </c:ext>
                    </c:extLst>
                    <c:strCache>
                      <c:ptCount val="2"/>
                      <c:pt idx="0">
                        <c:v>90th Percentile</c:v>
                      </c:pt>
                    </c:strCache>
                  </c:strRef>
                </c:tx>
                <c:spPr>
                  <a:ln w="28575">
                    <a:solidFill>
                      <a:schemeClr val="accent1"/>
                    </a:solidFill>
                    <a:prstDash val="sysDot"/>
                  </a:ln>
                </c:spPr>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Summary'!$BV$8:$BV$60</c15:sqref>
                        </c15:formulaRef>
                      </c:ext>
                    </c:extLst>
                    <c:numCache>
                      <c:formatCode>0.000</c:formatCode>
                      <c:ptCount val="53"/>
                      <c:pt idx="0">
                        <c:v>2.7720420236719803E-2</c:v>
                      </c:pt>
                      <c:pt idx="1">
                        <c:v>5.5440840473439605E-2</c:v>
                      </c:pt>
                      <c:pt idx="2">
                        <c:v>8.3161260710159404E-2</c:v>
                      </c:pt>
                      <c:pt idx="3">
                        <c:v>0.11088168094687921</c:v>
                      </c:pt>
                      <c:pt idx="4">
                        <c:v>0.138602101183599</c:v>
                      </c:pt>
                      <c:pt idx="5">
                        <c:v>0.16632252142031881</c:v>
                      </c:pt>
                      <c:pt idx="6">
                        <c:v>0.19404294165703861</c:v>
                      </c:pt>
                      <c:pt idx="7">
                        <c:v>0.22176336189375842</c:v>
                      </c:pt>
                      <c:pt idx="8">
                        <c:v>0.24948378213047823</c:v>
                      </c:pt>
                      <c:pt idx="9">
                        <c:v>0.277204202367198</c:v>
                      </c:pt>
                      <c:pt idx="10">
                        <c:v>0.30492462260391778</c:v>
                      </c:pt>
                      <c:pt idx="11">
                        <c:v>0.33264504284063756</c:v>
                      </c:pt>
                      <c:pt idx="12">
                        <c:v>0.36036546307735734</c:v>
                      </c:pt>
                      <c:pt idx="13">
                        <c:v>0.38808588331407712</c:v>
                      </c:pt>
                      <c:pt idx="14">
                        <c:v>0.4158063035507969</c:v>
                      </c:pt>
                      <c:pt idx="15">
                        <c:v>0.44352672378751667</c:v>
                      </c:pt>
                      <c:pt idx="16">
                        <c:v>0.47124714402423645</c:v>
                      </c:pt>
                      <c:pt idx="17">
                        <c:v>0.49896756426095623</c:v>
                      </c:pt>
                      <c:pt idx="18">
                        <c:v>0.52668798449767606</c:v>
                      </c:pt>
                      <c:pt idx="19">
                        <c:v>0.5544084047343959</c:v>
                      </c:pt>
                      <c:pt idx="20">
                        <c:v>0.58212882497111573</c:v>
                      </c:pt>
                      <c:pt idx="21">
                        <c:v>0.60984924520783557</c:v>
                      </c:pt>
                      <c:pt idx="22">
                        <c:v>0.6375696654445554</c:v>
                      </c:pt>
                      <c:pt idx="23">
                        <c:v>0.66529008568127523</c:v>
                      </c:pt>
                      <c:pt idx="24">
                        <c:v>0.69301050591799507</c:v>
                      </c:pt>
                      <c:pt idx="25">
                        <c:v>0.7207309261547149</c:v>
                      </c:pt>
                      <c:pt idx="26">
                        <c:v>0.74845134639143474</c:v>
                      </c:pt>
                      <c:pt idx="27">
                        <c:v>0.77617176662815457</c:v>
                      </c:pt>
                      <c:pt idx="28">
                        <c:v>0.8038921868648744</c:v>
                      </c:pt>
                      <c:pt idx="29">
                        <c:v>0.83161260710159424</c:v>
                      </c:pt>
                      <c:pt idx="30">
                        <c:v>0.85933302733831407</c:v>
                      </c:pt>
                      <c:pt idx="31">
                        <c:v>0.8870534475750339</c:v>
                      </c:pt>
                      <c:pt idx="32">
                        <c:v>0.91477386781175374</c:v>
                      </c:pt>
                      <c:pt idx="33">
                        <c:v>0.94249428804847357</c:v>
                      </c:pt>
                      <c:pt idx="34">
                        <c:v>0.97021470828519341</c:v>
                      </c:pt>
                      <c:pt idx="35">
                        <c:v>0.99793512852191324</c:v>
                      </c:pt>
                      <c:pt idx="36">
                        <c:v>1.025655548758633</c:v>
                      </c:pt>
                      <c:pt idx="37">
                        <c:v>1.0533759689953528</c:v>
                      </c:pt>
                      <c:pt idx="38">
                        <c:v>1.0810963892320726</c:v>
                      </c:pt>
                      <c:pt idx="39">
                        <c:v>1.1088168094687925</c:v>
                      </c:pt>
                      <c:pt idx="40">
                        <c:v>1.1365372297055123</c:v>
                      </c:pt>
                      <c:pt idx="41">
                        <c:v>1.1642576499422321</c:v>
                      </c:pt>
                      <c:pt idx="42">
                        <c:v>1.191978070178952</c:v>
                      </c:pt>
                      <c:pt idx="43">
                        <c:v>1.2196984904156718</c:v>
                      </c:pt>
                      <c:pt idx="44">
                        <c:v>1.2474189106523916</c:v>
                      </c:pt>
                      <c:pt idx="45">
                        <c:v>1.2751393308891115</c:v>
                      </c:pt>
                      <c:pt idx="46">
                        <c:v>1.3028597511258313</c:v>
                      </c:pt>
                      <c:pt idx="47">
                        <c:v>1.3305801713625511</c:v>
                      </c:pt>
                      <c:pt idx="48">
                        <c:v>1.358300591599271</c:v>
                      </c:pt>
                      <c:pt idx="49">
                        <c:v>1.3860210118359908</c:v>
                      </c:pt>
                      <c:pt idx="50">
                        <c:v>1.4137414320727106</c:v>
                      </c:pt>
                      <c:pt idx="51">
                        <c:v>1.4414618523094305</c:v>
                      </c:pt>
                    </c:numCache>
                  </c:numRef>
                </c:val>
                <c:smooth val="0"/>
                <c:extLst xmlns:c15="http://schemas.microsoft.com/office/drawing/2012/chart">
                  <c:ext xmlns:c16="http://schemas.microsoft.com/office/drawing/2014/chart" uri="{C3380CC4-5D6E-409C-BE32-E72D297353CC}">
                    <c16:uniqueId val="{00000009-3000-4E94-90F9-B6067101EB83}"/>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'OZL Summary'!$BX$6:$BX$7</c15:sqref>
                        </c15:formulaRef>
                      </c:ext>
                    </c:extLst>
                    <c:strCache>
                      <c:ptCount val="2"/>
                      <c:pt idx="0">
                        <c:v>99th Percentile</c:v>
                      </c:pt>
                    </c:strCache>
                  </c:strRef>
                </c:tx>
                <c:spPr>
                  <a:ln w="28575">
                    <a:solidFill>
                      <a:schemeClr val="accent1"/>
                    </a:solidFill>
                    <a:prstDash val="sysDot"/>
                  </a:ln>
                </c:spPr>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Summary'!$BX$8:$BX$60</c15:sqref>
                        </c15:formulaRef>
                      </c:ext>
                    </c:extLst>
                    <c:numCache>
                      <c:formatCode>0.000</c:formatCode>
                      <c:ptCount val="53"/>
                      <c:pt idx="0">
                        <c:v>3.2006943607976859E-2</c:v>
                      </c:pt>
                      <c:pt idx="1">
                        <c:v>6.4013887215953719E-2</c:v>
                      </c:pt>
                      <c:pt idx="2">
                        <c:v>9.6020830823930578E-2</c:v>
                      </c:pt>
                      <c:pt idx="3">
                        <c:v>0.12802777443190744</c:v>
                      </c:pt>
                      <c:pt idx="4">
                        <c:v>0.16003471803988428</c:v>
                      </c:pt>
                      <c:pt idx="5">
                        <c:v>0.19204166164786113</c:v>
                      </c:pt>
                      <c:pt idx="6">
                        <c:v>0.22404860525583797</c:v>
                      </c:pt>
                      <c:pt idx="7">
                        <c:v>0.25605554886381482</c:v>
                      </c:pt>
                      <c:pt idx="8">
                        <c:v>0.28806249247179166</c:v>
                      </c:pt>
                      <c:pt idx="9">
                        <c:v>0.32006943607976851</c:v>
                      </c:pt>
                      <c:pt idx="10">
                        <c:v>0.35207637968774536</c:v>
                      </c:pt>
                      <c:pt idx="11">
                        <c:v>0.3840833232957222</c:v>
                      </c:pt>
                      <c:pt idx="12">
                        <c:v>0.41609026690369905</c:v>
                      </c:pt>
                      <c:pt idx="13">
                        <c:v>0.44809721051167589</c:v>
                      </c:pt>
                      <c:pt idx="14">
                        <c:v>0.48010415411965274</c:v>
                      </c:pt>
                      <c:pt idx="15">
                        <c:v>0.51211109772762964</c:v>
                      </c:pt>
                      <c:pt idx="16">
                        <c:v>0.54411804133560648</c:v>
                      </c:pt>
                      <c:pt idx="17">
                        <c:v>0.57612498494358333</c:v>
                      </c:pt>
                      <c:pt idx="18">
                        <c:v>0.60813192855156017</c:v>
                      </c:pt>
                      <c:pt idx="19">
                        <c:v>0.64013887215953702</c:v>
                      </c:pt>
                      <c:pt idx="20">
                        <c:v>0.67214581576751387</c:v>
                      </c:pt>
                      <c:pt idx="21">
                        <c:v>0.70415275937549071</c:v>
                      </c:pt>
                      <c:pt idx="22">
                        <c:v>0.73615970298346756</c:v>
                      </c:pt>
                      <c:pt idx="23">
                        <c:v>0.7681666465914444</c:v>
                      </c:pt>
                      <c:pt idx="24">
                        <c:v>0.80017359019942125</c:v>
                      </c:pt>
                      <c:pt idx="25">
                        <c:v>0.83218053380739809</c:v>
                      </c:pt>
                      <c:pt idx="26">
                        <c:v>0.86418747741537494</c:v>
                      </c:pt>
                      <c:pt idx="27">
                        <c:v>0.89619442102335178</c:v>
                      </c:pt>
                      <c:pt idx="28">
                        <c:v>0.92820136463132863</c:v>
                      </c:pt>
                      <c:pt idx="29">
                        <c:v>0.96020830823930547</c:v>
                      </c:pt>
                      <c:pt idx="30">
                        <c:v>0.99221525184728232</c:v>
                      </c:pt>
                      <c:pt idx="31">
                        <c:v>1.0242221954552593</c:v>
                      </c:pt>
                      <c:pt idx="32">
                        <c:v>1.0562291390632361</c:v>
                      </c:pt>
                      <c:pt idx="33">
                        <c:v>1.088236082671213</c:v>
                      </c:pt>
                      <c:pt idx="34">
                        <c:v>1.1202430262791898</c:v>
                      </c:pt>
                      <c:pt idx="35">
                        <c:v>1.1522499698871667</c:v>
                      </c:pt>
                      <c:pt idx="36">
                        <c:v>1.1842569134951435</c:v>
                      </c:pt>
                      <c:pt idx="37">
                        <c:v>1.2162638571031203</c:v>
                      </c:pt>
                      <c:pt idx="38">
                        <c:v>1.2482708007110972</c:v>
                      </c:pt>
                      <c:pt idx="39">
                        <c:v>1.280277744319074</c:v>
                      </c:pt>
                      <c:pt idx="40">
                        <c:v>1.3122846879270509</c:v>
                      </c:pt>
                      <c:pt idx="41">
                        <c:v>1.3442916315350277</c:v>
                      </c:pt>
                      <c:pt idx="42">
                        <c:v>1.3762985751430046</c:v>
                      </c:pt>
                      <c:pt idx="43">
                        <c:v>1.4083055187509814</c:v>
                      </c:pt>
                      <c:pt idx="44">
                        <c:v>1.4403124623589583</c:v>
                      </c:pt>
                      <c:pt idx="45">
                        <c:v>1.4723194059669351</c:v>
                      </c:pt>
                      <c:pt idx="46">
                        <c:v>1.504326349574912</c:v>
                      </c:pt>
                      <c:pt idx="47">
                        <c:v>1.5363332931828888</c:v>
                      </c:pt>
                      <c:pt idx="48">
                        <c:v>1.5683402367908656</c:v>
                      </c:pt>
                      <c:pt idx="49">
                        <c:v>1.6003471803988425</c:v>
                      </c:pt>
                      <c:pt idx="50">
                        <c:v>1.6323541240068193</c:v>
                      </c:pt>
                      <c:pt idx="51">
                        <c:v>1.6643610676147962</c:v>
                      </c:pt>
                    </c:numCache>
                  </c:numRef>
                </c:val>
                <c:smooth val="0"/>
                <c:extLst xmlns:c15="http://schemas.microsoft.com/office/drawing/2012/chart">
                  <c:ext xmlns:c16="http://schemas.microsoft.com/office/drawing/2014/chart" uri="{C3380CC4-5D6E-409C-BE32-E72D297353CC}">
                    <c16:uniqueId val="{0000000A-3000-4E94-90F9-B6067101EB83}"/>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'OZL Summary'!$BY$6:$BY$7</c15:sqref>
                        </c15:formulaRef>
                      </c:ext>
                    </c:extLst>
                    <c:strCache>
                      <c:ptCount val="2"/>
                      <c:pt idx="0">
                        <c:v>Max</c:v>
                      </c:pt>
                    </c:strCache>
                  </c:strRef>
                </c:tx>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Summary'!$BY$8:$BY$60</c15:sqref>
                        </c15:formulaRef>
                      </c:ext>
                    </c:extLst>
                    <c:numCache>
                      <c:formatCode>0.000</c:formatCode>
                      <c:ptCount val="53"/>
                      <c:pt idx="0">
                        <c:v>3.9503586953510528E-2</c:v>
                      </c:pt>
                      <c:pt idx="1">
                        <c:v>7.9007173907021055E-2</c:v>
                      </c:pt>
                      <c:pt idx="2">
                        <c:v>0.11851076086053158</c:v>
                      </c:pt>
                      <c:pt idx="3">
                        <c:v>0.15801434781404211</c:v>
                      </c:pt>
                      <c:pt idx="4">
                        <c:v>0.19751793476755264</c:v>
                      </c:pt>
                      <c:pt idx="5">
                        <c:v>0.23702152172106317</c:v>
                      </c:pt>
                      <c:pt idx="6">
                        <c:v>0.27652510867457369</c:v>
                      </c:pt>
                      <c:pt idx="7">
                        <c:v>0.31602869562808422</c:v>
                      </c:pt>
                      <c:pt idx="8">
                        <c:v>0.35553228258159475</c:v>
                      </c:pt>
                      <c:pt idx="9">
                        <c:v>0.39503586953510528</c:v>
                      </c:pt>
                      <c:pt idx="10">
                        <c:v>0.43453945648861581</c:v>
                      </c:pt>
                      <c:pt idx="11">
                        <c:v>0.47404304344212633</c:v>
                      </c:pt>
                      <c:pt idx="12">
                        <c:v>0.51354663039563686</c:v>
                      </c:pt>
                      <c:pt idx="13">
                        <c:v>0.55305021734914739</c:v>
                      </c:pt>
                      <c:pt idx="14">
                        <c:v>0.59255380430265792</c:v>
                      </c:pt>
                      <c:pt idx="15">
                        <c:v>0.63205739125616844</c:v>
                      </c:pt>
                      <c:pt idx="16">
                        <c:v>0.67156097820967897</c:v>
                      </c:pt>
                      <c:pt idx="17">
                        <c:v>0.7110645651631895</c:v>
                      </c:pt>
                      <c:pt idx="18">
                        <c:v>0.75056815211670003</c:v>
                      </c:pt>
                      <c:pt idx="19">
                        <c:v>0.79007173907021055</c:v>
                      </c:pt>
                      <c:pt idx="20">
                        <c:v>0.82957532602372108</c:v>
                      </c:pt>
                      <c:pt idx="21">
                        <c:v>0.86907891297723161</c:v>
                      </c:pt>
                      <c:pt idx="22">
                        <c:v>0.90858249993074214</c:v>
                      </c:pt>
                      <c:pt idx="23">
                        <c:v>0.94808608688425267</c:v>
                      </c:pt>
                      <c:pt idx="24">
                        <c:v>0.98758967383776319</c:v>
                      </c:pt>
                      <c:pt idx="25">
                        <c:v>1.0270932607912737</c:v>
                      </c:pt>
                      <c:pt idx="26">
                        <c:v>1.0665968477447842</c:v>
                      </c:pt>
                      <c:pt idx="27">
                        <c:v>1.1061004346982948</c:v>
                      </c:pt>
                      <c:pt idx="28">
                        <c:v>1.1456040216518053</c:v>
                      </c:pt>
                      <c:pt idx="29">
                        <c:v>1.1851076086053158</c:v>
                      </c:pt>
                      <c:pt idx="30">
                        <c:v>1.2246111955588264</c:v>
                      </c:pt>
                      <c:pt idx="31">
                        <c:v>1.2641147825123369</c:v>
                      </c:pt>
                      <c:pt idx="32">
                        <c:v>1.3036183694658474</c:v>
                      </c:pt>
                      <c:pt idx="33">
                        <c:v>1.3431219564193579</c:v>
                      </c:pt>
                      <c:pt idx="34">
                        <c:v>1.3826255433728685</c:v>
                      </c:pt>
                      <c:pt idx="35">
                        <c:v>1.422129130326379</c:v>
                      </c:pt>
                      <c:pt idx="36">
                        <c:v>1.4616327172798895</c:v>
                      </c:pt>
                      <c:pt idx="37">
                        <c:v>1.5011363042334001</c:v>
                      </c:pt>
                      <c:pt idx="38">
                        <c:v>1.5406398911869106</c:v>
                      </c:pt>
                      <c:pt idx="39">
                        <c:v>1.5801434781404211</c:v>
                      </c:pt>
                      <c:pt idx="40">
                        <c:v>1.6196470650939316</c:v>
                      </c:pt>
                      <c:pt idx="41">
                        <c:v>1.6591506520474422</c:v>
                      </c:pt>
                      <c:pt idx="42">
                        <c:v>1.6986542390009527</c:v>
                      </c:pt>
                      <c:pt idx="43">
                        <c:v>1.7381578259544632</c:v>
                      </c:pt>
                      <c:pt idx="44">
                        <c:v>1.7776614129079737</c:v>
                      </c:pt>
                      <c:pt idx="45">
                        <c:v>1.8171649998614843</c:v>
                      </c:pt>
                      <c:pt idx="46">
                        <c:v>1.8566685868149948</c:v>
                      </c:pt>
                      <c:pt idx="47">
                        <c:v>1.8961721737685053</c:v>
                      </c:pt>
                      <c:pt idx="48">
                        <c:v>1.9356757607220159</c:v>
                      </c:pt>
                      <c:pt idx="49">
                        <c:v>1.9751793476755264</c:v>
                      </c:pt>
                      <c:pt idx="50">
                        <c:v>2.0146829346290369</c:v>
                      </c:pt>
                      <c:pt idx="51">
                        <c:v>2.0541865215825474</c:v>
                      </c:pt>
                    </c:numCache>
                  </c:numRef>
                </c:val>
                <c:smooth val="0"/>
                <c:extLst xmlns:c15="http://schemas.microsoft.com/office/drawing/2012/chart">
                  <c:ext xmlns:c16="http://schemas.microsoft.com/office/drawing/2014/chart" uri="{C3380CC4-5D6E-409C-BE32-E72D297353CC}">
                    <c16:uniqueId val="{0000000B-3000-4E94-90F9-B6067101EB83}"/>
                  </c:ext>
                </c:extLst>
              </c15:ser>
            </c15:filteredLineSeries>
          </c:ext>
        </c:extLst>
      </c:lineChart>
      <c:dateAx>
        <c:axId val="1388952432"/>
        <c:scaling>
          <c:orientation val="minMax"/>
        </c:scaling>
        <c:delete val="0"/>
        <c:axPos val="b"/>
        <c:numFmt formatCode="d\-mmm\-yy_);\(###0\);&quot;-  &quot;;&quot; &quot;@&quot; &quot;"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3088"/>
        <c:crosses val="autoZero"/>
        <c:auto val="1"/>
        <c:lblOffset val="100"/>
        <c:baseTimeUnit val="days"/>
        <c:majorUnit val="3"/>
        <c:majorTimeUnit val="months"/>
      </c:dateAx>
      <c:valAx>
        <c:axId val="1388953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Ticket Sales ($b)</a:t>
                </a:r>
              </a:p>
            </c:rich>
          </c:tx>
          <c:overlay val="0"/>
          <c:spPr>
            <a:noFill/>
            <a:ln>
              <a:noFill/>
            </a:ln>
            <a:effectLst/>
          </c:sp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2432"/>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2"/>
          <c:order val="0"/>
          <c:tx>
            <c:strRef>
              <c:f>'OZL Summary'!$MX$19</c:f>
              <c:strCache>
                <c:ptCount val="1"/>
                <c:pt idx="0">
                  <c:v>hytd 50th Percentile</c:v>
                </c:pt>
              </c:strCache>
            </c:strRef>
          </c:tx>
          <c:spPr>
            <a:pattFill prst="wdDnDiag">
              <a:fgClr>
                <a:schemeClr val="accent1"/>
              </a:fgClr>
              <a:bgClr>
                <a:schemeClr val="bg1"/>
              </a:bgClr>
            </a:pattFill>
            <a:ln>
              <a:solidFill>
                <a:schemeClr val="accent1"/>
              </a:solidFill>
            </a:ln>
            <a:effectLst/>
          </c:spPr>
          <c:invertIfNegative val="0"/>
          <c:val>
            <c:numRef>
              <c:f>'OZL Summary'!$MY$19:$NH$19</c:f>
              <c:numCache>
                <c:formatCode>General</c:formatCode>
                <c:ptCount val="10"/>
                <c:pt idx="9" formatCode="0.0000">
                  <c:v>0.37930101433799995</c:v>
                </c:pt>
              </c:numCache>
            </c:numRef>
          </c:val>
          <c:extLst>
            <c:ext xmlns:c16="http://schemas.microsoft.com/office/drawing/2014/chart" uri="{C3380CC4-5D6E-409C-BE32-E72D297353CC}">
              <c16:uniqueId val="{00000000-7DFE-4E4A-B66B-F63CC787D926}"/>
            </c:ext>
          </c:extLst>
        </c:ser>
        <c:ser>
          <c:idx val="0"/>
          <c:order val="1"/>
          <c:tx>
            <c:strRef>
              <c:f>'OZL Summary'!$MX$12</c:f>
              <c:strCache>
                <c:ptCount val="1"/>
                <c:pt idx="0">
                  <c:v>Actual</c:v>
                </c:pt>
              </c:strCache>
            </c:strRef>
          </c:tx>
          <c:spPr>
            <a:solidFill>
              <a:schemeClr val="tx2"/>
            </a:solidFill>
            <a:ln>
              <a:noFill/>
            </a:ln>
            <a:effectLst/>
          </c:spPr>
          <c:invertIfNegative val="0"/>
          <c:dPt>
            <c:idx val="9"/>
            <c:invertIfNegative val="0"/>
            <c:bubble3D val="0"/>
            <c:spPr>
              <a:pattFill prst="wdDnDiag">
                <a:fgClr>
                  <a:schemeClr val="tx2"/>
                </a:fgClr>
                <a:bgClr>
                  <a:schemeClr val="bg1"/>
                </a:bgClr>
              </a:pattFill>
              <a:ln>
                <a:solidFill>
                  <a:schemeClr val="tx2"/>
                </a:solidFill>
              </a:ln>
              <a:effectLst/>
            </c:spPr>
            <c:extLst>
              <c:ext xmlns:c16="http://schemas.microsoft.com/office/drawing/2014/chart" uri="{C3380CC4-5D6E-409C-BE32-E72D297353CC}">
                <c16:uniqueId val="{00000002-7DFE-4E4A-B66B-F63CC787D926}"/>
              </c:ext>
            </c:extLst>
          </c:dPt>
          <c:cat>
            <c:strRef>
              <c:f>'OZL Summary'!$MY$9:$NH$9</c:f>
              <c:strCache>
                <c:ptCount val="10"/>
                <c:pt idx="0">
                  <c:v>1H18</c:v>
                </c:pt>
                <c:pt idx="1">
                  <c:v>2H18</c:v>
                </c:pt>
                <c:pt idx="2">
                  <c:v>1H19</c:v>
                </c:pt>
                <c:pt idx="3">
                  <c:v>2H19</c:v>
                </c:pt>
                <c:pt idx="4">
                  <c:v>1H20</c:v>
                </c:pt>
                <c:pt idx="5">
                  <c:v>2H20</c:v>
                </c:pt>
                <c:pt idx="6">
                  <c:v>1H21</c:v>
                </c:pt>
                <c:pt idx="7">
                  <c:v>2H21</c:v>
                </c:pt>
                <c:pt idx="8">
                  <c:v>1H22</c:v>
                </c:pt>
                <c:pt idx="9">
                  <c:v>2H22*</c:v>
                </c:pt>
              </c:strCache>
            </c:strRef>
          </c:cat>
          <c:val>
            <c:numRef>
              <c:f>'OZL Summary'!$MY$12:$NH$12</c:f>
              <c:numCache>
                <c:formatCode>_-* #,##0.0000_-;\-* #,##0.0000_-;_-* "-"??_-;_-@_-</c:formatCode>
                <c:ptCount val="10"/>
                <c:pt idx="0">
                  <c:v>0.6607169155871998</c:v>
                </c:pt>
                <c:pt idx="1">
                  <c:v>0.45883012636079995</c:v>
                </c:pt>
                <c:pt idx="2">
                  <c:v>0.56990379342239983</c:v>
                </c:pt>
                <c:pt idx="3">
                  <c:v>0.8103643989443996</c:v>
                </c:pt>
                <c:pt idx="4">
                  <c:v>0.57956100921719977</c:v>
                </c:pt>
                <c:pt idx="5">
                  <c:v>0.46721199958559995</c:v>
                </c:pt>
                <c:pt idx="6">
                  <c:v>0.55445528819520007</c:v>
                </c:pt>
                <c:pt idx="7">
                  <c:v>0.54798195105719982</c:v>
                </c:pt>
                <c:pt idx="8">
                  <c:v>0.60953824564919989</c:v>
                </c:pt>
                <c:pt idx="9">
                  <c:v>0.3734694646924</c:v>
                </c:pt>
              </c:numCache>
            </c:numRef>
          </c:val>
          <c:extLst>
            <c:ext xmlns:c16="http://schemas.microsoft.com/office/drawing/2014/chart" uri="{C3380CC4-5D6E-409C-BE32-E72D297353CC}">
              <c16:uniqueId val="{00000003-7DFE-4E4A-B66B-F63CC787D926}"/>
            </c:ext>
          </c:extLst>
        </c:ser>
        <c:ser>
          <c:idx val="6"/>
          <c:order val="2"/>
          <c:tx>
            <c:strRef>
              <c:f>'OZL Summary'!$MX$26</c:f>
              <c:strCache>
                <c:ptCount val="1"/>
                <c:pt idx="0">
                  <c:v>50th Percentile</c:v>
                </c:pt>
              </c:strCache>
            </c:strRef>
          </c:tx>
          <c:spPr>
            <a:solidFill>
              <a:schemeClr val="accent1"/>
            </a:solidFill>
            <a:ln>
              <a:noFill/>
            </a:ln>
            <a:effectLst/>
          </c:spPr>
          <c:invertIfNegative val="0"/>
          <c:cat>
            <c:strRef>
              <c:f>'OZL Summary'!$MY$9:$NH$9</c:f>
              <c:strCache>
                <c:ptCount val="10"/>
                <c:pt idx="0">
                  <c:v>1H18</c:v>
                </c:pt>
                <c:pt idx="1">
                  <c:v>2H18</c:v>
                </c:pt>
                <c:pt idx="2">
                  <c:v>1H19</c:v>
                </c:pt>
                <c:pt idx="3">
                  <c:v>2H19</c:v>
                </c:pt>
                <c:pt idx="4">
                  <c:v>1H20</c:v>
                </c:pt>
                <c:pt idx="5">
                  <c:v>2H20</c:v>
                </c:pt>
                <c:pt idx="6">
                  <c:v>1H21</c:v>
                </c:pt>
                <c:pt idx="7">
                  <c:v>2H21</c:v>
                </c:pt>
                <c:pt idx="8">
                  <c:v>1H22</c:v>
                </c:pt>
                <c:pt idx="9">
                  <c:v>2H22*</c:v>
                </c:pt>
              </c:strCache>
            </c:strRef>
          </c:cat>
          <c:val>
            <c:numRef>
              <c:f>'OZL Summary'!$MY$26:$NH$26</c:f>
              <c:numCache>
                <c:formatCode>0.0000</c:formatCode>
                <c:ptCount val="10"/>
                <c:pt idx="0">
                  <c:v>0.56136746103966018</c:v>
                </c:pt>
                <c:pt idx="1">
                  <c:v>0.56222962800565723</c:v>
                </c:pt>
                <c:pt idx="2">
                  <c:v>0.51073197980972562</c:v>
                </c:pt>
                <c:pt idx="3">
                  <c:v>0.4795849067300999</c:v>
                </c:pt>
                <c:pt idx="4">
                  <c:v>0.52465160087948581</c:v>
                </c:pt>
                <c:pt idx="5">
                  <c:v>0.53866271326725002</c:v>
                </c:pt>
                <c:pt idx="6">
                  <c:v>0.65054523418959997</c:v>
                </c:pt>
                <c:pt idx="7">
                  <c:v>0.55571795248748557</c:v>
                </c:pt>
                <c:pt idx="8">
                  <c:v>0.60216531526234285</c:v>
                </c:pt>
                <c:pt idx="9">
                  <c:v>0.58570055444700009</c:v>
                </c:pt>
              </c:numCache>
            </c:numRef>
          </c:val>
          <c:extLst>
            <c:ext xmlns:c16="http://schemas.microsoft.com/office/drawing/2014/chart" uri="{C3380CC4-5D6E-409C-BE32-E72D297353CC}">
              <c16:uniqueId val="{00000004-7DFE-4E4A-B66B-F63CC787D926}"/>
            </c:ext>
          </c:extLst>
        </c:ser>
        <c:ser>
          <c:idx val="1"/>
          <c:order val="3"/>
          <c:tx>
            <c:strRef>
              <c:f>'OZL Summary'!$MX$13</c:f>
              <c:strCache>
                <c:ptCount val="1"/>
                <c:pt idx="0">
                  <c:v>Actual htd Standardised</c:v>
                </c:pt>
              </c:strCache>
            </c:strRef>
          </c:tx>
          <c:spPr>
            <a:solidFill>
              <a:schemeClr val="accent2"/>
            </a:solidFill>
            <a:ln>
              <a:noFill/>
            </a:ln>
            <a:effectLst/>
          </c:spPr>
          <c:invertIfNegative val="0"/>
          <c:cat>
            <c:strRef>
              <c:f>'OZL Summary'!$MY$9:$NH$9</c:f>
              <c:strCache>
                <c:ptCount val="10"/>
                <c:pt idx="0">
                  <c:v>1H18</c:v>
                </c:pt>
                <c:pt idx="1">
                  <c:v>2H18</c:v>
                </c:pt>
                <c:pt idx="2">
                  <c:v>1H19</c:v>
                </c:pt>
                <c:pt idx="3">
                  <c:v>2H19</c:v>
                </c:pt>
                <c:pt idx="4">
                  <c:v>1H20</c:v>
                </c:pt>
                <c:pt idx="5">
                  <c:v>2H20</c:v>
                </c:pt>
                <c:pt idx="6">
                  <c:v>1H21</c:v>
                </c:pt>
                <c:pt idx="7">
                  <c:v>2H21</c:v>
                </c:pt>
                <c:pt idx="8">
                  <c:v>1H22</c:v>
                </c:pt>
                <c:pt idx="9">
                  <c:v>2H22*</c:v>
                </c:pt>
              </c:strCache>
            </c:strRef>
          </c:cat>
          <c:val>
            <c:numRef>
              <c:f>'OZL Summary'!$MY$13:$NH$13</c:f>
              <c:numCache>
                <c:formatCode>_-* #,##0.0000_-;\-* #,##0.0000_-;_-* "-"??_-;_-@_-</c:formatCode>
                <c:ptCount val="10"/>
                <c:pt idx="9">
                  <c:v>0.57118859305896474</c:v>
                </c:pt>
              </c:numCache>
            </c:numRef>
          </c:val>
          <c:extLst xmlns:c15="http://schemas.microsoft.com/office/drawing/2012/chart">
            <c:ext xmlns:c16="http://schemas.microsoft.com/office/drawing/2014/chart" uri="{C3380CC4-5D6E-409C-BE32-E72D297353CC}">
              <c16:uniqueId val="{00000005-7DFE-4E4A-B66B-F63CC787D926}"/>
            </c:ext>
          </c:extLst>
        </c:ser>
        <c:ser>
          <c:idx val="12"/>
          <c:order val="4"/>
          <c:tx>
            <c:strRef>
              <c:f>'OZL Summary'!$MX$14</c:f>
              <c:strCache>
                <c:ptCount val="1"/>
                <c:pt idx="0">
                  <c:v>Actual htd + 50th percentile</c:v>
                </c:pt>
              </c:strCache>
            </c:strRef>
          </c:tx>
          <c:spPr>
            <a:solidFill>
              <a:schemeClr val="bg2"/>
            </a:solidFill>
            <a:ln>
              <a:noFill/>
            </a:ln>
            <a:effectLst/>
          </c:spPr>
          <c:invertIfNegative val="0"/>
          <c:val>
            <c:numRef>
              <c:f>'OZL Summary'!$MY$14:$NH$14</c:f>
              <c:numCache>
                <c:formatCode>_-* #,##0.0000_-;\-* #,##0.0000_-;_-* "-"??_-;_-@_-</c:formatCode>
                <c:ptCount val="10"/>
                <c:pt idx="9">
                  <c:v>0.54913070051259993</c:v>
                </c:pt>
              </c:numCache>
            </c:numRef>
          </c:val>
          <c:extLst>
            <c:ext xmlns:c16="http://schemas.microsoft.com/office/drawing/2014/chart" uri="{C3380CC4-5D6E-409C-BE32-E72D297353CC}">
              <c16:uniqueId val="{00000006-7DFE-4E4A-B66B-F63CC787D926}"/>
            </c:ext>
          </c:extLst>
        </c:ser>
        <c:dLbls>
          <c:showLegendKey val="0"/>
          <c:showVal val="0"/>
          <c:showCatName val="0"/>
          <c:showSerName val="0"/>
          <c:showPercent val="0"/>
          <c:showBubbleSize val="0"/>
        </c:dLbls>
        <c:gapWidth val="0"/>
        <c:overlap val="-20"/>
        <c:axId val="1019316528"/>
        <c:axId val="1019315544"/>
        <c:extLst/>
      </c:barChart>
      <c:catAx>
        <c:axId val="101931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19315544"/>
        <c:crosses val="autoZero"/>
        <c:auto val="1"/>
        <c:lblAlgn val="ctr"/>
        <c:lblOffset val="100"/>
        <c:noMultiLvlLbl val="0"/>
      </c:catAx>
      <c:valAx>
        <c:axId val="1019315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Ticket Sales ($b)</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193165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'OZL Summary'!$MX$34</c:f>
              <c:strCache>
                <c:ptCount val="1"/>
                <c:pt idx="0">
                  <c:v>Delete</c:v>
                </c:pt>
              </c:strCache>
            </c:strRef>
          </c:tx>
          <c:spPr>
            <a:noFill/>
          </c:spPr>
          <c:invertIfNegative val="0"/>
          <c:cat>
            <c:strRef>
              <c:f>'OZL Summary'!$MY$9:$NI$9</c:f>
              <c:strCache>
                <c:ptCount val="11"/>
                <c:pt idx="0">
                  <c:v>1H18</c:v>
                </c:pt>
                <c:pt idx="1">
                  <c:v>2H18</c:v>
                </c:pt>
                <c:pt idx="2">
                  <c:v>1H19</c:v>
                </c:pt>
                <c:pt idx="3">
                  <c:v>2H19</c:v>
                </c:pt>
                <c:pt idx="4">
                  <c:v>1H20</c:v>
                </c:pt>
                <c:pt idx="5">
                  <c:v>2H20</c:v>
                </c:pt>
                <c:pt idx="6">
                  <c:v>1H21</c:v>
                </c:pt>
                <c:pt idx="7">
                  <c:v>2H21</c:v>
                </c:pt>
                <c:pt idx="8">
                  <c:v>1H22</c:v>
                </c:pt>
                <c:pt idx="9">
                  <c:v>2H22*</c:v>
                </c:pt>
                <c:pt idx="10">
                  <c:v>2H22 ytd</c:v>
                </c:pt>
              </c:strCache>
            </c:strRef>
          </c:cat>
          <c:val>
            <c:numRef>
              <c:f>'OZL Summary'!$MY$34:$NI$34</c:f>
              <c:numCache>
                <c:formatCode>0.0000</c:formatCode>
                <c:ptCount val="11"/>
                <c:pt idx="0">
                  <c:v>0.36670223228814003</c:v>
                </c:pt>
                <c:pt idx="1">
                  <c:v>0.37127926012302853</c:v>
                </c:pt>
                <c:pt idx="2">
                  <c:v>0.31761858401399984</c:v>
                </c:pt>
                <c:pt idx="3">
                  <c:v>0.32348451958559998</c:v>
                </c:pt>
                <c:pt idx="4">
                  <c:v>0.35713337259291411</c:v>
                </c:pt>
                <c:pt idx="5">
                  <c:v>0.34789663857927866</c:v>
                </c:pt>
                <c:pt idx="6">
                  <c:v>0.43473146576519983</c:v>
                </c:pt>
                <c:pt idx="7">
                  <c:v>0.3786386174889429</c:v>
                </c:pt>
                <c:pt idx="8">
                  <c:v>0.39560607685714289</c:v>
                </c:pt>
                <c:pt idx="9">
                  <c:v>0.40126193868659998</c:v>
                </c:pt>
                <c:pt idx="10">
                  <c:v>0.24703376494619997</c:v>
                </c:pt>
              </c:numCache>
            </c:numRef>
          </c:val>
          <c:extLst>
            <c:ext xmlns:c16="http://schemas.microsoft.com/office/drawing/2014/chart" uri="{C3380CC4-5D6E-409C-BE32-E72D297353CC}">
              <c16:uniqueId val="{00000000-B4A3-4A5A-BB6F-58B4763584DA}"/>
            </c:ext>
          </c:extLst>
        </c:ser>
        <c:ser>
          <c:idx val="6"/>
          <c:order val="1"/>
          <c:tx>
            <c:strRef>
              <c:f>'OZL Summary'!$MX$35</c:f>
              <c:strCache>
                <c:ptCount val="1"/>
                <c:pt idx="0">
                  <c:v>Min to 5th Percentile</c:v>
                </c:pt>
              </c:strCache>
            </c:strRef>
          </c:tx>
          <c:spPr>
            <a:solidFill>
              <a:srgbClr val="7030A0"/>
            </a:solidFill>
          </c:spPr>
          <c:invertIfNegative val="0"/>
          <c:cat>
            <c:strRef>
              <c:f>'OZL Summary'!$MY$9:$NI$9</c:f>
              <c:strCache>
                <c:ptCount val="11"/>
                <c:pt idx="0">
                  <c:v>1H18</c:v>
                </c:pt>
                <c:pt idx="1">
                  <c:v>2H18</c:v>
                </c:pt>
                <c:pt idx="2">
                  <c:v>1H19</c:v>
                </c:pt>
                <c:pt idx="3">
                  <c:v>2H19</c:v>
                </c:pt>
                <c:pt idx="4">
                  <c:v>1H20</c:v>
                </c:pt>
                <c:pt idx="5">
                  <c:v>2H20</c:v>
                </c:pt>
                <c:pt idx="6">
                  <c:v>1H21</c:v>
                </c:pt>
                <c:pt idx="7">
                  <c:v>2H21</c:v>
                </c:pt>
                <c:pt idx="8">
                  <c:v>1H22</c:v>
                </c:pt>
                <c:pt idx="9">
                  <c:v>2H22*</c:v>
                </c:pt>
                <c:pt idx="10">
                  <c:v>2H22 ytd</c:v>
                </c:pt>
              </c:strCache>
            </c:strRef>
          </c:cat>
          <c:val>
            <c:numRef>
              <c:f>'OZL Summary'!$MY$35:$NI$35</c:f>
              <c:numCache>
                <c:formatCode>0.0000</c:formatCode>
                <c:ptCount val="11"/>
                <c:pt idx="0">
                  <c:v>6.8916393976500068E-2</c:v>
                </c:pt>
                <c:pt idx="1">
                  <c:v>6.9973500246857223E-2</c:v>
                </c:pt>
                <c:pt idx="2">
                  <c:v>9.3587077150268538E-2</c:v>
                </c:pt>
                <c:pt idx="3">
                  <c:v>5.3623735738200007E-2</c:v>
                </c:pt>
                <c:pt idx="4">
                  <c:v>6.50080822469144E-2</c:v>
                </c:pt>
                <c:pt idx="5">
                  <c:v>8.0752635640049975E-2</c:v>
                </c:pt>
                <c:pt idx="6">
                  <c:v>8.8016862217600189E-2</c:v>
                </c:pt>
                <c:pt idx="7">
                  <c:v>7.4879807714999913E-2</c:v>
                </c:pt>
                <c:pt idx="8">
                  <c:v>7.6929869167628562E-2</c:v>
                </c:pt>
                <c:pt idx="9">
                  <c:v>6.4590574694729952E-2</c:v>
                </c:pt>
                <c:pt idx="10">
                  <c:v>4.6220147273939999E-2</c:v>
                </c:pt>
              </c:numCache>
            </c:numRef>
          </c:val>
          <c:extLst>
            <c:ext xmlns:c16="http://schemas.microsoft.com/office/drawing/2014/chart" uri="{C3380CC4-5D6E-409C-BE32-E72D297353CC}">
              <c16:uniqueId val="{00000001-B4A3-4A5A-BB6F-58B4763584DA}"/>
            </c:ext>
          </c:extLst>
        </c:ser>
        <c:ser>
          <c:idx val="8"/>
          <c:order val="2"/>
          <c:tx>
            <c:strRef>
              <c:f>'OZL Summary'!$MX$36</c:f>
              <c:strCache>
                <c:ptCount val="1"/>
                <c:pt idx="0">
                  <c:v>5th to 25th Percentile</c:v>
                </c:pt>
              </c:strCache>
            </c:strRef>
          </c:tx>
          <c:spPr>
            <a:solidFill>
              <a:schemeClr val="tx2">
                <a:lumMod val="60000"/>
                <a:lumOff val="40000"/>
              </a:schemeClr>
            </a:solidFill>
          </c:spPr>
          <c:invertIfNegative val="0"/>
          <c:cat>
            <c:strRef>
              <c:f>'OZL Summary'!$MY$9:$NI$9</c:f>
              <c:strCache>
                <c:ptCount val="11"/>
                <c:pt idx="0">
                  <c:v>1H18</c:v>
                </c:pt>
                <c:pt idx="1">
                  <c:v>2H18</c:v>
                </c:pt>
                <c:pt idx="2">
                  <c:v>1H19</c:v>
                </c:pt>
                <c:pt idx="3">
                  <c:v>2H19</c:v>
                </c:pt>
                <c:pt idx="4">
                  <c:v>1H20</c:v>
                </c:pt>
                <c:pt idx="5">
                  <c:v>2H20</c:v>
                </c:pt>
                <c:pt idx="6">
                  <c:v>1H21</c:v>
                </c:pt>
                <c:pt idx="7">
                  <c:v>2H21</c:v>
                </c:pt>
                <c:pt idx="8">
                  <c:v>1H22</c:v>
                </c:pt>
                <c:pt idx="9">
                  <c:v>2H22*</c:v>
                </c:pt>
                <c:pt idx="10">
                  <c:v>2H22 ytd</c:v>
                </c:pt>
              </c:strCache>
            </c:strRef>
          </c:cat>
          <c:val>
            <c:numRef>
              <c:f>'OZL Summary'!$MY$36:$NI$36</c:f>
              <c:numCache>
                <c:formatCode>0.0000</c:formatCode>
                <c:ptCount val="11"/>
                <c:pt idx="0">
                  <c:v>6.6600308133179964E-2</c:v>
                </c:pt>
                <c:pt idx="1">
                  <c:v>6.499801310057135E-2</c:v>
                </c:pt>
                <c:pt idx="2">
                  <c:v>5.2504647795599935E-2</c:v>
                </c:pt>
                <c:pt idx="3">
                  <c:v>5.543889930989998E-2</c:v>
                </c:pt>
                <c:pt idx="4">
                  <c:v>5.5728578526068495E-2</c:v>
                </c:pt>
                <c:pt idx="5">
                  <c:v>5.7010567518042843E-2</c:v>
                </c:pt>
                <c:pt idx="6">
                  <c:v>6.3172917572000054E-2</c:v>
                </c:pt>
                <c:pt idx="7">
                  <c:v>5.2430099158542798E-2</c:v>
                </c:pt>
                <c:pt idx="8">
                  <c:v>6.8200584880628523E-2</c:v>
                </c:pt>
                <c:pt idx="9">
                  <c:v>6.4430947409670147E-2</c:v>
                </c:pt>
                <c:pt idx="10">
                  <c:v>4.3259416479660029E-2</c:v>
                </c:pt>
              </c:numCache>
            </c:numRef>
          </c:val>
          <c:extLst>
            <c:ext xmlns:c16="http://schemas.microsoft.com/office/drawing/2014/chart" uri="{C3380CC4-5D6E-409C-BE32-E72D297353CC}">
              <c16:uniqueId val="{00000002-B4A3-4A5A-BB6F-58B4763584DA}"/>
            </c:ext>
          </c:extLst>
        </c:ser>
        <c:ser>
          <c:idx val="1"/>
          <c:order val="3"/>
          <c:tx>
            <c:strRef>
              <c:f>'OZL Summary'!$MX$37</c:f>
              <c:strCache>
                <c:ptCount val="1"/>
                <c:pt idx="0">
                  <c:v>25th to 75th Percentile</c:v>
                </c:pt>
              </c:strCache>
            </c:strRef>
          </c:tx>
          <c:spPr>
            <a:solidFill>
              <a:schemeClr val="bg2"/>
            </a:solidFill>
          </c:spPr>
          <c:invertIfNegative val="0"/>
          <c:cat>
            <c:strRef>
              <c:f>'OZL Summary'!$MY$9:$NI$9</c:f>
              <c:strCache>
                <c:ptCount val="11"/>
                <c:pt idx="0">
                  <c:v>1H18</c:v>
                </c:pt>
                <c:pt idx="1">
                  <c:v>2H18</c:v>
                </c:pt>
                <c:pt idx="2">
                  <c:v>1H19</c:v>
                </c:pt>
                <c:pt idx="3">
                  <c:v>2H19</c:v>
                </c:pt>
                <c:pt idx="4">
                  <c:v>1H20</c:v>
                </c:pt>
                <c:pt idx="5">
                  <c:v>2H20</c:v>
                </c:pt>
                <c:pt idx="6">
                  <c:v>1H21</c:v>
                </c:pt>
                <c:pt idx="7">
                  <c:v>2H21</c:v>
                </c:pt>
                <c:pt idx="8">
                  <c:v>1H22</c:v>
                </c:pt>
                <c:pt idx="9">
                  <c:v>2H22*</c:v>
                </c:pt>
                <c:pt idx="10">
                  <c:v>2H22 ytd</c:v>
                </c:pt>
              </c:strCache>
            </c:strRef>
          </c:cat>
          <c:val>
            <c:numRef>
              <c:f>'OZL Summary'!$MY$37:$NI$37</c:f>
              <c:numCache>
                <c:formatCode>0.0000</c:formatCode>
                <c:ptCount val="11"/>
                <c:pt idx="0">
                  <c:v>0.1367428168746001</c:v>
                </c:pt>
                <c:pt idx="1">
                  <c:v>0.12453552192874273</c:v>
                </c:pt>
                <c:pt idx="2">
                  <c:v>0.11164202651197719</c:v>
                </c:pt>
                <c:pt idx="3">
                  <c:v>0.10821463252829999</c:v>
                </c:pt>
                <c:pt idx="4">
                  <c:v>0.11157341437758866</c:v>
                </c:pt>
                <c:pt idx="5">
                  <c:v>0.11147507563742148</c:v>
                </c:pt>
                <c:pt idx="6">
                  <c:v>0.13923460280239985</c:v>
                </c:pt>
                <c:pt idx="7">
                  <c:v>0.10837034051468564</c:v>
                </c:pt>
                <c:pt idx="8">
                  <c:v>0.13832864911980003</c:v>
                </c:pt>
                <c:pt idx="9">
                  <c:v>0.12730832242979984</c:v>
                </c:pt>
                <c:pt idx="10">
                  <c:v>0.10517663382720005</c:v>
                </c:pt>
              </c:numCache>
            </c:numRef>
          </c:val>
          <c:extLst>
            <c:ext xmlns:c16="http://schemas.microsoft.com/office/drawing/2014/chart" uri="{C3380CC4-5D6E-409C-BE32-E72D297353CC}">
              <c16:uniqueId val="{00000003-B4A3-4A5A-BB6F-58B4763584DA}"/>
            </c:ext>
          </c:extLst>
        </c:ser>
        <c:ser>
          <c:idx val="2"/>
          <c:order val="4"/>
          <c:tx>
            <c:strRef>
              <c:f>'OZL Summary'!$MX$38</c:f>
              <c:strCache>
                <c:ptCount val="1"/>
                <c:pt idx="0">
                  <c:v>75th to 95th Percentile</c:v>
                </c:pt>
              </c:strCache>
            </c:strRef>
          </c:tx>
          <c:spPr>
            <a:solidFill>
              <a:schemeClr val="accent2"/>
            </a:solidFill>
          </c:spPr>
          <c:invertIfNegative val="0"/>
          <c:cat>
            <c:strRef>
              <c:f>'OZL Summary'!$MY$9:$NI$9</c:f>
              <c:strCache>
                <c:ptCount val="11"/>
                <c:pt idx="0">
                  <c:v>1H18</c:v>
                </c:pt>
                <c:pt idx="1">
                  <c:v>2H18</c:v>
                </c:pt>
                <c:pt idx="2">
                  <c:v>1H19</c:v>
                </c:pt>
                <c:pt idx="3">
                  <c:v>2H19</c:v>
                </c:pt>
                <c:pt idx="4">
                  <c:v>1H20</c:v>
                </c:pt>
                <c:pt idx="5">
                  <c:v>2H20</c:v>
                </c:pt>
                <c:pt idx="6">
                  <c:v>1H21</c:v>
                </c:pt>
                <c:pt idx="7">
                  <c:v>2H21</c:v>
                </c:pt>
                <c:pt idx="8">
                  <c:v>1H22</c:v>
                </c:pt>
                <c:pt idx="9">
                  <c:v>2H22*</c:v>
                </c:pt>
                <c:pt idx="10">
                  <c:v>2H22 ytd</c:v>
                </c:pt>
              </c:strCache>
            </c:strRef>
          </c:cat>
          <c:val>
            <c:numRef>
              <c:f>'OZL Summary'!$MY$38:$NI$38</c:f>
              <c:numCache>
                <c:formatCode>0.0000</c:formatCode>
                <c:ptCount val="11"/>
                <c:pt idx="0">
                  <c:v>0.13962173493599994</c:v>
                </c:pt>
                <c:pt idx="1">
                  <c:v>0.12106394925668595</c:v>
                </c:pt>
                <c:pt idx="2">
                  <c:v>0.11583358562777157</c:v>
                </c:pt>
                <c:pt idx="3">
                  <c:v>0.12207718869030004</c:v>
                </c:pt>
                <c:pt idx="4">
                  <c:v>0.11350555803822848</c:v>
                </c:pt>
                <c:pt idx="5">
                  <c:v>0.1176879009488998</c:v>
                </c:pt>
                <c:pt idx="6">
                  <c:v>0.13364246595336038</c:v>
                </c:pt>
                <c:pt idx="7">
                  <c:v>0.11203993272003454</c:v>
                </c:pt>
                <c:pt idx="8">
                  <c:v>0.13519378600114274</c:v>
                </c:pt>
                <c:pt idx="9">
                  <c:v>0.13586710982999994</c:v>
                </c:pt>
                <c:pt idx="10">
                  <c:v>9.9177528009599947E-2</c:v>
                </c:pt>
              </c:numCache>
            </c:numRef>
          </c:val>
          <c:extLst>
            <c:ext xmlns:c16="http://schemas.microsoft.com/office/drawing/2014/chart" uri="{C3380CC4-5D6E-409C-BE32-E72D297353CC}">
              <c16:uniqueId val="{00000004-B4A3-4A5A-BB6F-58B4763584DA}"/>
            </c:ext>
          </c:extLst>
        </c:ser>
        <c:ser>
          <c:idx val="4"/>
          <c:order val="5"/>
          <c:tx>
            <c:strRef>
              <c:f>'OZL Summary'!$MX$39</c:f>
              <c:strCache>
                <c:ptCount val="1"/>
                <c:pt idx="0">
                  <c:v>95th Percentile to Max</c:v>
                </c:pt>
              </c:strCache>
            </c:strRef>
          </c:tx>
          <c:spPr>
            <a:solidFill>
              <a:schemeClr val="accent1"/>
            </a:solidFill>
            <a:ln w="19050">
              <a:noFill/>
            </a:ln>
          </c:spPr>
          <c:invertIfNegative val="0"/>
          <c:cat>
            <c:strRef>
              <c:f>'OZL Summary'!$MY$9:$NI$9</c:f>
              <c:strCache>
                <c:ptCount val="11"/>
                <c:pt idx="0">
                  <c:v>1H18</c:v>
                </c:pt>
                <c:pt idx="1">
                  <c:v>2H18</c:v>
                </c:pt>
                <c:pt idx="2">
                  <c:v>1H19</c:v>
                </c:pt>
                <c:pt idx="3">
                  <c:v>2H19</c:v>
                </c:pt>
                <c:pt idx="4">
                  <c:v>1H20</c:v>
                </c:pt>
                <c:pt idx="5">
                  <c:v>2H20</c:v>
                </c:pt>
                <c:pt idx="6">
                  <c:v>1H21</c:v>
                </c:pt>
                <c:pt idx="7">
                  <c:v>2H21</c:v>
                </c:pt>
                <c:pt idx="8">
                  <c:v>1H22</c:v>
                </c:pt>
                <c:pt idx="9">
                  <c:v>2H22*</c:v>
                </c:pt>
                <c:pt idx="10">
                  <c:v>2H22 ytd</c:v>
                </c:pt>
              </c:strCache>
            </c:strRef>
          </c:cat>
          <c:val>
            <c:numRef>
              <c:f>'OZL Summary'!$MY$39:$NI$39</c:f>
              <c:numCache>
                <c:formatCode>0.0000</c:formatCode>
                <c:ptCount val="11"/>
                <c:pt idx="0">
                  <c:v>0.42989840453453987</c:v>
                </c:pt>
                <c:pt idx="1">
                  <c:v>0.41843274705394273</c:v>
                </c:pt>
                <c:pt idx="2">
                  <c:v>0.35995218516483451</c:v>
                </c:pt>
                <c:pt idx="3">
                  <c:v>0.32140573818569984</c:v>
                </c:pt>
                <c:pt idx="4">
                  <c:v>0.31903729082526844</c:v>
                </c:pt>
                <c:pt idx="5">
                  <c:v>0.34620242509579302</c:v>
                </c:pt>
                <c:pt idx="6">
                  <c:v>0.36842780367023942</c:v>
                </c:pt>
                <c:pt idx="7">
                  <c:v>0.30913892357619377</c:v>
                </c:pt>
                <c:pt idx="8">
                  <c:v>0.4178275890210853</c:v>
                </c:pt>
                <c:pt idx="9">
                  <c:v>0.31526836010699999</c:v>
                </c:pt>
                <c:pt idx="10">
                  <c:v>0.41266944683399986</c:v>
                </c:pt>
              </c:numCache>
            </c:numRef>
          </c:val>
          <c:extLst>
            <c:ext xmlns:c16="http://schemas.microsoft.com/office/drawing/2014/chart" uri="{C3380CC4-5D6E-409C-BE32-E72D297353CC}">
              <c16:uniqueId val="{00000005-B4A3-4A5A-BB6F-58B4763584DA}"/>
            </c:ext>
          </c:extLst>
        </c:ser>
        <c:dLbls>
          <c:showLegendKey val="0"/>
          <c:showVal val="0"/>
          <c:showCatName val="0"/>
          <c:showSerName val="0"/>
          <c:showPercent val="0"/>
          <c:showBubbleSize val="0"/>
        </c:dLbls>
        <c:gapWidth val="150"/>
        <c:overlap val="100"/>
        <c:axId val="1019316528"/>
        <c:axId val="1019315544"/>
      </c:barChart>
      <c:lineChart>
        <c:grouping val="stacked"/>
        <c:varyColors val="0"/>
        <c:ser>
          <c:idx val="3"/>
          <c:order val="6"/>
          <c:tx>
            <c:strRef>
              <c:f>'OZL Summary'!$MX$12</c:f>
              <c:strCache>
                <c:ptCount val="1"/>
                <c:pt idx="0">
                  <c:v>Actual</c:v>
                </c:pt>
              </c:strCache>
            </c:strRef>
          </c:tx>
          <c:spPr>
            <a:ln w="19050">
              <a:noFill/>
            </a:ln>
          </c:spPr>
          <c:marker>
            <c:symbol val="diamond"/>
            <c:size val="13"/>
            <c:spPr>
              <a:solidFill>
                <a:schemeClr val="tx2"/>
              </a:solidFill>
              <a:ln w="25400">
                <a:solidFill>
                  <a:schemeClr val="tx1"/>
                </a:solidFill>
              </a:ln>
            </c:spPr>
          </c:marker>
          <c:dPt>
            <c:idx val="9"/>
            <c:marker>
              <c:spPr>
                <a:solidFill>
                  <a:schemeClr val="accent6"/>
                </a:solidFill>
                <a:ln w="25400">
                  <a:solidFill>
                    <a:schemeClr val="tx1"/>
                  </a:solidFill>
                </a:ln>
              </c:spPr>
            </c:marker>
            <c:bubble3D val="0"/>
            <c:extLst>
              <c:ext xmlns:c16="http://schemas.microsoft.com/office/drawing/2014/chart" uri="{C3380CC4-5D6E-409C-BE32-E72D297353CC}">
                <c16:uniqueId val="{00000006-B4A3-4A5A-BB6F-58B4763584DA}"/>
              </c:ext>
            </c:extLst>
          </c:dPt>
          <c:val>
            <c:numRef>
              <c:f>'OZL Summary'!$MY$12:$NI$12</c:f>
              <c:numCache>
                <c:formatCode>_-* #,##0.0000_-;\-* #,##0.0000_-;_-* "-"??_-;_-@_-</c:formatCode>
                <c:ptCount val="11"/>
                <c:pt idx="0">
                  <c:v>0.6607169155871998</c:v>
                </c:pt>
                <c:pt idx="1">
                  <c:v>0.45883012636079995</c:v>
                </c:pt>
                <c:pt idx="2">
                  <c:v>0.56990379342239983</c:v>
                </c:pt>
                <c:pt idx="3">
                  <c:v>0.8103643989443996</c:v>
                </c:pt>
                <c:pt idx="4">
                  <c:v>0.57956100921719977</c:v>
                </c:pt>
                <c:pt idx="5">
                  <c:v>0.46721199958559995</c:v>
                </c:pt>
                <c:pt idx="6">
                  <c:v>0.55445528819520007</c:v>
                </c:pt>
                <c:pt idx="7">
                  <c:v>0.54798195105719982</c:v>
                </c:pt>
                <c:pt idx="8">
                  <c:v>0.60953824564919989</c:v>
                </c:pt>
                <c:pt idx="9">
                  <c:v>0.3734694646924</c:v>
                </c:pt>
                <c:pt idx="10">
                  <c:v>0.3734694646924</c:v>
                </c:pt>
              </c:numCache>
            </c:numRef>
          </c:val>
          <c:smooth val="0"/>
          <c:extLst>
            <c:ext xmlns:c16="http://schemas.microsoft.com/office/drawing/2014/chart" uri="{C3380CC4-5D6E-409C-BE32-E72D297353CC}">
              <c16:uniqueId val="{00000007-B4A3-4A5A-BB6F-58B4763584DA}"/>
            </c:ext>
          </c:extLst>
        </c:ser>
        <c:dLbls>
          <c:showLegendKey val="0"/>
          <c:showVal val="0"/>
          <c:showCatName val="0"/>
          <c:showSerName val="0"/>
          <c:showPercent val="0"/>
          <c:showBubbleSize val="0"/>
        </c:dLbls>
        <c:marker val="1"/>
        <c:smooth val="0"/>
        <c:axId val="1019316528"/>
        <c:axId val="1019315544"/>
      </c:lineChart>
      <c:catAx>
        <c:axId val="101931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19315544"/>
        <c:crosses val="autoZero"/>
        <c:auto val="1"/>
        <c:lblAlgn val="ctr"/>
        <c:lblOffset val="100"/>
        <c:noMultiLvlLbl val="0"/>
      </c:catAx>
      <c:valAx>
        <c:axId val="1019315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Ticket Sales ($b)</a:t>
                </a:r>
              </a:p>
            </c:rich>
          </c:tx>
          <c:overlay val="0"/>
          <c:spPr>
            <a:noFill/>
            <a:ln>
              <a:noFill/>
            </a:ln>
            <a:effectLst/>
          </c:sp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19316528"/>
        <c:crosses val="autoZero"/>
        <c:crossBetween val="between"/>
      </c:valAx>
    </c:plotArea>
    <c:legend>
      <c:legendPos val="b"/>
      <c:legendEntry>
        <c:idx val="0"/>
        <c:delete val="1"/>
      </c:legendEntry>
      <c:overlay val="0"/>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noFill/>
            <a:ln w="28575" cap="rnd">
              <a:noFill/>
              <a:round/>
            </a:ln>
            <a:effectLst/>
          </c:spPr>
          <c:invertIfNegative val="0"/>
          <c:cat>
            <c:strRef>
              <c:extLst>
                <c:ext xmlns:c15="http://schemas.microsoft.com/office/drawing/2012/chart" uri="{02D57815-91ED-43cb-92C2-25804820EDAC}">
                  <c15:fullRef>
                    <c15:sqref>'OZL Summary'!$MY$9:$NI$9</c15:sqref>
                  </c15:fullRef>
                </c:ext>
              </c:extLst>
              <c:f>('OZL Summary'!$MY$9:$NG$9,'OZL Summary'!$NI$9)</c:f>
              <c:strCache>
                <c:ptCount val="10"/>
                <c:pt idx="0">
                  <c:v>1H18</c:v>
                </c:pt>
                <c:pt idx="1">
                  <c:v>2H18</c:v>
                </c:pt>
                <c:pt idx="2">
                  <c:v>1H19</c:v>
                </c:pt>
                <c:pt idx="3">
                  <c:v>2H19</c:v>
                </c:pt>
                <c:pt idx="4">
                  <c:v>1H20</c:v>
                </c:pt>
                <c:pt idx="5">
                  <c:v>2H20</c:v>
                </c:pt>
                <c:pt idx="6">
                  <c:v>1H21</c:v>
                </c:pt>
                <c:pt idx="7">
                  <c:v>2H21</c:v>
                </c:pt>
                <c:pt idx="8">
                  <c:v>1H22</c:v>
                </c:pt>
                <c:pt idx="9">
                  <c:v>2H22 ytd</c:v>
                </c:pt>
              </c:strCache>
            </c:strRef>
          </c:cat>
          <c:val>
            <c:numRef>
              <c:extLst>
                <c:ext xmlns:c15="http://schemas.microsoft.com/office/drawing/2012/chart" uri="{02D57815-91ED-43cb-92C2-25804820EDAC}">
                  <c15:fullRef>
                    <c15:sqref>'OZL Summary'!$MY$57:$NI$57</c15:sqref>
                  </c15:fullRef>
                </c:ext>
              </c:extLst>
              <c:f>('OZL Summary'!$MY$57:$NG$57,'OZL Summary'!$NI$57)</c:f>
              <c:numCache>
                <c:formatCode>0.0000</c:formatCode>
                <c:ptCount val="10"/>
                <c:pt idx="0">
                  <c:v>0.25984883425282412</c:v>
                </c:pt>
                <c:pt idx="1">
                  <c:v>0.28234732797992634</c:v>
                </c:pt>
                <c:pt idx="2">
                  <c:v>0.25981494388709325</c:v>
                </c:pt>
                <c:pt idx="3">
                  <c:v>0.23122928616165739</c:v>
                </c:pt>
                <c:pt idx="4">
                  <c:v>0.27769919619079503</c:v>
                </c:pt>
                <c:pt idx="5">
                  <c:v>0.28176777061038449</c:v>
                </c:pt>
                <c:pt idx="6">
                  <c:v>0.3477525735905781</c:v>
                </c:pt>
                <c:pt idx="7">
                  <c:v>0.31241663843312928</c:v>
                </c:pt>
                <c:pt idx="8">
                  <c:v>0.2988090725119269</c:v>
                </c:pt>
                <c:pt idx="9">
                  <c:v>9.6133178123237212E-2</c:v>
                </c:pt>
              </c:numCache>
            </c:numRef>
          </c:val>
          <c:extLst>
            <c:ext xmlns:c16="http://schemas.microsoft.com/office/drawing/2014/chart" uri="{C3380CC4-5D6E-409C-BE32-E72D297353CC}">
              <c16:uniqueId val="{00000000-B26D-4EF9-8EE0-8D6644F93BE9}"/>
            </c:ext>
          </c:extLst>
        </c:ser>
        <c:ser>
          <c:idx val="6"/>
          <c:order val="1"/>
          <c:spPr>
            <a:solidFill>
              <a:schemeClr val="bg2">
                <a:lumMod val="40000"/>
                <a:lumOff val="60000"/>
              </a:schemeClr>
            </a:solidFill>
            <a:ln w="28575" cap="rnd">
              <a:noFill/>
              <a:round/>
            </a:ln>
            <a:effectLst/>
          </c:spPr>
          <c:invertIfNegative val="0"/>
          <c:cat>
            <c:strRef>
              <c:extLst>
                <c:ext xmlns:c15="http://schemas.microsoft.com/office/drawing/2012/chart" uri="{02D57815-91ED-43cb-92C2-25804820EDAC}">
                  <c15:fullRef>
                    <c15:sqref>'OZL Summary'!$MY$9:$NI$9</c15:sqref>
                  </c15:fullRef>
                </c:ext>
              </c:extLst>
              <c:f>('OZL Summary'!$MY$9:$NG$9,'OZL Summary'!$NI$9)</c:f>
              <c:strCache>
                <c:ptCount val="10"/>
                <c:pt idx="0">
                  <c:v>1H18</c:v>
                </c:pt>
                <c:pt idx="1">
                  <c:v>2H18</c:v>
                </c:pt>
                <c:pt idx="2">
                  <c:v>1H19</c:v>
                </c:pt>
                <c:pt idx="3">
                  <c:v>2H19</c:v>
                </c:pt>
                <c:pt idx="4">
                  <c:v>1H20</c:v>
                </c:pt>
                <c:pt idx="5">
                  <c:v>2H20</c:v>
                </c:pt>
                <c:pt idx="6">
                  <c:v>1H21</c:v>
                </c:pt>
                <c:pt idx="7">
                  <c:v>2H21</c:v>
                </c:pt>
                <c:pt idx="8">
                  <c:v>1H22</c:v>
                </c:pt>
                <c:pt idx="9">
                  <c:v>2H22 ytd</c:v>
                </c:pt>
              </c:strCache>
            </c:strRef>
          </c:cat>
          <c:val>
            <c:numRef>
              <c:extLst>
                <c:ext xmlns:c15="http://schemas.microsoft.com/office/drawing/2012/chart" uri="{02D57815-91ED-43cb-92C2-25804820EDAC}">
                  <c15:fullRef>
                    <c15:sqref>'OZL Summary'!$MY$58:$NI$58</c15:sqref>
                  </c15:fullRef>
                </c:ext>
              </c:extLst>
              <c:f>('OZL Summary'!$MY$58:$NG$58,'OZL Summary'!$NI$58)</c:f>
              <c:numCache>
                <c:formatCode>0.0000</c:formatCode>
                <c:ptCount val="10"/>
                <c:pt idx="0">
                  <c:v>0.10608138503562109</c:v>
                </c:pt>
                <c:pt idx="1">
                  <c:v>9.7670630488830679E-2</c:v>
                </c:pt>
                <c:pt idx="2">
                  <c:v>8.8883745220119381E-2</c:v>
                </c:pt>
                <c:pt idx="3">
                  <c:v>8.7460694757175439E-2</c:v>
                </c:pt>
                <c:pt idx="4">
                  <c:v>8.6666276405491238E-2</c:v>
                </c:pt>
                <c:pt idx="5">
                  <c:v>8.9532529241102721E-2</c:v>
                </c:pt>
                <c:pt idx="6">
                  <c:v>0.10559195708643604</c:v>
                </c:pt>
                <c:pt idx="7">
                  <c:v>8.5172892343072348E-2</c:v>
                </c:pt>
                <c:pt idx="8">
                  <c:v>0.10650877245815243</c:v>
                </c:pt>
                <c:pt idx="9">
                  <c:v>6.9580919685550219E-2</c:v>
                </c:pt>
              </c:numCache>
            </c:numRef>
          </c:val>
          <c:extLst>
            <c:ext xmlns:c16="http://schemas.microsoft.com/office/drawing/2014/chart" uri="{C3380CC4-5D6E-409C-BE32-E72D297353CC}">
              <c16:uniqueId val="{00000001-B26D-4EF9-8EE0-8D6644F93BE9}"/>
            </c:ext>
          </c:extLst>
        </c:ser>
        <c:ser>
          <c:idx val="8"/>
          <c:order val="2"/>
          <c:spPr>
            <a:solidFill>
              <a:schemeClr val="accent5">
                <a:lumMod val="40000"/>
                <a:lumOff val="60000"/>
              </a:schemeClr>
            </a:solidFill>
            <a:ln w="28575" cap="rnd">
              <a:noFill/>
              <a:round/>
            </a:ln>
            <a:effectLst/>
          </c:spPr>
          <c:invertIfNegative val="0"/>
          <c:cat>
            <c:strRef>
              <c:extLst>
                <c:ext xmlns:c15="http://schemas.microsoft.com/office/drawing/2012/chart" uri="{02D57815-91ED-43cb-92C2-25804820EDAC}">
                  <c15:fullRef>
                    <c15:sqref>'OZL Summary'!$MY$9:$NI$9</c15:sqref>
                  </c15:fullRef>
                </c:ext>
              </c:extLst>
              <c:f>('OZL Summary'!$MY$9:$NG$9,'OZL Summary'!$NI$9)</c:f>
              <c:strCache>
                <c:ptCount val="10"/>
                <c:pt idx="0">
                  <c:v>1H18</c:v>
                </c:pt>
                <c:pt idx="1">
                  <c:v>2H18</c:v>
                </c:pt>
                <c:pt idx="2">
                  <c:v>1H19</c:v>
                </c:pt>
                <c:pt idx="3">
                  <c:v>2H19</c:v>
                </c:pt>
                <c:pt idx="4">
                  <c:v>1H20</c:v>
                </c:pt>
                <c:pt idx="5">
                  <c:v>2H20</c:v>
                </c:pt>
                <c:pt idx="6">
                  <c:v>1H21</c:v>
                </c:pt>
                <c:pt idx="7">
                  <c:v>2H21</c:v>
                </c:pt>
                <c:pt idx="8">
                  <c:v>1H22</c:v>
                </c:pt>
                <c:pt idx="9">
                  <c:v>2H22 ytd</c:v>
                </c:pt>
              </c:strCache>
            </c:strRef>
          </c:cat>
          <c:val>
            <c:numRef>
              <c:extLst>
                <c:ext xmlns:c15="http://schemas.microsoft.com/office/drawing/2012/chart" uri="{02D57815-91ED-43cb-92C2-25804820EDAC}">
                  <c15:fullRef>
                    <c15:sqref>'OZL Summary'!$MY$59:$NI$59</c15:sqref>
                  </c15:fullRef>
                </c:ext>
              </c:extLst>
              <c:f>('OZL Summary'!$MY$59:$NG$59,'OZL Summary'!$NI$59)</c:f>
              <c:numCache>
                <c:formatCode>0.0000</c:formatCode>
                <c:ptCount val="10"/>
                <c:pt idx="0">
                  <c:v>0.10608138503562109</c:v>
                </c:pt>
                <c:pt idx="1">
                  <c:v>9.7670630488830679E-2</c:v>
                </c:pt>
                <c:pt idx="2">
                  <c:v>8.8883745220119381E-2</c:v>
                </c:pt>
                <c:pt idx="3">
                  <c:v>8.7460694757175383E-2</c:v>
                </c:pt>
                <c:pt idx="4">
                  <c:v>8.6666276405491294E-2</c:v>
                </c:pt>
                <c:pt idx="5">
                  <c:v>8.9532529241102721E-2</c:v>
                </c:pt>
                <c:pt idx="6">
                  <c:v>0.10559195708643604</c:v>
                </c:pt>
                <c:pt idx="7">
                  <c:v>8.5172892343072348E-2</c:v>
                </c:pt>
                <c:pt idx="8">
                  <c:v>0.10650877245815243</c:v>
                </c:pt>
                <c:pt idx="9">
                  <c:v>6.9580919685550219E-2</c:v>
                </c:pt>
              </c:numCache>
            </c:numRef>
          </c:val>
          <c:extLst>
            <c:ext xmlns:c16="http://schemas.microsoft.com/office/drawing/2014/chart" uri="{C3380CC4-5D6E-409C-BE32-E72D297353CC}">
              <c16:uniqueId val="{00000002-B26D-4EF9-8EE0-8D6644F93BE9}"/>
            </c:ext>
          </c:extLst>
        </c:ser>
        <c:ser>
          <c:idx val="9"/>
          <c:order val="3"/>
          <c:spPr>
            <a:solidFill>
              <a:schemeClr val="tx2">
                <a:lumMod val="20000"/>
                <a:lumOff val="80000"/>
              </a:schemeClr>
            </a:solidFill>
            <a:ln w="28575" cap="rnd">
              <a:noFill/>
              <a:round/>
            </a:ln>
            <a:effectLst/>
          </c:spPr>
          <c:invertIfNegative val="0"/>
          <c:cat>
            <c:strRef>
              <c:extLst>
                <c:ext xmlns:c15="http://schemas.microsoft.com/office/drawing/2012/chart" uri="{02D57815-91ED-43cb-92C2-25804820EDAC}">
                  <c15:fullRef>
                    <c15:sqref>'OZL Summary'!$MY$9:$NI$9</c15:sqref>
                  </c15:fullRef>
                </c:ext>
              </c:extLst>
              <c:f>('OZL Summary'!$MY$9:$NG$9,'OZL Summary'!$NI$9)</c:f>
              <c:strCache>
                <c:ptCount val="10"/>
                <c:pt idx="0">
                  <c:v>1H18</c:v>
                </c:pt>
                <c:pt idx="1">
                  <c:v>2H18</c:v>
                </c:pt>
                <c:pt idx="2">
                  <c:v>1H19</c:v>
                </c:pt>
                <c:pt idx="3">
                  <c:v>2H19</c:v>
                </c:pt>
                <c:pt idx="4">
                  <c:v>1H20</c:v>
                </c:pt>
                <c:pt idx="5">
                  <c:v>2H20</c:v>
                </c:pt>
                <c:pt idx="6">
                  <c:v>1H21</c:v>
                </c:pt>
                <c:pt idx="7">
                  <c:v>2H21</c:v>
                </c:pt>
                <c:pt idx="8">
                  <c:v>1H22</c:v>
                </c:pt>
                <c:pt idx="9">
                  <c:v>2H22 ytd</c:v>
                </c:pt>
              </c:strCache>
            </c:strRef>
          </c:cat>
          <c:val>
            <c:numRef>
              <c:extLst>
                <c:ext xmlns:c15="http://schemas.microsoft.com/office/drawing/2012/chart" uri="{02D57815-91ED-43cb-92C2-25804820EDAC}">
                  <c15:fullRef>
                    <c15:sqref>'OZL Summary'!$MY$60:$NI$60</c15:sqref>
                  </c15:fullRef>
                </c:ext>
              </c:extLst>
              <c:f>('OZL Summary'!$MY$60:$NG$60,'OZL Summary'!$NI$60)</c:f>
              <c:numCache>
                <c:formatCode>0.0000</c:formatCode>
                <c:ptCount val="10"/>
                <c:pt idx="0">
                  <c:v>0.10608138503562103</c:v>
                </c:pt>
                <c:pt idx="1">
                  <c:v>9.7670630488830623E-2</c:v>
                </c:pt>
                <c:pt idx="2">
                  <c:v>8.8883745220119326E-2</c:v>
                </c:pt>
                <c:pt idx="3">
                  <c:v>8.7460694757175439E-2</c:v>
                </c:pt>
                <c:pt idx="4">
                  <c:v>8.6666276405491294E-2</c:v>
                </c:pt>
                <c:pt idx="5">
                  <c:v>8.9532529241102665E-2</c:v>
                </c:pt>
                <c:pt idx="6">
                  <c:v>0.10559195708643609</c:v>
                </c:pt>
                <c:pt idx="7">
                  <c:v>8.5172892343072348E-2</c:v>
                </c:pt>
                <c:pt idx="8">
                  <c:v>0.10650877245815238</c:v>
                </c:pt>
                <c:pt idx="9">
                  <c:v>6.9580919685550219E-2</c:v>
                </c:pt>
              </c:numCache>
            </c:numRef>
          </c:val>
          <c:extLst>
            <c:ext xmlns:c16="http://schemas.microsoft.com/office/drawing/2014/chart" uri="{C3380CC4-5D6E-409C-BE32-E72D297353CC}">
              <c16:uniqueId val="{00000003-B26D-4EF9-8EE0-8D6644F93BE9}"/>
            </c:ext>
          </c:extLst>
        </c:ser>
        <c:ser>
          <c:idx val="10"/>
          <c:order val="4"/>
          <c:spPr>
            <a:solidFill>
              <a:schemeClr val="tx2">
                <a:lumMod val="20000"/>
                <a:lumOff val="80000"/>
              </a:schemeClr>
            </a:solidFill>
            <a:ln w="28575" cap="rnd">
              <a:noFill/>
              <a:round/>
            </a:ln>
            <a:effectLst/>
          </c:spPr>
          <c:invertIfNegative val="0"/>
          <c:cat>
            <c:strRef>
              <c:extLst>
                <c:ext xmlns:c15="http://schemas.microsoft.com/office/drawing/2012/chart" uri="{02D57815-91ED-43cb-92C2-25804820EDAC}">
                  <c15:fullRef>
                    <c15:sqref>'OZL Summary'!$MY$9:$NI$9</c15:sqref>
                  </c15:fullRef>
                </c:ext>
              </c:extLst>
              <c:f>('OZL Summary'!$MY$9:$NG$9,'OZL Summary'!$NI$9)</c:f>
              <c:strCache>
                <c:ptCount val="10"/>
                <c:pt idx="0">
                  <c:v>1H18</c:v>
                </c:pt>
                <c:pt idx="1">
                  <c:v>2H18</c:v>
                </c:pt>
                <c:pt idx="2">
                  <c:v>1H19</c:v>
                </c:pt>
                <c:pt idx="3">
                  <c:v>2H19</c:v>
                </c:pt>
                <c:pt idx="4">
                  <c:v>1H20</c:v>
                </c:pt>
                <c:pt idx="5">
                  <c:v>2H20</c:v>
                </c:pt>
                <c:pt idx="6">
                  <c:v>1H21</c:v>
                </c:pt>
                <c:pt idx="7">
                  <c:v>2H21</c:v>
                </c:pt>
                <c:pt idx="8">
                  <c:v>1H22</c:v>
                </c:pt>
                <c:pt idx="9">
                  <c:v>2H22 ytd</c:v>
                </c:pt>
              </c:strCache>
            </c:strRef>
          </c:cat>
          <c:val>
            <c:numRef>
              <c:extLst>
                <c:ext xmlns:c15="http://schemas.microsoft.com/office/drawing/2012/chart" uri="{02D57815-91ED-43cb-92C2-25804820EDAC}">
                  <c15:fullRef>
                    <c15:sqref>'OZL Summary'!$MY$61:$NI$61</c15:sqref>
                  </c15:fullRef>
                </c:ext>
              </c:extLst>
              <c:f>('OZL Summary'!$MY$61:$NG$61,'OZL Summary'!$NI$61)</c:f>
              <c:numCache>
                <c:formatCode>0.0000</c:formatCode>
                <c:ptCount val="10"/>
                <c:pt idx="0">
                  <c:v>0.10608138503562103</c:v>
                </c:pt>
                <c:pt idx="1">
                  <c:v>9.7670630488830623E-2</c:v>
                </c:pt>
                <c:pt idx="2">
                  <c:v>8.8883745220119326E-2</c:v>
                </c:pt>
                <c:pt idx="3">
                  <c:v>8.7460694757175383E-2</c:v>
                </c:pt>
                <c:pt idx="4">
                  <c:v>8.6666276405491294E-2</c:v>
                </c:pt>
                <c:pt idx="5">
                  <c:v>8.9532529241102665E-2</c:v>
                </c:pt>
                <c:pt idx="6">
                  <c:v>0.10559195708643609</c:v>
                </c:pt>
                <c:pt idx="7">
                  <c:v>8.5172892343072348E-2</c:v>
                </c:pt>
                <c:pt idx="8">
                  <c:v>0.10650877245815238</c:v>
                </c:pt>
                <c:pt idx="9">
                  <c:v>6.9580919685550191E-2</c:v>
                </c:pt>
              </c:numCache>
            </c:numRef>
          </c:val>
          <c:extLst>
            <c:ext xmlns:c16="http://schemas.microsoft.com/office/drawing/2014/chart" uri="{C3380CC4-5D6E-409C-BE32-E72D297353CC}">
              <c16:uniqueId val="{00000004-B26D-4EF9-8EE0-8D6644F93BE9}"/>
            </c:ext>
          </c:extLst>
        </c:ser>
        <c:ser>
          <c:idx val="1"/>
          <c:order val="5"/>
          <c:spPr>
            <a:solidFill>
              <a:schemeClr val="accent5">
                <a:lumMod val="40000"/>
                <a:lumOff val="60000"/>
              </a:schemeClr>
            </a:solidFill>
            <a:ln>
              <a:noFill/>
            </a:ln>
          </c:spPr>
          <c:invertIfNegative val="0"/>
          <c:cat>
            <c:strRef>
              <c:extLst>
                <c:ext xmlns:c15="http://schemas.microsoft.com/office/drawing/2012/chart" uri="{02D57815-91ED-43cb-92C2-25804820EDAC}">
                  <c15:fullRef>
                    <c15:sqref>'OZL Summary'!$MY$9:$NI$9</c15:sqref>
                  </c15:fullRef>
                </c:ext>
              </c:extLst>
              <c:f>('OZL Summary'!$MY$9:$NG$9,'OZL Summary'!$NI$9)</c:f>
              <c:strCache>
                <c:ptCount val="10"/>
                <c:pt idx="0">
                  <c:v>1H18</c:v>
                </c:pt>
                <c:pt idx="1">
                  <c:v>2H18</c:v>
                </c:pt>
                <c:pt idx="2">
                  <c:v>1H19</c:v>
                </c:pt>
                <c:pt idx="3">
                  <c:v>2H19</c:v>
                </c:pt>
                <c:pt idx="4">
                  <c:v>1H20</c:v>
                </c:pt>
                <c:pt idx="5">
                  <c:v>2H20</c:v>
                </c:pt>
                <c:pt idx="6">
                  <c:v>1H21</c:v>
                </c:pt>
                <c:pt idx="7">
                  <c:v>2H21</c:v>
                </c:pt>
                <c:pt idx="8">
                  <c:v>1H22</c:v>
                </c:pt>
                <c:pt idx="9">
                  <c:v>2H22 ytd</c:v>
                </c:pt>
              </c:strCache>
            </c:strRef>
          </c:cat>
          <c:val>
            <c:numRef>
              <c:extLst>
                <c:ext xmlns:c15="http://schemas.microsoft.com/office/drawing/2012/chart" uri="{02D57815-91ED-43cb-92C2-25804820EDAC}">
                  <c15:fullRef>
                    <c15:sqref>'OZL Summary'!$MY$62:$NI$62</c15:sqref>
                  </c15:fullRef>
                </c:ext>
              </c:extLst>
              <c:f>('OZL Summary'!$MY$62:$NG$62,'OZL Summary'!$NI$62)</c:f>
              <c:numCache>
                <c:formatCode>0.0000</c:formatCode>
                <c:ptCount val="10"/>
                <c:pt idx="0">
                  <c:v>0.10608138503562103</c:v>
                </c:pt>
                <c:pt idx="1">
                  <c:v>9.7670630488830623E-2</c:v>
                </c:pt>
                <c:pt idx="2">
                  <c:v>8.8883745220119437E-2</c:v>
                </c:pt>
                <c:pt idx="3">
                  <c:v>8.7460694757175439E-2</c:v>
                </c:pt>
                <c:pt idx="4">
                  <c:v>8.6666276405491294E-2</c:v>
                </c:pt>
                <c:pt idx="5">
                  <c:v>8.9532529241102776E-2</c:v>
                </c:pt>
                <c:pt idx="6">
                  <c:v>0.10559195708643609</c:v>
                </c:pt>
                <c:pt idx="7">
                  <c:v>8.5172892343072348E-2</c:v>
                </c:pt>
                <c:pt idx="8">
                  <c:v>0.10650877245815238</c:v>
                </c:pt>
                <c:pt idx="9">
                  <c:v>6.9580919685550247E-2</c:v>
                </c:pt>
              </c:numCache>
            </c:numRef>
          </c:val>
          <c:extLst>
            <c:ext xmlns:c15="http://schemas.microsoft.com/office/drawing/2012/chart" uri="{02D57815-91ED-43cb-92C2-25804820EDAC}">
              <c15:categoryFilterExceptions>
                <c15:categoryFilterException>
                  <c15:sqref>'OZL Summary'!$NH$62</c15:sqref>
                  <c15:invertIfNegative val="0"/>
                  <c15:bubble3D val="0"/>
                </c15:categoryFilterException>
              </c15:categoryFilterExceptions>
            </c:ext>
            <c:ext xmlns:c16="http://schemas.microsoft.com/office/drawing/2014/chart" uri="{C3380CC4-5D6E-409C-BE32-E72D297353CC}">
              <c16:uniqueId val="{00000005-B26D-4EF9-8EE0-8D6644F93BE9}"/>
            </c:ext>
          </c:extLst>
        </c:ser>
        <c:ser>
          <c:idx val="2"/>
          <c:order val="6"/>
          <c:spPr>
            <a:solidFill>
              <a:schemeClr val="bg2">
                <a:lumMod val="40000"/>
                <a:lumOff val="60000"/>
              </a:schemeClr>
            </a:solidFill>
            <a:ln>
              <a:noFill/>
            </a:ln>
          </c:spPr>
          <c:invertIfNegative val="0"/>
          <c:cat>
            <c:strRef>
              <c:extLst>
                <c:ext xmlns:c15="http://schemas.microsoft.com/office/drawing/2012/chart" uri="{02D57815-91ED-43cb-92C2-25804820EDAC}">
                  <c15:fullRef>
                    <c15:sqref>'OZL Summary'!$MY$9:$NI$9</c15:sqref>
                  </c15:fullRef>
                </c:ext>
              </c:extLst>
              <c:f>('OZL Summary'!$MY$9:$NG$9,'OZL Summary'!$NI$9)</c:f>
              <c:strCache>
                <c:ptCount val="10"/>
                <c:pt idx="0">
                  <c:v>1H18</c:v>
                </c:pt>
                <c:pt idx="1">
                  <c:v>2H18</c:v>
                </c:pt>
                <c:pt idx="2">
                  <c:v>1H19</c:v>
                </c:pt>
                <c:pt idx="3">
                  <c:v>2H19</c:v>
                </c:pt>
                <c:pt idx="4">
                  <c:v>1H20</c:v>
                </c:pt>
                <c:pt idx="5">
                  <c:v>2H20</c:v>
                </c:pt>
                <c:pt idx="6">
                  <c:v>1H21</c:v>
                </c:pt>
                <c:pt idx="7">
                  <c:v>2H21</c:v>
                </c:pt>
                <c:pt idx="8">
                  <c:v>1H22</c:v>
                </c:pt>
                <c:pt idx="9">
                  <c:v>2H22 ytd</c:v>
                </c:pt>
              </c:strCache>
            </c:strRef>
          </c:cat>
          <c:val>
            <c:numRef>
              <c:extLst>
                <c:ext xmlns:c15="http://schemas.microsoft.com/office/drawing/2012/chart" uri="{02D57815-91ED-43cb-92C2-25804820EDAC}">
                  <c15:fullRef>
                    <c15:sqref>'OZL Summary'!$MY$63:$NI$63</c15:sqref>
                  </c15:fullRef>
                </c:ext>
              </c:extLst>
              <c:f>('OZL Summary'!$MY$63:$NG$63,'OZL Summary'!$NI$63)</c:f>
              <c:numCache>
                <c:formatCode>0.0000</c:formatCode>
                <c:ptCount val="10"/>
                <c:pt idx="0">
                  <c:v>0.10608138503562115</c:v>
                </c:pt>
                <c:pt idx="1">
                  <c:v>9.7670630488830734E-2</c:v>
                </c:pt>
                <c:pt idx="2">
                  <c:v>8.8883745220119326E-2</c:v>
                </c:pt>
                <c:pt idx="3">
                  <c:v>8.7460694757175439E-2</c:v>
                </c:pt>
                <c:pt idx="4">
                  <c:v>8.6666276405491183E-2</c:v>
                </c:pt>
                <c:pt idx="5">
                  <c:v>8.9532529241102665E-2</c:v>
                </c:pt>
                <c:pt idx="6">
                  <c:v>0.10559195708643598</c:v>
                </c:pt>
                <c:pt idx="7">
                  <c:v>8.5172892343072348E-2</c:v>
                </c:pt>
                <c:pt idx="8">
                  <c:v>0.10650877245815249</c:v>
                </c:pt>
                <c:pt idx="9">
                  <c:v>6.9580919685550247E-2</c:v>
                </c:pt>
              </c:numCache>
            </c:numRef>
          </c:val>
          <c:extLst>
            <c:ext xmlns:c16="http://schemas.microsoft.com/office/drawing/2014/chart" uri="{C3380CC4-5D6E-409C-BE32-E72D297353CC}">
              <c16:uniqueId val="{00000006-B26D-4EF9-8EE0-8D6644F93BE9}"/>
            </c:ext>
          </c:extLst>
        </c:ser>
        <c:dLbls>
          <c:showLegendKey val="0"/>
          <c:showVal val="0"/>
          <c:showCatName val="0"/>
          <c:showSerName val="0"/>
          <c:showPercent val="0"/>
          <c:showBubbleSize val="0"/>
        </c:dLbls>
        <c:gapWidth val="150"/>
        <c:overlap val="100"/>
        <c:axId val="1019316528"/>
        <c:axId val="1019315544"/>
      </c:barChart>
      <c:lineChart>
        <c:grouping val="stacked"/>
        <c:varyColors val="0"/>
        <c:ser>
          <c:idx val="3"/>
          <c:order val="7"/>
          <c:tx>
            <c:strRef>
              <c:f>'OZL Summary'!$MX$12</c:f>
              <c:strCache>
                <c:ptCount val="1"/>
                <c:pt idx="0">
                  <c:v>Actual</c:v>
                </c:pt>
              </c:strCache>
            </c:strRef>
          </c:tx>
          <c:spPr>
            <a:ln w="19050">
              <a:noFill/>
            </a:ln>
          </c:spPr>
          <c:marker>
            <c:symbol val="diamond"/>
            <c:size val="13"/>
            <c:spPr>
              <a:solidFill>
                <a:schemeClr val="tx2"/>
              </a:solidFill>
              <a:ln w="25400">
                <a:solidFill>
                  <a:schemeClr val="tx1"/>
                </a:solidFill>
              </a:ln>
            </c:spPr>
          </c:marker>
          <c:cat>
            <c:strLit>
              <c:ptCount val="10"/>
              <c:pt idx="0">
                <c:v>1H18</c:v>
              </c:pt>
              <c:pt idx="1">
                <c:v>2H18</c:v>
              </c:pt>
              <c:pt idx="2">
                <c:v>1H19</c:v>
              </c:pt>
              <c:pt idx="3">
                <c:v>2H19</c:v>
              </c:pt>
              <c:pt idx="4">
                <c:v>1H20</c:v>
              </c:pt>
              <c:pt idx="5">
                <c:v>2H20</c:v>
              </c:pt>
              <c:pt idx="6">
                <c:v>1H21</c:v>
              </c:pt>
              <c:pt idx="7">
                <c:v>2H21</c:v>
              </c:pt>
              <c:pt idx="8">
                <c:v>1H22</c:v>
              </c:pt>
              <c:pt idx="9">
                <c:v>2H22 ytd</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'OZL Summary'!$MY$12:$NI$12</c15:sqref>
                  </c15:fullRef>
                </c:ext>
              </c:extLst>
              <c:f>('OZL Summary'!$MY$12:$NG$12,'OZL Summary'!$NI$12)</c:f>
              <c:numCache>
                <c:formatCode>_-* #,##0.0000_-;\-* #,##0.0000_-;_-* "-"??_-;_-@_-</c:formatCode>
                <c:ptCount val="10"/>
                <c:pt idx="0">
                  <c:v>0.6607169155871998</c:v>
                </c:pt>
                <c:pt idx="1">
                  <c:v>0.45883012636079995</c:v>
                </c:pt>
                <c:pt idx="2">
                  <c:v>0.56990379342239983</c:v>
                </c:pt>
                <c:pt idx="3">
                  <c:v>0.8103643989443996</c:v>
                </c:pt>
                <c:pt idx="4">
                  <c:v>0.57956100921719977</c:v>
                </c:pt>
                <c:pt idx="5">
                  <c:v>0.46721199958559995</c:v>
                </c:pt>
                <c:pt idx="6">
                  <c:v>0.55445528819520007</c:v>
                </c:pt>
                <c:pt idx="7">
                  <c:v>0.54798195105719982</c:v>
                </c:pt>
                <c:pt idx="8">
                  <c:v>0.60953824564919989</c:v>
                </c:pt>
                <c:pt idx="9">
                  <c:v>0.3734694646924</c:v>
                </c:pt>
              </c:numCache>
            </c:numRef>
          </c:val>
          <c:smooth val="0"/>
          <c:extLst>
            <c:ext xmlns:c16="http://schemas.microsoft.com/office/drawing/2014/chart" uri="{C3380CC4-5D6E-409C-BE32-E72D297353CC}">
              <c16:uniqueId val="{00000007-B26D-4EF9-8EE0-8D6644F93BE9}"/>
            </c:ext>
          </c:extLst>
        </c:ser>
        <c:dLbls>
          <c:showLegendKey val="0"/>
          <c:showVal val="0"/>
          <c:showCatName val="0"/>
          <c:showSerName val="0"/>
          <c:showPercent val="0"/>
          <c:showBubbleSize val="0"/>
        </c:dLbls>
        <c:marker val="1"/>
        <c:smooth val="0"/>
        <c:axId val="1019316528"/>
        <c:axId val="1019315544"/>
      </c:lineChart>
      <c:catAx>
        <c:axId val="101931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19315544"/>
        <c:crosses val="autoZero"/>
        <c:auto val="1"/>
        <c:lblAlgn val="ctr"/>
        <c:lblOffset val="100"/>
        <c:noMultiLvlLbl val="0"/>
      </c:catAx>
      <c:valAx>
        <c:axId val="1019315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Ticket Sales ($b)</a:t>
                </a:r>
              </a:p>
            </c:rich>
          </c:tx>
          <c:overlay val="0"/>
          <c:spPr>
            <a:noFill/>
            <a:ln>
              <a:noFill/>
            </a:ln>
            <a:effectLst/>
          </c:sp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19316528"/>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3"/>
          <c:order val="0"/>
          <c:tx>
            <c:strRef>
              <c:f>'OZL Summary'!$AU$20</c:f>
              <c:strCache>
                <c:ptCount val="1"/>
                <c:pt idx="0">
                  <c:v>ytd 50th Percentile</c:v>
                </c:pt>
              </c:strCache>
            </c:strRef>
          </c:tx>
          <c:spPr>
            <a:pattFill prst="wdUpDiag">
              <a:fgClr>
                <a:schemeClr val="accent1"/>
              </a:fgClr>
              <a:bgClr>
                <a:schemeClr val="bg1"/>
              </a:bgClr>
            </a:pattFill>
            <a:ln>
              <a:solidFill>
                <a:schemeClr val="accent1"/>
              </a:solidFill>
            </a:ln>
            <a:effectLst/>
          </c:spPr>
          <c:invertIfNegative val="0"/>
          <c:cat>
            <c:strRef>
              <c:extLst>
                <c:ext xmlns:c15="http://schemas.microsoft.com/office/drawing/2012/chart" uri="{02D57815-91ED-43cb-92C2-25804820EDAC}">
                  <c15:fullRef>
                    <c15:sqref>'OZL Summary'!$AV$9:$BB$9</c15:sqref>
                  </c15:fullRef>
                </c:ext>
              </c:extLst>
              <c:f>'OZL Summary'!$AV$9:$BA$9</c:f>
              <c:strCache>
                <c:ptCount val="6"/>
                <c:pt idx="0">
                  <c:v>FY18</c:v>
                </c:pt>
                <c:pt idx="1">
                  <c:v>FY19</c:v>
                </c:pt>
                <c:pt idx="2">
                  <c:v>FY20</c:v>
                </c:pt>
                <c:pt idx="3">
                  <c:v>FY21</c:v>
                </c:pt>
                <c:pt idx="4">
                  <c:v>FY22</c:v>
                </c:pt>
                <c:pt idx="5">
                  <c:v>FY23e</c:v>
                </c:pt>
              </c:strCache>
            </c:strRef>
          </c:cat>
          <c:val>
            <c:numRef>
              <c:extLst>
                <c:ext xmlns:c15="http://schemas.microsoft.com/office/drawing/2012/chart" uri="{02D57815-91ED-43cb-92C2-25804820EDAC}">
                  <c15:fullRef>
                    <c15:sqref>'OZL Summary'!$AV$20:$BB$20</c15:sqref>
                  </c15:fullRef>
                </c:ext>
              </c:extLst>
              <c:f>'OZL Summary'!$AV$20:$BA$20</c:f>
              <c:numCache>
                <c:formatCode>General</c:formatCode>
                <c:ptCount val="6"/>
                <c:pt idx="4" formatCode="0.0000">
                  <c:v>0.99168636911903985</c:v>
                </c:pt>
              </c:numCache>
            </c:numRef>
          </c:val>
          <c:extLst>
            <c:ext xmlns:c16="http://schemas.microsoft.com/office/drawing/2014/chart" uri="{C3380CC4-5D6E-409C-BE32-E72D297353CC}">
              <c16:uniqueId val="{00000000-9D53-4390-A739-6415AB751389}"/>
            </c:ext>
          </c:extLst>
        </c:ser>
        <c:ser>
          <c:idx val="0"/>
          <c:order val="1"/>
          <c:tx>
            <c:strRef>
              <c:f>'OZL Summary'!$AU$12</c:f>
              <c:strCache>
                <c:ptCount val="1"/>
                <c:pt idx="0">
                  <c:v>Actual</c:v>
                </c:pt>
              </c:strCache>
            </c:strRef>
          </c:tx>
          <c:spPr>
            <a:solidFill>
              <a:schemeClr val="tx2"/>
            </a:solidFill>
            <a:ln>
              <a:solidFill>
                <a:schemeClr val="tx2"/>
              </a:solidFill>
            </a:ln>
            <a:effectLst/>
          </c:spPr>
          <c:invertIfNegative val="0"/>
          <c:dPt>
            <c:idx val="4"/>
            <c:invertIfNegative val="0"/>
            <c:bubble3D val="0"/>
            <c:spPr>
              <a:pattFill prst="wdUpDiag">
                <a:fgClr>
                  <a:schemeClr val="tx2"/>
                </a:fgClr>
                <a:bgClr>
                  <a:schemeClr val="bg1"/>
                </a:bgClr>
              </a:pattFill>
              <a:ln>
                <a:solidFill>
                  <a:schemeClr val="tx2"/>
                </a:solidFill>
              </a:ln>
              <a:effectLst/>
            </c:spPr>
            <c:extLst>
              <c:ext xmlns:c16="http://schemas.microsoft.com/office/drawing/2014/chart" uri="{C3380CC4-5D6E-409C-BE32-E72D297353CC}">
                <c16:uniqueId val="{00000002-9D53-4390-A739-6415AB751389}"/>
              </c:ext>
            </c:extLst>
          </c:dPt>
          <c:cat>
            <c:strRef>
              <c:extLst>
                <c:ext xmlns:c15="http://schemas.microsoft.com/office/drawing/2012/chart" uri="{02D57815-91ED-43cb-92C2-25804820EDAC}">
                  <c15:fullRef>
                    <c15:sqref>'OZL Summary'!$AV$9:$BB$9</c15:sqref>
                  </c15:fullRef>
                </c:ext>
              </c:extLst>
              <c:f>'OZL Summary'!$AV$9:$BA$9</c:f>
              <c:strCache>
                <c:ptCount val="6"/>
                <c:pt idx="0">
                  <c:v>FY18</c:v>
                </c:pt>
                <c:pt idx="1">
                  <c:v>FY19</c:v>
                </c:pt>
                <c:pt idx="2">
                  <c:v>FY20</c:v>
                </c:pt>
                <c:pt idx="3">
                  <c:v>FY21</c:v>
                </c:pt>
                <c:pt idx="4">
                  <c:v>FY22</c:v>
                </c:pt>
                <c:pt idx="5">
                  <c:v>FY23e</c:v>
                </c:pt>
              </c:strCache>
            </c:strRef>
          </c:cat>
          <c:val>
            <c:numRef>
              <c:extLst>
                <c:ext xmlns:c15="http://schemas.microsoft.com/office/drawing/2012/chart" uri="{02D57815-91ED-43cb-92C2-25804820EDAC}">
                  <c15:fullRef>
                    <c15:sqref>'OZL Summary'!$AV$12:$BB$12</c15:sqref>
                  </c15:fullRef>
                </c:ext>
              </c:extLst>
              <c:f>'OZL Summary'!$AV$12:$BA$12</c:f>
              <c:numCache>
                <c:formatCode>_(* #,##0.00_);_(* \(#,##0.00\);_(* "-"??_);_(@_)</c:formatCode>
                <c:ptCount val="6"/>
                <c:pt idx="0">
                  <c:v>1.1195470419479998</c:v>
                </c:pt>
                <c:pt idx="1">
                  <c:v>1.3802681923667999</c:v>
                </c:pt>
                <c:pt idx="2">
                  <c:v>1.0467730088028</c:v>
                </c:pt>
                <c:pt idx="3">
                  <c:v>1.1024372392524002</c:v>
                </c:pt>
                <c:pt idx="4">
                  <c:v>1.1194431701510998</c:v>
                </c:pt>
              </c:numCache>
            </c:numRef>
          </c:val>
          <c:extLst>
            <c:ext xmlns:c16="http://schemas.microsoft.com/office/drawing/2014/chart" uri="{C3380CC4-5D6E-409C-BE32-E72D297353CC}">
              <c16:uniqueId val="{00000003-9D53-4390-A739-6415AB751389}"/>
            </c:ext>
          </c:extLst>
        </c:ser>
        <c:ser>
          <c:idx val="6"/>
          <c:order val="2"/>
          <c:tx>
            <c:strRef>
              <c:f>'OZL Summary'!$AU$27</c:f>
              <c:strCache>
                <c:ptCount val="1"/>
                <c:pt idx="0">
                  <c:v>50th Percentile</c:v>
                </c:pt>
              </c:strCache>
            </c:strRef>
          </c:tx>
          <c:spPr>
            <a:solidFill>
              <a:schemeClr val="accent1"/>
            </a:solidFill>
            <a:ln>
              <a:noFill/>
            </a:ln>
            <a:effectLst/>
          </c:spPr>
          <c:invertIfNegative val="0"/>
          <c:cat>
            <c:strRef>
              <c:extLst>
                <c:ext xmlns:c15="http://schemas.microsoft.com/office/drawing/2012/chart" uri="{02D57815-91ED-43cb-92C2-25804820EDAC}">
                  <c15:fullRef>
                    <c15:sqref>'OZL Summary'!$AV$9:$BB$9</c15:sqref>
                  </c15:fullRef>
                </c:ext>
              </c:extLst>
              <c:f>'OZL Summary'!$AV$9:$BA$9</c:f>
              <c:strCache>
                <c:ptCount val="6"/>
                <c:pt idx="0">
                  <c:v>FY18</c:v>
                </c:pt>
                <c:pt idx="1">
                  <c:v>FY19</c:v>
                </c:pt>
                <c:pt idx="2">
                  <c:v>FY20</c:v>
                </c:pt>
                <c:pt idx="3">
                  <c:v>FY21</c:v>
                </c:pt>
                <c:pt idx="4">
                  <c:v>FY22</c:v>
                </c:pt>
                <c:pt idx="5">
                  <c:v>FY23e</c:v>
                </c:pt>
                <c:pt idx="6">
                  <c:v>FY22 ytd</c:v>
                </c:pt>
              </c:strCache>
            </c:strRef>
          </c:cat>
          <c:val>
            <c:numRef>
              <c:extLst>
                <c:ext xmlns:c15="http://schemas.microsoft.com/office/drawing/2012/chart" uri="{02D57815-91ED-43cb-92C2-25804820EDAC}">
                  <c15:fullRef>
                    <c15:sqref>'OZL Summary'!$AV$27:$AZ$27</c15:sqref>
                  </c15:fullRef>
                </c:ext>
              </c:extLst>
              <c:f>'OZL Summary'!$AV$27:$AZ$27</c:f>
              <c:numCache>
                <c:formatCode>0.0000</c:formatCode>
                <c:ptCount val="5"/>
                <c:pt idx="0">
                  <c:v>1.1091855899658603</c:v>
                </c:pt>
                <c:pt idx="1">
                  <c:v>1.0247224976493499</c:v>
                </c:pt>
                <c:pt idx="2">
                  <c:v>1.0787229682559785</c:v>
                </c:pt>
                <c:pt idx="3">
                  <c:v>1.2404232728458819</c:v>
                </c:pt>
                <c:pt idx="4">
                  <c:v>1.2204299920059869</c:v>
                </c:pt>
              </c:numCache>
            </c:numRef>
          </c:val>
          <c:extLst>
            <c:ext xmlns:c16="http://schemas.microsoft.com/office/drawing/2014/chart" uri="{C3380CC4-5D6E-409C-BE32-E72D297353CC}">
              <c16:uniqueId val="{00000004-9D53-4390-A739-6415AB751389}"/>
            </c:ext>
          </c:extLst>
        </c:ser>
        <c:ser>
          <c:idx val="1"/>
          <c:order val="3"/>
          <c:tx>
            <c:strRef>
              <c:f>'OZL Summary'!$AU$13</c:f>
              <c:strCache>
                <c:ptCount val="1"/>
                <c:pt idx="0">
                  <c:v>Actual ytd Standardised</c:v>
                </c:pt>
              </c:strCache>
            </c:strRef>
          </c:tx>
          <c:spPr>
            <a:solidFill>
              <a:schemeClr val="accent2"/>
            </a:solidFill>
            <a:ln>
              <a:noFill/>
            </a:ln>
            <a:effectLst/>
          </c:spPr>
          <c:invertIfNegative val="0"/>
          <c:cat>
            <c:strRef>
              <c:extLst>
                <c:ext xmlns:c15="http://schemas.microsoft.com/office/drawing/2012/chart" uri="{02D57815-91ED-43cb-92C2-25804820EDAC}">
                  <c15:fullRef>
                    <c15:sqref>'OZL Summary'!$AV$9:$BB$9</c15:sqref>
                  </c15:fullRef>
                </c:ext>
              </c:extLst>
              <c:f>'OZL Summary'!$AV$9:$BA$9</c:f>
              <c:strCache>
                <c:ptCount val="6"/>
                <c:pt idx="0">
                  <c:v>FY18</c:v>
                </c:pt>
                <c:pt idx="1">
                  <c:v>FY19</c:v>
                </c:pt>
                <c:pt idx="2">
                  <c:v>FY20</c:v>
                </c:pt>
                <c:pt idx="3">
                  <c:v>FY21</c:v>
                </c:pt>
                <c:pt idx="4">
                  <c:v>FY22</c:v>
                </c:pt>
                <c:pt idx="5">
                  <c:v>FY23e</c:v>
                </c:pt>
                <c:pt idx="6">
                  <c:v>FY22 ytd</c:v>
                </c:pt>
              </c:strCache>
            </c:strRef>
          </c:cat>
          <c:val>
            <c:numRef>
              <c:extLst>
                <c:ext xmlns:c15="http://schemas.microsoft.com/office/drawing/2012/chart" uri="{02D57815-91ED-43cb-92C2-25804820EDAC}">
                  <c15:fullRef>
                    <c15:sqref>'OZL Summary'!$AV$13:$AZ$13</c15:sqref>
                  </c15:fullRef>
                </c:ext>
              </c:extLst>
              <c:f>'OZL Summary'!$AV$13:$AZ$13</c:f>
              <c:numCache>
                <c:formatCode>_(* #,##0.00_);_(* \(#,##0.00\);_(* "-"??_);_(@_)</c:formatCode>
                <c:ptCount val="5"/>
                <c:pt idx="4">
                  <c:v>1.1194431701510998</c:v>
                </c:pt>
              </c:numCache>
            </c:numRef>
          </c:val>
          <c:extLst>
            <c:ext xmlns:c16="http://schemas.microsoft.com/office/drawing/2014/chart" uri="{C3380CC4-5D6E-409C-BE32-E72D297353CC}">
              <c16:uniqueId val="{00000005-9D53-4390-A739-6415AB751389}"/>
            </c:ext>
          </c:extLst>
        </c:ser>
        <c:ser>
          <c:idx val="2"/>
          <c:order val="4"/>
          <c:tx>
            <c:strRef>
              <c:f>'OZL Summary'!$AU$14</c:f>
              <c:strCache>
                <c:ptCount val="1"/>
                <c:pt idx="0">
                  <c:v>Actual ytd + 50th percentile</c:v>
                </c:pt>
              </c:strCache>
            </c:strRef>
          </c:tx>
          <c:spPr>
            <a:solidFill>
              <a:schemeClr val="bg2"/>
            </a:solidFill>
            <a:ln>
              <a:noFill/>
            </a:ln>
            <a:effectLst/>
          </c:spPr>
          <c:invertIfNegative val="0"/>
          <c:cat>
            <c:strRef>
              <c:extLst>
                <c:ext xmlns:c15="http://schemas.microsoft.com/office/drawing/2012/chart" uri="{02D57815-91ED-43cb-92C2-25804820EDAC}">
                  <c15:fullRef>
                    <c15:sqref>'OZL Summary'!$AV$9:$BB$9</c15:sqref>
                  </c15:fullRef>
                </c:ext>
              </c:extLst>
              <c:f>'OZL Summary'!$AV$9:$BA$9</c:f>
              <c:strCache>
                <c:ptCount val="6"/>
                <c:pt idx="0">
                  <c:v>FY18</c:v>
                </c:pt>
                <c:pt idx="1">
                  <c:v>FY19</c:v>
                </c:pt>
                <c:pt idx="2">
                  <c:v>FY20</c:v>
                </c:pt>
                <c:pt idx="3">
                  <c:v>FY21</c:v>
                </c:pt>
                <c:pt idx="4">
                  <c:v>FY22</c:v>
                </c:pt>
                <c:pt idx="5">
                  <c:v>FY23e</c:v>
                </c:pt>
                <c:pt idx="6">
                  <c:v>FY22 ytd</c:v>
                </c:pt>
              </c:strCache>
            </c:strRef>
          </c:cat>
          <c:val>
            <c:numRef>
              <c:extLst>
                <c:ext xmlns:c15="http://schemas.microsoft.com/office/drawing/2012/chart" uri="{02D57815-91ED-43cb-92C2-25804820EDAC}">
                  <c15:fullRef>
                    <c15:sqref>'OZL Summary'!$AV$14:$AZ$14</c15:sqref>
                  </c15:fullRef>
                </c:ext>
              </c:extLst>
              <c:f>'OZL Summary'!$AV$14:$AZ$14</c:f>
              <c:numCache>
                <c:formatCode>General</c:formatCode>
                <c:ptCount val="5"/>
                <c:pt idx="4" formatCode="_(* #,##0.00_);_(* \(#,##0.00\);_(* &quot;-&quot;??_);_(@_)">
                  <c:v>1.2951044059712997</c:v>
                </c:pt>
              </c:numCache>
            </c:numRef>
          </c:val>
          <c:extLst>
            <c:ext xmlns:c16="http://schemas.microsoft.com/office/drawing/2014/chart" uri="{C3380CC4-5D6E-409C-BE32-E72D297353CC}">
              <c16:uniqueId val="{00000006-9D53-4390-A739-6415AB751389}"/>
            </c:ext>
          </c:extLst>
        </c:ser>
        <c:dLbls>
          <c:showLegendKey val="0"/>
          <c:showVal val="0"/>
          <c:showCatName val="0"/>
          <c:showSerName val="0"/>
          <c:showPercent val="0"/>
          <c:showBubbleSize val="0"/>
        </c:dLbls>
        <c:gapWidth val="219"/>
        <c:overlap val="-27"/>
        <c:axId val="1019316528"/>
        <c:axId val="1019315544"/>
        <c:extLst/>
      </c:barChart>
      <c:catAx>
        <c:axId val="101931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19315544"/>
        <c:crosses val="autoZero"/>
        <c:auto val="1"/>
        <c:lblAlgn val="ctr"/>
        <c:lblOffset val="100"/>
        <c:noMultiLvlLbl val="0"/>
      </c:catAx>
      <c:valAx>
        <c:axId val="1019315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Ticket Sales ($b)</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193165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595740524807711"/>
          <c:y val="4.5604279555213005E-2"/>
          <c:w val="0.85715770307956141"/>
          <c:h val="0.63918755829072416"/>
        </c:manualLayout>
      </c:layout>
      <c:barChart>
        <c:barDir val="col"/>
        <c:grouping val="stacked"/>
        <c:varyColors val="0"/>
        <c:ser>
          <c:idx val="0"/>
          <c:order val="0"/>
          <c:tx>
            <c:strRef>
              <c:f>'OZL Summary'!$AU$35</c:f>
              <c:strCache>
                <c:ptCount val="1"/>
                <c:pt idx="0">
                  <c:v>Delete</c:v>
                </c:pt>
              </c:strCache>
            </c:strRef>
          </c:tx>
          <c:spPr>
            <a:noFill/>
          </c:spPr>
          <c:invertIfNegative val="0"/>
          <c:cat>
            <c:strRef>
              <c:f>'OZL Summary'!$AV$9:$BB$9</c:f>
              <c:strCache>
                <c:ptCount val="7"/>
                <c:pt idx="0">
                  <c:v>FY18</c:v>
                </c:pt>
                <c:pt idx="1">
                  <c:v>FY19</c:v>
                </c:pt>
                <c:pt idx="2">
                  <c:v>FY20</c:v>
                </c:pt>
                <c:pt idx="3">
                  <c:v>FY21</c:v>
                </c:pt>
                <c:pt idx="4">
                  <c:v>FY22</c:v>
                </c:pt>
                <c:pt idx="5">
                  <c:v>FY23e</c:v>
                </c:pt>
                <c:pt idx="6">
                  <c:v>FY22 ytd</c:v>
                </c:pt>
              </c:strCache>
            </c:strRef>
          </c:cat>
          <c:val>
            <c:numRef>
              <c:f>'OZL Summary'!$AV$35:$BB$35</c:f>
              <c:numCache>
                <c:formatCode>0.0000</c:formatCode>
                <c:ptCount val="7"/>
                <c:pt idx="0">
                  <c:v>0.76174137554958854</c:v>
                </c:pt>
                <c:pt idx="1">
                  <c:v>0.71872871646197445</c:v>
                </c:pt>
                <c:pt idx="2">
                  <c:v>0.76805370043418086</c:v>
                </c:pt>
                <c:pt idx="3">
                  <c:v>0.90189161627526415</c:v>
                </c:pt>
                <c:pt idx="4">
                  <c:v>0.83367465348844649</c:v>
                </c:pt>
                <c:pt idx="5">
                  <c:v>0.97380588396585999</c:v>
                </c:pt>
                <c:pt idx="6">
                  <c:v>0.65723946065637839</c:v>
                </c:pt>
              </c:numCache>
            </c:numRef>
          </c:val>
          <c:extLst>
            <c:ext xmlns:c16="http://schemas.microsoft.com/office/drawing/2014/chart" uri="{C3380CC4-5D6E-409C-BE32-E72D297353CC}">
              <c16:uniqueId val="{00000000-A579-4314-BD65-A675A51EB1E7}"/>
            </c:ext>
          </c:extLst>
        </c:ser>
        <c:ser>
          <c:idx val="6"/>
          <c:order val="1"/>
          <c:tx>
            <c:strRef>
              <c:f>'OZL Summary'!$AU$36</c:f>
              <c:strCache>
                <c:ptCount val="1"/>
                <c:pt idx="0">
                  <c:v>Min to 5th Percentile</c:v>
                </c:pt>
              </c:strCache>
            </c:strRef>
          </c:tx>
          <c:spPr>
            <a:solidFill>
              <a:srgbClr val="7030A0"/>
            </a:solidFill>
          </c:spPr>
          <c:invertIfNegative val="0"/>
          <c:cat>
            <c:strRef>
              <c:f>'OZL Summary'!$AV$9:$BB$9</c:f>
              <c:strCache>
                <c:ptCount val="7"/>
                <c:pt idx="0">
                  <c:v>FY18</c:v>
                </c:pt>
                <c:pt idx="1">
                  <c:v>FY19</c:v>
                </c:pt>
                <c:pt idx="2">
                  <c:v>FY20</c:v>
                </c:pt>
                <c:pt idx="3">
                  <c:v>FY21</c:v>
                </c:pt>
                <c:pt idx="4">
                  <c:v>FY22</c:v>
                </c:pt>
                <c:pt idx="5">
                  <c:v>FY23e</c:v>
                </c:pt>
                <c:pt idx="6">
                  <c:v>FY22 ytd</c:v>
                </c:pt>
              </c:strCache>
            </c:strRef>
          </c:cat>
          <c:val>
            <c:numRef>
              <c:f>'OZL Summary'!$AV$36:$BB$36</c:f>
              <c:numCache>
                <c:formatCode>0.0000</c:formatCode>
                <c:ptCount val="7"/>
                <c:pt idx="0">
                  <c:v>0.15948032521748401</c:v>
                </c:pt>
                <c:pt idx="1">
                  <c:v>0.14077698804332384</c:v>
                </c:pt>
                <c:pt idx="2">
                  <c:v>0.14639246001383122</c:v>
                </c:pt>
                <c:pt idx="3">
                  <c:v>0.15367455947218311</c:v>
                </c:pt>
                <c:pt idx="4">
                  <c:v>0.17739920989443214</c:v>
                </c:pt>
                <c:pt idx="5">
                  <c:v>0.19244025299021927</c:v>
                </c:pt>
                <c:pt idx="6">
                  <c:v>0.16043075333189538</c:v>
                </c:pt>
              </c:numCache>
            </c:numRef>
          </c:val>
          <c:extLst>
            <c:ext xmlns:c16="http://schemas.microsoft.com/office/drawing/2014/chart" uri="{C3380CC4-5D6E-409C-BE32-E72D297353CC}">
              <c16:uniqueId val="{00000001-A579-4314-BD65-A675A51EB1E7}"/>
            </c:ext>
          </c:extLst>
        </c:ser>
        <c:ser>
          <c:idx val="8"/>
          <c:order val="2"/>
          <c:tx>
            <c:strRef>
              <c:f>'OZL Summary'!$AU$37</c:f>
              <c:strCache>
                <c:ptCount val="1"/>
                <c:pt idx="0">
                  <c:v>5th to 25th Percentile</c:v>
                </c:pt>
              </c:strCache>
            </c:strRef>
          </c:tx>
          <c:spPr>
            <a:solidFill>
              <a:schemeClr val="tx2">
                <a:lumMod val="60000"/>
                <a:lumOff val="40000"/>
              </a:schemeClr>
            </a:solidFill>
          </c:spPr>
          <c:invertIfNegative val="0"/>
          <c:cat>
            <c:strRef>
              <c:f>'OZL Summary'!$AV$9:$BB$9</c:f>
              <c:strCache>
                <c:ptCount val="7"/>
                <c:pt idx="0">
                  <c:v>FY18</c:v>
                </c:pt>
                <c:pt idx="1">
                  <c:v>FY19</c:v>
                </c:pt>
                <c:pt idx="2">
                  <c:v>FY20</c:v>
                </c:pt>
                <c:pt idx="3">
                  <c:v>FY21</c:v>
                </c:pt>
                <c:pt idx="4">
                  <c:v>FY22</c:v>
                </c:pt>
                <c:pt idx="5">
                  <c:v>FY23e</c:v>
                </c:pt>
                <c:pt idx="6">
                  <c:v>FY22 ytd</c:v>
                </c:pt>
              </c:strCache>
            </c:strRef>
          </c:cat>
          <c:val>
            <c:numRef>
              <c:f>'OZL Summary'!$AV$37:$BB$37</c:f>
              <c:numCache>
                <c:formatCode>0.0000</c:formatCode>
                <c:ptCount val="7"/>
                <c:pt idx="0">
                  <c:v>9.9903886222913907E-2</c:v>
                </c:pt>
                <c:pt idx="1">
                  <c:v>9.1422518042371226E-2</c:v>
                </c:pt>
                <c:pt idx="2">
                  <c:v>8.558899365793593E-2</c:v>
                </c:pt>
                <c:pt idx="3">
                  <c:v>9.9761151835173756E-2</c:v>
                </c:pt>
                <c:pt idx="4">
                  <c:v>0.11264371812232965</c:v>
                </c:pt>
                <c:pt idx="5">
                  <c:v>0.15366082768637801</c:v>
                </c:pt>
                <c:pt idx="6">
                  <c:v>9.176618195003805E-2</c:v>
                </c:pt>
              </c:numCache>
            </c:numRef>
          </c:val>
          <c:extLst>
            <c:ext xmlns:c16="http://schemas.microsoft.com/office/drawing/2014/chart" uri="{C3380CC4-5D6E-409C-BE32-E72D297353CC}">
              <c16:uniqueId val="{00000002-A579-4314-BD65-A675A51EB1E7}"/>
            </c:ext>
          </c:extLst>
        </c:ser>
        <c:ser>
          <c:idx val="1"/>
          <c:order val="3"/>
          <c:tx>
            <c:strRef>
              <c:f>'OZL Summary'!$AU$38</c:f>
              <c:strCache>
                <c:ptCount val="1"/>
                <c:pt idx="0">
                  <c:v>25th to 75th Percentile</c:v>
                </c:pt>
              </c:strCache>
            </c:strRef>
          </c:tx>
          <c:spPr>
            <a:solidFill>
              <a:schemeClr val="bg2"/>
            </a:solidFill>
          </c:spPr>
          <c:invertIfNegative val="0"/>
          <c:cat>
            <c:strRef>
              <c:f>'OZL Summary'!$AV$9:$BB$9</c:f>
              <c:strCache>
                <c:ptCount val="7"/>
                <c:pt idx="0">
                  <c:v>FY18</c:v>
                </c:pt>
                <c:pt idx="1">
                  <c:v>FY19</c:v>
                </c:pt>
                <c:pt idx="2">
                  <c:v>FY20</c:v>
                </c:pt>
                <c:pt idx="3">
                  <c:v>FY21</c:v>
                </c:pt>
                <c:pt idx="4">
                  <c:v>FY22</c:v>
                </c:pt>
                <c:pt idx="5">
                  <c:v>FY23e</c:v>
                </c:pt>
                <c:pt idx="6">
                  <c:v>FY22 ytd</c:v>
                </c:pt>
              </c:strCache>
            </c:strRef>
          </c:cat>
          <c:val>
            <c:numRef>
              <c:f>'OZL Summary'!$AV$38:$AZ$38</c:f>
              <c:numCache>
                <c:formatCode>0.0000</c:formatCode>
                <c:ptCount val="5"/>
                <c:pt idx="0">
                  <c:v>0.19267649666427378</c:v>
                </c:pt>
                <c:pt idx="1">
                  <c:v>0.16283776369781211</c:v>
                </c:pt>
                <c:pt idx="2">
                  <c:v>0.16245939450841829</c:v>
                </c:pt>
                <c:pt idx="3">
                  <c:v>0.18268252175515731</c:v>
                </c:pt>
                <c:pt idx="4">
                  <c:v>0.2043926291599385</c:v>
                </c:pt>
              </c:numCache>
            </c:numRef>
          </c:val>
          <c:extLst>
            <c:ext xmlns:c16="http://schemas.microsoft.com/office/drawing/2014/chart" uri="{C3380CC4-5D6E-409C-BE32-E72D297353CC}">
              <c16:uniqueId val="{00000003-A579-4314-BD65-A675A51EB1E7}"/>
            </c:ext>
          </c:extLst>
        </c:ser>
        <c:ser>
          <c:idx val="2"/>
          <c:order val="4"/>
          <c:tx>
            <c:strRef>
              <c:f>'OZL Summary'!$AU$39</c:f>
              <c:strCache>
                <c:ptCount val="1"/>
                <c:pt idx="0">
                  <c:v>75th to 95th Percentile</c:v>
                </c:pt>
              </c:strCache>
            </c:strRef>
          </c:tx>
          <c:spPr>
            <a:solidFill>
              <a:schemeClr val="accent2"/>
            </a:solidFill>
            <a:ln w="19050">
              <a:noFill/>
            </a:ln>
          </c:spPr>
          <c:invertIfNegative val="0"/>
          <c:cat>
            <c:strRef>
              <c:f>'OZL Summary'!$AV$9:$BB$9</c:f>
              <c:strCache>
                <c:ptCount val="7"/>
                <c:pt idx="0">
                  <c:v>FY18</c:v>
                </c:pt>
                <c:pt idx="1">
                  <c:v>FY19</c:v>
                </c:pt>
                <c:pt idx="2">
                  <c:v>FY20</c:v>
                </c:pt>
                <c:pt idx="3">
                  <c:v>FY21</c:v>
                </c:pt>
                <c:pt idx="4">
                  <c:v>FY22</c:v>
                </c:pt>
                <c:pt idx="5">
                  <c:v>FY23e</c:v>
                </c:pt>
                <c:pt idx="6">
                  <c:v>FY22 ytd</c:v>
                </c:pt>
              </c:strCache>
            </c:strRef>
          </c:cat>
          <c:val>
            <c:numRef>
              <c:f>'OZL Summary'!$AV$39:$BB$39</c:f>
              <c:numCache>
                <c:formatCode>0.0000</c:formatCode>
                <c:ptCount val="7"/>
                <c:pt idx="0">
                  <c:v>0.17901908097471653</c:v>
                </c:pt>
                <c:pt idx="1">
                  <c:v>0.1599011797819252</c:v>
                </c:pt>
                <c:pt idx="2">
                  <c:v>0.14349100196326336</c:v>
                </c:pt>
                <c:pt idx="3">
                  <c:v>0.17120772999244105</c:v>
                </c:pt>
                <c:pt idx="4">
                  <c:v>0.1864553403734317</c:v>
                </c:pt>
                <c:pt idx="5">
                  <c:v>0.2538507008590476</c:v>
                </c:pt>
                <c:pt idx="6">
                  <c:v>0.16666778281438188</c:v>
                </c:pt>
              </c:numCache>
            </c:numRef>
          </c:val>
          <c:extLst>
            <c:ext xmlns:c16="http://schemas.microsoft.com/office/drawing/2014/chart" uri="{C3380CC4-5D6E-409C-BE32-E72D297353CC}">
              <c16:uniqueId val="{00000004-A579-4314-BD65-A675A51EB1E7}"/>
            </c:ext>
          </c:extLst>
        </c:ser>
        <c:ser>
          <c:idx val="4"/>
          <c:order val="5"/>
          <c:tx>
            <c:strRef>
              <c:f>'OZL Summary'!$AU$40</c:f>
              <c:strCache>
                <c:ptCount val="1"/>
                <c:pt idx="0">
                  <c:v>95th Percentile to Max</c:v>
                </c:pt>
              </c:strCache>
            </c:strRef>
          </c:tx>
          <c:spPr>
            <a:solidFill>
              <a:schemeClr val="accent1"/>
            </a:solidFill>
            <a:ln w="19050">
              <a:noFill/>
            </a:ln>
          </c:spPr>
          <c:invertIfNegative val="0"/>
          <c:cat>
            <c:strRef>
              <c:f>'OZL Summary'!$AV$9:$BB$9</c:f>
              <c:strCache>
                <c:ptCount val="7"/>
                <c:pt idx="0">
                  <c:v>FY18</c:v>
                </c:pt>
                <c:pt idx="1">
                  <c:v>FY19</c:v>
                </c:pt>
                <c:pt idx="2">
                  <c:v>FY20</c:v>
                </c:pt>
                <c:pt idx="3">
                  <c:v>FY21</c:v>
                </c:pt>
                <c:pt idx="4">
                  <c:v>FY22</c:v>
                </c:pt>
                <c:pt idx="5">
                  <c:v>FY23e</c:v>
                </c:pt>
                <c:pt idx="6">
                  <c:v>FY22 ytd</c:v>
                </c:pt>
              </c:strCache>
            </c:strRef>
          </c:cat>
          <c:val>
            <c:numRef>
              <c:f>'OZL Summary'!$AV$40:$BB$40</c:f>
              <c:numCache>
                <c:formatCode>0.0000</c:formatCode>
                <c:ptCount val="7"/>
                <c:pt idx="0">
                  <c:v>0.43596418486710631</c:v>
                </c:pt>
                <c:pt idx="1">
                  <c:v>0.48858819941143383</c:v>
                </c:pt>
                <c:pt idx="2">
                  <c:v>0.34072685698909888</c:v>
                </c:pt>
                <c:pt idx="3">
                  <c:v>0.4013026160746942</c:v>
                </c:pt>
                <c:pt idx="4">
                  <c:v>0.53962097054396896</c:v>
                </c:pt>
                <c:pt idx="5">
                  <c:v>0.69941576722402576</c:v>
                </c:pt>
                <c:pt idx="6">
                  <c:v>0.39552976371872139</c:v>
                </c:pt>
              </c:numCache>
            </c:numRef>
          </c:val>
          <c:extLst>
            <c:ext xmlns:c16="http://schemas.microsoft.com/office/drawing/2014/chart" uri="{C3380CC4-5D6E-409C-BE32-E72D297353CC}">
              <c16:uniqueId val="{00000005-A579-4314-BD65-A675A51EB1E7}"/>
            </c:ext>
          </c:extLst>
        </c:ser>
        <c:dLbls>
          <c:showLegendKey val="0"/>
          <c:showVal val="0"/>
          <c:showCatName val="0"/>
          <c:showSerName val="0"/>
          <c:showPercent val="0"/>
          <c:showBubbleSize val="0"/>
        </c:dLbls>
        <c:gapWidth val="150"/>
        <c:overlap val="100"/>
        <c:axId val="1019316528"/>
        <c:axId val="1019315544"/>
      </c:barChart>
      <c:lineChart>
        <c:grouping val="standard"/>
        <c:varyColors val="0"/>
        <c:ser>
          <c:idx val="3"/>
          <c:order val="6"/>
          <c:tx>
            <c:strRef>
              <c:f>'OZL Summary'!$AU$12</c:f>
              <c:strCache>
                <c:ptCount val="1"/>
                <c:pt idx="0">
                  <c:v>Actual</c:v>
                </c:pt>
              </c:strCache>
            </c:strRef>
          </c:tx>
          <c:spPr>
            <a:ln>
              <a:noFill/>
            </a:ln>
          </c:spPr>
          <c:marker>
            <c:symbol val="diamond"/>
            <c:size val="12"/>
            <c:spPr>
              <a:solidFill>
                <a:schemeClr val="tx2"/>
              </a:solidFill>
              <a:ln w="19050">
                <a:solidFill>
                  <a:schemeClr val="tx1"/>
                </a:solidFill>
              </a:ln>
            </c:spPr>
          </c:marker>
          <c:dPt>
            <c:idx val="4"/>
            <c:marker>
              <c:spPr>
                <a:solidFill>
                  <a:schemeClr val="accent6"/>
                </a:solidFill>
                <a:ln w="19050">
                  <a:solidFill>
                    <a:schemeClr val="tx1"/>
                  </a:solidFill>
                </a:ln>
              </c:spPr>
            </c:marker>
            <c:bubble3D val="0"/>
            <c:extLst>
              <c:ext xmlns:c16="http://schemas.microsoft.com/office/drawing/2014/chart" uri="{C3380CC4-5D6E-409C-BE32-E72D297353CC}">
                <c16:uniqueId val="{00000006-A579-4314-BD65-A675A51EB1E7}"/>
              </c:ext>
            </c:extLst>
          </c:dPt>
          <c:cat>
            <c:strRef>
              <c:f>'OZL Summary'!$AV$9:$AZ$9</c:f>
              <c:strCache>
                <c:ptCount val="5"/>
                <c:pt idx="0">
                  <c:v>FY18</c:v>
                </c:pt>
                <c:pt idx="1">
                  <c:v>FY19</c:v>
                </c:pt>
                <c:pt idx="2">
                  <c:v>FY20</c:v>
                </c:pt>
                <c:pt idx="3">
                  <c:v>FY21</c:v>
                </c:pt>
                <c:pt idx="4">
                  <c:v>FY22</c:v>
                </c:pt>
              </c:strCache>
            </c:strRef>
          </c:cat>
          <c:val>
            <c:numRef>
              <c:f>'OZL Summary'!$AV$12:$BB$12</c:f>
              <c:numCache>
                <c:formatCode>_(* #,##0.00_);_(* \(#,##0.00\);_(* "-"??_);_(@_)</c:formatCode>
                <c:ptCount val="7"/>
                <c:pt idx="0">
                  <c:v>1.1195470419479998</c:v>
                </c:pt>
                <c:pt idx="1">
                  <c:v>1.3802681923667999</c:v>
                </c:pt>
                <c:pt idx="2">
                  <c:v>1.0467730088028</c:v>
                </c:pt>
                <c:pt idx="3">
                  <c:v>1.1024372392524002</c:v>
                </c:pt>
                <c:pt idx="4">
                  <c:v>1.1194431701510998</c:v>
                </c:pt>
                <c:pt idx="6">
                  <c:v>1.1194431701510998</c:v>
                </c:pt>
              </c:numCache>
            </c:numRef>
          </c:val>
          <c:smooth val="0"/>
          <c:extLst>
            <c:ext xmlns:c16="http://schemas.microsoft.com/office/drawing/2014/chart" uri="{C3380CC4-5D6E-409C-BE32-E72D297353CC}">
              <c16:uniqueId val="{00000007-A579-4314-BD65-A675A51EB1E7}"/>
            </c:ext>
          </c:extLst>
        </c:ser>
        <c:dLbls>
          <c:showLegendKey val="0"/>
          <c:showVal val="0"/>
          <c:showCatName val="0"/>
          <c:showSerName val="0"/>
          <c:showPercent val="0"/>
          <c:showBubbleSize val="0"/>
        </c:dLbls>
        <c:marker val="1"/>
        <c:smooth val="0"/>
        <c:axId val="1019316528"/>
        <c:axId val="1019315544"/>
        <c:extLst>
          <c:ext xmlns:c15="http://schemas.microsoft.com/office/drawing/2012/chart" uri="{02D57815-91ED-43cb-92C2-25804820EDAC}">
            <c15:filteredLineSeries>
              <c15:ser>
                <c:idx val="5"/>
                <c:order val="7"/>
                <c:tx>
                  <c:strRef>
                    <c:extLst>
                      <c:ext uri="{02D57815-91ED-43cb-92C2-25804820EDAC}">
                        <c15:formulaRef>
                          <c15:sqref>'OZL Summary'!$AU$13</c15:sqref>
                        </c15:formulaRef>
                      </c:ext>
                    </c:extLst>
                    <c:strCache>
                      <c:ptCount val="1"/>
                      <c:pt idx="0">
                        <c:v>Actual ytd Standardised</c:v>
                      </c:pt>
                    </c:strCache>
                  </c:strRef>
                </c:tx>
                <c:spPr>
                  <a:ln w="19050">
                    <a:noFill/>
                  </a:ln>
                </c:spPr>
                <c:marker>
                  <c:symbol val="triangle"/>
                  <c:size val="10"/>
                  <c:spPr>
                    <a:solidFill>
                      <a:schemeClr val="accent6"/>
                    </a:solidFill>
                    <a:ln w="12700">
                      <a:solidFill>
                        <a:schemeClr val="tx1"/>
                      </a:solidFill>
                    </a:ln>
                  </c:spPr>
                </c:marker>
                <c:val>
                  <c:numRef>
                    <c:extLst>
                      <c:ext uri="{02D57815-91ED-43cb-92C2-25804820EDAC}">
                        <c15:formulaRef>
                          <c15:sqref>'OZL Summary'!$AV$13:$AZ$13</c15:sqref>
                        </c15:formulaRef>
                      </c:ext>
                    </c:extLst>
                    <c:numCache>
                      <c:formatCode>_(* #,##0.00_);_(* \(#,##0.00\);_(* "-"??_);_(@_)</c:formatCode>
                      <c:ptCount val="5"/>
                      <c:pt idx="4">
                        <c:v>1.1194431701510998</c:v>
                      </c:pt>
                    </c:numCache>
                  </c:numRef>
                </c:val>
                <c:smooth val="0"/>
                <c:extLst>
                  <c:ext xmlns:c16="http://schemas.microsoft.com/office/drawing/2014/chart" uri="{C3380CC4-5D6E-409C-BE32-E72D297353CC}">
                    <c16:uniqueId val="{00000008-A579-4314-BD65-A675A51EB1E7}"/>
                  </c:ext>
                </c:extLst>
              </c15:ser>
            </c15:filteredLineSeries>
            <c15:filteredLineSeries>
              <c15:ser>
                <c:idx val="7"/>
                <c:order val="8"/>
                <c:tx>
                  <c:strRef>
                    <c:extLst xmlns:c15="http://schemas.microsoft.com/office/drawing/2012/chart">
                      <c:ext xmlns:c15="http://schemas.microsoft.com/office/drawing/2012/chart" uri="{02D57815-91ED-43cb-92C2-25804820EDAC}">
                        <c15:formulaRef>
                          <c15:sqref>'OZL Summary'!$AU$14</c15:sqref>
                        </c15:formulaRef>
                      </c:ext>
                    </c:extLst>
                    <c:strCache>
                      <c:ptCount val="1"/>
                      <c:pt idx="0">
                        <c:v>Actual ytd + 50th percentile</c:v>
                      </c:pt>
                    </c:strCache>
                  </c:strRef>
                </c:tx>
                <c:spPr>
                  <a:ln w="19050">
                    <a:noFill/>
                  </a:ln>
                </c:spPr>
                <c:marker>
                  <c:symbol val="square"/>
                  <c:size val="9"/>
                  <c:spPr>
                    <a:solidFill>
                      <a:schemeClr val="accent5"/>
                    </a:solidFill>
                    <a:ln w="12700">
                      <a:solidFill>
                        <a:schemeClr val="tx1"/>
                      </a:solidFill>
                    </a:ln>
                  </c:spPr>
                </c:marker>
                <c:val>
                  <c:numRef>
                    <c:extLst xmlns:c15="http://schemas.microsoft.com/office/drawing/2012/chart">
                      <c:ext xmlns:c15="http://schemas.microsoft.com/office/drawing/2012/chart" uri="{02D57815-91ED-43cb-92C2-25804820EDAC}">
                        <c15:formulaRef>
                          <c15:sqref>'OZL Summary'!$AV$14:$AZ$14</c15:sqref>
                        </c15:formulaRef>
                      </c:ext>
                    </c:extLst>
                    <c:numCache>
                      <c:formatCode>General</c:formatCode>
                      <c:ptCount val="5"/>
                      <c:pt idx="4" formatCode="_(* #,##0.00_);_(* \(#,##0.00\);_(* &quot;-&quot;??_);_(@_)">
                        <c:v>1.2951044059712997</c:v>
                      </c:pt>
                    </c:numCache>
                  </c:numRef>
                </c:val>
                <c:smooth val="0"/>
                <c:extLst xmlns:c15="http://schemas.microsoft.com/office/drawing/2012/chart">
                  <c:ext xmlns:c16="http://schemas.microsoft.com/office/drawing/2014/chart" uri="{C3380CC4-5D6E-409C-BE32-E72D297353CC}">
                    <c16:uniqueId val="{00000009-A579-4314-BD65-A675A51EB1E7}"/>
                  </c:ext>
                </c:extLst>
              </c15:ser>
            </c15:filteredLineSeries>
          </c:ext>
        </c:extLst>
      </c:lineChart>
      <c:catAx>
        <c:axId val="101931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19315544"/>
        <c:crosses val="autoZero"/>
        <c:auto val="1"/>
        <c:lblAlgn val="ctr"/>
        <c:lblOffset val="100"/>
        <c:noMultiLvlLbl val="0"/>
      </c:catAx>
      <c:valAx>
        <c:axId val="1019315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Ticket Sales ($b)</a:t>
                </a:r>
              </a:p>
            </c:rich>
          </c:tx>
          <c:overlay val="0"/>
          <c:spPr>
            <a:noFill/>
            <a:ln>
              <a:noFill/>
            </a:ln>
            <a:effectLst/>
          </c:sp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19316528"/>
        <c:crosses val="autoZero"/>
        <c:crossBetween val="between"/>
      </c:valAx>
    </c:plotArea>
    <c:legend>
      <c:legendPos val="b"/>
      <c:legendEntry>
        <c:idx val="0"/>
        <c:delete val="1"/>
      </c:legendEntry>
      <c:layout>
        <c:manualLayout>
          <c:xMode val="edge"/>
          <c:yMode val="edge"/>
          <c:x val="8.129886775224672E-3"/>
          <c:y val="0.73996485499830411"/>
          <c:w val="0.97826490419964396"/>
          <c:h val="0.2335768281946092"/>
        </c:manualLayout>
      </c:layout>
      <c:overlay val="0"/>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6"/>
          <c:order val="1"/>
          <c:tx>
            <c:strRef>
              <c:f>'OZL Summary'!$AU$58</c:f>
              <c:strCache>
                <c:ptCount val="1"/>
                <c:pt idx="0">
                  <c:v>-3</c:v>
                </c:pt>
              </c:strCache>
            </c:strRef>
          </c:tx>
          <c:spPr>
            <a:noFill/>
          </c:spPr>
          <c:invertIfNegative val="0"/>
          <c:cat>
            <c:strRef>
              <c:f>'OZL Summary'!$AV$9:$BB$9</c:f>
              <c:strCache>
                <c:ptCount val="7"/>
                <c:pt idx="0">
                  <c:v>FY18</c:v>
                </c:pt>
                <c:pt idx="1">
                  <c:v>FY19</c:v>
                </c:pt>
                <c:pt idx="2">
                  <c:v>FY20</c:v>
                </c:pt>
                <c:pt idx="3">
                  <c:v>FY21</c:v>
                </c:pt>
                <c:pt idx="4">
                  <c:v>FY22</c:v>
                </c:pt>
                <c:pt idx="5">
                  <c:v>FY23e</c:v>
                </c:pt>
                <c:pt idx="6">
                  <c:v>FY22 ytd</c:v>
                </c:pt>
              </c:strCache>
            </c:strRef>
          </c:cat>
          <c:val>
            <c:numRef>
              <c:f>'OZL Summary'!$AV$58:$BB$58</c:f>
              <c:numCache>
                <c:formatCode>0.0000</c:formatCode>
                <c:ptCount val="7"/>
                <c:pt idx="0">
                  <c:v>0.68843488438637535</c:v>
                </c:pt>
                <c:pt idx="1">
                  <c:v>0.6556370749076974</c:v>
                </c:pt>
                <c:pt idx="2">
                  <c:v>0.7272846477008158</c:v>
                </c:pt>
                <c:pt idx="3">
                  <c:v>0.83607258012728436</c:v>
                </c:pt>
                <c:pt idx="4">
                  <c:v>0.77395506067147513</c:v>
                </c:pt>
                <c:pt idx="6">
                  <c:v>0.52816115873553182</c:v>
                </c:pt>
              </c:numCache>
            </c:numRef>
          </c:val>
          <c:extLst>
            <c:ext xmlns:c16="http://schemas.microsoft.com/office/drawing/2014/chart" uri="{C3380CC4-5D6E-409C-BE32-E72D297353CC}">
              <c16:uniqueId val="{00000000-D17C-4E64-B54B-8749D0C38973}"/>
            </c:ext>
          </c:extLst>
        </c:ser>
        <c:ser>
          <c:idx val="8"/>
          <c:order val="2"/>
          <c:tx>
            <c:strRef>
              <c:f>'OZL Summary'!$AU$59</c:f>
              <c:strCache>
                <c:ptCount val="1"/>
                <c:pt idx="0">
                  <c:v>-2</c:v>
                </c:pt>
              </c:strCache>
            </c:strRef>
          </c:tx>
          <c:spPr>
            <a:solidFill>
              <a:schemeClr val="bg2">
                <a:lumMod val="40000"/>
                <a:lumOff val="60000"/>
              </a:schemeClr>
            </a:solidFill>
          </c:spPr>
          <c:invertIfNegative val="0"/>
          <c:cat>
            <c:strRef>
              <c:f>'OZL Summary'!$AV$9:$BB$9</c:f>
              <c:strCache>
                <c:ptCount val="7"/>
                <c:pt idx="0">
                  <c:v>FY18</c:v>
                </c:pt>
                <c:pt idx="1">
                  <c:v>FY19</c:v>
                </c:pt>
                <c:pt idx="2">
                  <c:v>FY20</c:v>
                </c:pt>
                <c:pt idx="3">
                  <c:v>FY21</c:v>
                </c:pt>
                <c:pt idx="4">
                  <c:v>FY22</c:v>
                </c:pt>
                <c:pt idx="5">
                  <c:v>FY23e</c:v>
                </c:pt>
                <c:pt idx="6">
                  <c:v>FY22 ytd</c:v>
                </c:pt>
              </c:strCache>
            </c:strRef>
          </c:cat>
          <c:val>
            <c:numRef>
              <c:f>'OZL Summary'!$AV$59:$BB$59</c:f>
              <c:numCache>
                <c:formatCode>0.0000</c:formatCode>
                <c:ptCount val="7"/>
                <c:pt idx="0">
                  <c:v>0.14591237190691697</c:v>
                </c:pt>
                <c:pt idx="1">
                  <c:v>0.12847601936868136</c:v>
                </c:pt>
                <c:pt idx="2">
                  <c:v>0.12062512289211158</c:v>
                </c:pt>
                <c:pt idx="3">
                  <c:v>0.13970561762993605</c:v>
                </c:pt>
                <c:pt idx="4">
                  <c:v>0.1475901118230627</c:v>
                </c:pt>
                <c:pt idx="6">
                  <c:v>0.13034485594933443</c:v>
                </c:pt>
              </c:numCache>
            </c:numRef>
          </c:val>
          <c:extLst>
            <c:ext xmlns:c16="http://schemas.microsoft.com/office/drawing/2014/chart" uri="{C3380CC4-5D6E-409C-BE32-E72D297353CC}">
              <c16:uniqueId val="{00000001-D17C-4E64-B54B-8749D0C38973}"/>
            </c:ext>
          </c:extLst>
        </c:ser>
        <c:ser>
          <c:idx val="9"/>
          <c:order val="3"/>
          <c:tx>
            <c:strRef>
              <c:f>'OZL Summary'!$AU$60</c:f>
              <c:strCache>
                <c:ptCount val="1"/>
                <c:pt idx="0">
                  <c:v>-1</c:v>
                </c:pt>
              </c:strCache>
            </c:strRef>
          </c:tx>
          <c:spPr>
            <a:solidFill>
              <a:schemeClr val="accent5">
                <a:lumMod val="40000"/>
                <a:lumOff val="60000"/>
              </a:schemeClr>
            </a:solidFill>
          </c:spPr>
          <c:invertIfNegative val="0"/>
          <c:cat>
            <c:strRef>
              <c:f>'OZL Summary'!$AV$9:$BB$9</c:f>
              <c:strCache>
                <c:ptCount val="7"/>
                <c:pt idx="0">
                  <c:v>FY18</c:v>
                </c:pt>
                <c:pt idx="1">
                  <c:v>FY19</c:v>
                </c:pt>
                <c:pt idx="2">
                  <c:v>FY20</c:v>
                </c:pt>
                <c:pt idx="3">
                  <c:v>FY21</c:v>
                </c:pt>
                <c:pt idx="4">
                  <c:v>FY22</c:v>
                </c:pt>
                <c:pt idx="5">
                  <c:v>FY23e</c:v>
                </c:pt>
                <c:pt idx="6">
                  <c:v>FY22 ytd</c:v>
                </c:pt>
              </c:strCache>
            </c:strRef>
          </c:cat>
          <c:val>
            <c:numRef>
              <c:f>'OZL Summary'!$AV$60:$BB$60</c:f>
              <c:numCache>
                <c:formatCode>0.0000</c:formatCode>
                <c:ptCount val="7"/>
                <c:pt idx="0">
                  <c:v>0.14591237190691686</c:v>
                </c:pt>
                <c:pt idx="1">
                  <c:v>0.12847601936868147</c:v>
                </c:pt>
                <c:pt idx="2">
                  <c:v>0.12062512289211147</c:v>
                </c:pt>
                <c:pt idx="3">
                  <c:v>0.13970561762993605</c:v>
                </c:pt>
                <c:pt idx="4">
                  <c:v>0.1475901118230627</c:v>
                </c:pt>
                <c:pt idx="6">
                  <c:v>0.13034485594933454</c:v>
                </c:pt>
              </c:numCache>
            </c:numRef>
          </c:val>
          <c:extLst>
            <c:ext xmlns:c16="http://schemas.microsoft.com/office/drawing/2014/chart" uri="{C3380CC4-5D6E-409C-BE32-E72D297353CC}">
              <c16:uniqueId val="{00000002-D17C-4E64-B54B-8749D0C38973}"/>
            </c:ext>
          </c:extLst>
        </c:ser>
        <c:ser>
          <c:idx val="10"/>
          <c:order val="4"/>
          <c:tx>
            <c:strRef>
              <c:f>'OZL Summary'!$AU$61</c:f>
              <c:strCache>
                <c:ptCount val="1"/>
                <c:pt idx="0">
                  <c:v>0</c:v>
                </c:pt>
              </c:strCache>
            </c:strRef>
          </c:tx>
          <c:spPr>
            <a:solidFill>
              <a:schemeClr val="tx2">
                <a:lumMod val="20000"/>
                <a:lumOff val="80000"/>
              </a:schemeClr>
            </a:solidFill>
          </c:spPr>
          <c:invertIfNegative val="0"/>
          <c:cat>
            <c:strRef>
              <c:f>'OZL Summary'!$AV$9:$BB$9</c:f>
              <c:strCache>
                <c:ptCount val="7"/>
                <c:pt idx="0">
                  <c:v>FY18</c:v>
                </c:pt>
                <c:pt idx="1">
                  <c:v>FY19</c:v>
                </c:pt>
                <c:pt idx="2">
                  <c:v>FY20</c:v>
                </c:pt>
                <c:pt idx="3">
                  <c:v>FY21</c:v>
                </c:pt>
                <c:pt idx="4">
                  <c:v>FY22</c:v>
                </c:pt>
                <c:pt idx="5">
                  <c:v>FY23e</c:v>
                </c:pt>
                <c:pt idx="6">
                  <c:v>FY22 ytd</c:v>
                </c:pt>
              </c:strCache>
            </c:strRef>
          </c:cat>
          <c:val>
            <c:numRef>
              <c:f>'OZL Summary'!$AV$61:$BB$61</c:f>
              <c:numCache>
                <c:formatCode>0.0000</c:formatCode>
                <c:ptCount val="7"/>
                <c:pt idx="0">
                  <c:v>0.14591237190691686</c:v>
                </c:pt>
                <c:pt idx="1">
                  <c:v>0.12847601936868147</c:v>
                </c:pt>
                <c:pt idx="2">
                  <c:v>0.12062512289211158</c:v>
                </c:pt>
                <c:pt idx="3">
                  <c:v>0.13970561762993605</c:v>
                </c:pt>
                <c:pt idx="4">
                  <c:v>0.1475901118230627</c:v>
                </c:pt>
                <c:pt idx="6">
                  <c:v>0.13034485594933454</c:v>
                </c:pt>
              </c:numCache>
            </c:numRef>
          </c:val>
          <c:extLst>
            <c:ext xmlns:c16="http://schemas.microsoft.com/office/drawing/2014/chart" uri="{C3380CC4-5D6E-409C-BE32-E72D297353CC}">
              <c16:uniqueId val="{00000003-D17C-4E64-B54B-8749D0C38973}"/>
            </c:ext>
          </c:extLst>
        </c:ser>
        <c:ser>
          <c:idx val="1"/>
          <c:order val="5"/>
          <c:tx>
            <c:strRef>
              <c:f>'OZL Summary'!$AU$62</c:f>
              <c:strCache>
                <c:ptCount val="1"/>
                <c:pt idx="0">
                  <c:v>+1</c:v>
                </c:pt>
              </c:strCache>
            </c:strRef>
          </c:tx>
          <c:spPr>
            <a:solidFill>
              <a:schemeClr val="tx2">
                <a:lumMod val="20000"/>
                <a:lumOff val="80000"/>
              </a:schemeClr>
            </a:solidFill>
          </c:spPr>
          <c:invertIfNegative val="0"/>
          <c:cat>
            <c:strRef>
              <c:f>'OZL Summary'!$AV$9:$BB$9</c:f>
              <c:strCache>
                <c:ptCount val="7"/>
                <c:pt idx="0">
                  <c:v>FY18</c:v>
                </c:pt>
                <c:pt idx="1">
                  <c:v>FY19</c:v>
                </c:pt>
                <c:pt idx="2">
                  <c:v>FY20</c:v>
                </c:pt>
                <c:pt idx="3">
                  <c:v>FY21</c:v>
                </c:pt>
                <c:pt idx="4">
                  <c:v>FY22</c:v>
                </c:pt>
                <c:pt idx="5">
                  <c:v>FY23e</c:v>
                </c:pt>
                <c:pt idx="6">
                  <c:v>FY22 ytd</c:v>
                </c:pt>
              </c:strCache>
            </c:strRef>
          </c:cat>
          <c:val>
            <c:numRef>
              <c:f>'OZL Summary'!$AV$62:$AZ$62</c:f>
              <c:numCache>
                <c:formatCode>0.0000</c:formatCode>
                <c:ptCount val="5"/>
                <c:pt idx="0">
                  <c:v>0.14591237190691686</c:v>
                </c:pt>
                <c:pt idx="1">
                  <c:v>0.12847601936868136</c:v>
                </c:pt>
                <c:pt idx="2">
                  <c:v>0.12062512289211158</c:v>
                </c:pt>
                <c:pt idx="3">
                  <c:v>0.13970561762993605</c:v>
                </c:pt>
                <c:pt idx="4">
                  <c:v>0.1475901118230627</c:v>
                </c:pt>
              </c:numCache>
            </c:numRef>
          </c:val>
          <c:extLst>
            <c:ext xmlns:c16="http://schemas.microsoft.com/office/drawing/2014/chart" uri="{C3380CC4-5D6E-409C-BE32-E72D297353CC}">
              <c16:uniqueId val="{00000004-D17C-4E64-B54B-8749D0C38973}"/>
            </c:ext>
          </c:extLst>
        </c:ser>
        <c:ser>
          <c:idx val="2"/>
          <c:order val="6"/>
          <c:tx>
            <c:strRef>
              <c:f>'OZL Summary'!$AU$63</c:f>
              <c:strCache>
                <c:ptCount val="1"/>
                <c:pt idx="0">
                  <c:v>+2</c:v>
                </c:pt>
              </c:strCache>
            </c:strRef>
          </c:tx>
          <c:spPr>
            <a:solidFill>
              <a:schemeClr val="accent5">
                <a:lumMod val="40000"/>
                <a:lumOff val="60000"/>
              </a:schemeClr>
            </a:solidFill>
          </c:spPr>
          <c:invertIfNegative val="0"/>
          <c:cat>
            <c:strRef>
              <c:f>'OZL Summary'!$AV$9:$BB$9</c:f>
              <c:strCache>
                <c:ptCount val="7"/>
                <c:pt idx="0">
                  <c:v>FY18</c:v>
                </c:pt>
                <c:pt idx="1">
                  <c:v>FY19</c:v>
                </c:pt>
                <c:pt idx="2">
                  <c:v>FY20</c:v>
                </c:pt>
                <c:pt idx="3">
                  <c:v>FY21</c:v>
                </c:pt>
                <c:pt idx="4">
                  <c:v>FY22</c:v>
                </c:pt>
                <c:pt idx="5">
                  <c:v>FY23e</c:v>
                </c:pt>
                <c:pt idx="6">
                  <c:v>FY22 ytd</c:v>
                </c:pt>
              </c:strCache>
            </c:strRef>
          </c:cat>
          <c:val>
            <c:numRef>
              <c:f>'OZL Summary'!$AV$63:$BB$63</c:f>
              <c:numCache>
                <c:formatCode>0.0000</c:formatCode>
                <c:ptCount val="7"/>
                <c:pt idx="0">
                  <c:v>0.14591237190691686</c:v>
                </c:pt>
                <c:pt idx="1">
                  <c:v>0.12847601936868158</c:v>
                </c:pt>
                <c:pt idx="2">
                  <c:v>0.12062512289211158</c:v>
                </c:pt>
                <c:pt idx="3">
                  <c:v>0.13970561762993605</c:v>
                </c:pt>
                <c:pt idx="4">
                  <c:v>0.1475901118230627</c:v>
                </c:pt>
                <c:pt idx="6">
                  <c:v>0.13034485594933454</c:v>
                </c:pt>
              </c:numCache>
            </c:numRef>
          </c:val>
          <c:extLst>
            <c:ext xmlns:c16="http://schemas.microsoft.com/office/drawing/2014/chart" uri="{C3380CC4-5D6E-409C-BE32-E72D297353CC}">
              <c16:uniqueId val="{00000005-D17C-4E64-B54B-8749D0C38973}"/>
            </c:ext>
          </c:extLst>
        </c:ser>
        <c:ser>
          <c:idx val="3"/>
          <c:order val="7"/>
          <c:tx>
            <c:strRef>
              <c:f>'OZL Summary'!$AU$64</c:f>
              <c:strCache>
                <c:ptCount val="1"/>
                <c:pt idx="0">
                  <c:v>+3</c:v>
                </c:pt>
              </c:strCache>
            </c:strRef>
          </c:tx>
          <c:spPr>
            <a:solidFill>
              <a:schemeClr val="bg2">
                <a:lumMod val="40000"/>
                <a:lumOff val="60000"/>
              </a:schemeClr>
            </a:solidFill>
            <a:ln w="19050">
              <a:noFill/>
            </a:ln>
          </c:spPr>
          <c:invertIfNegative val="0"/>
          <c:cat>
            <c:strRef>
              <c:f>'OZL Summary'!$AV$9:$BB$9</c:f>
              <c:strCache>
                <c:ptCount val="7"/>
                <c:pt idx="0">
                  <c:v>FY18</c:v>
                </c:pt>
                <c:pt idx="1">
                  <c:v>FY19</c:v>
                </c:pt>
                <c:pt idx="2">
                  <c:v>FY20</c:v>
                </c:pt>
                <c:pt idx="3">
                  <c:v>FY21</c:v>
                </c:pt>
                <c:pt idx="4">
                  <c:v>FY22</c:v>
                </c:pt>
                <c:pt idx="5">
                  <c:v>FY23e</c:v>
                </c:pt>
                <c:pt idx="6">
                  <c:v>FY22 ytd</c:v>
                </c:pt>
              </c:strCache>
            </c:strRef>
          </c:cat>
          <c:val>
            <c:numRef>
              <c:f>'OZL Summary'!$AV$64:$BB$64</c:f>
              <c:numCache>
                <c:formatCode>0.0000</c:formatCode>
                <c:ptCount val="7"/>
                <c:pt idx="0">
                  <c:v>0.14591237190691708</c:v>
                </c:pt>
                <c:pt idx="1">
                  <c:v>0.12847601936868136</c:v>
                </c:pt>
                <c:pt idx="2">
                  <c:v>0.12062512289211158</c:v>
                </c:pt>
                <c:pt idx="3">
                  <c:v>0.13970561762993605</c:v>
                </c:pt>
                <c:pt idx="4">
                  <c:v>0.1475901118230627</c:v>
                </c:pt>
                <c:pt idx="6">
                  <c:v>0.13034485594933454</c:v>
                </c:pt>
              </c:numCache>
            </c:numRef>
          </c:val>
          <c:extLst>
            <c:ext xmlns:c16="http://schemas.microsoft.com/office/drawing/2014/chart" uri="{C3380CC4-5D6E-409C-BE32-E72D297353CC}">
              <c16:uniqueId val="{00000006-D17C-4E64-B54B-8749D0C38973}"/>
            </c:ext>
          </c:extLst>
        </c:ser>
        <c:dLbls>
          <c:showLegendKey val="0"/>
          <c:showVal val="0"/>
          <c:showCatName val="0"/>
          <c:showSerName val="0"/>
          <c:showPercent val="0"/>
          <c:showBubbleSize val="0"/>
        </c:dLbls>
        <c:gapWidth val="150"/>
        <c:overlap val="100"/>
        <c:axId val="1019316528"/>
        <c:axId val="1019315544"/>
      </c:barChart>
      <c:lineChart>
        <c:grouping val="stacked"/>
        <c:varyColors val="0"/>
        <c:ser>
          <c:idx val="0"/>
          <c:order val="0"/>
          <c:tx>
            <c:strRef>
              <c:f>'OZL Summary'!$AU$12</c:f>
              <c:strCache>
                <c:ptCount val="1"/>
                <c:pt idx="0">
                  <c:v>Actual</c:v>
                </c:pt>
              </c:strCache>
            </c:strRef>
          </c:tx>
          <c:spPr>
            <a:ln>
              <a:noFill/>
            </a:ln>
          </c:spPr>
          <c:marker>
            <c:symbol val="diamond"/>
            <c:size val="13"/>
            <c:spPr>
              <a:solidFill>
                <a:schemeClr val="tx2"/>
              </a:solidFill>
              <a:ln w="25400">
                <a:solidFill>
                  <a:schemeClr val="tx1"/>
                </a:solidFill>
              </a:ln>
            </c:spPr>
          </c:marker>
          <c:dPt>
            <c:idx val="4"/>
            <c:marker>
              <c:spPr>
                <a:solidFill>
                  <a:schemeClr val="accent6"/>
                </a:solidFill>
                <a:ln w="25400">
                  <a:solidFill>
                    <a:schemeClr val="tx1"/>
                  </a:solidFill>
                </a:ln>
              </c:spPr>
            </c:marker>
            <c:bubble3D val="0"/>
            <c:extLst>
              <c:ext xmlns:c16="http://schemas.microsoft.com/office/drawing/2014/chart" uri="{C3380CC4-5D6E-409C-BE32-E72D297353CC}">
                <c16:uniqueId val="{00000007-D17C-4E64-B54B-8749D0C38973}"/>
              </c:ext>
            </c:extLst>
          </c:dPt>
          <c:cat>
            <c:strRef>
              <c:f>'OZL Summary'!$AV$9:$BB$9</c:f>
              <c:strCache>
                <c:ptCount val="7"/>
                <c:pt idx="0">
                  <c:v>FY18</c:v>
                </c:pt>
                <c:pt idx="1">
                  <c:v>FY19</c:v>
                </c:pt>
                <c:pt idx="2">
                  <c:v>FY20</c:v>
                </c:pt>
                <c:pt idx="3">
                  <c:v>FY21</c:v>
                </c:pt>
                <c:pt idx="4">
                  <c:v>FY22</c:v>
                </c:pt>
                <c:pt idx="5">
                  <c:v>FY23e</c:v>
                </c:pt>
                <c:pt idx="6">
                  <c:v>FY22 ytd</c:v>
                </c:pt>
              </c:strCache>
            </c:strRef>
          </c:cat>
          <c:val>
            <c:numRef>
              <c:f>'OZL Summary'!$AV$12:$BB$12</c:f>
              <c:numCache>
                <c:formatCode>_(* #,##0.00_);_(* \(#,##0.00\);_(* "-"??_);_(@_)</c:formatCode>
                <c:ptCount val="7"/>
                <c:pt idx="0">
                  <c:v>1.1195470419479998</c:v>
                </c:pt>
                <c:pt idx="1">
                  <c:v>1.3802681923667999</c:v>
                </c:pt>
                <c:pt idx="2">
                  <c:v>1.0467730088028</c:v>
                </c:pt>
                <c:pt idx="3">
                  <c:v>1.1024372392524002</c:v>
                </c:pt>
                <c:pt idx="4">
                  <c:v>1.1194431701510998</c:v>
                </c:pt>
                <c:pt idx="6">
                  <c:v>1.1194431701510998</c:v>
                </c:pt>
              </c:numCache>
            </c:numRef>
          </c:val>
          <c:smooth val="0"/>
          <c:extLst>
            <c:ext xmlns:c16="http://schemas.microsoft.com/office/drawing/2014/chart" uri="{C3380CC4-5D6E-409C-BE32-E72D297353CC}">
              <c16:uniqueId val="{00000008-D17C-4E64-B54B-8749D0C38973}"/>
            </c:ext>
          </c:extLst>
        </c:ser>
        <c:dLbls>
          <c:showLegendKey val="0"/>
          <c:showVal val="0"/>
          <c:showCatName val="0"/>
          <c:showSerName val="0"/>
          <c:showPercent val="0"/>
          <c:showBubbleSize val="0"/>
        </c:dLbls>
        <c:marker val="1"/>
        <c:smooth val="0"/>
        <c:axId val="1019316528"/>
        <c:axId val="1019315544"/>
      </c:lineChart>
      <c:catAx>
        <c:axId val="101931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19315544"/>
        <c:crosses val="autoZero"/>
        <c:auto val="1"/>
        <c:lblAlgn val="ctr"/>
        <c:lblOffset val="100"/>
        <c:noMultiLvlLbl val="0"/>
      </c:catAx>
      <c:valAx>
        <c:axId val="1019315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Ticket Sales ($b)</a:t>
                </a:r>
              </a:p>
            </c:rich>
          </c:tx>
          <c:overlay val="0"/>
          <c:spPr>
            <a:noFill/>
            <a:ln>
              <a:noFill/>
            </a:ln>
            <a:effectLst/>
          </c:sp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19316528"/>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7"/>
          <c:order val="7"/>
          <c:tx>
            <c:strRef>
              <c:f>'OZL Summary'!$MI$6</c:f>
              <c:strCache>
                <c:ptCount val="1"/>
                <c:pt idx="0">
                  <c:v>1H21</c:v>
                </c:pt>
              </c:strCache>
            </c:strRef>
          </c:tx>
          <c:spPr>
            <a:ln w="28575" cap="rnd">
              <a:solidFill>
                <a:schemeClr val="tx2"/>
              </a:solidFill>
              <a:round/>
            </a:ln>
            <a:effectLst/>
          </c:spPr>
          <c:marker>
            <c:symbol val="none"/>
          </c:marker>
          <c:cat>
            <c:numRef>
              <c:f>'OZL Summary'!$MB$7:$MB$34</c:f>
              <c:numCache>
                <c:formatCode>General</c:formatCode>
                <c:ptCount val="2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numCache>
            </c:numRef>
          </c:cat>
          <c:val>
            <c:numRef>
              <c:f>'OZL Summary'!$MI$7:$MI$34</c:f>
              <c:numCache>
                <c:formatCode>_-* #,##0.0000_-;\-* #,##0.0000_-;_-* "-"??_-;_-@_-</c:formatCode>
                <c:ptCount val="28"/>
                <c:pt idx="0" formatCode="0.000">
                  <c:v>0</c:v>
                </c:pt>
                <c:pt idx="1">
                  <c:v>6.577873212959999E-2</c:v>
                </c:pt>
                <c:pt idx="2">
                  <c:v>7.9237838145599995E-2</c:v>
                </c:pt>
                <c:pt idx="3">
                  <c:v>9.5214653726399992E-2</c:v>
                </c:pt>
                <c:pt idx="4">
                  <c:v>0.12221692759439999</c:v>
                </c:pt>
                <c:pt idx="5">
                  <c:v>0.134362481058</c:v>
                </c:pt>
                <c:pt idx="6">
                  <c:v>0.15302904508439999</c:v>
                </c:pt>
                <c:pt idx="7">
                  <c:v>0.18299536232040001</c:v>
                </c:pt>
                <c:pt idx="8">
                  <c:v>0.19685485601280001</c:v>
                </c:pt>
                <c:pt idx="9">
                  <c:v>0.21172470388199999</c:v>
                </c:pt>
                <c:pt idx="10">
                  <c:v>0.23446999425239998</c:v>
                </c:pt>
                <c:pt idx="11">
                  <c:v>0.26403845718239999</c:v>
                </c:pt>
                <c:pt idx="12">
                  <c:v>0.27659061659520001</c:v>
                </c:pt>
                <c:pt idx="13">
                  <c:v>0.29648494404000003</c:v>
                </c:pt>
                <c:pt idx="14">
                  <c:v>0.32108040087480005</c:v>
                </c:pt>
                <c:pt idx="15">
                  <c:v>0.3340215477972</c:v>
                </c:pt>
                <c:pt idx="16">
                  <c:v>0.34666306609320002</c:v>
                </c:pt>
                <c:pt idx="17">
                  <c:v>0.36126311001479999</c:v>
                </c:pt>
                <c:pt idx="18">
                  <c:v>0.38231484227280005</c:v>
                </c:pt>
                <c:pt idx="19">
                  <c:v>0.41671306071720005</c:v>
                </c:pt>
                <c:pt idx="20">
                  <c:v>0.46322643218039999</c:v>
                </c:pt>
                <c:pt idx="21">
                  <c:v>0.47600486763120003</c:v>
                </c:pt>
                <c:pt idx="22">
                  <c:v>0.48888763188119999</c:v>
                </c:pt>
                <c:pt idx="23">
                  <c:v>0.5056046522316</c:v>
                </c:pt>
                <c:pt idx="24">
                  <c:v>0.5170673472192</c:v>
                </c:pt>
                <c:pt idx="25">
                  <c:v>0.53222450232240004</c:v>
                </c:pt>
                <c:pt idx="26">
                  <c:v>0.55445528819520007</c:v>
                </c:pt>
              </c:numCache>
            </c:numRef>
          </c:val>
          <c:smooth val="0"/>
          <c:extLst>
            <c:ext xmlns:c16="http://schemas.microsoft.com/office/drawing/2014/chart" uri="{C3380CC4-5D6E-409C-BE32-E72D297353CC}">
              <c16:uniqueId val="{00000000-C9A0-44FA-AA16-52D58198261A}"/>
            </c:ext>
          </c:extLst>
        </c:ser>
        <c:ser>
          <c:idx val="8"/>
          <c:order val="8"/>
          <c:tx>
            <c:strRef>
              <c:f>'OZL Summary'!$MJ$6</c:f>
              <c:strCache>
                <c:ptCount val="1"/>
                <c:pt idx="0">
                  <c:v>2H21</c:v>
                </c:pt>
              </c:strCache>
            </c:strRef>
          </c:tx>
          <c:spPr>
            <a:ln w="28575" cap="rnd">
              <a:solidFill>
                <a:schemeClr val="accent4"/>
              </a:solidFill>
              <a:round/>
            </a:ln>
            <a:effectLst/>
          </c:spPr>
          <c:marker>
            <c:symbol val="none"/>
          </c:marker>
          <c:cat>
            <c:numRef>
              <c:f>'OZL Summary'!$MB$7:$MB$34</c:f>
              <c:numCache>
                <c:formatCode>General</c:formatCode>
                <c:ptCount val="2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numCache>
            </c:numRef>
          </c:cat>
          <c:val>
            <c:numRef>
              <c:f>'OZL Summary'!$MJ$7:$MJ$34</c:f>
              <c:numCache>
                <c:formatCode>_-* #,##0.0000_-;\-* #,##0.0000_-;_-* "-"??_-;_-@_-</c:formatCode>
                <c:ptCount val="28"/>
                <c:pt idx="0" formatCode="0.000">
                  <c:v>0</c:v>
                </c:pt>
                <c:pt idx="1">
                  <c:v>1.2551123033999998E-2</c:v>
                </c:pt>
                <c:pt idx="2">
                  <c:v>2.9394811904399999E-2</c:v>
                </c:pt>
                <c:pt idx="3">
                  <c:v>5.3078140241999999E-2</c:v>
                </c:pt>
                <c:pt idx="4">
                  <c:v>8.7292689332399989E-2</c:v>
                </c:pt>
                <c:pt idx="5">
                  <c:v>0.12979826882279999</c:v>
                </c:pt>
                <c:pt idx="6">
                  <c:v>0.14213117654279997</c:v>
                </c:pt>
                <c:pt idx="7">
                  <c:v>0.15626853490679998</c:v>
                </c:pt>
                <c:pt idx="8">
                  <c:v>0.18173385901439998</c:v>
                </c:pt>
                <c:pt idx="9">
                  <c:v>0.21350151775799997</c:v>
                </c:pt>
                <c:pt idx="10">
                  <c:v>0.25443099539999997</c:v>
                </c:pt>
                <c:pt idx="11">
                  <c:v>0.26637813989999992</c:v>
                </c:pt>
                <c:pt idx="12">
                  <c:v>0.28201225955759995</c:v>
                </c:pt>
                <c:pt idx="13">
                  <c:v>0.30754333614239998</c:v>
                </c:pt>
                <c:pt idx="14">
                  <c:v>0.33673732086599995</c:v>
                </c:pt>
                <c:pt idx="15">
                  <c:v>0.3725952212735999</c:v>
                </c:pt>
                <c:pt idx="16">
                  <c:v>0.3841654693499999</c:v>
                </c:pt>
                <c:pt idx="17">
                  <c:v>0.39978369786599988</c:v>
                </c:pt>
                <c:pt idx="18">
                  <c:v>0.42366566547359985</c:v>
                </c:pt>
                <c:pt idx="19">
                  <c:v>0.43506410497559983</c:v>
                </c:pt>
                <c:pt idx="20">
                  <c:v>0.45120501386639983</c:v>
                </c:pt>
                <c:pt idx="21">
                  <c:v>0.46215239828399979</c:v>
                </c:pt>
                <c:pt idx="22">
                  <c:v>0.47754964780919978</c:v>
                </c:pt>
                <c:pt idx="23">
                  <c:v>0.50110273787759985</c:v>
                </c:pt>
                <c:pt idx="24">
                  <c:v>0.51319612694159988</c:v>
                </c:pt>
                <c:pt idx="25">
                  <c:v>0.5282522926883999</c:v>
                </c:pt>
              </c:numCache>
            </c:numRef>
          </c:val>
          <c:smooth val="0"/>
          <c:extLst>
            <c:ext xmlns:c16="http://schemas.microsoft.com/office/drawing/2014/chart" uri="{C3380CC4-5D6E-409C-BE32-E72D297353CC}">
              <c16:uniqueId val="{00000001-C9A0-44FA-AA16-52D58198261A}"/>
            </c:ext>
          </c:extLst>
        </c:ser>
        <c:ser>
          <c:idx val="9"/>
          <c:order val="9"/>
          <c:tx>
            <c:strRef>
              <c:f>'OZL Summary'!$MK$6</c:f>
              <c:strCache>
                <c:ptCount val="1"/>
                <c:pt idx="0">
                  <c:v>1H22</c:v>
                </c:pt>
              </c:strCache>
            </c:strRef>
          </c:tx>
          <c:spPr>
            <a:ln w="28575" cap="rnd">
              <a:solidFill>
                <a:schemeClr val="accent2"/>
              </a:solidFill>
              <a:round/>
            </a:ln>
            <a:effectLst/>
          </c:spPr>
          <c:marker>
            <c:symbol val="none"/>
          </c:marker>
          <c:cat>
            <c:numRef>
              <c:f>'OZL Summary'!$MB$7:$MB$34</c:f>
              <c:numCache>
                <c:formatCode>General</c:formatCode>
                <c:ptCount val="2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numCache>
            </c:numRef>
          </c:cat>
          <c:val>
            <c:numRef>
              <c:f>'OZL Summary'!$MK$7:$MK$34</c:f>
              <c:numCache>
                <c:formatCode>_-* #,##0.0000_-;\-* #,##0.0000_-;_-* "-"??_-;_-@_-</c:formatCode>
                <c:ptCount val="28"/>
                <c:pt idx="0" formatCode="0.000">
                  <c:v>0</c:v>
                </c:pt>
                <c:pt idx="1">
                  <c:v>3.4282144018799997E-2</c:v>
                </c:pt>
                <c:pt idx="2">
                  <c:v>4.61727482976E-2</c:v>
                </c:pt>
                <c:pt idx="3">
                  <c:v>6.0744925144799997E-2</c:v>
                </c:pt>
                <c:pt idx="4">
                  <c:v>7.9887071887199998E-2</c:v>
                </c:pt>
                <c:pt idx="5">
                  <c:v>9.0591598206000004E-2</c:v>
                </c:pt>
                <c:pt idx="6">
                  <c:v>0.10471594425839999</c:v>
                </c:pt>
                <c:pt idx="7">
                  <c:v>0.13024126318319998</c:v>
                </c:pt>
                <c:pt idx="8">
                  <c:v>0.14299494069599997</c:v>
                </c:pt>
                <c:pt idx="9">
                  <c:v>0.15712274134439999</c:v>
                </c:pt>
                <c:pt idx="10">
                  <c:v>0.18211939192799997</c:v>
                </c:pt>
                <c:pt idx="11">
                  <c:v>0.21562528822559998</c:v>
                </c:pt>
                <c:pt idx="12">
                  <c:v>0.26312805598319994</c:v>
                </c:pt>
                <c:pt idx="13">
                  <c:v>0.27559419595559997</c:v>
                </c:pt>
                <c:pt idx="14">
                  <c:v>0.29338294713839996</c:v>
                </c:pt>
                <c:pt idx="15">
                  <c:v>0.31479798774239992</c:v>
                </c:pt>
                <c:pt idx="16">
                  <c:v>0.34138237064759991</c:v>
                </c:pt>
                <c:pt idx="17">
                  <c:v>0.38401116406199992</c:v>
                </c:pt>
                <c:pt idx="18">
                  <c:v>0.45353502371519994</c:v>
                </c:pt>
                <c:pt idx="19">
                  <c:v>0.46636884785519994</c:v>
                </c:pt>
                <c:pt idx="20">
                  <c:v>0.48057414660719988</c:v>
                </c:pt>
                <c:pt idx="21">
                  <c:v>0.50512031787239997</c:v>
                </c:pt>
                <c:pt idx="22">
                  <c:v>0.53195446806839985</c:v>
                </c:pt>
                <c:pt idx="23">
                  <c:v>0.57374874624239991</c:v>
                </c:pt>
                <c:pt idx="24">
                  <c:v>0.58543426267199994</c:v>
                </c:pt>
                <c:pt idx="25">
                  <c:v>0.59798193110999986</c:v>
                </c:pt>
                <c:pt idx="26">
                  <c:v>0.60953824564919989</c:v>
                </c:pt>
              </c:numCache>
            </c:numRef>
          </c:val>
          <c:smooth val="0"/>
          <c:extLst>
            <c:ext xmlns:c16="http://schemas.microsoft.com/office/drawing/2014/chart" uri="{C3380CC4-5D6E-409C-BE32-E72D297353CC}">
              <c16:uniqueId val="{00000002-C9A0-44FA-AA16-52D58198261A}"/>
            </c:ext>
          </c:extLst>
        </c:ser>
        <c:ser>
          <c:idx val="10"/>
          <c:order val="10"/>
          <c:tx>
            <c:strRef>
              <c:f>'OZL Summary'!$ML$6</c:f>
              <c:strCache>
                <c:ptCount val="1"/>
                <c:pt idx="0">
                  <c:v>2H22</c:v>
                </c:pt>
              </c:strCache>
            </c:strRef>
          </c:tx>
          <c:spPr>
            <a:ln w="28575" cap="rnd">
              <a:solidFill>
                <a:schemeClr val="accent1"/>
              </a:solidFill>
              <a:round/>
            </a:ln>
            <a:effectLst/>
          </c:spPr>
          <c:marker>
            <c:symbol val="none"/>
          </c:marker>
          <c:cat>
            <c:numRef>
              <c:f>'OZL Summary'!$MB$7:$MB$34</c:f>
              <c:numCache>
                <c:formatCode>General</c:formatCode>
                <c:ptCount val="2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numCache>
            </c:numRef>
          </c:cat>
          <c:val>
            <c:numRef>
              <c:f>'OZL Summary'!$ML$7:$ML$34</c:f>
              <c:numCache>
                <c:formatCode>_-* #,##0.0000_-;\-* #,##0.0000_-;_-* "-"??_-;_-@_-</c:formatCode>
                <c:ptCount val="28"/>
                <c:pt idx="0" formatCode="0.000">
                  <c:v>0</c:v>
                </c:pt>
                <c:pt idx="1">
                  <c:v>1.83918084912E-2</c:v>
                </c:pt>
                <c:pt idx="2">
                  <c:v>5.1320441797199995E-2</c:v>
                </c:pt>
                <c:pt idx="3">
                  <c:v>9.3269601025199989E-2</c:v>
                </c:pt>
                <c:pt idx="4">
                  <c:v>0.15693653862000001</c:v>
                </c:pt>
                <c:pt idx="5">
                  <c:v>0.16921774255320002</c:v>
                </c:pt>
                <c:pt idx="6">
                  <c:v>0.1838797388964</c:v>
                </c:pt>
                <c:pt idx="7">
                  <c:v>0.20299689739439999</c:v>
                </c:pt>
                <c:pt idx="8">
                  <c:v>0.21386782008719998</c:v>
                </c:pt>
                <c:pt idx="9">
                  <c:v>0.23052645776519998</c:v>
                </c:pt>
                <c:pt idx="10">
                  <c:v>0.25480109778479998</c:v>
                </c:pt>
                <c:pt idx="11">
                  <c:v>0.26624755617119999</c:v>
                </c:pt>
                <c:pt idx="12">
                  <c:v>0.28611919843559996</c:v>
                </c:pt>
                <c:pt idx="13">
                  <c:v>0.29892757371840001</c:v>
                </c:pt>
                <c:pt idx="14">
                  <c:v>0.30904758271839999</c:v>
                </c:pt>
                <c:pt idx="15">
                  <c:v>0.32416328266959998</c:v>
                </c:pt>
                <c:pt idx="16">
                  <c:v>0.34605206353840001</c:v>
                </c:pt>
                <c:pt idx="17">
                  <c:v>0.3734694646924</c:v>
                </c:pt>
              </c:numCache>
            </c:numRef>
          </c:val>
          <c:smooth val="0"/>
          <c:extLst>
            <c:ext xmlns:c16="http://schemas.microsoft.com/office/drawing/2014/chart" uri="{C3380CC4-5D6E-409C-BE32-E72D297353CC}">
              <c16:uniqueId val="{00000003-C9A0-44FA-AA16-52D58198261A}"/>
            </c:ext>
          </c:extLst>
        </c:ser>
        <c:dLbls>
          <c:showLegendKey val="0"/>
          <c:showVal val="0"/>
          <c:showCatName val="0"/>
          <c:showSerName val="0"/>
          <c:showPercent val="0"/>
          <c:showBubbleSize val="0"/>
        </c:dLbls>
        <c:smooth val="0"/>
        <c:axId val="1388952432"/>
        <c:axId val="1388953088"/>
        <c:extLst>
          <c:ext xmlns:c15="http://schemas.microsoft.com/office/drawing/2012/chart" uri="{02D57815-91ED-43cb-92C2-25804820EDAC}">
            <c15:filteredLineSeries>
              <c15:ser>
                <c:idx val="0"/>
                <c:order val="0"/>
                <c:tx>
                  <c:strRef>
                    <c:extLst>
                      <c:ext uri="{02D57815-91ED-43cb-92C2-25804820EDAC}">
                        <c15:formulaRef>
                          <c15:sqref>'OZL Summary'!$MB$6</c15:sqref>
                        </c15:formulaRef>
                      </c:ext>
                    </c:extLst>
                    <c:strCache>
                      <c:ptCount val="1"/>
                      <c:pt idx="0">
                        <c:v>Week</c:v>
                      </c:pt>
                    </c:strCache>
                  </c:strRef>
                </c:tx>
                <c:spPr>
                  <a:ln w="28575" cap="rnd">
                    <a:solidFill>
                      <a:schemeClr val="accent1"/>
                    </a:solidFill>
                    <a:round/>
                  </a:ln>
                  <a:effectLst/>
                </c:spPr>
                <c:marker>
                  <c:symbol val="none"/>
                </c:marker>
                <c:cat>
                  <c:numRef>
                    <c:extLst>
                      <c:ext uri="{02D57815-91ED-43cb-92C2-25804820EDAC}">
                        <c15:formulaRef>
                          <c15:sqref>'OZL Summary'!$MB$7:$MB$34</c15:sqref>
                        </c15:formulaRef>
                      </c:ext>
                    </c:extLst>
                    <c:numCache>
                      <c:formatCode>General</c:formatCode>
                      <c:ptCount val="2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numCache>
                  </c:numRef>
                </c:cat>
                <c:val>
                  <c:numRef>
                    <c:extLst>
                      <c:ext uri="{02D57815-91ED-43cb-92C2-25804820EDAC}">
                        <c15:formulaRef>
                          <c15:sqref>'OZL Summary'!$MB$7:$MB$34</c15:sqref>
                        </c15:formulaRef>
                      </c:ext>
                    </c:extLst>
                    <c:numCache>
                      <c:formatCode>General</c:formatCode>
                      <c:ptCount val="2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numCache>
                  </c:numRef>
                </c:val>
                <c:smooth val="0"/>
                <c:extLst>
                  <c:ext xmlns:c16="http://schemas.microsoft.com/office/drawing/2014/chart" uri="{C3380CC4-5D6E-409C-BE32-E72D297353CC}">
                    <c16:uniqueId val="{00000004-C9A0-44FA-AA16-52D58198261A}"/>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'OZL Summary'!$MC$6</c15:sqref>
                        </c15:formulaRef>
                      </c:ext>
                    </c:extLst>
                    <c:strCache>
                      <c:ptCount val="1"/>
                      <c:pt idx="0">
                        <c:v>1H18</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'OZL Summary'!$MB$7:$MB$34</c15:sqref>
                        </c15:formulaRef>
                      </c:ext>
                    </c:extLst>
                    <c:numCache>
                      <c:formatCode>General</c:formatCode>
                      <c:ptCount val="2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numCache>
                  </c:numRef>
                </c:cat>
                <c:val>
                  <c:numRef>
                    <c:extLst xmlns:c15="http://schemas.microsoft.com/office/drawing/2012/chart">
                      <c:ext xmlns:c15="http://schemas.microsoft.com/office/drawing/2012/chart" uri="{02D57815-91ED-43cb-92C2-25804820EDAC}">
                        <c15:formulaRef>
                          <c15:sqref>'OZL Summary'!$MC$7:$MC$34</c15:sqref>
                        </c15:formulaRef>
                      </c:ext>
                    </c:extLst>
                    <c:numCache>
                      <c:formatCode>_-* #,##0.0000_-;\-* #,##0.0000_-;_-* "-"??_-;_-@_-</c:formatCode>
                      <c:ptCount val="28"/>
                      <c:pt idx="0" formatCode="0.000">
                        <c:v>0</c:v>
                      </c:pt>
                      <c:pt idx="1">
                        <c:v>4.1865866715599998E-2</c:v>
                      </c:pt>
                      <c:pt idx="2">
                        <c:v>9.2468276110799996E-2</c:v>
                      </c:pt>
                      <c:pt idx="3">
                        <c:v>0.17050162431239999</c:v>
                      </c:pt>
                      <c:pt idx="4">
                        <c:v>0.18218560762799998</c:v>
                      </c:pt>
                      <c:pt idx="5">
                        <c:v>0.19622206621079999</c:v>
                      </c:pt>
                      <c:pt idx="6">
                        <c:v>0.206705392524</c:v>
                      </c:pt>
                      <c:pt idx="7">
                        <c:v>0.22251225534479999</c:v>
                      </c:pt>
                      <c:pt idx="8">
                        <c:v>0.24197346529559999</c:v>
                      </c:pt>
                      <c:pt idx="9">
                        <c:v>0.26554203590039999</c:v>
                      </c:pt>
                      <c:pt idx="10">
                        <c:v>0.30560372205479996</c:v>
                      </c:pt>
                      <c:pt idx="11">
                        <c:v>0.31474615115879995</c:v>
                      </c:pt>
                      <c:pt idx="12">
                        <c:v>0.32586301175039994</c:v>
                      </c:pt>
                      <c:pt idx="13">
                        <c:v>0.34525005072119991</c:v>
                      </c:pt>
                      <c:pt idx="14">
                        <c:v>0.36818554348439991</c:v>
                      </c:pt>
                      <c:pt idx="15">
                        <c:v>0.37907703840599988</c:v>
                      </c:pt>
                      <c:pt idx="16">
                        <c:v>0.39079274407919989</c:v>
                      </c:pt>
                      <c:pt idx="17">
                        <c:v>0.4074880611311999</c:v>
                      </c:pt>
                      <c:pt idx="18">
                        <c:v>0.42965856581759987</c:v>
                      </c:pt>
                      <c:pt idx="19">
                        <c:v>0.4716976502987999</c:v>
                      </c:pt>
                      <c:pt idx="20">
                        <c:v>0.52751667588119988</c:v>
                      </c:pt>
                      <c:pt idx="21">
                        <c:v>0.53745775527599982</c:v>
                      </c:pt>
                      <c:pt idx="22">
                        <c:v>0.5541113083607998</c:v>
                      </c:pt>
                      <c:pt idx="23">
                        <c:v>0.57557684640959983</c:v>
                      </c:pt>
                      <c:pt idx="24">
                        <c:v>0.60107546002319978</c:v>
                      </c:pt>
                      <c:pt idx="25">
                        <c:v>0.62906359405319978</c:v>
                      </c:pt>
                      <c:pt idx="26">
                        <c:v>0.6607169155871998</c:v>
                      </c:pt>
                    </c:numCache>
                  </c:numRef>
                </c:val>
                <c:smooth val="0"/>
                <c:extLst xmlns:c15="http://schemas.microsoft.com/office/drawing/2012/chart">
                  <c:ext xmlns:c16="http://schemas.microsoft.com/office/drawing/2014/chart" uri="{C3380CC4-5D6E-409C-BE32-E72D297353CC}">
                    <c16:uniqueId val="{00000005-C9A0-44FA-AA16-52D58198261A}"/>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'OZL Summary'!$MD$6</c15:sqref>
                        </c15:formulaRef>
                      </c:ext>
                    </c:extLst>
                    <c:strCache>
                      <c:ptCount val="1"/>
                      <c:pt idx="0">
                        <c:v>2H18</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'OZL Summary'!$MB$7:$MB$34</c15:sqref>
                        </c15:formulaRef>
                      </c:ext>
                    </c:extLst>
                    <c:numCache>
                      <c:formatCode>General</c:formatCode>
                      <c:ptCount val="2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numCache>
                  </c:numRef>
                </c:cat>
                <c:val>
                  <c:numRef>
                    <c:extLst xmlns:c15="http://schemas.microsoft.com/office/drawing/2012/chart">
                      <c:ext xmlns:c15="http://schemas.microsoft.com/office/drawing/2012/chart" uri="{02D57815-91ED-43cb-92C2-25804820EDAC}">
                        <c15:formulaRef>
                          <c15:sqref>'OZL Summary'!$MD$7:$MD$34</c15:sqref>
                        </c15:formulaRef>
                      </c:ext>
                    </c:extLst>
                    <c:numCache>
                      <c:formatCode>_-* #,##0.0000_-;\-* #,##0.0000_-;_-* "-"??_-;_-@_-</c:formatCode>
                      <c:ptCount val="28"/>
                      <c:pt idx="0" formatCode="0.000">
                        <c:v>0</c:v>
                      </c:pt>
                      <c:pt idx="1">
                        <c:v>5.3613979401599995E-2</c:v>
                      </c:pt>
                      <c:pt idx="2">
                        <c:v>6.3111972772799993E-2</c:v>
                      </c:pt>
                      <c:pt idx="3">
                        <c:v>7.4269912676399999E-2</c:v>
                      </c:pt>
                      <c:pt idx="4">
                        <c:v>8.8287315022800003E-2</c:v>
                      </c:pt>
                      <c:pt idx="5">
                        <c:v>0.1100203250364</c:v>
                      </c:pt>
                      <c:pt idx="6">
                        <c:v>0.12000624934679999</c:v>
                      </c:pt>
                      <c:pt idx="7">
                        <c:v>0.1326212496252</c:v>
                      </c:pt>
                      <c:pt idx="8">
                        <c:v>0.1571128495488</c:v>
                      </c:pt>
                      <c:pt idx="9">
                        <c:v>0.18104132057040001</c:v>
                      </c:pt>
                      <c:pt idx="10">
                        <c:v>0.218727937836</c:v>
                      </c:pt>
                      <c:pt idx="11">
                        <c:v>0.22941061292159998</c:v>
                      </c:pt>
                      <c:pt idx="12">
                        <c:v>0.24230689237799999</c:v>
                      </c:pt>
                      <c:pt idx="13">
                        <c:v>0.26258501009160001</c:v>
                      </c:pt>
                      <c:pt idx="14">
                        <c:v>0.27142310995920005</c:v>
                      </c:pt>
                      <c:pt idx="15">
                        <c:v>0.28536417325079999</c:v>
                      </c:pt>
                      <c:pt idx="16">
                        <c:v>0.30750227092440002</c:v>
                      </c:pt>
                      <c:pt idx="17">
                        <c:v>0.31776833332080001</c:v>
                      </c:pt>
                      <c:pt idx="18">
                        <c:v>0.33477106055760003</c:v>
                      </c:pt>
                      <c:pt idx="19">
                        <c:v>0.35147584867320003</c:v>
                      </c:pt>
                      <c:pt idx="20">
                        <c:v>0.37253869535520001</c:v>
                      </c:pt>
                      <c:pt idx="21">
                        <c:v>0.3815108735328</c:v>
                      </c:pt>
                      <c:pt idx="22">
                        <c:v>0.39413294858160003</c:v>
                      </c:pt>
                      <c:pt idx="23">
                        <c:v>0.4114497043368</c:v>
                      </c:pt>
                      <c:pt idx="24">
                        <c:v>0.4363047420624</c:v>
                      </c:pt>
                      <c:pt idx="25">
                        <c:v>0.44587085862600001</c:v>
                      </c:pt>
                      <c:pt idx="26">
                        <c:v>0.45883012636079995</c:v>
                      </c:pt>
                    </c:numCache>
                  </c:numRef>
                </c:val>
                <c:smooth val="0"/>
                <c:extLst xmlns:c15="http://schemas.microsoft.com/office/drawing/2012/chart">
                  <c:ext xmlns:c16="http://schemas.microsoft.com/office/drawing/2014/chart" uri="{C3380CC4-5D6E-409C-BE32-E72D297353CC}">
                    <c16:uniqueId val="{00000006-C9A0-44FA-AA16-52D58198261A}"/>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'OZL Summary'!$ME$6</c15:sqref>
                        </c15:formulaRef>
                      </c:ext>
                    </c:extLst>
                    <c:strCache>
                      <c:ptCount val="1"/>
                      <c:pt idx="0">
                        <c:v>1H19</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'OZL Summary'!$MB$7:$MB$34</c15:sqref>
                        </c15:formulaRef>
                      </c:ext>
                    </c:extLst>
                    <c:numCache>
                      <c:formatCode>General</c:formatCode>
                      <c:ptCount val="2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numCache>
                  </c:numRef>
                </c:cat>
                <c:val>
                  <c:numRef>
                    <c:extLst xmlns:c15="http://schemas.microsoft.com/office/drawing/2012/chart">
                      <c:ext xmlns:c15="http://schemas.microsoft.com/office/drawing/2012/chart" uri="{02D57815-91ED-43cb-92C2-25804820EDAC}">
                        <c15:formulaRef>
                          <c15:sqref>'OZL Summary'!$ME$7:$ME$34</c15:sqref>
                        </c15:formulaRef>
                      </c:ext>
                    </c:extLst>
                    <c:numCache>
                      <c:formatCode>_-* #,##0.0000_-;\-* #,##0.0000_-;_-* "-"??_-;_-@_-</c:formatCode>
                      <c:ptCount val="28"/>
                      <c:pt idx="0" formatCode="0.000">
                        <c:v>0</c:v>
                      </c:pt>
                      <c:pt idx="1">
                        <c:v>1.8046255870799999E-2</c:v>
                      </c:pt>
                      <c:pt idx="2">
                        <c:v>3.9156686089199998E-2</c:v>
                      </c:pt>
                      <c:pt idx="3">
                        <c:v>7.2989607452400004E-2</c:v>
                      </c:pt>
                      <c:pt idx="4">
                        <c:v>0.1138105762236</c:v>
                      </c:pt>
                      <c:pt idx="5">
                        <c:v>0.16491871759320001</c:v>
                      </c:pt>
                      <c:pt idx="6">
                        <c:v>0.249567660774</c:v>
                      </c:pt>
                      <c:pt idx="7">
                        <c:v>0.26071304866560002</c:v>
                      </c:pt>
                      <c:pt idx="8">
                        <c:v>0.27667806683759999</c:v>
                      </c:pt>
                      <c:pt idx="9">
                        <c:v>0.30000940441559998</c:v>
                      </c:pt>
                      <c:pt idx="10">
                        <c:v>0.32356736286479998</c:v>
                      </c:pt>
                      <c:pt idx="11">
                        <c:v>0.36099198540719996</c:v>
                      </c:pt>
                      <c:pt idx="12">
                        <c:v>0.37042881624719998</c:v>
                      </c:pt>
                      <c:pt idx="13">
                        <c:v>0.38485838102399994</c:v>
                      </c:pt>
                      <c:pt idx="14">
                        <c:v>0.40465450147679993</c:v>
                      </c:pt>
                      <c:pt idx="15">
                        <c:v>0.41403827153879991</c:v>
                      </c:pt>
                      <c:pt idx="16">
                        <c:v>0.42646533396479991</c:v>
                      </c:pt>
                      <c:pt idx="17">
                        <c:v>0.44495273600279989</c:v>
                      </c:pt>
                      <c:pt idx="18">
                        <c:v>0.46498209566039983</c:v>
                      </c:pt>
                      <c:pt idx="19">
                        <c:v>0.47493766692359984</c:v>
                      </c:pt>
                      <c:pt idx="20">
                        <c:v>0.48971070039239983</c:v>
                      </c:pt>
                      <c:pt idx="21">
                        <c:v>0.51235361716679984</c:v>
                      </c:pt>
                      <c:pt idx="22">
                        <c:v>0.52414805818799981</c:v>
                      </c:pt>
                      <c:pt idx="23">
                        <c:v>0.53353764781919988</c:v>
                      </c:pt>
                      <c:pt idx="24">
                        <c:v>0.54216430333919985</c:v>
                      </c:pt>
                      <c:pt idx="25">
                        <c:v>0.55393443910079987</c:v>
                      </c:pt>
                      <c:pt idx="26">
                        <c:v>0.56990379342239983</c:v>
                      </c:pt>
                    </c:numCache>
                  </c:numRef>
                </c:val>
                <c:smooth val="0"/>
                <c:extLst xmlns:c15="http://schemas.microsoft.com/office/drawing/2012/chart">
                  <c:ext xmlns:c16="http://schemas.microsoft.com/office/drawing/2014/chart" uri="{C3380CC4-5D6E-409C-BE32-E72D297353CC}">
                    <c16:uniqueId val="{00000007-C9A0-44FA-AA16-52D58198261A}"/>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'OZL Summary'!$MF$6</c15:sqref>
                        </c15:formulaRef>
                      </c:ext>
                    </c:extLst>
                    <c:strCache>
                      <c:ptCount val="1"/>
                      <c:pt idx="0">
                        <c:v>2H19</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'OZL Summary'!$MB$7:$MB$34</c15:sqref>
                        </c15:formulaRef>
                      </c:ext>
                    </c:extLst>
                    <c:numCache>
                      <c:formatCode>General</c:formatCode>
                      <c:ptCount val="2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numCache>
                  </c:numRef>
                </c:cat>
                <c:val>
                  <c:numRef>
                    <c:extLst xmlns:c15="http://schemas.microsoft.com/office/drawing/2012/chart">
                      <c:ext xmlns:c15="http://schemas.microsoft.com/office/drawing/2012/chart" uri="{02D57815-91ED-43cb-92C2-25804820EDAC}">
                        <c15:formulaRef>
                          <c15:sqref>'OZL Summary'!$MF$7:$MF$34</c15:sqref>
                        </c15:formulaRef>
                      </c:ext>
                    </c:extLst>
                    <c:numCache>
                      <c:formatCode>_-* #,##0.0000_-;\-* #,##0.0000_-;_-* "-"??_-;_-@_-</c:formatCode>
                      <c:ptCount val="28"/>
                      <c:pt idx="0" formatCode="0.000">
                        <c:v>0</c:v>
                      </c:pt>
                      <c:pt idx="1">
                        <c:v>8.4163522644000004E-3</c:v>
                      </c:pt>
                      <c:pt idx="2">
                        <c:v>1.9612062313199997E-2</c:v>
                      </c:pt>
                      <c:pt idx="3">
                        <c:v>3.5271952484399995E-2</c:v>
                      </c:pt>
                      <c:pt idx="4">
                        <c:v>6.2197045207199993E-2</c:v>
                      </c:pt>
                      <c:pt idx="5">
                        <c:v>9.2899722995999995E-2</c:v>
                      </c:pt>
                      <c:pt idx="6">
                        <c:v>0.10403415640439999</c:v>
                      </c:pt>
                      <c:pt idx="7">
                        <c:v>0.11747268277919999</c:v>
                      </c:pt>
                      <c:pt idx="8">
                        <c:v>0.13266632275919998</c:v>
                      </c:pt>
                      <c:pt idx="9">
                        <c:v>0.15196390011719998</c:v>
                      </c:pt>
                      <c:pt idx="10">
                        <c:v>0.18237982148639997</c:v>
                      </c:pt>
                      <c:pt idx="11">
                        <c:v>0.22537023436799997</c:v>
                      </c:pt>
                      <c:pt idx="12">
                        <c:v>0.28219924047959993</c:v>
                      </c:pt>
                      <c:pt idx="13">
                        <c:v>0.36413318346479995</c:v>
                      </c:pt>
                      <c:pt idx="14">
                        <c:v>0.37525529307959993</c:v>
                      </c:pt>
                      <c:pt idx="15">
                        <c:v>0.38835571389479989</c:v>
                      </c:pt>
                      <c:pt idx="16">
                        <c:v>0.41020226256239989</c:v>
                      </c:pt>
                      <c:pt idx="17">
                        <c:v>0.43461158975279984</c:v>
                      </c:pt>
                      <c:pt idx="18">
                        <c:v>0.44335144159919987</c:v>
                      </c:pt>
                      <c:pt idx="19">
                        <c:v>0.45511598600999986</c:v>
                      </c:pt>
                      <c:pt idx="20">
                        <c:v>0.47292398187119983</c:v>
                      </c:pt>
                      <c:pt idx="21">
                        <c:v>0.49575198376799984</c:v>
                      </c:pt>
                      <c:pt idx="22">
                        <c:v>0.53278144615079981</c:v>
                      </c:pt>
                      <c:pt idx="23">
                        <c:v>0.57767942252879978</c:v>
                      </c:pt>
                      <c:pt idx="24">
                        <c:v>0.62958906691919969</c:v>
                      </c:pt>
                      <c:pt idx="25">
                        <c:v>0.70695932655959959</c:v>
                      </c:pt>
                      <c:pt idx="26">
                        <c:v>0.8103643989443996</c:v>
                      </c:pt>
                    </c:numCache>
                  </c:numRef>
                </c:val>
                <c:smooth val="0"/>
                <c:extLst xmlns:c15="http://schemas.microsoft.com/office/drawing/2012/chart">
                  <c:ext xmlns:c16="http://schemas.microsoft.com/office/drawing/2014/chart" uri="{C3380CC4-5D6E-409C-BE32-E72D297353CC}">
                    <c16:uniqueId val="{00000008-C9A0-44FA-AA16-52D58198261A}"/>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'OZL Summary'!$MG$6</c15:sqref>
                        </c15:formulaRef>
                      </c:ext>
                    </c:extLst>
                    <c:strCache>
                      <c:ptCount val="1"/>
                      <c:pt idx="0">
                        <c:v>1H20</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'OZL Summary'!$MB$7:$MB$34</c15:sqref>
                        </c15:formulaRef>
                      </c:ext>
                    </c:extLst>
                    <c:numCache>
                      <c:formatCode>General</c:formatCode>
                      <c:ptCount val="2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numCache>
                  </c:numRef>
                </c:cat>
                <c:val>
                  <c:numRef>
                    <c:extLst xmlns:c15="http://schemas.microsoft.com/office/drawing/2012/chart">
                      <c:ext xmlns:c15="http://schemas.microsoft.com/office/drawing/2012/chart" uri="{02D57815-91ED-43cb-92C2-25804820EDAC}">
                        <c15:formulaRef>
                          <c15:sqref>'OZL Summary'!$MG$7:$MG$34</c15:sqref>
                        </c15:formulaRef>
                      </c:ext>
                    </c:extLst>
                    <c:numCache>
                      <c:formatCode>_-* #,##0.0000_-;\-* #,##0.0000_-;_-* "-"??_-;_-@_-</c:formatCode>
                      <c:ptCount val="28"/>
                      <c:pt idx="0" formatCode="0.000">
                        <c:v>0</c:v>
                      </c:pt>
                      <c:pt idx="1">
                        <c:v>9.8744396219999989E-3</c:v>
                      </c:pt>
                      <c:pt idx="2">
                        <c:v>2.2080700746E-2</c:v>
                      </c:pt>
                      <c:pt idx="3">
                        <c:v>4.0729453192799997E-2</c:v>
                      </c:pt>
                      <c:pt idx="4">
                        <c:v>6.8186180678400002E-2</c:v>
                      </c:pt>
                      <c:pt idx="5">
                        <c:v>0.10528102763279998</c:v>
                      </c:pt>
                      <c:pt idx="6">
                        <c:v>0.15115338246959997</c:v>
                      </c:pt>
                      <c:pt idx="7">
                        <c:v>0.16385544806759994</c:v>
                      </c:pt>
                      <c:pt idx="8">
                        <c:v>0.17701223882759995</c:v>
                      </c:pt>
                      <c:pt idx="9">
                        <c:v>0.19517808113999993</c:v>
                      </c:pt>
                      <c:pt idx="10">
                        <c:v>0.20624678764919993</c:v>
                      </c:pt>
                      <c:pt idx="11">
                        <c:v>0.21933796561919994</c:v>
                      </c:pt>
                      <c:pt idx="12">
                        <c:v>0.23574207599279995</c:v>
                      </c:pt>
                      <c:pt idx="13">
                        <c:v>0.26336494647359993</c:v>
                      </c:pt>
                      <c:pt idx="14">
                        <c:v>0.30404454167159994</c:v>
                      </c:pt>
                      <c:pt idx="15">
                        <c:v>0.34759087578359993</c:v>
                      </c:pt>
                      <c:pt idx="16">
                        <c:v>0.40667310387359989</c:v>
                      </c:pt>
                      <c:pt idx="17">
                        <c:v>0.41804425206719986</c:v>
                      </c:pt>
                      <c:pt idx="18">
                        <c:v>0.43163578426319987</c:v>
                      </c:pt>
                      <c:pt idx="19">
                        <c:v>0.44924121155159985</c:v>
                      </c:pt>
                      <c:pt idx="20">
                        <c:v>0.45865648264319986</c:v>
                      </c:pt>
                      <c:pt idx="21">
                        <c:v>0.47142939074039986</c:v>
                      </c:pt>
                      <c:pt idx="22">
                        <c:v>0.48320691457679982</c:v>
                      </c:pt>
                      <c:pt idx="23">
                        <c:v>0.4970837964023998</c:v>
                      </c:pt>
                      <c:pt idx="24">
                        <c:v>0.51712425325799982</c:v>
                      </c:pt>
                      <c:pt idx="25">
                        <c:v>0.53876061831239974</c:v>
                      </c:pt>
                      <c:pt idx="26">
                        <c:v>0.56593493106119974</c:v>
                      </c:pt>
                    </c:numCache>
                  </c:numRef>
                </c:val>
                <c:smooth val="0"/>
                <c:extLst xmlns:c15="http://schemas.microsoft.com/office/drawing/2012/chart">
                  <c:ext xmlns:c16="http://schemas.microsoft.com/office/drawing/2014/chart" uri="{C3380CC4-5D6E-409C-BE32-E72D297353CC}">
                    <c16:uniqueId val="{00000009-C9A0-44FA-AA16-52D58198261A}"/>
                  </c:ext>
                </c:extLst>
              </c15:ser>
            </c15:filteredLineSeries>
            <c15:filteredLineSeries>
              <c15:ser>
                <c:idx val="6"/>
                <c:order val="6"/>
                <c:tx>
                  <c:strRef>
                    <c:extLst xmlns:c15="http://schemas.microsoft.com/office/drawing/2012/chart">
                      <c:ext xmlns:c15="http://schemas.microsoft.com/office/drawing/2012/chart" uri="{02D57815-91ED-43cb-92C2-25804820EDAC}">
                        <c15:formulaRef>
                          <c15:sqref>'OZL Summary'!$MH$6</c15:sqref>
                        </c15:formulaRef>
                      </c:ext>
                    </c:extLst>
                    <c:strCache>
                      <c:ptCount val="1"/>
                      <c:pt idx="0">
                        <c:v>2H20</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'OZL Summary'!$MB$7:$MB$34</c15:sqref>
                        </c15:formulaRef>
                      </c:ext>
                    </c:extLst>
                    <c:numCache>
                      <c:formatCode>General</c:formatCode>
                      <c:ptCount val="2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numCache>
                  </c:numRef>
                </c:cat>
                <c:val>
                  <c:numRef>
                    <c:extLst xmlns:c15="http://schemas.microsoft.com/office/drawing/2012/chart">
                      <c:ext xmlns:c15="http://schemas.microsoft.com/office/drawing/2012/chart" uri="{02D57815-91ED-43cb-92C2-25804820EDAC}">
                        <c15:formulaRef>
                          <c15:sqref>'OZL Summary'!$MH$7:$MH$34</c15:sqref>
                        </c15:formulaRef>
                      </c:ext>
                    </c:extLst>
                    <c:numCache>
                      <c:formatCode>_-* #,##0.0000_-;\-* #,##0.0000_-;_-* "-"??_-;_-@_-</c:formatCode>
                      <c:ptCount val="28"/>
                      <c:pt idx="0" formatCode="0.000">
                        <c:v>0</c:v>
                      </c:pt>
                      <c:pt idx="1">
                        <c:v>1.49252365584E-2</c:v>
                      </c:pt>
                      <c:pt idx="2">
                        <c:v>3.6363883568399993E-2</c:v>
                      </c:pt>
                      <c:pt idx="3">
                        <c:v>4.6960511338799998E-2</c:v>
                      </c:pt>
                      <c:pt idx="4">
                        <c:v>5.9456360836799997E-2</c:v>
                      </c:pt>
                      <c:pt idx="5">
                        <c:v>7.9805888881199979E-2</c:v>
                      </c:pt>
                      <c:pt idx="6">
                        <c:v>9.2018576660399989E-2</c:v>
                      </c:pt>
                      <c:pt idx="7">
                        <c:v>0.10589511302639998</c:v>
                      </c:pt>
                      <c:pt idx="8">
                        <c:v>0.11511635097599998</c:v>
                      </c:pt>
                      <c:pt idx="9">
                        <c:v>0.12928894621919998</c:v>
                      </c:pt>
                      <c:pt idx="10">
                        <c:v>0.14522649455879999</c:v>
                      </c:pt>
                      <c:pt idx="11">
                        <c:v>0.16618863762719999</c:v>
                      </c:pt>
                      <c:pt idx="12">
                        <c:v>0.17749126966679996</c:v>
                      </c:pt>
                      <c:pt idx="13">
                        <c:v>0.19077188822279995</c:v>
                      </c:pt>
                      <c:pt idx="14">
                        <c:v>0.21217241952359994</c:v>
                      </c:pt>
                      <c:pt idx="15">
                        <c:v>0.23638107675959996</c:v>
                      </c:pt>
                      <c:pt idx="16">
                        <c:v>0.24862370437079995</c:v>
                      </c:pt>
                      <c:pt idx="17">
                        <c:v>0.25904737203479994</c:v>
                      </c:pt>
                      <c:pt idx="18">
                        <c:v>0.27363947038559999</c:v>
                      </c:pt>
                      <c:pt idx="19">
                        <c:v>0.2998020471192</c:v>
                      </c:pt>
                      <c:pt idx="20">
                        <c:v>0.3307080144672</c:v>
                      </c:pt>
                      <c:pt idx="21">
                        <c:v>0.3435764997204</c:v>
                      </c:pt>
                      <c:pt idx="22">
                        <c:v>0.35516332985759996</c:v>
                      </c:pt>
                      <c:pt idx="23">
                        <c:v>0.37138450052879995</c:v>
                      </c:pt>
                      <c:pt idx="24">
                        <c:v>0.39510836279279993</c:v>
                      </c:pt>
                      <c:pt idx="25">
                        <c:v>0.42828008450399996</c:v>
                      </c:pt>
                      <c:pt idx="26">
                        <c:v>0.46721199958559995</c:v>
                      </c:pt>
                    </c:numCache>
                  </c:numRef>
                </c:val>
                <c:smooth val="0"/>
                <c:extLst xmlns:c15="http://schemas.microsoft.com/office/drawing/2012/chart">
                  <c:ext xmlns:c16="http://schemas.microsoft.com/office/drawing/2014/chart" uri="{C3380CC4-5D6E-409C-BE32-E72D297353CC}">
                    <c16:uniqueId val="{0000000A-C9A0-44FA-AA16-52D58198261A}"/>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'OZL Summary'!$MM$6</c15:sqref>
                        </c15:formulaRef>
                      </c:ext>
                    </c:extLst>
                    <c:strCache>
                      <c:ptCount val="1"/>
                      <c:pt idx="0">
                        <c:v>0.8x Yr Avg</c:v>
                      </c:pt>
                    </c:strCache>
                  </c:strRef>
                </c:tx>
                <c:spPr>
                  <a:ln w="19050" cap="rnd">
                    <a:solidFill>
                      <a:schemeClr val="accent5">
                        <a:lumMod val="60000"/>
                        <a:lumOff val="40000"/>
                      </a:schemeClr>
                    </a:solidFill>
                    <a:prstDash val="dash"/>
                    <a:round/>
                  </a:ln>
                  <a:effectLst/>
                </c:spPr>
                <c:marker>
                  <c:symbol val="none"/>
                </c:marker>
                <c:cat>
                  <c:numRef>
                    <c:extLst xmlns:c15="http://schemas.microsoft.com/office/drawing/2012/chart">
                      <c:ext xmlns:c15="http://schemas.microsoft.com/office/drawing/2012/chart" uri="{02D57815-91ED-43cb-92C2-25804820EDAC}">
                        <c15:formulaRef>
                          <c15:sqref>'OZL Summary'!$MB$7:$MB$34</c15:sqref>
                        </c15:formulaRef>
                      </c:ext>
                    </c:extLst>
                    <c:numCache>
                      <c:formatCode>General</c:formatCode>
                      <c:ptCount val="2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numCache>
                  </c:numRef>
                </c:cat>
                <c:val>
                  <c:numRef>
                    <c:extLst xmlns:c15="http://schemas.microsoft.com/office/drawing/2012/chart">
                      <c:ext xmlns:c15="http://schemas.microsoft.com/office/drawing/2012/chart" uri="{02D57815-91ED-43cb-92C2-25804820EDAC}">
                        <c15:formulaRef>
                          <c15:sqref>'OZL Summary'!$MM$7:$MM$34</c15:sqref>
                        </c15:formulaRef>
                      </c:ext>
                    </c:extLst>
                    <c:numCache>
                      <c:formatCode>0.000</c:formatCode>
                      <c:ptCount val="28"/>
                      <c:pt idx="17" formatCode="0.0000">
                        <c:v>0.3734694646924</c:v>
                      </c:pt>
                      <c:pt idx="18" formatCode="0.0000">
                        <c:v>0.3910444983249835</c:v>
                      </c:pt>
                      <c:pt idx="19" formatCode="0.0000">
                        <c:v>0.40861953195756701</c:v>
                      </c:pt>
                      <c:pt idx="20" formatCode="0.0000">
                        <c:v>0.42619456559015051</c:v>
                      </c:pt>
                      <c:pt idx="21" formatCode="0.0000">
                        <c:v>0.44376959922273401</c:v>
                      </c:pt>
                      <c:pt idx="22" formatCode="0.0000">
                        <c:v>0.46134463285531752</c:v>
                      </c:pt>
                      <c:pt idx="23" formatCode="0.0000">
                        <c:v>0.47891966648790102</c:v>
                      </c:pt>
                      <c:pt idx="24" formatCode="0.0000">
                        <c:v>0.49649470012048452</c:v>
                      </c:pt>
                      <c:pt idx="25" formatCode="0.0000">
                        <c:v>0.51406973375306808</c:v>
                      </c:pt>
                      <c:pt idx="26" formatCode="0.0000">
                        <c:v>0.53164476738565158</c:v>
                      </c:pt>
                    </c:numCache>
                  </c:numRef>
                </c:val>
                <c:smooth val="0"/>
                <c:extLst xmlns:c15="http://schemas.microsoft.com/office/drawing/2012/chart">
                  <c:ext xmlns:c16="http://schemas.microsoft.com/office/drawing/2014/chart" uri="{C3380CC4-5D6E-409C-BE32-E72D297353CC}">
                    <c16:uniqueId val="{0000000B-C9A0-44FA-AA16-52D58198261A}"/>
                  </c:ext>
                </c:extLst>
              </c15:ser>
            </c15:filteredLineSeries>
            <c15:filteredLineSeries>
              <c15:ser>
                <c:idx val="12"/>
                <c:order val="12"/>
                <c:tx>
                  <c:strRef>
                    <c:extLst xmlns:c15="http://schemas.microsoft.com/office/drawing/2012/chart">
                      <c:ext xmlns:c15="http://schemas.microsoft.com/office/drawing/2012/chart" uri="{02D57815-91ED-43cb-92C2-25804820EDAC}">
                        <c15:formulaRef>
                          <c15:sqref>'OZL Summary'!$MN$6</c15:sqref>
                        </c15:formulaRef>
                      </c:ext>
                    </c:extLst>
                    <c:strCache>
                      <c:ptCount val="1"/>
                      <c:pt idx="0">
                        <c:v>1.0x Yr Avg</c:v>
                      </c:pt>
                    </c:strCache>
                  </c:strRef>
                </c:tx>
                <c:spPr>
                  <a:ln w="19050" cap="rnd">
                    <a:solidFill>
                      <a:srgbClr val="0070C0"/>
                    </a:solidFill>
                    <a:prstDash val="dash"/>
                    <a:round/>
                  </a:ln>
                  <a:effectLst/>
                </c:spPr>
                <c:marker>
                  <c:symbol val="none"/>
                </c:marker>
                <c:cat>
                  <c:numRef>
                    <c:extLst xmlns:c15="http://schemas.microsoft.com/office/drawing/2012/chart">
                      <c:ext xmlns:c15="http://schemas.microsoft.com/office/drawing/2012/chart" uri="{02D57815-91ED-43cb-92C2-25804820EDAC}">
                        <c15:formulaRef>
                          <c15:sqref>'OZL Summary'!$MB$7:$MB$34</c15:sqref>
                        </c15:formulaRef>
                      </c:ext>
                    </c:extLst>
                    <c:numCache>
                      <c:formatCode>General</c:formatCode>
                      <c:ptCount val="2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numCache>
                  </c:numRef>
                </c:cat>
                <c:val>
                  <c:numRef>
                    <c:extLst xmlns:c15="http://schemas.microsoft.com/office/drawing/2012/chart">
                      <c:ext xmlns:c15="http://schemas.microsoft.com/office/drawing/2012/chart" uri="{02D57815-91ED-43cb-92C2-25804820EDAC}">
                        <c15:formulaRef>
                          <c15:sqref>'OZL Summary'!$MN$7:$MN$34</c15:sqref>
                        </c15:formulaRef>
                      </c:ext>
                    </c:extLst>
                    <c:numCache>
                      <c:formatCode>0.000</c:formatCode>
                      <c:ptCount val="28"/>
                      <c:pt idx="17" formatCode="0.0000">
                        <c:v>0.3734694646924</c:v>
                      </c:pt>
                      <c:pt idx="18" formatCode="0.0000">
                        <c:v>0.39543825673312943</c:v>
                      </c:pt>
                      <c:pt idx="19" formatCode="0.0000">
                        <c:v>0.41740704877385887</c:v>
                      </c:pt>
                      <c:pt idx="20" formatCode="0.0000">
                        <c:v>0.4393758408145883</c:v>
                      </c:pt>
                      <c:pt idx="21" formatCode="0.0000">
                        <c:v>0.46134463285531774</c:v>
                      </c:pt>
                      <c:pt idx="22" formatCode="0.0000">
                        <c:v>0.48331342489604717</c:v>
                      </c:pt>
                      <c:pt idx="23" formatCode="0.0000">
                        <c:v>0.50528221693677655</c:v>
                      </c:pt>
                      <c:pt idx="24" formatCode="0.0000">
                        <c:v>0.52725100897750599</c:v>
                      </c:pt>
                      <c:pt idx="25" formatCode="0.0000">
                        <c:v>0.54921980101823542</c:v>
                      </c:pt>
                      <c:pt idx="26" formatCode="0.0000">
                        <c:v>0.57118859305896486</c:v>
                      </c:pt>
                    </c:numCache>
                  </c:numRef>
                </c:val>
                <c:smooth val="0"/>
                <c:extLst xmlns:c15="http://schemas.microsoft.com/office/drawing/2012/chart">
                  <c:ext xmlns:c16="http://schemas.microsoft.com/office/drawing/2014/chart" uri="{C3380CC4-5D6E-409C-BE32-E72D297353CC}">
                    <c16:uniqueId val="{0000000C-C9A0-44FA-AA16-52D58198261A}"/>
                  </c:ext>
                </c:extLst>
              </c15:ser>
            </c15:filteredLineSeries>
            <c15:filteredLineSeries>
              <c15:ser>
                <c:idx val="13"/>
                <c:order val="13"/>
                <c:tx>
                  <c:strRef>
                    <c:extLst xmlns:c15="http://schemas.microsoft.com/office/drawing/2012/chart">
                      <c:ext xmlns:c15="http://schemas.microsoft.com/office/drawing/2012/chart" uri="{02D57815-91ED-43cb-92C2-25804820EDAC}">
                        <c15:formulaRef>
                          <c15:sqref>'OZL Summary'!$MO$6</c15:sqref>
                        </c15:formulaRef>
                      </c:ext>
                    </c:extLst>
                    <c:strCache>
                      <c:ptCount val="1"/>
                      <c:pt idx="0">
                        <c:v>1.2x Yr Avg</c:v>
                      </c:pt>
                    </c:strCache>
                  </c:strRef>
                </c:tx>
                <c:spPr>
                  <a:ln w="19050" cap="rnd">
                    <a:solidFill>
                      <a:schemeClr val="accent1">
                        <a:lumMod val="75000"/>
                      </a:schemeClr>
                    </a:solidFill>
                    <a:prstDash val="dash"/>
                    <a:round/>
                  </a:ln>
                  <a:effectLst/>
                </c:spPr>
                <c:marker>
                  <c:symbol val="none"/>
                </c:marker>
                <c:cat>
                  <c:numRef>
                    <c:extLst xmlns:c15="http://schemas.microsoft.com/office/drawing/2012/chart">
                      <c:ext xmlns:c15="http://schemas.microsoft.com/office/drawing/2012/chart" uri="{02D57815-91ED-43cb-92C2-25804820EDAC}">
                        <c15:formulaRef>
                          <c15:sqref>'OZL Summary'!$MB$7:$MB$34</c15:sqref>
                        </c15:formulaRef>
                      </c:ext>
                    </c:extLst>
                    <c:numCache>
                      <c:formatCode>General</c:formatCode>
                      <c:ptCount val="2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numCache>
                  </c:numRef>
                </c:cat>
                <c:val>
                  <c:numRef>
                    <c:extLst xmlns:c15="http://schemas.microsoft.com/office/drawing/2012/chart">
                      <c:ext xmlns:c15="http://schemas.microsoft.com/office/drawing/2012/chart" uri="{02D57815-91ED-43cb-92C2-25804820EDAC}">
                        <c15:formulaRef>
                          <c15:sqref>'OZL Summary'!$MO$7:$MO$34</c15:sqref>
                        </c15:formulaRef>
                      </c:ext>
                    </c:extLst>
                    <c:numCache>
                      <c:formatCode>0.000</c:formatCode>
                      <c:ptCount val="28"/>
                      <c:pt idx="17" formatCode="0.0000">
                        <c:v>0.3734694646924</c:v>
                      </c:pt>
                      <c:pt idx="18" formatCode="0.0000">
                        <c:v>0.39983201514127531</c:v>
                      </c:pt>
                      <c:pt idx="19" formatCode="0.0000">
                        <c:v>0.42619456559015062</c:v>
                      </c:pt>
                      <c:pt idx="20" formatCode="0.0000">
                        <c:v>0.45255711603902593</c:v>
                      </c:pt>
                      <c:pt idx="21" formatCode="0.0000">
                        <c:v>0.47891966648790124</c:v>
                      </c:pt>
                      <c:pt idx="22" formatCode="0.0000">
                        <c:v>0.50528221693677655</c:v>
                      </c:pt>
                      <c:pt idx="23" formatCode="0.0000">
                        <c:v>0.53164476738565181</c:v>
                      </c:pt>
                      <c:pt idx="24" formatCode="0.0000">
                        <c:v>0.55800731783452706</c:v>
                      </c:pt>
                      <c:pt idx="25" formatCode="0.0000">
                        <c:v>0.58436986828340232</c:v>
                      </c:pt>
                      <c:pt idx="26" formatCode="0.0000">
                        <c:v>0.61073241873227757</c:v>
                      </c:pt>
                    </c:numCache>
                  </c:numRef>
                </c:val>
                <c:smooth val="0"/>
                <c:extLst xmlns:c15="http://schemas.microsoft.com/office/drawing/2012/chart">
                  <c:ext xmlns:c16="http://schemas.microsoft.com/office/drawing/2014/chart" uri="{C3380CC4-5D6E-409C-BE32-E72D297353CC}">
                    <c16:uniqueId val="{0000000D-C9A0-44FA-AA16-52D58198261A}"/>
                  </c:ext>
                </c:extLst>
              </c15:ser>
            </c15:filteredLineSeries>
          </c:ext>
        </c:extLst>
      </c:lineChart>
      <c:catAx>
        <c:axId val="1388952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3088"/>
        <c:crosses val="autoZero"/>
        <c:auto val="1"/>
        <c:lblAlgn val="ctr"/>
        <c:lblOffset val="100"/>
        <c:tickLblSkip val="10"/>
        <c:noMultiLvlLbl val="0"/>
      </c:catAx>
      <c:valAx>
        <c:axId val="1388953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Ticket Sales ($b)</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7"/>
          <c:order val="7"/>
          <c:tx>
            <c:strRef>
              <c:f>'OZL Summary'!$MI$6</c:f>
              <c:strCache>
                <c:ptCount val="1"/>
                <c:pt idx="0">
                  <c:v>1H21</c:v>
                </c:pt>
              </c:strCache>
            </c:strRef>
          </c:tx>
          <c:spPr>
            <a:ln w="28575" cap="rnd">
              <a:solidFill>
                <a:schemeClr val="tx2"/>
              </a:solidFill>
              <a:round/>
            </a:ln>
            <a:effectLst/>
          </c:spPr>
          <c:marker>
            <c:symbol val="none"/>
          </c:marker>
          <c:cat>
            <c:numRef>
              <c:f>'OZL Summary'!$MB$7:$MB$34</c:f>
              <c:numCache>
                <c:formatCode>General</c:formatCode>
                <c:ptCount val="2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numCache>
            </c:numRef>
          </c:cat>
          <c:val>
            <c:numRef>
              <c:f>'OZL Summary'!$MI$7:$MI$34</c:f>
              <c:numCache>
                <c:formatCode>_-* #,##0.0000_-;\-* #,##0.0000_-;_-* "-"??_-;_-@_-</c:formatCode>
                <c:ptCount val="28"/>
                <c:pt idx="0" formatCode="0.000">
                  <c:v>0</c:v>
                </c:pt>
                <c:pt idx="1">
                  <c:v>6.577873212959999E-2</c:v>
                </c:pt>
                <c:pt idx="2">
                  <c:v>7.9237838145599995E-2</c:v>
                </c:pt>
                <c:pt idx="3">
                  <c:v>9.5214653726399992E-2</c:v>
                </c:pt>
                <c:pt idx="4">
                  <c:v>0.12221692759439999</c:v>
                </c:pt>
                <c:pt idx="5">
                  <c:v>0.134362481058</c:v>
                </c:pt>
                <c:pt idx="6">
                  <c:v>0.15302904508439999</c:v>
                </c:pt>
                <c:pt idx="7">
                  <c:v>0.18299536232040001</c:v>
                </c:pt>
                <c:pt idx="8">
                  <c:v>0.19685485601280001</c:v>
                </c:pt>
                <c:pt idx="9">
                  <c:v>0.21172470388199999</c:v>
                </c:pt>
                <c:pt idx="10">
                  <c:v>0.23446999425239998</c:v>
                </c:pt>
                <c:pt idx="11">
                  <c:v>0.26403845718239999</c:v>
                </c:pt>
                <c:pt idx="12">
                  <c:v>0.27659061659520001</c:v>
                </c:pt>
                <c:pt idx="13">
                  <c:v>0.29648494404000003</c:v>
                </c:pt>
                <c:pt idx="14">
                  <c:v>0.32108040087480005</c:v>
                </c:pt>
                <c:pt idx="15">
                  <c:v>0.3340215477972</c:v>
                </c:pt>
                <c:pt idx="16">
                  <c:v>0.34666306609320002</c:v>
                </c:pt>
                <c:pt idx="17">
                  <c:v>0.36126311001479999</c:v>
                </c:pt>
                <c:pt idx="18">
                  <c:v>0.38231484227280005</c:v>
                </c:pt>
                <c:pt idx="19">
                  <c:v>0.41671306071720005</c:v>
                </c:pt>
                <c:pt idx="20">
                  <c:v>0.46322643218039999</c:v>
                </c:pt>
                <c:pt idx="21">
                  <c:v>0.47600486763120003</c:v>
                </c:pt>
                <c:pt idx="22">
                  <c:v>0.48888763188119999</c:v>
                </c:pt>
                <c:pt idx="23">
                  <c:v>0.5056046522316</c:v>
                </c:pt>
                <c:pt idx="24">
                  <c:v>0.5170673472192</c:v>
                </c:pt>
                <c:pt idx="25">
                  <c:v>0.53222450232240004</c:v>
                </c:pt>
                <c:pt idx="26">
                  <c:v>0.55445528819520007</c:v>
                </c:pt>
              </c:numCache>
            </c:numRef>
          </c:val>
          <c:smooth val="0"/>
          <c:extLst>
            <c:ext xmlns:c16="http://schemas.microsoft.com/office/drawing/2014/chart" uri="{C3380CC4-5D6E-409C-BE32-E72D297353CC}">
              <c16:uniqueId val="{00000000-CBB8-4AF4-97D3-F6D106491A17}"/>
            </c:ext>
          </c:extLst>
        </c:ser>
        <c:ser>
          <c:idx val="8"/>
          <c:order val="8"/>
          <c:tx>
            <c:strRef>
              <c:f>'OZL Summary'!$MJ$6</c:f>
              <c:strCache>
                <c:ptCount val="1"/>
                <c:pt idx="0">
                  <c:v>2H21</c:v>
                </c:pt>
              </c:strCache>
            </c:strRef>
          </c:tx>
          <c:spPr>
            <a:ln w="28575" cap="rnd">
              <a:solidFill>
                <a:schemeClr val="accent4"/>
              </a:solidFill>
              <a:round/>
            </a:ln>
            <a:effectLst/>
          </c:spPr>
          <c:marker>
            <c:symbol val="none"/>
          </c:marker>
          <c:cat>
            <c:numRef>
              <c:f>'OZL Summary'!$MB$7:$MB$34</c:f>
              <c:numCache>
                <c:formatCode>General</c:formatCode>
                <c:ptCount val="2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numCache>
            </c:numRef>
          </c:cat>
          <c:val>
            <c:numRef>
              <c:f>'OZL Summary'!$MJ$7:$MJ$34</c:f>
              <c:numCache>
                <c:formatCode>_-* #,##0.0000_-;\-* #,##0.0000_-;_-* "-"??_-;_-@_-</c:formatCode>
                <c:ptCount val="28"/>
                <c:pt idx="0" formatCode="0.000">
                  <c:v>0</c:v>
                </c:pt>
                <c:pt idx="1">
                  <c:v>1.2551123033999998E-2</c:v>
                </c:pt>
                <c:pt idx="2">
                  <c:v>2.9394811904399999E-2</c:v>
                </c:pt>
                <c:pt idx="3">
                  <c:v>5.3078140241999999E-2</c:v>
                </c:pt>
                <c:pt idx="4">
                  <c:v>8.7292689332399989E-2</c:v>
                </c:pt>
                <c:pt idx="5">
                  <c:v>0.12979826882279999</c:v>
                </c:pt>
                <c:pt idx="6">
                  <c:v>0.14213117654279997</c:v>
                </c:pt>
                <c:pt idx="7">
                  <c:v>0.15626853490679998</c:v>
                </c:pt>
                <c:pt idx="8">
                  <c:v>0.18173385901439998</c:v>
                </c:pt>
                <c:pt idx="9">
                  <c:v>0.21350151775799997</c:v>
                </c:pt>
                <c:pt idx="10">
                  <c:v>0.25443099539999997</c:v>
                </c:pt>
                <c:pt idx="11">
                  <c:v>0.26637813989999992</c:v>
                </c:pt>
                <c:pt idx="12">
                  <c:v>0.28201225955759995</c:v>
                </c:pt>
                <c:pt idx="13">
                  <c:v>0.30754333614239998</c:v>
                </c:pt>
                <c:pt idx="14">
                  <c:v>0.33673732086599995</c:v>
                </c:pt>
                <c:pt idx="15">
                  <c:v>0.3725952212735999</c:v>
                </c:pt>
                <c:pt idx="16">
                  <c:v>0.3841654693499999</c:v>
                </c:pt>
                <c:pt idx="17">
                  <c:v>0.39978369786599988</c:v>
                </c:pt>
                <c:pt idx="18">
                  <c:v>0.42366566547359985</c:v>
                </c:pt>
                <c:pt idx="19">
                  <c:v>0.43506410497559983</c:v>
                </c:pt>
                <c:pt idx="20">
                  <c:v>0.45120501386639983</c:v>
                </c:pt>
                <c:pt idx="21">
                  <c:v>0.46215239828399979</c:v>
                </c:pt>
                <c:pt idx="22">
                  <c:v>0.47754964780919978</c:v>
                </c:pt>
                <c:pt idx="23">
                  <c:v>0.50110273787759985</c:v>
                </c:pt>
                <c:pt idx="24">
                  <c:v>0.51319612694159988</c:v>
                </c:pt>
                <c:pt idx="25">
                  <c:v>0.5282522926883999</c:v>
                </c:pt>
              </c:numCache>
            </c:numRef>
          </c:val>
          <c:smooth val="0"/>
          <c:extLst>
            <c:ext xmlns:c16="http://schemas.microsoft.com/office/drawing/2014/chart" uri="{C3380CC4-5D6E-409C-BE32-E72D297353CC}">
              <c16:uniqueId val="{00000001-CBB8-4AF4-97D3-F6D106491A17}"/>
            </c:ext>
          </c:extLst>
        </c:ser>
        <c:ser>
          <c:idx val="9"/>
          <c:order val="9"/>
          <c:tx>
            <c:strRef>
              <c:f>'OZL Summary'!$MK$6</c:f>
              <c:strCache>
                <c:ptCount val="1"/>
                <c:pt idx="0">
                  <c:v>1H22</c:v>
                </c:pt>
              </c:strCache>
            </c:strRef>
          </c:tx>
          <c:spPr>
            <a:ln w="28575" cap="rnd">
              <a:solidFill>
                <a:schemeClr val="accent2"/>
              </a:solidFill>
              <a:round/>
            </a:ln>
            <a:effectLst/>
          </c:spPr>
          <c:marker>
            <c:symbol val="none"/>
          </c:marker>
          <c:cat>
            <c:numRef>
              <c:f>'OZL Summary'!$MB$7:$MB$34</c:f>
              <c:numCache>
                <c:formatCode>General</c:formatCode>
                <c:ptCount val="2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numCache>
            </c:numRef>
          </c:cat>
          <c:val>
            <c:numRef>
              <c:f>'OZL Summary'!$MK$7:$MK$34</c:f>
              <c:numCache>
                <c:formatCode>_-* #,##0.0000_-;\-* #,##0.0000_-;_-* "-"??_-;_-@_-</c:formatCode>
                <c:ptCount val="28"/>
                <c:pt idx="0" formatCode="0.000">
                  <c:v>0</c:v>
                </c:pt>
                <c:pt idx="1">
                  <c:v>3.4282144018799997E-2</c:v>
                </c:pt>
                <c:pt idx="2">
                  <c:v>4.61727482976E-2</c:v>
                </c:pt>
                <c:pt idx="3">
                  <c:v>6.0744925144799997E-2</c:v>
                </c:pt>
                <c:pt idx="4">
                  <c:v>7.9887071887199998E-2</c:v>
                </c:pt>
                <c:pt idx="5">
                  <c:v>9.0591598206000004E-2</c:v>
                </c:pt>
                <c:pt idx="6">
                  <c:v>0.10471594425839999</c:v>
                </c:pt>
                <c:pt idx="7">
                  <c:v>0.13024126318319998</c:v>
                </c:pt>
                <c:pt idx="8">
                  <c:v>0.14299494069599997</c:v>
                </c:pt>
                <c:pt idx="9">
                  <c:v>0.15712274134439999</c:v>
                </c:pt>
                <c:pt idx="10">
                  <c:v>0.18211939192799997</c:v>
                </c:pt>
                <c:pt idx="11">
                  <c:v>0.21562528822559998</c:v>
                </c:pt>
                <c:pt idx="12">
                  <c:v>0.26312805598319994</c:v>
                </c:pt>
                <c:pt idx="13">
                  <c:v>0.27559419595559997</c:v>
                </c:pt>
                <c:pt idx="14">
                  <c:v>0.29338294713839996</c:v>
                </c:pt>
                <c:pt idx="15">
                  <c:v>0.31479798774239992</c:v>
                </c:pt>
                <c:pt idx="16">
                  <c:v>0.34138237064759991</c:v>
                </c:pt>
                <c:pt idx="17">
                  <c:v>0.38401116406199992</c:v>
                </c:pt>
                <c:pt idx="18">
                  <c:v>0.45353502371519994</c:v>
                </c:pt>
                <c:pt idx="19">
                  <c:v>0.46636884785519994</c:v>
                </c:pt>
                <c:pt idx="20">
                  <c:v>0.48057414660719988</c:v>
                </c:pt>
                <c:pt idx="21">
                  <c:v>0.50512031787239997</c:v>
                </c:pt>
                <c:pt idx="22">
                  <c:v>0.53195446806839985</c:v>
                </c:pt>
                <c:pt idx="23">
                  <c:v>0.57374874624239991</c:v>
                </c:pt>
                <c:pt idx="24">
                  <c:v>0.58543426267199994</c:v>
                </c:pt>
                <c:pt idx="25">
                  <c:v>0.59798193110999986</c:v>
                </c:pt>
                <c:pt idx="26">
                  <c:v>0.60953824564919989</c:v>
                </c:pt>
              </c:numCache>
            </c:numRef>
          </c:val>
          <c:smooth val="0"/>
          <c:extLst>
            <c:ext xmlns:c16="http://schemas.microsoft.com/office/drawing/2014/chart" uri="{C3380CC4-5D6E-409C-BE32-E72D297353CC}">
              <c16:uniqueId val="{00000002-CBB8-4AF4-97D3-F6D106491A17}"/>
            </c:ext>
          </c:extLst>
        </c:ser>
        <c:ser>
          <c:idx val="10"/>
          <c:order val="10"/>
          <c:tx>
            <c:strRef>
              <c:f>'OZL Summary'!$ML$6</c:f>
              <c:strCache>
                <c:ptCount val="1"/>
                <c:pt idx="0">
                  <c:v>2H22</c:v>
                </c:pt>
              </c:strCache>
            </c:strRef>
          </c:tx>
          <c:spPr>
            <a:ln w="28575" cap="rnd">
              <a:solidFill>
                <a:schemeClr val="accent1"/>
              </a:solidFill>
              <a:round/>
            </a:ln>
            <a:effectLst/>
          </c:spPr>
          <c:marker>
            <c:symbol val="none"/>
          </c:marker>
          <c:cat>
            <c:numRef>
              <c:f>'OZL Summary'!$MB$7:$MB$34</c:f>
              <c:numCache>
                <c:formatCode>General</c:formatCode>
                <c:ptCount val="2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numCache>
            </c:numRef>
          </c:cat>
          <c:val>
            <c:numRef>
              <c:f>'OZL Summary'!$ML$7:$ML$34</c:f>
              <c:numCache>
                <c:formatCode>_-* #,##0.0000_-;\-* #,##0.0000_-;_-* "-"??_-;_-@_-</c:formatCode>
                <c:ptCount val="28"/>
                <c:pt idx="0" formatCode="0.000">
                  <c:v>0</c:v>
                </c:pt>
                <c:pt idx="1">
                  <c:v>1.83918084912E-2</c:v>
                </c:pt>
                <c:pt idx="2">
                  <c:v>5.1320441797199995E-2</c:v>
                </c:pt>
                <c:pt idx="3">
                  <c:v>9.3269601025199989E-2</c:v>
                </c:pt>
                <c:pt idx="4">
                  <c:v>0.15693653862000001</c:v>
                </c:pt>
                <c:pt idx="5">
                  <c:v>0.16921774255320002</c:v>
                </c:pt>
                <c:pt idx="6">
                  <c:v>0.1838797388964</c:v>
                </c:pt>
                <c:pt idx="7">
                  <c:v>0.20299689739439999</c:v>
                </c:pt>
                <c:pt idx="8">
                  <c:v>0.21386782008719998</c:v>
                </c:pt>
                <c:pt idx="9">
                  <c:v>0.23052645776519998</c:v>
                </c:pt>
                <c:pt idx="10">
                  <c:v>0.25480109778479998</c:v>
                </c:pt>
                <c:pt idx="11">
                  <c:v>0.26624755617119999</c:v>
                </c:pt>
                <c:pt idx="12">
                  <c:v>0.28611919843559996</c:v>
                </c:pt>
                <c:pt idx="13">
                  <c:v>0.29892757371840001</c:v>
                </c:pt>
                <c:pt idx="14">
                  <c:v>0.30904758271839999</c:v>
                </c:pt>
                <c:pt idx="15">
                  <c:v>0.32416328266959998</c:v>
                </c:pt>
                <c:pt idx="16">
                  <c:v>0.34605206353840001</c:v>
                </c:pt>
                <c:pt idx="17">
                  <c:v>0.3734694646924</c:v>
                </c:pt>
              </c:numCache>
            </c:numRef>
          </c:val>
          <c:smooth val="0"/>
          <c:extLst>
            <c:ext xmlns:c16="http://schemas.microsoft.com/office/drawing/2014/chart" uri="{C3380CC4-5D6E-409C-BE32-E72D297353CC}">
              <c16:uniqueId val="{00000003-CBB8-4AF4-97D3-F6D106491A17}"/>
            </c:ext>
          </c:extLst>
        </c:ser>
        <c:ser>
          <c:idx val="11"/>
          <c:order val="11"/>
          <c:tx>
            <c:strRef>
              <c:f>'OZL Summary'!$MM$6</c:f>
              <c:strCache>
                <c:ptCount val="1"/>
                <c:pt idx="0">
                  <c:v>0.8x Yr Avg</c:v>
                </c:pt>
              </c:strCache>
            </c:strRef>
          </c:tx>
          <c:spPr>
            <a:ln w="19050" cap="rnd">
              <a:solidFill>
                <a:schemeClr val="accent5">
                  <a:lumMod val="60000"/>
                  <a:lumOff val="40000"/>
                </a:schemeClr>
              </a:solidFill>
              <a:prstDash val="dash"/>
              <a:round/>
            </a:ln>
            <a:effectLst/>
          </c:spPr>
          <c:marker>
            <c:symbol val="none"/>
          </c:marker>
          <c:cat>
            <c:numRef>
              <c:f>'OZL Summary'!$MB$7:$MB$34</c:f>
              <c:numCache>
                <c:formatCode>General</c:formatCode>
                <c:ptCount val="2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numCache>
            </c:numRef>
          </c:cat>
          <c:val>
            <c:numRef>
              <c:f>'OZL Summary'!$MM$7:$MM$34</c:f>
              <c:numCache>
                <c:formatCode>0.000</c:formatCode>
                <c:ptCount val="28"/>
                <c:pt idx="17" formatCode="0.0000">
                  <c:v>0.3734694646924</c:v>
                </c:pt>
                <c:pt idx="18" formatCode="0.0000">
                  <c:v>0.3910444983249835</c:v>
                </c:pt>
                <c:pt idx="19" formatCode="0.0000">
                  <c:v>0.40861953195756701</c:v>
                </c:pt>
                <c:pt idx="20" formatCode="0.0000">
                  <c:v>0.42619456559015051</c:v>
                </c:pt>
                <c:pt idx="21" formatCode="0.0000">
                  <c:v>0.44376959922273401</c:v>
                </c:pt>
                <c:pt idx="22" formatCode="0.0000">
                  <c:v>0.46134463285531752</c:v>
                </c:pt>
                <c:pt idx="23" formatCode="0.0000">
                  <c:v>0.47891966648790102</c:v>
                </c:pt>
                <c:pt idx="24" formatCode="0.0000">
                  <c:v>0.49649470012048452</c:v>
                </c:pt>
                <c:pt idx="25" formatCode="0.0000">
                  <c:v>0.51406973375306808</c:v>
                </c:pt>
                <c:pt idx="26" formatCode="0.0000">
                  <c:v>0.53164476738565158</c:v>
                </c:pt>
              </c:numCache>
            </c:numRef>
          </c:val>
          <c:smooth val="0"/>
          <c:extLst>
            <c:ext xmlns:c16="http://schemas.microsoft.com/office/drawing/2014/chart" uri="{C3380CC4-5D6E-409C-BE32-E72D297353CC}">
              <c16:uniqueId val="{00000004-CBB8-4AF4-97D3-F6D106491A17}"/>
            </c:ext>
          </c:extLst>
        </c:ser>
        <c:ser>
          <c:idx val="12"/>
          <c:order val="12"/>
          <c:tx>
            <c:strRef>
              <c:f>'OZL Summary'!$MN$6</c:f>
              <c:strCache>
                <c:ptCount val="1"/>
                <c:pt idx="0">
                  <c:v>1.0x Yr Avg</c:v>
                </c:pt>
              </c:strCache>
            </c:strRef>
          </c:tx>
          <c:spPr>
            <a:ln w="19050" cap="rnd">
              <a:solidFill>
                <a:srgbClr val="0070C0"/>
              </a:solidFill>
              <a:prstDash val="dash"/>
              <a:round/>
            </a:ln>
            <a:effectLst/>
          </c:spPr>
          <c:marker>
            <c:symbol val="none"/>
          </c:marker>
          <c:cat>
            <c:numRef>
              <c:f>'OZL Summary'!$MB$7:$MB$34</c:f>
              <c:numCache>
                <c:formatCode>General</c:formatCode>
                <c:ptCount val="2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numCache>
            </c:numRef>
          </c:cat>
          <c:val>
            <c:numRef>
              <c:f>'OZL Summary'!$MN$7:$MN$34</c:f>
              <c:numCache>
                <c:formatCode>0.000</c:formatCode>
                <c:ptCount val="28"/>
                <c:pt idx="17" formatCode="0.0000">
                  <c:v>0.3734694646924</c:v>
                </c:pt>
                <c:pt idx="18" formatCode="0.0000">
                  <c:v>0.39543825673312943</c:v>
                </c:pt>
                <c:pt idx="19" formatCode="0.0000">
                  <c:v>0.41740704877385887</c:v>
                </c:pt>
                <c:pt idx="20" formatCode="0.0000">
                  <c:v>0.4393758408145883</c:v>
                </c:pt>
                <c:pt idx="21" formatCode="0.0000">
                  <c:v>0.46134463285531774</c:v>
                </c:pt>
                <c:pt idx="22" formatCode="0.0000">
                  <c:v>0.48331342489604717</c:v>
                </c:pt>
                <c:pt idx="23" formatCode="0.0000">
                  <c:v>0.50528221693677655</c:v>
                </c:pt>
                <c:pt idx="24" formatCode="0.0000">
                  <c:v>0.52725100897750599</c:v>
                </c:pt>
                <c:pt idx="25" formatCode="0.0000">
                  <c:v>0.54921980101823542</c:v>
                </c:pt>
                <c:pt idx="26" formatCode="0.0000">
                  <c:v>0.57118859305896486</c:v>
                </c:pt>
              </c:numCache>
            </c:numRef>
          </c:val>
          <c:smooth val="0"/>
          <c:extLst>
            <c:ext xmlns:c16="http://schemas.microsoft.com/office/drawing/2014/chart" uri="{C3380CC4-5D6E-409C-BE32-E72D297353CC}">
              <c16:uniqueId val="{00000005-CBB8-4AF4-97D3-F6D106491A17}"/>
            </c:ext>
          </c:extLst>
        </c:ser>
        <c:ser>
          <c:idx val="13"/>
          <c:order val="13"/>
          <c:tx>
            <c:strRef>
              <c:f>'OZL Summary'!$MO$6</c:f>
              <c:strCache>
                <c:ptCount val="1"/>
                <c:pt idx="0">
                  <c:v>1.2x Yr Avg</c:v>
                </c:pt>
              </c:strCache>
            </c:strRef>
          </c:tx>
          <c:spPr>
            <a:ln w="19050" cap="rnd">
              <a:solidFill>
                <a:schemeClr val="accent1">
                  <a:lumMod val="75000"/>
                </a:schemeClr>
              </a:solidFill>
              <a:prstDash val="dash"/>
              <a:round/>
            </a:ln>
            <a:effectLst/>
          </c:spPr>
          <c:marker>
            <c:symbol val="none"/>
          </c:marker>
          <c:cat>
            <c:numRef>
              <c:f>'OZL Summary'!$MB$7:$MB$34</c:f>
              <c:numCache>
                <c:formatCode>General</c:formatCode>
                <c:ptCount val="2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numCache>
            </c:numRef>
          </c:cat>
          <c:val>
            <c:numRef>
              <c:f>'OZL Summary'!$MO$7:$MO$34</c:f>
              <c:numCache>
                <c:formatCode>0.000</c:formatCode>
                <c:ptCount val="28"/>
                <c:pt idx="17" formatCode="0.0000">
                  <c:v>0.3734694646924</c:v>
                </c:pt>
                <c:pt idx="18" formatCode="0.0000">
                  <c:v>0.39983201514127531</c:v>
                </c:pt>
                <c:pt idx="19" formatCode="0.0000">
                  <c:v>0.42619456559015062</c:v>
                </c:pt>
                <c:pt idx="20" formatCode="0.0000">
                  <c:v>0.45255711603902593</c:v>
                </c:pt>
                <c:pt idx="21" formatCode="0.0000">
                  <c:v>0.47891966648790124</c:v>
                </c:pt>
                <c:pt idx="22" formatCode="0.0000">
                  <c:v>0.50528221693677655</c:v>
                </c:pt>
                <c:pt idx="23" formatCode="0.0000">
                  <c:v>0.53164476738565181</c:v>
                </c:pt>
                <c:pt idx="24" formatCode="0.0000">
                  <c:v>0.55800731783452706</c:v>
                </c:pt>
                <c:pt idx="25" formatCode="0.0000">
                  <c:v>0.58436986828340232</c:v>
                </c:pt>
                <c:pt idx="26" formatCode="0.0000">
                  <c:v>0.61073241873227757</c:v>
                </c:pt>
              </c:numCache>
            </c:numRef>
          </c:val>
          <c:smooth val="0"/>
          <c:extLst>
            <c:ext xmlns:c16="http://schemas.microsoft.com/office/drawing/2014/chart" uri="{C3380CC4-5D6E-409C-BE32-E72D297353CC}">
              <c16:uniqueId val="{00000006-CBB8-4AF4-97D3-F6D106491A17}"/>
            </c:ext>
          </c:extLst>
        </c:ser>
        <c:dLbls>
          <c:showLegendKey val="0"/>
          <c:showVal val="0"/>
          <c:showCatName val="0"/>
          <c:showSerName val="0"/>
          <c:showPercent val="0"/>
          <c:showBubbleSize val="0"/>
        </c:dLbls>
        <c:smooth val="0"/>
        <c:axId val="1388952432"/>
        <c:axId val="1388953088"/>
        <c:extLst>
          <c:ext xmlns:c15="http://schemas.microsoft.com/office/drawing/2012/chart" uri="{02D57815-91ED-43cb-92C2-25804820EDAC}">
            <c15:filteredLineSeries>
              <c15:ser>
                <c:idx val="0"/>
                <c:order val="0"/>
                <c:tx>
                  <c:strRef>
                    <c:extLst>
                      <c:ext uri="{02D57815-91ED-43cb-92C2-25804820EDAC}">
                        <c15:formulaRef>
                          <c15:sqref>'OZL Summary'!$MB$6</c15:sqref>
                        </c15:formulaRef>
                      </c:ext>
                    </c:extLst>
                    <c:strCache>
                      <c:ptCount val="1"/>
                      <c:pt idx="0">
                        <c:v>Week</c:v>
                      </c:pt>
                    </c:strCache>
                  </c:strRef>
                </c:tx>
                <c:spPr>
                  <a:ln w="28575" cap="rnd">
                    <a:solidFill>
                      <a:schemeClr val="accent1"/>
                    </a:solidFill>
                    <a:round/>
                  </a:ln>
                  <a:effectLst/>
                </c:spPr>
                <c:marker>
                  <c:symbol val="none"/>
                </c:marker>
                <c:cat>
                  <c:numRef>
                    <c:extLst>
                      <c:ext uri="{02D57815-91ED-43cb-92C2-25804820EDAC}">
                        <c15:formulaRef>
                          <c15:sqref>'OZL Summary'!$MB$7:$MB$34</c15:sqref>
                        </c15:formulaRef>
                      </c:ext>
                    </c:extLst>
                    <c:numCache>
                      <c:formatCode>General</c:formatCode>
                      <c:ptCount val="2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numCache>
                  </c:numRef>
                </c:cat>
                <c:val>
                  <c:numRef>
                    <c:extLst>
                      <c:ext uri="{02D57815-91ED-43cb-92C2-25804820EDAC}">
                        <c15:formulaRef>
                          <c15:sqref>'OZL Summary'!$MB$7:$MB$34</c15:sqref>
                        </c15:formulaRef>
                      </c:ext>
                    </c:extLst>
                    <c:numCache>
                      <c:formatCode>General</c:formatCode>
                      <c:ptCount val="2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numCache>
                  </c:numRef>
                </c:val>
                <c:smooth val="0"/>
                <c:extLst>
                  <c:ext xmlns:c16="http://schemas.microsoft.com/office/drawing/2014/chart" uri="{C3380CC4-5D6E-409C-BE32-E72D297353CC}">
                    <c16:uniqueId val="{00000007-CBB8-4AF4-97D3-F6D106491A17}"/>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'OZL Summary'!$MC$6</c15:sqref>
                        </c15:formulaRef>
                      </c:ext>
                    </c:extLst>
                    <c:strCache>
                      <c:ptCount val="1"/>
                      <c:pt idx="0">
                        <c:v>1H18</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'OZL Summary'!$MB$7:$MB$34</c15:sqref>
                        </c15:formulaRef>
                      </c:ext>
                    </c:extLst>
                    <c:numCache>
                      <c:formatCode>General</c:formatCode>
                      <c:ptCount val="2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numCache>
                  </c:numRef>
                </c:cat>
                <c:val>
                  <c:numRef>
                    <c:extLst xmlns:c15="http://schemas.microsoft.com/office/drawing/2012/chart">
                      <c:ext xmlns:c15="http://schemas.microsoft.com/office/drawing/2012/chart" uri="{02D57815-91ED-43cb-92C2-25804820EDAC}">
                        <c15:formulaRef>
                          <c15:sqref>'OZL Summary'!$MC$7:$MC$34</c15:sqref>
                        </c15:formulaRef>
                      </c:ext>
                    </c:extLst>
                    <c:numCache>
                      <c:formatCode>_-* #,##0.0000_-;\-* #,##0.0000_-;_-* "-"??_-;_-@_-</c:formatCode>
                      <c:ptCount val="28"/>
                      <c:pt idx="0" formatCode="0.000">
                        <c:v>0</c:v>
                      </c:pt>
                      <c:pt idx="1">
                        <c:v>4.1865866715599998E-2</c:v>
                      </c:pt>
                      <c:pt idx="2">
                        <c:v>9.2468276110799996E-2</c:v>
                      </c:pt>
                      <c:pt idx="3">
                        <c:v>0.17050162431239999</c:v>
                      </c:pt>
                      <c:pt idx="4">
                        <c:v>0.18218560762799998</c:v>
                      </c:pt>
                      <c:pt idx="5">
                        <c:v>0.19622206621079999</c:v>
                      </c:pt>
                      <c:pt idx="6">
                        <c:v>0.206705392524</c:v>
                      </c:pt>
                      <c:pt idx="7">
                        <c:v>0.22251225534479999</c:v>
                      </c:pt>
                      <c:pt idx="8">
                        <c:v>0.24197346529559999</c:v>
                      </c:pt>
                      <c:pt idx="9">
                        <c:v>0.26554203590039999</c:v>
                      </c:pt>
                      <c:pt idx="10">
                        <c:v>0.30560372205479996</c:v>
                      </c:pt>
                      <c:pt idx="11">
                        <c:v>0.31474615115879995</c:v>
                      </c:pt>
                      <c:pt idx="12">
                        <c:v>0.32586301175039994</c:v>
                      </c:pt>
                      <c:pt idx="13">
                        <c:v>0.34525005072119991</c:v>
                      </c:pt>
                      <c:pt idx="14">
                        <c:v>0.36818554348439991</c:v>
                      </c:pt>
                      <c:pt idx="15">
                        <c:v>0.37907703840599988</c:v>
                      </c:pt>
                      <c:pt idx="16">
                        <c:v>0.39079274407919989</c:v>
                      </c:pt>
                      <c:pt idx="17">
                        <c:v>0.4074880611311999</c:v>
                      </c:pt>
                      <c:pt idx="18">
                        <c:v>0.42965856581759987</c:v>
                      </c:pt>
                      <c:pt idx="19">
                        <c:v>0.4716976502987999</c:v>
                      </c:pt>
                      <c:pt idx="20">
                        <c:v>0.52751667588119988</c:v>
                      </c:pt>
                      <c:pt idx="21">
                        <c:v>0.53745775527599982</c:v>
                      </c:pt>
                      <c:pt idx="22">
                        <c:v>0.5541113083607998</c:v>
                      </c:pt>
                      <c:pt idx="23">
                        <c:v>0.57557684640959983</c:v>
                      </c:pt>
                      <c:pt idx="24">
                        <c:v>0.60107546002319978</c:v>
                      </c:pt>
                      <c:pt idx="25">
                        <c:v>0.62906359405319978</c:v>
                      </c:pt>
                      <c:pt idx="26">
                        <c:v>0.6607169155871998</c:v>
                      </c:pt>
                    </c:numCache>
                  </c:numRef>
                </c:val>
                <c:smooth val="0"/>
                <c:extLst xmlns:c15="http://schemas.microsoft.com/office/drawing/2012/chart">
                  <c:ext xmlns:c16="http://schemas.microsoft.com/office/drawing/2014/chart" uri="{C3380CC4-5D6E-409C-BE32-E72D297353CC}">
                    <c16:uniqueId val="{00000008-CBB8-4AF4-97D3-F6D106491A17}"/>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'OZL Summary'!$MD$6</c15:sqref>
                        </c15:formulaRef>
                      </c:ext>
                    </c:extLst>
                    <c:strCache>
                      <c:ptCount val="1"/>
                      <c:pt idx="0">
                        <c:v>2H18</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'OZL Summary'!$MB$7:$MB$34</c15:sqref>
                        </c15:formulaRef>
                      </c:ext>
                    </c:extLst>
                    <c:numCache>
                      <c:formatCode>General</c:formatCode>
                      <c:ptCount val="2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numCache>
                  </c:numRef>
                </c:cat>
                <c:val>
                  <c:numRef>
                    <c:extLst xmlns:c15="http://schemas.microsoft.com/office/drawing/2012/chart">
                      <c:ext xmlns:c15="http://schemas.microsoft.com/office/drawing/2012/chart" uri="{02D57815-91ED-43cb-92C2-25804820EDAC}">
                        <c15:formulaRef>
                          <c15:sqref>'OZL Summary'!$MD$7:$MD$34</c15:sqref>
                        </c15:formulaRef>
                      </c:ext>
                    </c:extLst>
                    <c:numCache>
                      <c:formatCode>_-* #,##0.0000_-;\-* #,##0.0000_-;_-* "-"??_-;_-@_-</c:formatCode>
                      <c:ptCount val="28"/>
                      <c:pt idx="0" formatCode="0.000">
                        <c:v>0</c:v>
                      </c:pt>
                      <c:pt idx="1">
                        <c:v>5.3613979401599995E-2</c:v>
                      </c:pt>
                      <c:pt idx="2">
                        <c:v>6.3111972772799993E-2</c:v>
                      </c:pt>
                      <c:pt idx="3">
                        <c:v>7.4269912676399999E-2</c:v>
                      </c:pt>
                      <c:pt idx="4">
                        <c:v>8.8287315022800003E-2</c:v>
                      </c:pt>
                      <c:pt idx="5">
                        <c:v>0.1100203250364</c:v>
                      </c:pt>
                      <c:pt idx="6">
                        <c:v>0.12000624934679999</c:v>
                      </c:pt>
                      <c:pt idx="7">
                        <c:v>0.1326212496252</c:v>
                      </c:pt>
                      <c:pt idx="8">
                        <c:v>0.1571128495488</c:v>
                      </c:pt>
                      <c:pt idx="9">
                        <c:v>0.18104132057040001</c:v>
                      </c:pt>
                      <c:pt idx="10">
                        <c:v>0.218727937836</c:v>
                      </c:pt>
                      <c:pt idx="11">
                        <c:v>0.22941061292159998</c:v>
                      </c:pt>
                      <c:pt idx="12">
                        <c:v>0.24230689237799999</c:v>
                      </c:pt>
                      <c:pt idx="13">
                        <c:v>0.26258501009160001</c:v>
                      </c:pt>
                      <c:pt idx="14">
                        <c:v>0.27142310995920005</c:v>
                      </c:pt>
                      <c:pt idx="15">
                        <c:v>0.28536417325079999</c:v>
                      </c:pt>
                      <c:pt idx="16">
                        <c:v>0.30750227092440002</c:v>
                      </c:pt>
                      <c:pt idx="17">
                        <c:v>0.31776833332080001</c:v>
                      </c:pt>
                      <c:pt idx="18">
                        <c:v>0.33477106055760003</c:v>
                      </c:pt>
                      <c:pt idx="19">
                        <c:v>0.35147584867320003</c:v>
                      </c:pt>
                      <c:pt idx="20">
                        <c:v>0.37253869535520001</c:v>
                      </c:pt>
                      <c:pt idx="21">
                        <c:v>0.3815108735328</c:v>
                      </c:pt>
                      <c:pt idx="22">
                        <c:v>0.39413294858160003</c:v>
                      </c:pt>
                      <c:pt idx="23">
                        <c:v>0.4114497043368</c:v>
                      </c:pt>
                      <c:pt idx="24">
                        <c:v>0.4363047420624</c:v>
                      </c:pt>
                      <c:pt idx="25">
                        <c:v>0.44587085862600001</c:v>
                      </c:pt>
                      <c:pt idx="26">
                        <c:v>0.45883012636079995</c:v>
                      </c:pt>
                    </c:numCache>
                  </c:numRef>
                </c:val>
                <c:smooth val="0"/>
                <c:extLst xmlns:c15="http://schemas.microsoft.com/office/drawing/2012/chart">
                  <c:ext xmlns:c16="http://schemas.microsoft.com/office/drawing/2014/chart" uri="{C3380CC4-5D6E-409C-BE32-E72D297353CC}">
                    <c16:uniqueId val="{00000009-CBB8-4AF4-97D3-F6D106491A17}"/>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'OZL Summary'!$ME$6</c15:sqref>
                        </c15:formulaRef>
                      </c:ext>
                    </c:extLst>
                    <c:strCache>
                      <c:ptCount val="1"/>
                      <c:pt idx="0">
                        <c:v>1H19</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'OZL Summary'!$MB$7:$MB$34</c15:sqref>
                        </c15:formulaRef>
                      </c:ext>
                    </c:extLst>
                    <c:numCache>
                      <c:formatCode>General</c:formatCode>
                      <c:ptCount val="2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numCache>
                  </c:numRef>
                </c:cat>
                <c:val>
                  <c:numRef>
                    <c:extLst xmlns:c15="http://schemas.microsoft.com/office/drawing/2012/chart">
                      <c:ext xmlns:c15="http://schemas.microsoft.com/office/drawing/2012/chart" uri="{02D57815-91ED-43cb-92C2-25804820EDAC}">
                        <c15:formulaRef>
                          <c15:sqref>'OZL Summary'!$ME$7:$ME$34</c15:sqref>
                        </c15:formulaRef>
                      </c:ext>
                    </c:extLst>
                    <c:numCache>
                      <c:formatCode>_-* #,##0.0000_-;\-* #,##0.0000_-;_-* "-"??_-;_-@_-</c:formatCode>
                      <c:ptCount val="28"/>
                      <c:pt idx="0" formatCode="0.000">
                        <c:v>0</c:v>
                      </c:pt>
                      <c:pt idx="1">
                        <c:v>1.8046255870799999E-2</c:v>
                      </c:pt>
                      <c:pt idx="2">
                        <c:v>3.9156686089199998E-2</c:v>
                      </c:pt>
                      <c:pt idx="3">
                        <c:v>7.2989607452400004E-2</c:v>
                      </c:pt>
                      <c:pt idx="4">
                        <c:v>0.1138105762236</c:v>
                      </c:pt>
                      <c:pt idx="5">
                        <c:v>0.16491871759320001</c:v>
                      </c:pt>
                      <c:pt idx="6">
                        <c:v>0.249567660774</c:v>
                      </c:pt>
                      <c:pt idx="7">
                        <c:v>0.26071304866560002</c:v>
                      </c:pt>
                      <c:pt idx="8">
                        <c:v>0.27667806683759999</c:v>
                      </c:pt>
                      <c:pt idx="9">
                        <c:v>0.30000940441559998</c:v>
                      </c:pt>
                      <c:pt idx="10">
                        <c:v>0.32356736286479998</c:v>
                      </c:pt>
                      <c:pt idx="11">
                        <c:v>0.36099198540719996</c:v>
                      </c:pt>
                      <c:pt idx="12">
                        <c:v>0.37042881624719998</c:v>
                      </c:pt>
                      <c:pt idx="13">
                        <c:v>0.38485838102399994</c:v>
                      </c:pt>
                      <c:pt idx="14">
                        <c:v>0.40465450147679993</c:v>
                      </c:pt>
                      <c:pt idx="15">
                        <c:v>0.41403827153879991</c:v>
                      </c:pt>
                      <c:pt idx="16">
                        <c:v>0.42646533396479991</c:v>
                      </c:pt>
                      <c:pt idx="17">
                        <c:v>0.44495273600279989</c:v>
                      </c:pt>
                      <c:pt idx="18">
                        <c:v>0.46498209566039983</c:v>
                      </c:pt>
                      <c:pt idx="19">
                        <c:v>0.47493766692359984</c:v>
                      </c:pt>
                      <c:pt idx="20">
                        <c:v>0.48971070039239983</c:v>
                      </c:pt>
                      <c:pt idx="21">
                        <c:v>0.51235361716679984</c:v>
                      </c:pt>
                      <c:pt idx="22">
                        <c:v>0.52414805818799981</c:v>
                      </c:pt>
                      <c:pt idx="23">
                        <c:v>0.53353764781919988</c:v>
                      </c:pt>
                      <c:pt idx="24">
                        <c:v>0.54216430333919985</c:v>
                      </c:pt>
                      <c:pt idx="25">
                        <c:v>0.55393443910079987</c:v>
                      </c:pt>
                      <c:pt idx="26">
                        <c:v>0.56990379342239983</c:v>
                      </c:pt>
                    </c:numCache>
                  </c:numRef>
                </c:val>
                <c:smooth val="0"/>
                <c:extLst xmlns:c15="http://schemas.microsoft.com/office/drawing/2012/chart">
                  <c:ext xmlns:c16="http://schemas.microsoft.com/office/drawing/2014/chart" uri="{C3380CC4-5D6E-409C-BE32-E72D297353CC}">
                    <c16:uniqueId val="{0000000A-CBB8-4AF4-97D3-F6D106491A17}"/>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'OZL Summary'!$MF$6</c15:sqref>
                        </c15:formulaRef>
                      </c:ext>
                    </c:extLst>
                    <c:strCache>
                      <c:ptCount val="1"/>
                      <c:pt idx="0">
                        <c:v>2H19</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'OZL Summary'!$MB$7:$MB$34</c15:sqref>
                        </c15:formulaRef>
                      </c:ext>
                    </c:extLst>
                    <c:numCache>
                      <c:formatCode>General</c:formatCode>
                      <c:ptCount val="2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numCache>
                  </c:numRef>
                </c:cat>
                <c:val>
                  <c:numRef>
                    <c:extLst xmlns:c15="http://schemas.microsoft.com/office/drawing/2012/chart">
                      <c:ext xmlns:c15="http://schemas.microsoft.com/office/drawing/2012/chart" uri="{02D57815-91ED-43cb-92C2-25804820EDAC}">
                        <c15:formulaRef>
                          <c15:sqref>'OZL Summary'!$MF$7:$MF$34</c15:sqref>
                        </c15:formulaRef>
                      </c:ext>
                    </c:extLst>
                    <c:numCache>
                      <c:formatCode>_-* #,##0.0000_-;\-* #,##0.0000_-;_-* "-"??_-;_-@_-</c:formatCode>
                      <c:ptCount val="28"/>
                      <c:pt idx="0" formatCode="0.000">
                        <c:v>0</c:v>
                      </c:pt>
                      <c:pt idx="1">
                        <c:v>8.4163522644000004E-3</c:v>
                      </c:pt>
                      <c:pt idx="2">
                        <c:v>1.9612062313199997E-2</c:v>
                      </c:pt>
                      <c:pt idx="3">
                        <c:v>3.5271952484399995E-2</c:v>
                      </c:pt>
                      <c:pt idx="4">
                        <c:v>6.2197045207199993E-2</c:v>
                      </c:pt>
                      <c:pt idx="5">
                        <c:v>9.2899722995999995E-2</c:v>
                      </c:pt>
                      <c:pt idx="6">
                        <c:v>0.10403415640439999</c:v>
                      </c:pt>
                      <c:pt idx="7">
                        <c:v>0.11747268277919999</c:v>
                      </c:pt>
                      <c:pt idx="8">
                        <c:v>0.13266632275919998</c:v>
                      </c:pt>
                      <c:pt idx="9">
                        <c:v>0.15196390011719998</c:v>
                      </c:pt>
                      <c:pt idx="10">
                        <c:v>0.18237982148639997</c:v>
                      </c:pt>
                      <c:pt idx="11">
                        <c:v>0.22537023436799997</c:v>
                      </c:pt>
                      <c:pt idx="12">
                        <c:v>0.28219924047959993</c:v>
                      </c:pt>
                      <c:pt idx="13">
                        <c:v>0.36413318346479995</c:v>
                      </c:pt>
                      <c:pt idx="14">
                        <c:v>0.37525529307959993</c:v>
                      </c:pt>
                      <c:pt idx="15">
                        <c:v>0.38835571389479989</c:v>
                      </c:pt>
                      <c:pt idx="16">
                        <c:v>0.41020226256239989</c:v>
                      </c:pt>
                      <c:pt idx="17">
                        <c:v>0.43461158975279984</c:v>
                      </c:pt>
                      <c:pt idx="18">
                        <c:v>0.44335144159919987</c:v>
                      </c:pt>
                      <c:pt idx="19">
                        <c:v>0.45511598600999986</c:v>
                      </c:pt>
                      <c:pt idx="20">
                        <c:v>0.47292398187119983</c:v>
                      </c:pt>
                      <c:pt idx="21">
                        <c:v>0.49575198376799984</c:v>
                      </c:pt>
                      <c:pt idx="22">
                        <c:v>0.53278144615079981</c:v>
                      </c:pt>
                      <c:pt idx="23">
                        <c:v>0.57767942252879978</c:v>
                      </c:pt>
                      <c:pt idx="24">
                        <c:v>0.62958906691919969</c:v>
                      </c:pt>
                      <c:pt idx="25">
                        <c:v>0.70695932655959959</c:v>
                      </c:pt>
                      <c:pt idx="26">
                        <c:v>0.8103643989443996</c:v>
                      </c:pt>
                    </c:numCache>
                  </c:numRef>
                </c:val>
                <c:smooth val="0"/>
                <c:extLst xmlns:c15="http://schemas.microsoft.com/office/drawing/2012/chart">
                  <c:ext xmlns:c16="http://schemas.microsoft.com/office/drawing/2014/chart" uri="{C3380CC4-5D6E-409C-BE32-E72D297353CC}">
                    <c16:uniqueId val="{0000000B-CBB8-4AF4-97D3-F6D106491A17}"/>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'OZL Summary'!$MG$6</c15:sqref>
                        </c15:formulaRef>
                      </c:ext>
                    </c:extLst>
                    <c:strCache>
                      <c:ptCount val="1"/>
                      <c:pt idx="0">
                        <c:v>1H20</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'OZL Summary'!$MB$7:$MB$34</c15:sqref>
                        </c15:formulaRef>
                      </c:ext>
                    </c:extLst>
                    <c:numCache>
                      <c:formatCode>General</c:formatCode>
                      <c:ptCount val="2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numCache>
                  </c:numRef>
                </c:cat>
                <c:val>
                  <c:numRef>
                    <c:extLst xmlns:c15="http://schemas.microsoft.com/office/drawing/2012/chart">
                      <c:ext xmlns:c15="http://schemas.microsoft.com/office/drawing/2012/chart" uri="{02D57815-91ED-43cb-92C2-25804820EDAC}">
                        <c15:formulaRef>
                          <c15:sqref>'OZL Summary'!$MG$7:$MG$34</c15:sqref>
                        </c15:formulaRef>
                      </c:ext>
                    </c:extLst>
                    <c:numCache>
                      <c:formatCode>_-* #,##0.0000_-;\-* #,##0.0000_-;_-* "-"??_-;_-@_-</c:formatCode>
                      <c:ptCount val="28"/>
                      <c:pt idx="0" formatCode="0.000">
                        <c:v>0</c:v>
                      </c:pt>
                      <c:pt idx="1">
                        <c:v>9.8744396219999989E-3</c:v>
                      </c:pt>
                      <c:pt idx="2">
                        <c:v>2.2080700746E-2</c:v>
                      </c:pt>
                      <c:pt idx="3">
                        <c:v>4.0729453192799997E-2</c:v>
                      </c:pt>
                      <c:pt idx="4">
                        <c:v>6.8186180678400002E-2</c:v>
                      </c:pt>
                      <c:pt idx="5">
                        <c:v>0.10528102763279998</c:v>
                      </c:pt>
                      <c:pt idx="6">
                        <c:v>0.15115338246959997</c:v>
                      </c:pt>
                      <c:pt idx="7">
                        <c:v>0.16385544806759994</c:v>
                      </c:pt>
                      <c:pt idx="8">
                        <c:v>0.17701223882759995</c:v>
                      </c:pt>
                      <c:pt idx="9">
                        <c:v>0.19517808113999993</c:v>
                      </c:pt>
                      <c:pt idx="10">
                        <c:v>0.20624678764919993</c:v>
                      </c:pt>
                      <c:pt idx="11">
                        <c:v>0.21933796561919994</c:v>
                      </c:pt>
                      <c:pt idx="12">
                        <c:v>0.23574207599279995</c:v>
                      </c:pt>
                      <c:pt idx="13">
                        <c:v>0.26336494647359993</c:v>
                      </c:pt>
                      <c:pt idx="14">
                        <c:v>0.30404454167159994</c:v>
                      </c:pt>
                      <c:pt idx="15">
                        <c:v>0.34759087578359993</c:v>
                      </c:pt>
                      <c:pt idx="16">
                        <c:v>0.40667310387359989</c:v>
                      </c:pt>
                      <c:pt idx="17">
                        <c:v>0.41804425206719986</c:v>
                      </c:pt>
                      <c:pt idx="18">
                        <c:v>0.43163578426319987</c:v>
                      </c:pt>
                      <c:pt idx="19">
                        <c:v>0.44924121155159985</c:v>
                      </c:pt>
                      <c:pt idx="20">
                        <c:v>0.45865648264319986</c:v>
                      </c:pt>
                      <c:pt idx="21">
                        <c:v>0.47142939074039986</c:v>
                      </c:pt>
                      <c:pt idx="22">
                        <c:v>0.48320691457679982</c:v>
                      </c:pt>
                      <c:pt idx="23">
                        <c:v>0.4970837964023998</c:v>
                      </c:pt>
                      <c:pt idx="24">
                        <c:v>0.51712425325799982</c:v>
                      </c:pt>
                      <c:pt idx="25">
                        <c:v>0.53876061831239974</c:v>
                      </c:pt>
                      <c:pt idx="26">
                        <c:v>0.56593493106119974</c:v>
                      </c:pt>
                    </c:numCache>
                  </c:numRef>
                </c:val>
                <c:smooth val="0"/>
                <c:extLst xmlns:c15="http://schemas.microsoft.com/office/drawing/2012/chart">
                  <c:ext xmlns:c16="http://schemas.microsoft.com/office/drawing/2014/chart" uri="{C3380CC4-5D6E-409C-BE32-E72D297353CC}">
                    <c16:uniqueId val="{0000000C-CBB8-4AF4-97D3-F6D106491A17}"/>
                  </c:ext>
                </c:extLst>
              </c15:ser>
            </c15:filteredLineSeries>
            <c15:filteredLineSeries>
              <c15:ser>
                <c:idx val="6"/>
                <c:order val="6"/>
                <c:tx>
                  <c:strRef>
                    <c:extLst xmlns:c15="http://schemas.microsoft.com/office/drawing/2012/chart">
                      <c:ext xmlns:c15="http://schemas.microsoft.com/office/drawing/2012/chart" uri="{02D57815-91ED-43cb-92C2-25804820EDAC}">
                        <c15:formulaRef>
                          <c15:sqref>'OZL Summary'!$MH$6</c15:sqref>
                        </c15:formulaRef>
                      </c:ext>
                    </c:extLst>
                    <c:strCache>
                      <c:ptCount val="1"/>
                      <c:pt idx="0">
                        <c:v>2H20</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'OZL Summary'!$MB$7:$MB$34</c15:sqref>
                        </c15:formulaRef>
                      </c:ext>
                    </c:extLst>
                    <c:numCache>
                      <c:formatCode>General</c:formatCode>
                      <c:ptCount val="2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numCache>
                  </c:numRef>
                </c:cat>
                <c:val>
                  <c:numRef>
                    <c:extLst xmlns:c15="http://schemas.microsoft.com/office/drawing/2012/chart">
                      <c:ext xmlns:c15="http://schemas.microsoft.com/office/drawing/2012/chart" uri="{02D57815-91ED-43cb-92C2-25804820EDAC}">
                        <c15:formulaRef>
                          <c15:sqref>'OZL Summary'!$MH$7:$MH$34</c15:sqref>
                        </c15:formulaRef>
                      </c:ext>
                    </c:extLst>
                    <c:numCache>
                      <c:formatCode>_-* #,##0.0000_-;\-* #,##0.0000_-;_-* "-"??_-;_-@_-</c:formatCode>
                      <c:ptCount val="28"/>
                      <c:pt idx="0" formatCode="0.000">
                        <c:v>0</c:v>
                      </c:pt>
                      <c:pt idx="1">
                        <c:v>1.49252365584E-2</c:v>
                      </c:pt>
                      <c:pt idx="2">
                        <c:v>3.6363883568399993E-2</c:v>
                      </c:pt>
                      <c:pt idx="3">
                        <c:v>4.6960511338799998E-2</c:v>
                      </c:pt>
                      <c:pt idx="4">
                        <c:v>5.9456360836799997E-2</c:v>
                      </c:pt>
                      <c:pt idx="5">
                        <c:v>7.9805888881199979E-2</c:v>
                      </c:pt>
                      <c:pt idx="6">
                        <c:v>9.2018576660399989E-2</c:v>
                      </c:pt>
                      <c:pt idx="7">
                        <c:v>0.10589511302639998</c:v>
                      </c:pt>
                      <c:pt idx="8">
                        <c:v>0.11511635097599998</c:v>
                      </c:pt>
                      <c:pt idx="9">
                        <c:v>0.12928894621919998</c:v>
                      </c:pt>
                      <c:pt idx="10">
                        <c:v>0.14522649455879999</c:v>
                      </c:pt>
                      <c:pt idx="11">
                        <c:v>0.16618863762719999</c:v>
                      </c:pt>
                      <c:pt idx="12">
                        <c:v>0.17749126966679996</c:v>
                      </c:pt>
                      <c:pt idx="13">
                        <c:v>0.19077188822279995</c:v>
                      </c:pt>
                      <c:pt idx="14">
                        <c:v>0.21217241952359994</c:v>
                      </c:pt>
                      <c:pt idx="15">
                        <c:v>0.23638107675959996</c:v>
                      </c:pt>
                      <c:pt idx="16">
                        <c:v>0.24862370437079995</c:v>
                      </c:pt>
                      <c:pt idx="17">
                        <c:v>0.25904737203479994</c:v>
                      </c:pt>
                      <c:pt idx="18">
                        <c:v>0.27363947038559999</c:v>
                      </c:pt>
                      <c:pt idx="19">
                        <c:v>0.2998020471192</c:v>
                      </c:pt>
                      <c:pt idx="20">
                        <c:v>0.3307080144672</c:v>
                      </c:pt>
                      <c:pt idx="21">
                        <c:v>0.3435764997204</c:v>
                      </c:pt>
                      <c:pt idx="22">
                        <c:v>0.35516332985759996</c:v>
                      </c:pt>
                      <c:pt idx="23">
                        <c:v>0.37138450052879995</c:v>
                      </c:pt>
                      <c:pt idx="24">
                        <c:v>0.39510836279279993</c:v>
                      </c:pt>
                      <c:pt idx="25">
                        <c:v>0.42828008450399996</c:v>
                      </c:pt>
                      <c:pt idx="26">
                        <c:v>0.46721199958559995</c:v>
                      </c:pt>
                    </c:numCache>
                  </c:numRef>
                </c:val>
                <c:smooth val="0"/>
                <c:extLst xmlns:c15="http://schemas.microsoft.com/office/drawing/2012/chart">
                  <c:ext xmlns:c16="http://schemas.microsoft.com/office/drawing/2014/chart" uri="{C3380CC4-5D6E-409C-BE32-E72D297353CC}">
                    <c16:uniqueId val="{0000000D-CBB8-4AF4-97D3-F6D106491A17}"/>
                  </c:ext>
                </c:extLst>
              </c15:ser>
            </c15:filteredLineSeries>
          </c:ext>
        </c:extLst>
      </c:lineChart>
      <c:catAx>
        <c:axId val="1388952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3088"/>
        <c:crosses val="autoZero"/>
        <c:auto val="1"/>
        <c:lblAlgn val="ctr"/>
        <c:lblOffset val="100"/>
        <c:tickLblSkip val="10"/>
        <c:noMultiLvlLbl val="0"/>
      </c:catAx>
      <c:valAx>
        <c:axId val="1388953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Ticket Sales ($b)</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'OZL Summary'!$NU$6:$NU$7</c:f>
              <c:strCache>
                <c:ptCount val="2"/>
                <c:pt idx="0">
                  <c:v>Actual</c:v>
                </c:pt>
              </c:strCache>
            </c:strRef>
          </c:tx>
          <c:spPr>
            <a:ln w="28575" cap="rnd">
              <a:solidFill>
                <a:schemeClr val="tx2"/>
              </a:solidFill>
              <a:round/>
            </a:ln>
            <a:effectLst/>
          </c:spPr>
          <c:marker>
            <c:symbol val="none"/>
          </c:marker>
          <c:cat>
            <c:numRef>
              <c:f>'OZL Summary'!$NT$8:$NT$33</c:f>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f>'OZL Summary'!$NU$8:$NU$33</c:f>
              <c:numCache>
                <c:formatCode>0.000</c:formatCode>
                <c:ptCount val="26"/>
                <c:pt idx="0">
                  <c:v>1.83918084912E-2</c:v>
                </c:pt>
                <c:pt idx="1">
                  <c:v>5.1320441797199995E-2</c:v>
                </c:pt>
                <c:pt idx="2">
                  <c:v>9.3269601025199989E-2</c:v>
                </c:pt>
                <c:pt idx="3">
                  <c:v>0.15693653862000001</c:v>
                </c:pt>
                <c:pt idx="4">
                  <c:v>0.16921774255320002</c:v>
                </c:pt>
                <c:pt idx="5">
                  <c:v>0.1838797388964</c:v>
                </c:pt>
                <c:pt idx="6">
                  <c:v>0.20299689739439999</c:v>
                </c:pt>
                <c:pt idx="7">
                  <c:v>0.21386782008719998</c:v>
                </c:pt>
                <c:pt idx="8">
                  <c:v>0.23052645776519998</c:v>
                </c:pt>
                <c:pt idx="9">
                  <c:v>0.25480109778479998</c:v>
                </c:pt>
                <c:pt idx="10">
                  <c:v>0.26624755617119999</c:v>
                </c:pt>
                <c:pt idx="11">
                  <c:v>0.28611919843559996</c:v>
                </c:pt>
                <c:pt idx="12">
                  <c:v>0.29892757371840001</c:v>
                </c:pt>
                <c:pt idx="13">
                  <c:v>0.30904758271839999</c:v>
                </c:pt>
                <c:pt idx="14">
                  <c:v>0.32416328266959998</c:v>
                </c:pt>
                <c:pt idx="15">
                  <c:v>0.34605206353840001</c:v>
                </c:pt>
                <c:pt idx="16">
                  <c:v>0.3734694646924</c:v>
                </c:pt>
              </c:numCache>
            </c:numRef>
          </c:val>
          <c:smooth val="0"/>
          <c:extLst>
            <c:ext xmlns:c16="http://schemas.microsoft.com/office/drawing/2014/chart" uri="{C3380CC4-5D6E-409C-BE32-E72D297353CC}">
              <c16:uniqueId val="{00000000-6669-4904-BAB3-1079464163C3}"/>
            </c:ext>
          </c:extLst>
        </c:ser>
        <c:ser>
          <c:idx val="1"/>
          <c:order val="4"/>
          <c:tx>
            <c:strRef>
              <c:f>'OZL Summary'!$NY$6:$NY$7</c:f>
              <c:strCache>
                <c:ptCount val="2"/>
                <c:pt idx="0">
                  <c:v>10th Percentile</c:v>
                </c:pt>
              </c:strCache>
            </c:strRef>
          </c:tx>
          <c:spPr>
            <a:ln w="28575" cap="rnd">
              <a:solidFill>
                <a:schemeClr val="accent6"/>
              </a:solidFill>
              <a:prstDash val="sysDot"/>
              <a:round/>
            </a:ln>
            <a:effectLst/>
          </c:spPr>
          <c:marker>
            <c:symbol val="none"/>
          </c:marker>
          <c:cat>
            <c:numRef>
              <c:f>'OZL Summary'!$NT$8:$NT$33</c:f>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f>'OZL Summary'!$NY$8:$NY$33</c:f>
              <c:numCache>
                <c:formatCode>0.000</c:formatCode>
                <c:ptCount val="26"/>
                <c:pt idx="0">
                  <c:v>1.8738886879453846E-2</c:v>
                </c:pt>
                <c:pt idx="1">
                  <c:v>3.7477773758907693E-2</c:v>
                </c:pt>
                <c:pt idx="2">
                  <c:v>5.6216660638361539E-2</c:v>
                </c:pt>
                <c:pt idx="3">
                  <c:v>7.4955547517815385E-2</c:v>
                </c:pt>
                <c:pt idx="4">
                  <c:v>9.3694434397269238E-2</c:v>
                </c:pt>
                <c:pt idx="5">
                  <c:v>0.11243332127672309</c:v>
                </c:pt>
                <c:pt idx="6">
                  <c:v>0.13117220815617694</c:v>
                </c:pt>
                <c:pt idx="7">
                  <c:v>0.1499110950356308</c:v>
                </c:pt>
                <c:pt idx="8">
                  <c:v>0.16864998191508465</c:v>
                </c:pt>
                <c:pt idx="9">
                  <c:v>0.1873888687945385</c:v>
                </c:pt>
                <c:pt idx="10">
                  <c:v>0.20612775567399236</c:v>
                </c:pt>
                <c:pt idx="11">
                  <c:v>0.22486664255344621</c:v>
                </c:pt>
                <c:pt idx="12">
                  <c:v>0.24360552943290006</c:v>
                </c:pt>
                <c:pt idx="13">
                  <c:v>0.26234441631235389</c:v>
                </c:pt>
                <c:pt idx="14">
                  <c:v>0.28108330319180774</c:v>
                </c:pt>
                <c:pt idx="15">
                  <c:v>0.2998221900712616</c:v>
                </c:pt>
                <c:pt idx="16">
                  <c:v>0.31856107695071545</c:v>
                </c:pt>
                <c:pt idx="17">
                  <c:v>0.3372999638301693</c:v>
                </c:pt>
                <c:pt idx="18">
                  <c:v>0.35603885070962316</c:v>
                </c:pt>
                <c:pt idx="19">
                  <c:v>0.37477773758907701</c:v>
                </c:pt>
                <c:pt idx="20">
                  <c:v>0.39351662446853086</c:v>
                </c:pt>
                <c:pt idx="21">
                  <c:v>0.41225551134798472</c:v>
                </c:pt>
                <c:pt idx="22">
                  <c:v>0.43099439822743857</c:v>
                </c:pt>
                <c:pt idx="23">
                  <c:v>0.44973328510689242</c:v>
                </c:pt>
                <c:pt idx="24">
                  <c:v>0.46847217198634628</c:v>
                </c:pt>
                <c:pt idx="25">
                  <c:v>0.48721105886580013</c:v>
                </c:pt>
              </c:numCache>
            </c:numRef>
          </c:val>
          <c:smooth val="0"/>
          <c:extLst>
            <c:ext xmlns:c16="http://schemas.microsoft.com/office/drawing/2014/chart" uri="{C3380CC4-5D6E-409C-BE32-E72D297353CC}">
              <c16:uniqueId val="{00000001-6669-4904-BAB3-1079464163C3}"/>
            </c:ext>
          </c:extLst>
        </c:ser>
        <c:ser>
          <c:idx val="4"/>
          <c:order val="6"/>
          <c:tx>
            <c:strRef>
              <c:f>'OZL Summary'!$OA$6:$OA$7</c:f>
              <c:strCache>
                <c:ptCount val="2"/>
                <c:pt idx="0">
                  <c:v>50th Percentile</c:v>
                </c:pt>
              </c:strCache>
            </c:strRef>
          </c:tx>
          <c:spPr>
            <a:ln w="28575">
              <a:solidFill>
                <a:schemeClr val="bg2"/>
              </a:solidFill>
              <a:prstDash val="sysDot"/>
            </a:ln>
          </c:spPr>
          <c:marker>
            <c:symbol val="none"/>
          </c:marker>
          <c:cat>
            <c:numRef>
              <c:f>'OZL Summary'!$NT$8:$NT$33</c:f>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f>'OZL Summary'!$OA$8:$OA$33</c:f>
              <c:numCache>
                <c:formatCode>0.000</c:formatCode>
                <c:ptCount val="26"/>
                <c:pt idx="0">
                  <c:v>2.2526944401807695E-2</c:v>
                </c:pt>
                <c:pt idx="1">
                  <c:v>4.505388880361539E-2</c:v>
                </c:pt>
                <c:pt idx="2">
                  <c:v>6.7580833205423088E-2</c:v>
                </c:pt>
                <c:pt idx="3">
                  <c:v>9.010777760723078E-2</c:v>
                </c:pt>
                <c:pt idx="4">
                  <c:v>0.11263472200903847</c:v>
                </c:pt>
                <c:pt idx="5">
                  <c:v>0.13516166641084618</c:v>
                </c:pt>
                <c:pt idx="6">
                  <c:v>0.15768861081265387</c:v>
                </c:pt>
                <c:pt idx="7">
                  <c:v>0.18021555521446156</c:v>
                </c:pt>
                <c:pt idx="8">
                  <c:v>0.20274249961626925</c:v>
                </c:pt>
                <c:pt idx="9">
                  <c:v>0.22526944401807694</c:v>
                </c:pt>
                <c:pt idx="10">
                  <c:v>0.24779638841988463</c:v>
                </c:pt>
                <c:pt idx="11">
                  <c:v>0.27032333282169235</c:v>
                </c:pt>
                <c:pt idx="12">
                  <c:v>0.29285027722350004</c:v>
                </c:pt>
                <c:pt idx="13">
                  <c:v>0.31537722162530774</c:v>
                </c:pt>
                <c:pt idx="14">
                  <c:v>0.33790416602711543</c:v>
                </c:pt>
                <c:pt idx="15">
                  <c:v>0.36043111042892312</c:v>
                </c:pt>
                <c:pt idx="16">
                  <c:v>0.38295805483073081</c:v>
                </c:pt>
                <c:pt idx="17">
                  <c:v>0.4054849992325385</c:v>
                </c:pt>
                <c:pt idx="18">
                  <c:v>0.42801194363434619</c:v>
                </c:pt>
                <c:pt idx="19">
                  <c:v>0.45053888803615388</c:v>
                </c:pt>
                <c:pt idx="20">
                  <c:v>0.47306583243796158</c:v>
                </c:pt>
                <c:pt idx="21">
                  <c:v>0.49559277683976927</c:v>
                </c:pt>
                <c:pt idx="22">
                  <c:v>0.51811972124157701</c:v>
                </c:pt>
                <c:pt idx="23">
                  <c:v>0.54064666564338471</c:v>
                </c:pt>
                <c:pt idx="24">
                  <c:v>0.5631736100451924</c:v>
                </c:pt>
                <c:pt idx="25">
                  <c:v>0.58570055444700009</c:v>
                </c:pt>
              </c:numCache>
            </c:numRef>
          </c:val>
          <c:smooth val="0"/>
          <c:extLst>
            <c:ext xmlns:c16="http://schemas.microsoft.com/office/drawing/2014/chart" uri="{C3380CC4-5D6E-409C-BE32-E72D297353CC}">
              <c16:uniqueId val="{00000002-6669-4904-BAB3-1079464163C3}"/>
            </c:ext>
          </c:extLst>
        </c:ser>
        <c:ser>
          <c:idx val="8"/>
          <c:order val="8"/>
          <c:tx>
            <c:strRef>
              <c:f>'OZL Summary'!$OC$6:$OC$7</c:f>
              <c:strCache>
                <c:ptCount val="2"/>
                <c:pt idx="0">
                  <c:v>90th Percentile</c:v>
                </c:pt>
              </c:strCache>
            </c:strRef>
          </c:tx>
          <c:spPr>
            <a:ln w="28575">
              <a:solidFill>
                <a:schemeClr val="accent1"/>
              </a:solidFill>
              <a:prstDash val="sysDot"/>
            </a:ln>
          </c:spPr>
          <c:marker>
            <c:symbol val="none"/>
          </c:marker>
          <c:cat>
            <c:numRef>
              <c:f>'OZL Summary'!$NT$8:$NT$33</c:f>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f>'OZL Summary'!$OC$8:$OC$33</c:f>
              <c:numCache>
                <c:formatCode>0.000</c:formatCode>
                <c:ptCount val="26"/>
                <c:pt idx="0">
                  <c:v>2.8508343538959226E-2</c:v>
                </c:pt>
                <c:pt idx="1">
                  <c:v>5.7016687077918453E-2</c:v>
                </c:pt>
                <c:pt idx="2">
                  <c:v>8.5525030616877676E-2</c:v>
                </c:pt>
                <c:pt idx="3">
                  <c:v>0.11403337415583691</c:v>
                </c:pt>
                <c:pt idx="4">
                  <c:v>0.14254171769479612</c:v>
                </c:pt>
                <c:pt idx="5">
                  <c:v>0.17105006123375535</c:v>
                </c:pt>
                <c:pt idx="6">
                  <c:v>0.19955840477271458</c:v>
                </c:pt>
                <c:pt idx="7">
                  <c:v>0.22806674831167381</c:v>
                </c:pt>
                <c:pt idx="8">
                  <c:v>0.25657509185063304</c:v>
                </c:pt>
                <c:pt idx="9">
                  <c:v>0.28508343538959224</c:v>
                </c:pt>
                <c:pt idx="10">
                  <c:v>0.31359177892855145</c:v>
                </c:pt>
                <c:pt idx="11">
                  <c:v>0.34210012246751065</c:v>
                </c:pt>
                <c:pt idx="12">
                  <c:v>0.37060846600646985</c:v>
                </c:pt>
                <c:pt idx="13">
                  <c:v>0.39911680954542905</c:v>
                </c:pt>
                <c:pt idx="14">
                  <c:v>0.42762515308438825</c:v>
                </c:pt>
                <c:pt idx="15">
                  <c:v>0.45613349662334746</c:v>
                </c:pt>
                <c:pt idx="16">
                  <c:v>0.48464184016230666</c:v>
                </c:pt>
                <c:pt idx="17">
                  <c:v>0.51315018370126586</c:v>
                </c:pt>
                <c:pt idx="18">
                  <c:v>0.54165852724022512</c:v>
                </c:pt>
                <c:pt idx="19">
                  <c:v>0.57016687077918438</c:v>
                </c:pt>
                <c:pt idx="20">
                  <c:v>0.59867521431814363</c:v>
                </c:pt>
                <c:pt idx="21">
                  <c:v>0.62718355785710289</c:v>
                </c:pt>
                <c:pt idx="22">
                  <c:v>0.65569190139606215</c:v>
                </c:pt>
                <c:pt idx="23">
                  <c:v>0.68420024493502141</c:v>
                </c:pt>
                <c:pt idx="24">
                  <c:v>0.71270858847398066</c:v>
                </c:pt>
                <c:pt idx="25">
                  <c:v>0.74121693201293992</c:v>
                </c:pt>
              </c:numCache>
            </c:numRef>
          </c:val>
          <c:smooth val="0"/>
          <c:extLst>
            <c:ext xmlns:c16="http://schemas.microsoft.com/office/drawing/2014/chart" uri="{C3380CC4-5D6E-409C-BE32-E72D297353CC}">
              <c16:uniqueId val="{00000003-6669-4904-BAB3-1079464163C3}"/>
            </c:ext>
          </c:extLst>
        </c:ser>
        <c:dLbls>
          <c:showLegendKey val="0"/>
          <c:showVal val="0"/>
          <c:showCatName val="0"/>
          <c:showSerName val="0"/>
          <c:showPercent val="0"/>
          <c:showBubbleSize val="0"/>
        </c:dLbls>
        <c:smooth val="0"/>
        <c:axId val="1388952432"/>
        <c:axId val="1388953088"/>
        <c:extLst>
          <c:ext xmlns:c15="http://schemas.microsoft.com/office/drawing/2012/chart" uri="{02D57815-91ED-43cb-92C2-25804820EDAC}">
            <c15:filteredLineSeries>
              <c15:ser>
                <c:idx val="7"/>
                <c:order val="1"/>
                <c:tx>
                  <c:strRef>
                    <c:extLst>
                      <c:ext uri="{02D57815-91ED-43cb-92C2-25804820EDAC}">
                        <c15:formulaRef>
                          <c15:sqref>'OZL Summary'!$NV$6:$NV$7</c15:sqref>
                        </c15:formulaRef>
                      </c:ext>
                    </c:extLst>
                    <c:strCache>
                      <c:ptCount val="2"/>
                      <c:pt idx="0">
                        <c:v>Min</c:v>
                      </c:pt>
                    </c:strCache>
                  </c:strRef>
                </c:tx>
                <c:spPr>
                  <a:ln w="28575" cap="rnd" cmpd="sng">
                    <a:solidFill>
                      <a:schemeClr val="accent6"/>
                    </a:solidFill>
                    <a:prstDash val="sysDot"/>
                    <a:round/>
                    <a:headEnd type="none"/>
                  </a:ln>
                  <a:effectLst/>
                </c:spPr>
                <c:marker>
                  <c:symbol val="none"/>
                </c:marker>
                <c:cat>
                  <c:numRef>
                    <c:extLst>
                      <c:ext uri="{02D57815-91ED-43cb-92C2-25804820EDAC}">
                        <c15:formulaRef>
                          <c15:sqref>'OZL Summary'!$NT$8:$NT$33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c:ext uri="{02D57815-91ED-43cb-92C2-25804820EDAC}">
                        <c15:formulaRef>
                          <c15:sqref>'OZL Summary'!$NV$8:$NV$33</c15:sqref>
                        </c15:formulaRef>
                      </c:ext>
                    </c:extLst>
                    <c:numCache>
                      <c:formatCode>0.000</c:formatCode>
                      <c:ptCount val="26"/>
                      <c:pt idx="0">
                        <c:v>1.5433151487946153E-2</c:v>
                      </c:pt>
                      <c:pt idx="1">
                        <c:v>3.0866302975892306E-2</c:v>
                      </c:pt>
                      <c:pt idx="2">
                        <c:v>4.6299454463838458E-2</c:v>
                      </c:pt>
                      <c:pt idx="3">
                        <c:v>6.1732605951784612E-2</c:v>
                      </c:pt>
                      <c:pt idx="4">
                        <c:v>7.7165757439730767E-2</c:v>
                      </c:pt>
                      <c:pt idx="5">
                        <c:v>9.2598908927676915E-2</c:v>
                      </c:pt>
                      <c:pt idx="6">
                        <c:v>0.10803206041562306</c:v>
                      </c:pt>
                      <c:pt idx="7">
                        <c:v>0.12346521190356921</c:v>
                      </c:pt>
                      <c:pt idx="8">
                        <c:v>0.13889836339151537</c:v>
                      </c:pt>
                      <c:pt idx="9">
                        <c:v>0.15433151487946153</c:v>
                      </c:pt>
                      <c:pt idx="10">
                        <c:v>0.1697646663674077</c:v>
                      </c:pt>
                      <c:pt idx="11">
                        <c:v>0.18519781785535386</c:v>
                      </c:pt>
                      <c:pt idx="12">
                        <c:v>0.20063096934330002</c:v>
                      </c:pt>
                      <c:pt idx="13">
                        <c:v>0.21606412083124618</c:v>
                      </c:pt>
                      <c:pt idx="14">
                        <c:v>0.23149727231919234</c:v>
                      </c:pt>
                      <c:pt idx="15">
                        <c:v>0.2469304238071385</c:v>
                      </c:pt>
                      <c:pt idx="16">
                        <c:v>0.26236357529508464</c:v>
                      </c:pt>
                      <c:pt idx="17">
                        <c:v>0.2777967267830308</c:v>
                      </c:pt>
                      <c:pt idx="18">
                        <c:v>0.29322987827097696</c:v>
                      </c:pt>
                      <c:pt idx="19">
                        <c:v>0.30866302975892312</c:v>
                      </c:pt>
                      <c:pt idx="20">
                        <c:v>0.32409618124686929</c:v>
                      </c:pt>
                      <c:pt idx="21">
                        <c:v>0.33952933273481545</c:v>
                      </c:pt>
                      <c:pt idx="22">
                        <c:v>0.35496248422276161</c:v>
                      </c:pt>
                      <c:pt idx="23">
                        <c:v>0.37039563571070777</c:v>
                      </c:pt>
                      <c:pt idx="24">
                        <c:v>0.38582878719865393</c:v>
                      </c:pt>
                      <c:pt idx="25">
                        <c:v>0.40126193868660009</c:v>
                      </c:pt>
                    </c:numCache>
                  </c:numRef>
                </c:val>
                <c:smooth val="0"/>
                <c:extLst>
                  <c:ext xmlns:c16="http://schemas.microsoft.com/office/drawing/2014/chart" uri="{C3380CC4-5D6E-409C-BE32-E72D297353CC}">
                    <c16:uniqueId val="{00000004-6669-4904-BAB3-1079464163C3}"/>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'OZL Summary'!$NW$6:$NW$7</c15:sqref>
                        </c15:formulaRef>
                      </c:ext>
                    </c:extLst>
                    <c:strCache>
                      <c:ptCount val="2"/>
                      <c:pt idx="0">
                        <c:v>1st Percentile</c:v>
                      </c:pt>
                    </c:strCache>
                  </c:strRef>
                </c:tx>
                <c:spPr>
                  <a:ln w="28575">
                    <a:solidFill>
                      <a:schemeClr val="bg2"/>
                    </a:solidFill>
                    <a:prstDash val="sysDot"/>
                  </a:ln>
                </c:spPr>
                <c:marker>
                  <c:symbol val="none"/>
                </c:marker>
                <c:cat>
                  <c:numRef>
                    <c:extLst xmlns:c15="http://schemas.microsoft.com/office/drawing/2012/chart">
                      <c:ext xmlns:c15="http://schemas.microsoft.com/office/drawing/2012/chart" uri="{02D57815-91ED-43cb-92C2-25804820EDAC}">
                        <c15:formulaRef>
                          <c15:sqref>'OZL Summary'!$NT$8:$NT$33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xmlns:c15="http://schemas.microsoft.com/office/drawing/2012/chart">
                      <c:ext xmlns:c15="http://schemas.microsoft.com/office/drawing/2012/chart" uri="{02D57815-91ED-43cb-92C2-25804820EDAC}">
                        <c15:formulaRef>
                          <c15:sqref>'OZL Summary'!$NW$8:$NW$33</c15:sqref>
                        </c15:formulaRef>
                      </c:ext>
                    </c:extLst>
                    <c:numCache>
                      <c:formatCode>0.000</c:formatCode>
                      <c:ptCount val="26"/>
                      <c:pt idx="0">
                        <c:v>1.6867674691430769E-2</c:v>
                      </c:pt>
                      <c:pt idx="1">
                        <c:v>3.3735349382861539E-2</c:v>
                      </c:pt>
                      <c:pt idx="2">
                        <c:v>5.0603024074292305E-2</c:v>
                      </c:pt>
                      <c:pt idx="3">
                        <c:v>6.7470698765723078E-2</c:v>
                      </c:pt>
                      <c:pt idx="4">
                        <c:v>8.4338373457153851E-2</c:v>
                      </c:pt>
                      <c:pt idx="5">
                        <c:v>0.10120604814858462</c:v>
                      </c:pt>
                      <c:pt idx="6">
                        <c:v>0.1180737228400154</c:v>
                      </c:pt>
                      <c:pt idx="7">
                        <c:v>0.13494139753144616</c:v>
                      </c:pt>
                      <c:pt idx="8">
                        <c:v>0.15180907222287693</c:v>
                      </c:pt>
                      <c:pt idx="9">
                        <c:v>0.1686767469143077</c:v>
                      </c:pt>
                      <c:pt idx="10">
                        <c:v>0.18554442160573847</c:v>
                      </c:pt>
                      <c:pt idx="11">
                        <c:v>0.20241209629716925</c:v>
                      </c:pt>
                      <c:pt idx="12">
                        <c:v>0.21927977098860002</c:v>
                      </c:pt>
                      <c:pt idx="13">
                        <c:v>0.23614744568003079</c:v>
                      </c:pt>
                      <c:pt idx="14">
                        <c:v>0.25301512037146157</c:v>
                      </c:pt>
                      <c:pt idx="15">
                        <c:v>0.26988279506289231</c:v>
                      </c:pt>
                      <c:pt idx="16">
                        <c:v>0.28675046975432306</c:v>
                      </c:pt>
                      <c:pt idx="17">
                        <c:v>0.3036181444457538</c:v>
                      </c:pt>
                      <c:pt idx="18">
                        <c:v>0.32048581913718455</c:v>
                      </c:pt>
                      <c:pt idx="19">
                        <c:v>0.33735349382861529</c:v>
                      </c:pt>
                      <c:pt idx="20">
                        <c:v>0.35422116852004604</c:v>
                      </c:pt>
                      <c:pt idx="21">
                        <c:v>0.37108884321147678</c:v>
                      </c:pt>
                      <c:pt idx="22">
                        <c:v>0.38795651790290753</c:v>
                      </c:pt>
                      <c:pt idx="23">
                        <c:v>0.40482419259433827</c:v>
                      </c:pt>
                      <c:pt idx="24">
                        <c:v>0.42169186728576902</c:v>
                      </c:pt>
                      <c:pt idx="25">
                        <c:v>0.43855954197719976</c:v>
                      </c:pt>
                    </c:numCache>
                  </c:numRef>
                </c:val>
                <c:smooth val="0"/>
                <c:extLst xmlns:c15="http://schemas.microsoft.com/office/drawing/2012/chart">
                  <c:ext xmlns:c16="http://schemas.microsoft.com/office/drawing/2014/chart" uri="{C3380CC4-5D6E-409C-BE32-E72D297353CC}">
                    <c16:uniqueId val="{00000005-6669-4904-BAB3-1079464163C3}"/>
                  </c:ext>
                </c:extLst>
              </c15:ser>
            </c15:filteredLineSeries>
            <c15:filteredLineSeries>
              <c15:ser>
                <c:idx val="6"/>
                <c:order val="3"/>
                <c:tx>
                  <c:strRef>
                    <c:extLst xmlns:c15="http://schemas.microsoft.com/office/drawing/2012/chart">
                      <c:ext xmlns:c15="http://schemas.microsoft.com/office/drawing/2012/chart" uri="{02D57815-91ED-43cb-92C2-25804820EDAC}">
                        <c15:formulaRef>
                          <c15:sqref>'OZL Summary'!$NX$6:$NX$7</c15:sqref>
                        </c15:formulaRef>
                      </c:ext>
                    </c:extLst>
                    <c:strCache>
                      <c:ptCount val="2"/>
                      <c:pt idx="0">
                        <c:v>5th Percentile</c:v>
                      </c:pt>
                    </c:strCache>
                  </c:strRef>
                </c:tx>
                <c:spPr>
                  <a:ln w="28575">
                    <a:solidFill>
                      <a:schemeClr val="accent1"/>
                    </a:solidFill>
                    <a:prstDash val="sysDot"/>
                  </a:ln>
                </c:spPr>
                <c:marker>
                  <c:symbol val="none"/>
                </c:marker>
                <c:cat>
                  <c:numRef>
                    <c:extLst xmlns:c15="http://schemas.microsoft.com/office/drawing/2012/chart">
                      <c:ext xmlns:c15="http://schemas.microsoft.com/office/drawing/2012/chart" uri="{02D57815-91ED-43cb-92C2-25804820EDAC}">
                        <c15:formulaRef>
                          <c15:sqref>'OZL Summary'!$NT$8:$NT$33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xmlns:c15="http://schemas.microsoft.com/office/drawing/2012/chart">
                      <c:ext xmlns:c15="http://schemas.microsoft.com/office/drawing/2012/chart" uri="{02D57815-91ED-43cb-92C2-25804820EDAC}">
                        <c15:formulaRef>
                          <c15:sqref>'OZL Summary'!$NX$8:$NX$33</c15:sqref>
                        </c15:formulaRef>
                      </c:ext>
                    </c:extLst>
                    <c:numCache>
                      <c:formatCode>0.000</c:formatCode>
                      <c:ptCount val="26"/>
                      <c:pt idx="0">
                        <c:v>1.7917404360820382E-2</c:v>
                      </c:pt>
                      <c:pt idx="1">
                        <c:v>3.5834808721640764E-2</c:v>
                      </c:pt>
                      <c:pt idx="2">
                        <c:v>5.3752213082461142E-2</c:v>
                      </c:pt>
                      <c:pt idx="3">
                        <c:v>7.1669617443281528E-2</c:v>
                      </c:pt>
                      <c:pt idx="4">
                        <c:v>8.9587021804101913E-2</c:v>
                      </c:pt>
                      <c:pt idx="5">
                        <c:v>0.1075044261649223</c:v>
                      </c:pt>
                      <c:pt idx="6">
                        <c:v>0.12542183052574268</c:v>
                      </c:pt>
                      <c:pt idx="7">
                        <c:v>0.14333923488656306</c:v>
                      </c:pt>
                      <c:pt idx="8">
                        <c:v>0.16125663924738343</c:v>
                      </c:pt>
                      <c:pt idx="9">
                        <c:v>0.1791740436082038</c:v>
                      </c:pt>
                      <c:pt idx="10">
                        <c:v>0.19709144796902417</c:v>
                      </c:pt>
                      <c:pt idx="11">
                        <c:v>0.21500885232984454</c:v>
                      </c:pt>
                      <c:pt idx="12">
                        <c:v>0.23292625669066491</c:v>
                      </c:pt>
                      <c:pt idx="13">
                        <c:v>0.25084366105148531</c:v>
                      </c:pt>
                      <c:pt idx="14">
                        <c:v>0.26876106541230571</c:v>
                      </c:pt>
                      <c:pt idx="15">
                        <c:v>0.28667846977312611</c:v>
                      </c:pt>
                      <c:pt idx="16">
                        <c:v>0.30459587413394651</c:v>
                      </c:pt>
                      <c:pt idx="17">
                        <c:v>0.32251327849476691</c:v>
                      </c:pt>
                      <c:pt idx="18">
                        <c:v>0.34043068285558731</c:v>
                      </c:pt>
                      <c:pt idx="19">
                        <c:v>0.35834808721640771</c:v>
                      </c:pt>
                      <c:pt idx="20">
                        <c:v>0.37626549157722811</c:v>
                      </c:pt>
                      <c:pt idx="21">
                        <c:v>0.39418289593804851</c:v>
                      </c:pt>
                      <c:pt idx="22">
                        <c:v>0.4121003002988689</c:v>
                      </c:pt>
                      <c:pt idx="23">
                        <c:v>0.4300177046596893</c:v>
                      </c:pt>
                      <c:pt idx="24">
                        <c:v>0.4479351090205097</c:v>
                      </c:pt>
                      <c:pt idx="25">
                        <c:v>0.4658525133813301</c:v>
                      </c:pt>
                    </c:numCache>
                  </c:numRef>
                </c:val>
                <c:smooth val="0"/>
                <c:extLst xmlns:c15="http://schemas.microsoft.com/office/drawing/2012/chart">
                  <c:ext xmlns:c16="http://schemas.microsoft.com/office/drawing/2014/chart" uri="{C3380CC4-5D6E-409C-BE32-E72D297353CC}">
                    <c16:uniqueId val="{00000006-6669-4904-BAB3-1079464163C3}"/>
                  </c:ext>
                </c:extLst>
              </c15:ser>
            </c15:filteredLineSeries>
            <c15:filteredLineSeries>
              <c15:ser>
                <c:idx val="3"/>
                <c:order val="5"/>
                <c:tx>
                  <c:strRef>
                    <c:extLst xmlns:c15="http://schemas.microsoft.com/office/drawing/2012/chart">
                      <c:ext xmlns:c15="http://schemas.microsoft.com/office/drawing/2012/chart" uri="{02D57815-91ED-43cb-92C2-25804820EDAC}">
                        <c15:formulaRef>
                          <c15:sqref>'OZL Summary'!$NZ$6:$NZ$7</c15:sqref>
                        </c15:formulaRef>
                      </c:ext>
                    </c:extLst>
                    <c:strCache>
                      <c:ptCount val="2"/>
                      <c:pt idx="0">
                        <c:v>25th Percentile</c:v>
                      </c:pt>
                    </c:strCache>
                  </c:strRef>
                </c:tx>
                <c:spPr>
                  <a:ln w="28575" cap="rnd" cmpd="sng">
                    <a:solidFill>
                      <a:schemeClr val="accent6"/>
                    </a:solidFill>
                    <a:prstDash val="sysDot"/>
                    <a:round/>
                    <a:headEnd type="none"/>
                  </a:ln>
                  <a:effectLst/>
                </c:spPr>
                <c:marker>
                  <c:symbol val="none"/>
                </c:marker>
                <c:cat>
                  <c:numRef>
                    <c:extLst xmlns:c15="http://schemas.microsoft.com/office/drawing/2012/chart">
                      <c:ext xmlns:c15="http://schemas.microsoft.com/office/drawing/2012/chart" uri="{02D57815-91ED-43cb-92C2-25804820EDAC}">
                        <c15:formulaRef>
                          <c15:sqref>'OZL Summary'!$NT$8:$NT$33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xmlns:c15="http://schemas.microsoft.com/office/drawing/2012/chart">
                      <c:ext xmlns:c15="http://schemas.microsoft.com/office/drawing/2012/chart" uri="{02D57815-91ED-43cb-92C2-25804820EDAC}">
                        <c15:formulaRef>
                          <c15:sqref>'OZL Summary'!$NZ$8:$NZ$33</c15:sqref>
                        </c15:formulaRef>
                      </c:ext>
                    </c:extLst>
                    <c:numCache>
                      <c:formatCode>0.000</c:formatCode>
                      <c:ptCount val="26"/>
                      <c:pt idx="0">
                        <c:v>2.0395517722730773E-2</c:v>
                      </c:pt>
                      <c:pt idx="1">
                        <c:v>4.0791035445461546E-2</c:v>
                      </c:pt>
                      <c:pt idx="2">
                        <c:v>6.1186553168192319E-2</c:v>
                      </c:pt>
                      <c:pt idx="3">
                        <c:v>8.1582070890923092E-2</c:v>
                      </c:pt>
                      <c:pt idx="4">
                        <c:v>0.10197758861365386</c:v>
                      </c:pt>
                      <c:pt idx="5">
                        <c:v>0.12237310633638462</c:v>
                      </c:pt>
                      <c:pt idx="6">
                        <c:v>0.14276862405911539</c:v>
                      </c:pt>
                      <c:pt idx="7">
                        <c:v>0.16316414178184616</c:v>
                      </c:pt>
                      <c:pt idx="8">
                        <c:v>0.18355965950457692</c:v>
                      </c:pt>
                      <c:pt idx="9">
                        <c:v>0.20395517722730769</c:v>
                      </c:pt>
                      <c:pt idx="10">
                        <c:v>0.22435069495003845</c:v>
                      </c:pt>
                      <c:pt idx="11">
                        <c:v>0.24474621267276922</c:v>
                      </c:pt>
                      <c:pt idx="12">
                        <c:v>0.26514173039549999</c:v>
                      </c:pt>
                      <c:pt idx="13">
                        <c:v>0.28553724811823078</c:v>
                      </c:pt>
                      <c:pt idx="14">
                        <c:v>0.30593276584096157</c:v>
                      </c:pt>
                      <c:pt idx="15">
                        <c:v>0.32632828356369237</c:v>
                      </c:pt>
                      <c:pt idx="16">
                        <c:v>0.34672380128642316</c:v>
                      </c:pt>
                      <c:pt idx="17">
                        <c:v>0.36711931900915395</c:v>
                      </c:pt>
                      <c:pt idx="18">
                        <c:v>0.38751483673188475</c:v>
                      </c:pt>
                      <c:pt idx="19">
                        <c:v>0.40791035445461554</c:v>
                      </c:pt>
                      <c:pt idx="20">
                        <c:v>0.42830587217734634</c:v>
                      </c:pt>
                      <c:pt idx="21">
                        <c:v>0.44870138990007713</c:v>
                      </c:pt>
                      <c:pt idx="22">
                        <c:v>0.46909690762280792</c:v>
                      </c:pt>
                      <c:pt idx="23">
                        <c:v>0.48949242534553872</c:v>
                      </c:pt>
                      <c:pt idx="24">
                        <c:v>0.50988794306826946</c:v>
                      </c:pt>
                      <c:pt idx="25">
                        <c:v>0.53028346079100019</c:v>
                      </c:pt>
                    </c:numCache>
                  </c:numRef>
                </c:val>
                <c:smooth val="0"/>
                <c:extLst xmlns:c15="http://schemas.microsoft.com/office/drawing/2012/chart">
                  <c:ext xmlns:c16="http://schemas.microsoft.com/office/drawing/2014/chart" uri="{C3380CC4-5D6E-409C-BE32-E72D297353CC}">
                    <c16:uniqueId val="{00000007-6669-4904-BAB3-1079464163C3}"/>
                  </c:ext>
                </c:extLst>
              </c15:ser>
            </c15:filteredLineSeries>
            <c15:filteredLineSeries>
              <c15:ser>
                <c:idx val="5"/>
                <c:order val="7"/>
                <c:tx>
                  <c:strRef>
                    <c:extLst xmlns:c15="http://schemas.microsoft.com/office/drawing/2012/chart">
                      <c:ext xmlns:c15="http://schemas.microsoft.com/office/drawing/2012/chart" uri="{02D57815-91ED-43cb-92C2-25804820EDAC}">
                        <c15:formulaRef>
                          <c15:sqref>'OZL Summary'!$OB$6:$OB$7</c15:sqref>
                        </c15:formulaRef>
                      </c:ext>
                    </c:extLst>
                    <c:strCache>
                      <c:ptCount val="2"/>
                      <c:pt idx="0">
                        <c:v>75th Percentile</c:v>
                      </c:pt>
                    </c:strCache>
                  </c:strRef>
                </c:tx>
                <c:spPr>
                  <a:ln w="28575">
                    <a:solidFill>
                      <a:schemeClr val="accent1"/>
                    </a:solidFill>
                    <a:prstDash val="sysDot"/>
                  </a:ln>
                </c:spPr>
                <c:marker>
                  <c:symbol val="none"/>
                </c:marker>
                <c:cat>
                  <c:numRef>
                    <c:extLst xmlns:c15="http://schemas.microsoft.com/office/drawing/2012/chart">
                      <c:ext xmlns:c15="http://schemas.microsoft.com/office/drawing/2012/chart" uri="{02D57815-91ED-43cb-92C2-25804820EDAC}">
                        <c15:formulaRef>
                          <c15:sqref>'OZL Summary'!$NT$8:$NT$33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xmlns:c15="http://schemas.microsoft.com/office/drawing/2012/chart">
                      <c:ext xmlns:c15="http://schemas.microsoft.com/office/drawing/2012/chart" uri="{02D57815-91ED-43cb-92C2-25804820EDAC}">
                        <c15:formulaRef>
                          <c15:sqref>'OZL Summary'!$OB$8:$OB$33</c15:sqref>
                        </c15:formulaRef>
                      </c:ext>
                    </c:extLst>
                    <c:numCache>
                      <c:formatCode>0.000</c:formatCode>
                      <c:ptCount val="26"/>
                      <c:pt idx="0">
                        <c:v>2.5291991662338458E-2</c:v>
                      </c:pt>
                      <c:pt idx="1">
                        <c:v>5.0583983324676916E-2</c:v>
                      </c:pt>
                      <c:pt idx="2">
                        <c:v>7.5875974987015371E-2</c:v>
                      </c:pt>
                      <c:pt idx="3">
                        <c:v>0.10116796664935383</c:v>
                      </c:pt>
                      <c:pt idx="4">
                        <c:v>0.12645995831169229</c:v>
                      </c:pt>
                      <c:pt idx="5">
                        <c:v>0.15175194997403074</c:v>
                      </c:pt>
                      <c:pt idx="6">
                        <c:v>0.17704394163636919</c:v>
                      </c:pt>
                      <c:pt idx="7">
                        <c:v>0.20233593329870764</c:v>
                      </c:pt>
                      <c:pt idx="8">
                        <c:v>0.22762792496104609</c:v>
                      </c:pt>
                      <c:pt idx="9">
                        <c:v>0.25291991662338453</c:v>
                      </c:pt>
                      <c:pt idx="10">
                        <c:v>0.27821190828572301</c:v>
                      </c:pt>
                      <c:pt idx="11">
                        <c:v>0.30350389994806148</c:v>
                      </c:pt>
                      <c:pt idx="12">
                        <c:v>0.32879589161039996</c:v>
                      </c:pt>
                      <c:pt idx="13">
                        <c:v>0.35408788327273844</c:v>
                      </c:pt>
                      <c:pt idx="14">
                        <c:v>0.37937987493507691</c:v>
                      </c:pt>
                      <c:pt idx="15">
                        <c:v>0.40467186659741539</c:v>
                      </c:pt>
                      <c:pt idx="16">
                        <c:v>0.42996385825975386</c:v>
                      </c:pt>
                      <c:pt idx="17">
                        <c:v>0.45525584992209234</c:v>
                      </c:pt>
                      <c:pt idx="18">
                        <c:v>0.48054784158443081</c:v>
                      </c:pt>
                      <c:pt idx="19">
                        <c:v>0.50583983324676929</c:v>
                      </c:pt>
                      <c:pt idx="20">
                        <c:v>0.53113182490910771</c:v>
                      </c:pt>
                      <c:pt idx="21">
                        <c:v>0.55642381657144613</c:v>
                      </c:pt>
                      <c:pt idx="22">
                        <c:v>0.58171580823378455</c:v>
                      </c:pt>
                      <c:pt idx="23">
                        <c:v>0.60700779989612297</c:v>
                      </c:pt>
                      <c:pt idx="24">
                        <c:v>0.63229979155846139</c:v>
                      </c:pt>
                      <c:pt idx="25">
                        <c:v>0.65759178322079981</c:v>
                      </c:pt>
                    </c:numCache>
                  </c:numRef>
                </c:val>
                <c:smooth val="0"/>
                <c:extLst xmlns:c15="http://schemas.microsoft.com/office/drawing/2012/chart">
                  <c:ext xmlns:c16="http://schemas.microsoft.com/office/drawing/2014/chart" uri="{C3380CC4-5D6E-409C-BE32-E72D297353CC}">
                    <c16:uniqueId val="{00000008-6669-4904-BAB3-1079464163C3}"/>
                  </c:ext>
                </c:extLst>
              </c15:ser>
            </c15:filteredLineSeries>
            <c15:filteredLineSeries>
              <c15:ser>
                <c:idx val="9"/>
                <c:order val="9"/>
                <c:tx>
                  <c:strRef>
                    <c:extLst xmlns:c15="http://schemas.microsoft.com/office/drawing/2012/chart">
                      <c:ext xmlns:c15="http://schemas.microsoft.com/office/drawing/2012/chart" uri="{02D57815-91ED-43cb-92C2-25804820EDAC}">
                        <c15:formulaRef>
                          <c15:sqref>'OZL Summary'!$OD$6:$OD$7</c15:sqref>
                        </c15:formulaRef>
                      </c:ext>
                    </c:extLst>
                    <c:strCache>
                      <c:ptCount val="2"/>
                      <c:pt idx="0">
                        <c:v>95th Percentile</c:v>
                      </c:pt>
                    </c:strCache>
                  </c:strRef>
                </c:tx>
                <c:marker>
                  <c:symbol val="none"/>
                </c:marker>
                <c:cat>
                  <c:numRef>
                    <c:extLst xmlns:c15="http://schemas.microsoft.com/office/drawing/2012/chart">
                      <c:ext xmlns:c15="http://schemas.microsoft.com/office/drawing/2012/chart" uri="{02D57815-91ED-43cb-92C2-25804820EDAC}">
                        <c15:formulaRef>
                          <c15:sqref>'OZL Summary'!$NT$8:$NT$33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xmlns:c15="http://schemas.microsoft.com/office/drawing/2012/chart">
                      <c:ext xmlns:c15="http://schemas.microsoft.com/office/drawing/2012/chart" uri="{02D57815-91ED-43cb-92C2-25804820EDAC}">
                        <c15:formulaRef>
                          <c15:sqref>'OZL Summary'!$OD$8:$OD$33</c15:sqref>
                        </c15:formulaRef>
                      </c:ext>
                    </c:extLst>
                    <c:numCache>
                      <c:formatCode>0.000</c:formatCode>
                      <c:ptCount val="26"/>
                      <c:pt idx="0">
                        <c:v>3.0517649732723071E-2</c:v>
                      </c:pt>
                      <c:pt idx="1">
                        <c:v>6.1035299465446141E-2</c:v>
                      </c:pt>
                      <c:pt idx="2">
                        <c:v>9.1552949198169212E-2</c:v>
                      </c:pt>
                      <c:pt idx="3">
                        <c:v>0.12207059893089228</c:v>
                      </c:pt>
                      <c:pt idx="4">
                        <c:v>0.15258824866361537</c:v>
                      </c:pt>
                      <c:pt idx="5">
                        <c:v>0.18310589839633845</c:v>
                      </c:pt>
                      <c:pt idx="6">
                        <c:v>0.21362354812906154</c:v>
                      </c:pt>
                      <c:pt idx="7">
                        <c:v>0.24414119786178462</c:v>
                      </c:pt>
                      <c:pt idx="8">
                        <c:v>0.2746588475945077</c:v>
                      </c:pt>
                      <c:pt idx="9">
                        <c:v>0.30517649732723079</c:v>
                      </c:pt>
                      <c:pt idx="10">
                        <c:v>0.33569414705995387</c:v>
                      </c:pt>
                      <c:pt idx="11">
                        <c:v>0.36621179679267696</c:v>
                      </c:pt>
                      <c:pt idx="12">
                        <c:v>0.39672944652540004</c:v>
                      </c:pt>
                      <c:pt idx="13">
                        <c:v>0.42724709625812313</c:v>
                      </c:pt>
                      <c:pt idx="14">
                        <c:v>0.45776474599084621</c:v>
                      </c:pt>
                      <c:pt idx="15">
                        <c:v>0.4882823957235693</c:v>
                      </c:pt>
                      <c:pt idx="16">
                        <c:v>0.51880004545629232</c:v>
                      </c:pt>
                      <c:pt idx="17">
                        <c:v>0.54931769518901541</c:v>
                      </c:pt>
                      <c:pt idx="18">
                        <c:v>0.57983534492173849</c:v>
                      </c:pt>
                      <c:pt idx="19">
                        <c:v>0.61035299465446158</c:v>
                      </c:pt>
                      <c:pt idx="20">
                        <c:v>0.64087064438718466</c:v>
                      </c:pt>
                      <c:pt idx="21">
                        <c:v>0.67138829411990775</c:v>
                      </c:pt>
                      <c:pt idx="22">
                        <c:v>0.70190594385263083</c:v>
                      </c:pt>
                      <c:pt idx="23">
                        <c:v>0.73242359358535392</c:v>
                      </c:pt>
                      <c:pt idx="24">
                        <c:v>0.762941243318077</c:v>
                      </c:pt>
                      <c:pt idx="25">
                        <c:v>0.79345889305080008</c:v>
                      </c:pt>
                    </c:numCache>
                  </c:numRef>
                </c:val>
                <c:smooth val="0"/>
                <c:extLst xmlns:c15="http://schemas.microsoft.com/office/drawing/2012/chart">
                  <c:ext xmlns:c16="http://schemas.microsoft.com/office/drawing/2014/chart" uri="{C3380CC4-5D6E-409C-BE32-E72D297353CC}">
                    <c16:uniqueId val="{00000009-6669-4904-BAB3-1079464163C3}"/>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'OZL Summary'!$OE$6:$OE$7</c15:sqref>
                        </c15:formulaRef>
                      </c:ext>
                    </c:extLst>
                    <c:strCache>
                      <c:ptCount val="2"/>
                      <c:pt idx="0">
                        <c:v>99th Percentile</c:v>
                      </c:pt>
                    </c:strCache>
                  </c:strRef>
                </c:tx>
                <c:marker>
                  <c:symbol val="none"/>
                </c:marker>
                <c:cat>
                  <c:numRef>
                    <c:extLst xmlns:c15="http://schemas.microsoft.com/office/drawing/2012/chart">
                      <c:ext xmlns:c15="http://schemas.microsoft.com/office/drawing/2012/chart" uri="{02D57815-91ED-43cb-92C2-25804820EDAC}">
                        <c15:formulaRef>
                          <c15:sqref>'OZL Summary'!$NT$8:$NT$33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xmlns:c15="http://schemas.microsoft.com/office/drawing/2012/chart">
                      <c:ext xmlns:c15="http://schemas.microsoft.com/office/drawing/2012/chart" uri="{02D57815-91ED-43cb-92C2-25804820EDAC}">
                        <c15:formulaRef>
                          <c15:sqref>'OZL Summary'!$OE$8:$OE$33</c15:sqref>
                        </c15:formulaRef>
                      </c:ext>
                    </c:extLst>
                    <c:numCache>
                      <c:formatCode>0.000</c:formatCode>
                      <c:ptCount val="26"/>
                      <c:pt idx="0">
                        <c:v>3.4534613209915382E-2</c:v>
                      </c:pt>
                      <c:pt idx="1">
                        <c:v>6.9069226419830765E-2</c:v>
                      </c:pt>
                      <c:pt idx="2">
                        <c:v>0.10360383962974615</c:v>
                      </c:pt>
                      <c:pt idx="3">
                        <c:v>0.13813845283966153</c:v>
                      </c:pt>
                      <c:pt idx="4">
                        <c:v>0.17267306604957691</c:v>
                      </c:pt>
                      <c:pt idx="5">
                        <c:v>0.20720767925949229</c:v>
                      </c:pt>
                      <c:pt idx="6">
                        <c:v>0.24174229246940768</c:v>
                      </c:pt>
                      <c:pt idx="7">
                        <c:v>0.27627690567932306</c:v>
                      </c:pt>
                      <c:pt idx="8">
                        <c:v>0.31081151888923841</c:v>
                      </c:pt>
                      <c:pt idx="9">
                        <c:v>0.34534613209915377</c:v>
                      </c:pt>
                      <c:pt idx="10">
                        <c:v>0.37988074530906912</c:v>
                      </c:pt>
                      <c:pt idx="11">
                        <c:v>0.41441535851898448</c:v>
                      </c:pt>
                      <c:pt idx="12">
                        <c:v>0.44894997172889983</c:v>
                      </c:pt>
                      <c:pt idx="13">
                        <c:v>0.48348458493881519</c:v>
                      </c:pt>
                      <c:pt idx="14">
                        <c:v>0.51801919814873054</c:v>
                      </c:pt>
                      <c:pt idx="15">
                        <c:v>0.5525538113586459</c:v>
                      </c:pt>
                      <c:pt idx="16">
                        <c:v>0.58708842456856125</c:v>
                      </c:pt>
                      <c:pt idx="17">
                        <c:v>0.62162303777847661</c:v>
                      </c:pt>
                      <c:pt idx="18">
                        <c:v>0.65615765098839196</c:v>
                      </c:pt>
                      <c:pt idx="19">
                        <c:v>0.69069226419830732</c:v>
                      </c:pt>
                      <c:pt idx="20">
                        <c:v>0.72522687740822267</c:v>
                      </c:pt>
                      <c:pt idx="21">
                        <c:v>0.75976149061813802</c:v>
                      </c:pt>
                      <c:pt idx="22">
                        <c:v>0.79429610382805338</c:v>
                      </c:pt>
                      <c:pt idx="23">
                        <c:v>0.82883071703796873</c:v>
                      </c:pt>
                      <c:pt idx="24">
                        <c:v>0.86336533024788409</c:v>
                      </c:pt>
                      <c:pt idx="25">
                        <c:v>0.89789994345779944</c:v>
                      </c:pt>
                    </c:numCache>
                  </c:numRef>
                </c:val>
                <c:smooth val="0"/>
                <c:extLst xmlns:c15="http://schemas.microsoft.com/office/drawing/2012/chart">
                  <c:ext xmlns:c16="http://schemas.microsoft.com/office/drawing/2014/chart" uri="{C3380CC4-5D6E-409C-BE32-E72D297353CC}">
                    <c16:uniqueId val="{0000000A-6669-4904-BAB3-1079464163C3}"/>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'OZL Summary'!$OF$6:$OF$7</c15:sqref>
                        </c15:formulaRef>
                      </c:ext>
                    </c:extLst>
                    <c:strCache>
                      <c:ptCount val="2"/>
                      <c:pt idx="0">
                        <c:v>Max</c:v>
                      </c:pt>
                    </c:strCache>
                  </c:strRef>
                </c:tx>
                <c:marker>
                  <c:symbol val="none"/>
                </c:marker>
                <c:cat>
                  <c:numRef>
                    <c:extLst xmlns:c15="http://schemas.microsoft.com/office/drawing/2012/chart">
                      <c:ext xmlns:c15="http://schemas.microsoft.com/office/drawing/2012/chart" uri="{02D57815-91ED-43cb-92C2-25804820EDAC}">
                        <c15:formulaRef>
                          <c15:sqref>'OZL Summary'!$NT$8:$NT$33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xmlns:c15="http://schemas.microsoft.com/office/drawing/2012/chart">
                      <c:ext xmlns:c15="http://schemas.microsoft.com/office/drawing/2012/chart" uri="{02D57815-91ED-43cb-92C2-25804820EDAC}">
                        <c15:formulaRef>
                          <c15:sqref>'OZL Summary'!$OF$8:$OF$33</c15:sqref>
                        </c15:formulaRef>
                      </c:ext>
                    </c:extLst>
                    <c:numCache>
                      <c:formatCode>0.000</c:formatCode>
                      <c:ptCount val="26"/>
                      <c:pt idx="0">
                        <c:v>4.264335589068461E-2</c:v>
                      </c:pt>
                      <c:pt idx="1">
                        <c:v>8.528671178136922E-2</c:v>
                      </c:pt>
                      <c:pt idx="2">
                        <c:v>0.12793006767205384</c:v>
                      </c:pt>
                      <c:pt idx="3">
                        <c:v>0.17057342356273844</c:v>
                      </c:pt>
                      <c:pt idx="4">
                        <c:v>0.21321677945342304</c:v>
                      </c:pt>
                      <c:pt idx="5">
                        <c:v>0.25586013534410768</c:v>
                      </c:pt>
                      <c:pt idx="6">
                        <c:v>0.29850349123479231</c:v>
                      </c:pt>
                      <c:pt idx="7">
                        <c:v>0.34114684712547694</c:v>
                      </c:pt>
                      <c:pt idx="8">
                        <c:v>0.38379020301616157</c:v>
                      </c:pt>
                      <c:pt idx="9">
                        <c:v>0.4264335589068462</c:v>
                      </c:pt>
                      <c:pt idx="10">
                        <c:v>0.46907691479753083</c:v>
                      </c:pt>
                      <c:pt idx="11">
                        <c:v>0.51172027068821546</c:v>
                      </c:pt>
                      <c:pt idx="12">
                        <c:v>0.55436362657890004</c:v>
                      </c:pt>
                      <c:pt idx="13">
                        <c:v>0.59700698246958461</c:v>
                      </c:pt>
                      <c:pt idx="14">
                        <c:v>0.63965033836026919</c:v>
                      </c:pt>
                      <c:pt idx="15">
                        <c:v>0.68229369425095376</c:v>
                      </c:pt>
                      <c:pt idx="16">
                        <c:v>0.72493705014163834</c:v>
                      </c:pt>
                      <c:pt idx="17">
                        <c:v>0.76758040603232291</c:v>
                      </c:pt>
                      <c:pt idx="18">
                        <c:v>0.81022376192300749</c:v>
                      </c:pt>
                      <c:pt idx="19">
                        <c:v>0.85286711781369207</c:v>
                      </c:pt>
                      <c:pt idx="20">
                        <c:v>0.89551047370437664</c:v>
                      </c:pt>
                      <c:pt idx="21">
                        <c:v>0.93815382959506122</c:v>
                      </c:pt>
                      <c:pt idx="22">
                        <c:v>0.98079718548574579</c:v>
                      </c:pt>
                      <c:pt idx="23">
                        <c:v>1.0234405413764305</c:v>
                      </c:pt>
                      <c:pt idx="24">
                        <c:v>1.0660838972671152</c:v>
                      </c:pt>
                      <c:pt idx="25">
                        <c:v>1.1087272531577999</c:v>
                      </c:pt>
                    </c:numCache>
                  </c:numRef>
                </c:val>
                <c:smooth val="0"/>
                <c:extLst xmlns:c15="http://schemas.microsoft.com/office/drawing/2012/chart">
                  <c:ext xmlns:c16="http://schemas.microsoft.com/office/drawing/2014/chart" uri="{C3380CC4-5D6E-409C-BE32-E72D297353CC}">
                    <c16:uniqueId val="{0000000B-6669-4904-BAB3-1079464163C3}"/>
                  </c:ext>
                </c:extLst>
              </c15:ser>
            </c15:filteredLineSeries>
          </c:ext>
        </c:extLst>
      </c:lineChart>
      <c:dateAx>
        <c:axId val="1388952432"/>
        <c:scaling>
          <c:orientation val="minMax"/>
        </c:scaling>
        <c:delete val="0"/>
        <c:axPos val="b"/>
        <c:numFmt formatCode="d\-mmm\-yy_);\(###0\);&quot;-  &quot;;&quot; &quot;@&quot; &quot;"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3088"/>
        <c:crosses val="autoZero"/>
        <c:auto val="1"/>
        <c:lblOffset val="100"/>
        <c:baseTimeUnit val="days"/>
        <c:majorUnit val="3"/>
        <c:majorTimeUnit val="months"/>
      </c:dateAx>
      <c:valAx>
        <c:axId val="1388953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Ticket Sales ($b)</a:t>
                </a:r>
              </a:p>
            </c:rich>
          </c:tx>
          <c:overlay val="0"/>
          <c:spPr>
            <a:noFill/>
            <a:ln>
              <a:noFill/>
            </a:ln>
            <a:effectLst/>
          </c:sp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2432"/>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'OZL Summary'!$NU$6:$NU$7</c:f>
              <c:strCache>
                <c:ptCount val="2"/>
                <c:pt idx="0">
                  <c:v>Actual</c:v>
                </c:pt>
              </c:strCache>
            </c:strRef>
          </c:tx>
          <c:spPr>
            <a:ln w="28575" cap="rnd">
              <a:solidFill>
                <a:schemeClr val="tx2"/>
              </a:solidFill>
              <a:round/>
            </a:ln>
            <a:effectLst/>
          </c:spPr>
          <c:marker>
            <c:symbol val="none"/>
          </c:marker>
          <c:cat>
            <c:numRef>
              <c:f>'OZL Summary'!$NT$8:$NT$33</c:f>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f>'OZL Summary'!$NU$8:$NU$33</c:f>
              <c:numCache>
                <c:formatCode>0.000</c:formatCode>
                <c:ptCount val="26"/>
                <c:pt idx="0">
                  <c:v>1.83918084912E-2</c:v>
                </c:pt>
                <c:pt idx="1">
                  <c:v>5.1320441797199995E-2</c:v>
                </c:pt>
                <c:pt idx="2">
                  <c:v>9.3269601025199989E-2</c:v>
                </c:pt>
                <c:pt idx="3">
                  <c:v>0.15693653862000001</c:v>
                </c:pt>
                <c:pt idx="4">
                  <c:v>0.16921774255320002</c:v>
                </c:pt>
                <c:pt idx="5">
                  <c:v>0.1838797388964</c:v>
                </c:pt>
                <c:pt idx="6">
                  <c:v>0.20299689739439999</c:v>
                </c:pt>
                <c:pt idx="7">
                  <c:v>0.21386782008719998</c:v>
                </c:pt>
                <c:pt idx="8">
                  <c:v>0.23052645776519998</c:v>
                </c:pt>
                <c:pt idx="9">
                  <c:v>0.25480109778479998</c:v>
                </c:pt>
                <c:pt idx="10">
                  <c:v>0.26624755617119999</c:v>
                </c:pt>
                <c:pt idx="11">
                  <c:v>0.28611919843559996</c:v>
                </c:pt>
                <c:pt idx="12">
                  <c:v>0.29892757371840001</c:v>
                </c:pt>
                <c:pt idx="13">
                  <c:v>0.30904758271839999</c:v>
                </c:pt>
                <c:pt idx="14">
                  <c:v>0.32416328266959998</c:v>
                </c:pt>
                <c:pt idx="15">
                  <c:v>0.34605206353840001</c:v>
                </c:pt>
                <c:pt idx="16">
                  <c:v>0.3734694646924</c:v>
                </c:pt>
              </c:numCache>
            </c:numRef>
          </c:val>
          <c:smooth val="0"/>
          <c:extLst>
            <c:ext xmlns:c16="http://schemas.microsoft.com/office/drawing/2014/chart" uri="{C3380CC4-5D6E-409C-BE32-E72D297353CC}">
              <c16:uniqueId val="{00000000-D8FA-4E15-B736-9EA4DDD2E79D}"/>
            </c:ext>
          </c:extLst>
        </c:ser>
        <c:ser>
          <c:idx val="6"/>
          <c:order val="3"/>
          <c:tx>
            <c:strRef>
              <c:f>'OZL Summary'!$NX$6:$NX$7</c:f>
              <c:strCache>
                <c:ptCount val="2"/>
                <c:pt idx="0">
                  <c:v>5th Percentile</c:v>
                </c:pt>
              </c:strCache>
            </c:strRef>
          </c:tx>
          <c:spPr>
            <a:ln w="28575">
              <a:solidFill>
                <a:schemeClr val="accent6"/>
              </a:solidFill>
              <a:prstDash val="sysDot"/>
            </a:ln>
          </c:spPr>
          <c:marker>
            <c:symbol val="none"/>
          </c:marker>
          <c:cat>
            <c:numRef>
              <c:f>'OZL Summary'!$NT$8:$NT$33</c:f>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f>'OZL Summary'!$NX$8:$NX$33</c:f>
              <c:numCache>
                <c:formatCode>0.000</c:formatCode>
                <c:ptCount val="26"/>
                <c:pt idx="0">
                  <c:v>1.7917404360820382E-2</c:v>
                </c:pt>
                <c:pt idx="1">
                  <c:v>3.5834808721640764E-2</c:v>
                </c:pt>
                <c:pt idx="2">
                  <c:v>5.3752213082461142E-2</c:v>
                </c:pt>
                <c:pt idx="3">
                  <c:v>7.1669617443281528E-2</c:v>
                </c:pt>
                <c:pt idx="4">
                  <c:v>8.9587021804101913E-2</c:v>
                </c:pt>
                <c:pt idx="5">
                  <c:v>0.1075044261649223</c:v>
                </c:pt>
                <c:pt idx="6">
                  <c:v>0.12542183052574268</c:v>
                </c:pt>
                <c:pt idx="7">
                  <c:v>0.14333923488656306</c:v>
                </c:pt>
                <c:pt idx="8">
                  <c:v>0.16125663924738343</c:v>
                </c:pt>
                <c:pt idx="9">
                  <c:v>0.1791740436082038</c:v>
                </c:pt>
                <c:pt idx="10">
                  <c:v>0.19709144796902417</c:v>
                </c:pt>
                <c:pt idx="11">
                  <c:v>0.21500885232984454</c:v>
                </c:pt>
                <c:pt idx="12">
                  <c:v>0.23292625669066491</c:v>
                </c:pt>
                <c:pt idx="13">
                  <c:v>0.25084366105148531</c:v>
                </c:pt>
                <c:pt idx="14">
                  <c:v>0.26876106541230571</c:v>
                </c:pt>
                <c:pt idx="15">
                  <c:v>0.28667846977312611</c:v>
                </c:pt>
                <c:pt idx="16">
                  <c:v>0.30459587413394651</c:v>
                </c:pt>
                <c:pt idx="17">
                  <c:v>0.32251327849476691</c:v>
                </c:pt>
                <c:pt idx="18">
                  <c:v>0.34043068285558731</c:v>
                </c:pt>
                <c:pt idx="19">
                  <c:v>0.35834808721640771</c:v>
                </c:pt>
                <c:pt idx="20">
                  <c:v>0.37626549157722811</c:v>
                </c:pt>
                <c:pt idx="21">
                  <c:v>0.39418289593804851</c:v>
                </c:pt>
                <c:pt idx="22">
                  <c:v>0.4121003002988689</c:v>
                </c:pt>
                <c:pt idx="23">
                  <c:v>0.4300177046596893</c:v>
                </c:pt>
                <c:pt idx="24">
                  <c:v>0.4479351090205097</c:v>
                </c:pt>
                <c:pt idx="25">
                  <c:v>0.4658525133813301</c:v>
                </c:pt>
              </c:numCache>
            </c:numRef>
          </c:val>
          <c:smooth val="0"/>
          <c:extLst xmlns:c15="http://schemas.microsoft.com/office/drawing/2012/chart">
            <c:ext xmlns:c16="http://schemas.microsoft.com/office/drawing/2014/chart" uri="{C3380CC4-5D6E-409C-BE32-E72D297353CC}">
              <c16:uniqueId val="{00000001-D8FA-4E15-B736-9EA4DDD2E79D}"/>
            </c:ext>
          </c:extLst>
        </c:ser>
        <c:ser>
          <c:idx val="3"/>
          <c:order val="5"/>
          <c:tx>
            <c:strRef>
              <c:f>'OZL Summary'!$NZ$6:$NZ$7</c:f>
              <c:strCache>
                <c:ptCount val="2"/>
                <c:pt idx="0">
                  <c:v>25th Percentile</c:v>
                </c:pt>
              </c:strCache>
            </c:strRef>
          </c:tx>
          <c:spPr>
            <a:ln w="28575" cap="rnd" cmpd="sng">
              <a:solidFill>
                <a:schemeClr val="accent5"/>
              </a:solidFill>
              <a:prstDash val="sysDot"/>
              <a:round/>
              <a:headEnd type="none"/>
            </a:ln>
            <a:effectLst/>
          </c:spPr>
          <c:marker>
            <c:symbol val="none"/>
          </c:marker>
          <c:cat>
            <c:numRef>
              <c:f>'OZL Summary'!$NT$8:$NT$33</c:f>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f>'OZL Summary'!$NZ$8:$NZ$33</c:f>
              <c:numCache>
                <c:formatCode>0.000</c:formatCode>
                <c:ptCount val="26"/>
                <c:pt idx="0">
                  <c:v>2.0395517722730773E-2</c:v>
                </c:pt>
                <c:pt idx="1">
                  <c:v>4.0791035445461546E-2</c:v>
                </c:pt>
                <c:pt idx="2">
                  <c:v>6.1186553168192319E-2</c:v>
                </c:pt>
                <c:pt idx="3">
                  <c:v>8.1582070890923092E-2</c:v>
                </c:pt>
                <c:pt idx="4">
                  <c:v>0.10197758861365386</c:v>
                </c:pt>
                <c:pt idx="5">
                  <c:v>0.12237310633638462</c:v>
                </c:pt>
                <c:pt idx="6">
                  <c:v>0.14276862405911539</c:v>
                </c:pt>
                <c:pt idx="7">
                  <c:v>0.16316414178184616</c:v>
                </c:pt>
                <c:pt idx="8">
                  <c:v>0.18355965950457692</c:v>
                </c:pt>
                <c:pt idx="9">
                  <c:v>0.20395517722730769</c:v>
                </c:pt>
                <c:pt idx="10">
                  <c:v>0.22435069495003845</c:v>
                </c:pt>
                <c:pt idx="11">
                  <c:v>0.24474621267276922</c:v>
                </c:pt>
                <c:pt idx="12">
                  <c:v>0.26514173039549999</c:v>
                </c:pt>
                <c:pt idx="13">
                  <c:v>0.28553724811823078</c:v>
                </c:pt>
                <c:pt idx="14">
                  <c:v>0.30593276584096157</c:v>
                </c:pt>
                <c:pt idx="15">
                  <c:v>0.32632828356369237</c:v>
                </c:pt>
                <c:pt idx="16">
                  <c:v>0.34672380128642316</c:v>
                </c:pt>
                <c:pt idx="17">
                  <c:v>0.36711931900915395</c:v>
                </c:pt>
                <c:pt idx="18">
                  <c:v>0.38751483673188475</c:v>
                </c:pt>
                <c:pt idx="19">
                  <c:v>0.40791035445461554</c:v>
                </c:pt>
                <c:pt idx="20">
                  <c:v>0.42830587217734634</c:v>
                </c:pt>
                <c:pt idx="21">
                  <c:v>0.44870138990007713</c:v>
                </c:pt>
                <c:pt idx="22">
                  <c:v>0.46909690762280792</c:v>
                </c:pt>
                <c:pt idx="23">
                  <c:v>0.48949242534553872</c:v>
                </c:pt>
                <c:pt idx="24">
                  <c:v>0.50988794306826946</c:v>
                </c:pt>
                <c:pt idx="25">
                  <c:v>0.53028346079100019</c:v>
                </c:pt>
              </c:numCache>
            </c:numRef>
          </c:val>
          <c:smooth val="0"/>
          <c:extLst>
            <c:ext xmlns:c16="http://schemas.microsoft.com/office/drawing/2014/chart" uri="{C3380CC4-5D6E-409C-BE32-E72D297353CC}">
              <c16:uniqueId val="{00000002-D8FA-4E15-B736-9EA4DDD2E79D}"/>
            </c:ext>
          </c:extLst>
        </c:ser>
        <c:ser>
          <c:idx val="4"/>
          <c:order val="6"/>
          <c:tx>
            <c:strRef>
              <c:f>'OZL Summary'!$OA$6:$OA$7</c:f>
              <c:strCache>
                <c:ptCount val="2"/>
                <c:pt idx="0">
                  <c:v>50th Percentile</c:v>
                </c:pt>
              </c:strCache>
            </c:strRef>
          </c:tx>
          <c:spPr>
            <a:ln w="28575">
              <a:solidFill>
                <a:schemeClr val="accent2"/>
              </a:solidFill>
              <a:prstDash val="sysDot"/>
            </a:ln>
          </c:spPr>
          <c:marker>
            <c:symbol val="none"/>
          </c:marker>
          <c:cat>
            <c:numRef>
              <c:f>'OZL Summary'!$NT$8:$NT$33</c:f>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f>'OZL Summary'!$OA$8:$OA$33</c:f>
              <c:numCache>
                <c:formatCode>0.000</c:formatCode>
                <c:ptCount val="26"/>
                <c:pt idx="0">
                  <c:v>2.2526944401807695E-2</c:v>
                </c:pt>
                <c:pt idx="1">
                  <c:v>4.505388880361539E-2</c:v>
                </c:pt>
                <c:pt idx="2">
                  <c:v>6.7580833205423088E-2</c:v>
                </c:pt>
                <c:pt idx="3">
                  <c:v>9.010777760723078E-2</c:v>
                </c:pt>
                <c:pt idx="4">
                  <c:v>0.11263472200903847</c:v>
                </c:pt>
                <c:pt idx="5">
                  <c:v>0.13516166641084618</c:v>
                </c:pt>
                <c:pt idx="6">
                  <c:v>0.15768861081265387</c:v>
                </c:pt>
                <c:pt idx="7">
                  <c:v>0.18021555521446156</c:v>
                </c:pt>
                <c:pt idx="8">
                  <c:v>0.20274249961626925</c:v>
                </c:pt>
                <c:pt idx="9">
                  <c:v>0.22526944401807694</c:v>
                </c:pt>
                <c:pt idx="10">
                  <c:v>0.24779638841988463</c:v>
                </c:pt>
                <c:pt idx="11">
                  <c:v>0.27032333282169235</c:v>
                </c:pt>
                <c:pt idx="12">
                  <c:v>0.29285027722350004</c:v>
                </c:pt>
                <c:pt idx="13">
                  <c:v>0.31537722162530774</c:v>
                </c:pt>
                <c:pt idx="14">
                  <c:v>0.33790416602711543</c:v>
                </c:pt>
                <c:pt idx="15">
                  <c:v>0.36043111042892312</c:v>
                </c:pt>
                <c:pt idx="16">
                  <c:v>0.38295805483073081</c:v>
                </c:pt>
                <c:pt idx="17">
                  <c:v>0.4054849992325385</c:v>
                </c:pt>
                <c:pt idx="18">
                  <c:v>0.42801194363434619</c:v>
                </c:pt>
                <c:pt idx="19">
                  <c:v>0.45053888803615388</c:v>
                </c:pt>
                <c:pt idx="20">
                  <c:v>0.47306583243796158</c:v>
                </c:pt>
                <c:pt idx="21">
                  <c:v>0.49559277683976927</c:v>
                </c:pt>
                <c:pt idx="22">
                  <c:v>0.51811972124157701</c:v>
                </c:pt>
                <c:pt idx="23">
                  <c:v>0.54064666564338471</c:v>
                </c:pt>
                <c:pt idx="24">
                  <c:v>0.5631736100451924</c:v>
                </c:pt>
                <c:pt idx="25">
                  <c:v>0.58570055444700009</c:v>
                </c:pt>
              </c:numCache>
            </c:numRef>
          </c:val>
          <c:smooth val="0"/>
          <c:extLst>
            <c:ext xmlns:c16="http://schemas.microsoft.com/office/drawing/2014/chart" uri="{C3380CC4-5D6E-409C-BE32-E72D297353CC}">
              <c16:uniqueId val="{00000003-D8FA-4E15-B736-9EA4DDD2E79D}"/>
            </c:ext>
          </c:extLst>
        </c:ser>
        <c:ser>
          <c:idx val="5"/>
          <c:order val="7"/>
          <c:tx>
            <c:strRef>
              <c:f>'OZL Summary'!$OB$6:$OB$7</c:f>
              <c:strCache>
                <c:ptCount val="2"/>
                <c:pt idx="0">
                  <c:v>75th Percentile</c:v>
                </c:pt>
              </c:strCache>
            </c:strRef>
          </c:tx>
          <c:spPr>
            <a:ln w="28575">
              <a:solidFill>
                <a:schemeClr val="bg2"/>
              </a:solidFill>
              <a:prstDash val="sysDot"/>
            </a:ln>
          </c:spPr>
          <c:marker>
            <c:symbol val="none"/>
          </c:marker>
          <c:cat>
            <c:numRef>
              <c:f>'OZL Summary'!$NT$8:$NT$33</c:f>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f>'OZL Summary'!$OB$8:$OB$33</c:f>
              <c:numCache>
                <c:formatCode>0.000</c:formatCode>
                <c:ptCount val="26"/>
                <c:pt idx="0">
                  <c:v>2.5291991662338458E-2</c:v>
                </c:pt>
                <c:pt idx="1">
                  <c:v>5.0583983324676916E-2</c:v>
                </c:pt>
                <c:pt idx="2">
                  <c:v>7.5875974987015371E-2</c:v>
                </c:pt>
                <c:pt idx="3">
                  <c:v>0.10116796664935383</c:v>
                </c:pt>
                <c:pt idx="4">
                  <c:v>0.12645995831169229</c:v>
                </c:pt>
                <c:pt idx="5">
                  <c:v>0.15175194997403074</c:v>
                </c:pt>
                <c:pt idx="6">
                  <c:v>0.17704394163636919</c:v>
                </c:pt>
                <c:pt idx="7">
                  <c:v>0.20233593329870764</c:v>
                </c:pt>
                <c:pt idx="8">
                  <c:v>0.22762792496104609</c:v>
                </c:pt>
                <c:pt idx="9">
                  <c:v>0.25291991662338453</c:v>
                </c:pt>
                <c:pt idx="10">
                  <c:v>0.27821190828572301</c:v>
                </c:pt>
                <c:pt idx="11">
                  <c:v>0.30350389994806148</c:v>
                </c:pt>
                <c:pt idx="12">
                  <c:v>0.32879589161039996</c:v>
                </c:pt>
                <c:pt idx="13">
                  <c:v>0.35408788327273844</c:v>
                </c:pt>
                <c:pt idx="14">
                  <c:v>0.37937987493507691</c:v>
                </c:pt>
                <c:pt idx="15">
                  <c:v>0.40467186659741539</c:v>
                </c:pt>
                <c:pt idx="16">
                  <c:v>0.42996385825975386</c:v>
                </c:pt>
                <c:pt idx="17">
                  <c:v>0.45525584992209234</c:v>
                </c:pt>
                <c:pt idx="18">
                  <c:v>0.48054784158443081</c:v>
                </c:pt>
                <c:pt idx="19">
                  <c:v>0.50583983324676929</c:v>
                </c:pt>
                <c:pt idx="20">
                  <c:v>0.53113182490910771</c:v>
                </c:pt>
                <c:pt idx="21">
                  <c:v>0.55642381657144613</c:v>
                </c:pt>
                <c:pt idx="22">
                  <c:v>0.58171580823378455</c:v>
                </c:pt>
                <c:pt idx="23">
                  <c:v>0.60700779989612297</c:v>
                </c:pt>
                <c:pt idx="24">
                  <c:v>0.63229979155846139</c:v>
                </c:pt>
                <c:pt idx="25">
                  <c:v>0.65759178322079981</c:v>
                </c:pt>
              </c:numCache>
            </c:numRef>
          </c:val>
          <c:smooth val="0"/>
          <c:extLst>
            <c:ext xmlns:c16="http://schemas.microsoft.com/office/drawing/2014/chart" uri="{C3380CC4-5D6E-409C-BE32-E72D297353CC}">
              <c16:uniqueId val="{00000004-D8FA-4E15-B736-9EA4DDD2E79D}"/>
            </c:ext>
          </c:extLst>
        </c:ser>
        <c:ser>
          <c:idx val="9"/>
          <c:order val="9"/>
          <c:tx>
            <c:strRef>
              <c:f>'OZL Summary'!$OD$6:$OD$7</c:f>
              <c:strCache>
                <c:ptCount val="2"/>
                <c:pt idx="0">
                  <c:v>95th Percentile</c:v>
                </c:pt>
              </c:strCache>
            </c:strRef>
          </c:tx>
          <c:spPr>
            <a:ln w="28575">
              <a:solidFill>
                <a:schemeClr val="accent1"/>
              </a:solidFill>
              <a:prstDash val="sysDot"/>
            </a:ln>
          </c:spPr>
          <c:marker>
            <c:symbol val="none"/>
          </c:marker>
          <c:cat>
            <c:numRef>
              <c:f>'OZL Summary'!$NT$8:$NT$33</c:f>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f>'OZL Summary'!$OD$8:$OD$33</c:f>
              <c:numCache>
                <c:formatCode>0.000</c:formatCode>
                <c:ptCount val="26"/>
                <c:pt idx="0">
                  <c:v>3.0517649732723071E-2</c:v>
                </c:pt>
                <c:pt idx="1">
                  <c:v>6.1035299465446141E-2</c:v>
                </c:pt>
                <c:pt idx="2">
                  <c:v>9.1552949198169212E-2</c:v>
                </c:pt>
                <c:pt idx="3">
                  <c:v>0.12207059893089228</c:v>
                </c:pt>
                <c:pt idx="4">
                  <c:v>0.15258824866361537</c:v>
                </c:pt>
                <c:pt idx="5">
                  <c:v>0.18310589839633845</c:v>
                </c:pt>
                <c:pt idx="6">
                  <c:v>0.21362354812906154</c:v>
                </c:pt>
                <c:pt idx="7">
                  <c:v>0.24414119786178462</c:v>
                </c:pt>
                <c:pt idx="8">
                  <c:v>0.2746588475945077</c:v>
                </c:pt>
                <c:pt idx="9">
                  <c:v>0.30517649732723079</c:v>
                </c:pt>
                <c:pt idx="10">
                  <c:v>0.33569414705995387</c:v>
                </c:pt>
                <c:pt idx="11">
                  <c:v>0.36621179679267696</c:v>
                </c:pt>
                <c:pt idx="12">
                  <c:v>0.39672944652540004</c:v>
                </c:pt>
                <c:pt idx="13">
                  <c:v>0.42724709625812313</c:v>
                </c:pt>
                <c:pt idx="14">
                  <c:v>0.45776474599084621</c:v>
                </c:pt>
                <c:pt idx="15">
                  <c:v>0.4882823957235693</c:v>
                </c:pt>
                <c:pt idx="16">
                  <c:v>0.51880004545629232</c:v>
                </c:pt>
                <c:pt idx="17">
                  <c:v>0.54931769518901541</c:v>
                </c:pt>
                <c:pt idx="18">
                  <c:v>0.57983534492173849</c:v>
                </c:pt>
                <c:pt idx="19">
                  <c:v>0.61035299465446158</c:v>
                </c:pt>
                <c:pt idx="20">
                  <c:v>0.64087064438718466</c:v>
                </c:pt>
                <c:pt idx="21">
                  <c:v>0.67138829411990775</c:v>
                </c:pt>
                <c:pt idx="22">
                  <c:v>0.70190594385263083</c:v>
                </c:pt>
                <c:pt idx="23">
                  <c:v>0.73242359358535392</c:v>
                </c:pt>
                <c:pt idx="24">
                  <c:v>0.762941243318077</c:v>
                </c:pt>
                <c:pt idx="25">
                  <c:v>0.79345889305080008</c:v>
                </c:pt>
              </c:numCache>
            </c:numRef>
          </c:val>
          <c:smooth val="0"/>
          <c:extLst>
            <c:ext xmlns:c16="http://schemas.microsoft.com/office/drawing/2014/chart" uri="{C3380CC4-5D6E-409C-BE32-E72D297353CC}">
              <c16:uniqueId val="{00000005-D8FA-4E15-B736-9EA4DDD2E79D}"/>
            </c:ext>
          </c:extLst>
        </c:ser>
        <c:dLbls>
          <c:showLegendKey val="0"/>
          <c:showVal val="0"/>
          <c:showCatName val="0"/>
          <c:showSerName val="0"/>
          <c:showPercent val="0"/>
          <c:showBubbleSize val="0"/>
        </c:dLbls>
        <c:smooth val="0"/>
        <c:axId val="1388952432"/>
        <c:axId val="1388953088"/>
        <c:extLst>
          <c:ext xmlns:c15="http://schemas.microsoft.com/office/drawing/2012/chart" uri="{02D57815-91ED-43cb-92C2-25804820EDAC}">
            <c15:filteredLineSeries>
              <c15:ser>
                <c:idx val="7"/>
                <c:order val="1"/>
                <c:tx>
                  <c:strRef>
                    <c:extLst>
                      <c:ext uri="{02D57815-91ED-43cb-92C2-25804820EDAC}">
                        <c15:formulaRef>
                          <c15:sqref>'OZL Summary'!$NV$6:$NV$7</c15:sqref>
                        </c15:formulaRef>
                      </c:ext>
                    </c:extLst>
                    <c:strCache>
                      <c:ptCount val="2"/>
                      <c:pt idx="0">
                        <c:v>Min</c:v>
                      </c:pt>
                    </c:strCache>
                  </c:strRef>
                </c:tx>
                <c:spPr>
                  <a:ln w="28575" cap="rnd" cmpd="sng">
                    <a:solidFill>
                      <a:schemeClr val="accent6"/>
                    </a:solidFill>
                    <a:prstDash val="sysDot"/>
                    <a:round/>
                    <a:headEnd type="none"/>
                  </a:ln>
                  <a:effectLst/>
                </c:spPr>
                <c:marker>
                  <c:symbol val="none"/>
                </c:marker>
                <c:cat>
                  <c:numRef>
                    <c:extLst>
                      <c:ext uri="{02D57815-91ED-43cb-92C2-25804820EDAC}">
                        <c15:formulaRef>
                          <c15:sqref>'OZL Summary'!$NT$8:$NT$33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c:ext uri="{02D57815-91ED-43cb-92C2-25804820EDAC}">
                        <c15:formulaRef>
                          <c15:sqref>'OZL Summary'!$NV$8:$NV$33</c15:sqref>
                        </c15:formulaRef>
                      </c:ext>
                    </c:extLst>
                    <c:numCache>
                      <c:formatCode>0.000</c:formatCode>
                      <c:ptCount val="26"/>
                      <c:pt idx="0">
                        <c:v>1.5433151487946153E-2</c:v>
                      </c:pt>
                      <c:pt idx="1">
                        <c:v>3.0866302975892306E-2</c:v>
                      </c:pt>
                      <c:pt idx="2">
                        <c:v>4.6299454463838458E-2</c:v>
                      </c:pt>
                      <c:pt idx="3">
                        <c:v>6.1732605951784612E-2</c:v>
                      </c:pt>
                      <c:pt idx="4">
                        <c:v>7.7165757439730767E-2</c:v>
                      </c:pt>
                      <c:pt idx="5">
                        <c:v>9.2598908927676915E-2</c:v>
                      </c:pt>
                      <c:pt idx="6">
                        <c:v>0.10803206041562306</c:v>
                      </c:pt>
                      <c:pt idx="7">
                        <c:v>0.12346521190356921</c:v>
                      </c:pt>
                      <c:pt idx="8">
                        <c:v>0.13889836339151537</c:v>
                      </c:pt>
                      <c:pt idx="9">
                        <c:v>0.15433151487946153</c:v>
                      </c:pt>
                      <c:pt idx="10">
                        <c:v>0.1697646663674077</c:v>
                      </c:pt>
                      <c:pt idx="11">
                        <c:v>0.18519781785535386</c:v>
                      </c:pt>
                      <c:pt idx="12">
                        <c:v>0.20063096934330002</c:v>
                      </c:pt>
                      <c:pt idx="13">
                        <c:v>0.21606412083124618</c:v>
                      </c:pt>
                      <c:pt idx="14">
                        <c:v>0.23149727231919234</c:v>
                      </c:pt>
                      <c:pt idx="15">
                        <c:v>0.2469304238071385</c:v>
                      </c:pt>
                      <c:pt idx="16">
                        <c:v>0.26236357529508464</c:v>
                      </c:pt>
                      <c:pt idx="17">
                        <c:v>0.2777967267830308</c:v>
                      </c:pt>
                      <c:pt idx="18">
                        <c:v>0.29322987827097696</c:v>
                      </c:pt>
                      <c:pt idx="19">
                        <c:v>0.30866302975892312</c:v>
                      </c:pt>
                      <c:pt idx="20">
                        <c:v>0.32409618124686929</c:v>
                      </c:pt>
                      <c:pt idx="21">
                        <c:v>0.33952933273481545</c:v>
                      </c:pt>
                      <c:pt idx="22">
                        <c:v>0.35496248422276161</c:v>
                      </c:pt>
                      <c:pt idx="23">
                        <c:v>0.37039563571070777</c:v>
                      </c:pt>
                      <c:pt idx="24">
                        <c:v>0.38582878719865393</c:v>
                      </c:pt>
                      <c:pt idx="25">
                        <c:v>0.40126193868660009</c:v>
                      </c:pt>
                    </c:numCache>
                  </c:numRef>
                </c:val>
                <c:smooth val="0"/>
                <c:extLst>
                  <c:ext xmlns:c16="http://schemas.microsoft.com/office/drawing/2014/chart" uri="{C3380CC4-5D6E-409C-BE32-E72D297353CC}">
                    <c16:uniqueId val="{00000006-D8FA-4E15-B736-9EA4DDD2E79D}"/>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'OZL Summary'!$NW$6:$NW$7</c15:sqref>
                        </c15:formulaRef>
                      </c:ext>
                    </c:extLst>
                    <c:strCache>
                      <c:ptCount val="2"/>
                      <c:pt idx="0">
                        <c:v>1st Percentile</c:v>
                      </c:pt>
                    </c:strCache>
                  </c:strRef>
                </c:tx>
                <c:spPr>
                  <a:ln w="28575">
                    <a:solidFill>
                      <a:schemeClr val="bg2"/>
                    </a:solidFill>
                    <a:prstDash val="sysDot"/>
                  </a:ln>
                </c:spPr>
                <c:marker>
                  <c:symbol val="none"/>
                </c:marker>
                <c:cat>
                  <c:numRef>
                    <c:extLst xmlns:c15="http://schemas.microsoft.com/office/drawing/2012/chart">
                      <c:ext xmlns:c15="http://schemas.microsoft.com/office/drawing/2012/chart" uri="{02D57815-91ED-43cb-92C2-25804820EDAC}">
                        <c15:formulaRef>
                          <c15:sqref>'OZL Summary'!$NT$8:$NT$33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xmlns:c15="http://schemas.microsoft.com/office/drawing/2012/chart">
                      <c:ext xmlns:c15="http://schemas.microsoft.com/office/drawing/2012/chart" uri="{02D57815-91ED-43cb-92C2-25804820EDAC}">
                        <c15:formulaRef>
                          <c15:sqref>'OZL Summary'!$NW$8:$NW$33</c15:sqref>
                        </c15:formulaRef>
                      </c:ext>
                    </c:extLst>
                    <c:numCache>
                      <c:formatCode>0.000</c:formatCode>
                      <c:ptCount val="26"/>
                      <c:pt idx="0">
                        <c:v>1.6867674691430769E-2</c:v>
                      </c:pt>
                      <c:pt idx="1">
                        <c:v>3.3735349382861539E-2</c:v>
                      </c:pt>
                      <c:pt idx="2">
                        <c:v>5.0603024074292305E-2</c:v>
                      </c:pt>
                      <c:pt idx="3">
                        <c:v>6.7470698765723078E-2</c:v>
                      </c:pt>
                      <c:pt idx="4">
                        <c:v>8.4338373457153851E-2</c:v>
                      </c:pt>
                      <c:pt idx="5">
                        <c:v>0.10120604814858462</c:v>
                      </c:pt>
                      <c:pt idx="6">
                        <c:v>0.1180737228400154</c:v>
                      </c:pt>
                      <c:pt idx="7">
                        <c:v>0.13494139753144616</c:v>
                      </c:pt>
                      <c:pt idx="8">
                        <c:v>0.15180907222287693</c:v>
                      </c:pt>
                      <c:pt idx="9">
                        <c:v>0.1686767469143077</c:v>
                      </c:pt>
                      <c:pt idx="10">
                        <c:v>0.18554442160573847</c:v>
                      </c:pt>
                      <c:pt idx="11">
                        <c:v>0.20241209629716925</c:v>
                      </c:pt>
                      <c:pt idx="12">
                        <c:v>0.21927977098860002</c:v>
                      </c:pt>
                      <c:pt idx="13">
                        <c:v>0.23614744568003079</c:v>
                      </c:pt>
                      <c:pt idx="14">
                        <c:v>0.25301512037146157</c:v>
                      </c:pt>
                      <c:pt idx="15">
                        <c:v>0.26988279506289231</c:v>
                      </c:pt>
                      <c:pt idx="16">
                        <c:v>0.28675046975432306</c:v>
                      </c:pt>
                      <c:pt idx="17">
                        <c:v>0.3036181444457538</c:v>
                      </c:pt>
                      <c:pt idx="18">
                        <c:v>0.32048581913718455</c:v>
                      </c:pt>
                      <c:pt idx="19">
                        <c:v>0.33735349382861529</c:v>
                      </c:pt>
                      <c:pt idx="20">
                        <c:v>0.35422116852004604</c:v>
                      </c:pt>
                      <c:pt idx="21">
                        <c:v>0.37108884321147678</c:v>
                      </c:pt>
                      <c:pt idx="22">
                        <c:v>0.38795651790290753</c:v>
                      </c:pt>
                      <c:pt idx="23">
                        <c:v>0.40482419259433827</c:v>
                      </c:pt>
                      <c:pt idx="24">
                        <c:v>0.42169186728576902</c:v>
                      </c:pt>
                      <c:pt idx="25">
                        <c:v>0.43855954197719976</c:v>
                      </c:pt>
                    </c:numCache>
                  </c:numRef>
                </c:val>
                <c:smooth val="0"/>
                <c:extLst xmlns:c15="http://schemas.microsoft.com/office/drawing/2012/chart">
                  <c:ext xmlns:c16="http://schemas.microsoft.com/office/drawing/2014/chart" uri="{C3380CC4-5D6E-409C-BE32-E72D297353CC}">
                    <c16:uniqueId val="{00000007-D8FA-4E15-B736-9EA4DDD2E79D}"/>
                  </c:ext>
                </c:extLst>
              </c15:ser>
            </c15:filteredLineSeries>
            <c15:filteredLineSeries>
              <c15:ser>
                <c:idx val="1"/>
                <c:order val="4"/>
                <c:tx>
                  <c:strRef>
                    <c:extLst xmlns:c15="http://schemas.microsoft.com/office/drawing/2012/chart">
                      <c:ext xmlns:c15="http://schemas.microsoft.com/office/drawing/2012/chart" uri="{02D57815-91ED-43cb-92C2-25804820EDAC}">
                        <c15:formulaRef>
                          <c15:sqref>'OZL Summary'!$NY$6:$NY$7</c15:sqref>
                        </c15:formulaRef>
                      </c:ext>
                    </c:extLst>
                    <c:strCache>
                      <c:ptCount val="2"/>
                      <c:pt idx="0">
                        <c:v>10th Percentile</c:v>
                      </c:pt>
                    </c:strCache>
                  </c:strRef>
                </c:tx>
                <c:spPr>
                  <a:ln w="28575" cap="rnd">
                    <a:solidFill>
                      <a:schemeClr val="accent6"/>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'OZL Summary'!$NT$8:$NT$33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xmlns:c15="http://schemas.microsoft.com/office/drawing/2012/chart">
                      <c:ext xmlns:c15="http://schemas.microsoft.com/office/drawing/2012/chart" uri="{02D57815-91ED-43cb-92C2-25804820EDAC}">
                        <c15:formulaRef>
                          <c15:sqref>'OZL Summary'!$NY$8:$NY$33</c15:sqref>
                        </c15:formulaRef>
                      </c:ext>
                    </c:extLst>
                    <c:numCache>
                      <c:formatCode>0.000</c:formatCode>
                      <c:ptCount val="26"/>
                      <c:pt idx="0">
                        <c:v>1.8738886879453846E-2</c:v>
                      </c:pt>
                      <c:pt idx="1">
                        <c:v>3.7477773758907693E-2</c:v>
                      </c:pt>
                      <c:pt idx="2">
                        <c:v>5.6216660638361539E-2</c:v>
                      </c:pt>
                      <c:pt idx="3">
                        <c:v>7.4955547517815385E-2</c:v>
                      </c:pt>
                      <c:pt idx="4">
                        <c:v>9.3694434397269238E-2</c:v>
                      </c:pt>
                      <c:pt idx="5">
                        <c:v>0.11243332127672309</c:v>
                      </c:pt>
                      <c:pt idx="6">
                        <c:v>0.13117220815617694</c:v>
                      </c:pt>
                      <c:pt idx="7">
                        <c:v>0.1499110950356308</c:v>
                      </c:pt>
                      <c:pt idx="8">
                        <c:v>0.16864998191508465</c:v>
                      </c:pt>
                      <c:pt idx="9">
                        <c:v>0.1873888687945385</c:v>
                      </c:pt>
                      <c:pt idx="10">
                        <c:v>0.20612775567399236</c:v>
                      </c:pt>
                      <c:pt idx="11">
                        <c:v>0.22486664255344621</c:v>
                      </c:pt>
                      <c:pt idx="12">
                        <c:v>0.24360552943290006</c:v>
                      </c:pt>
                      <c:pt idx="13">
                        <c:v>0.26234441631235389</c:v>
                      </c:pt>
                      <c:pt idx="14">
                        <c:v>0.28108330319180774</c:v>
                      </c:pt>
                      <c:pt idx="15">
                        <c:v>0.2998221900712616</c:v>
                      </c:pt>
                      <c:pt idx="16">
                        <c:v>0.31856107695071545</c:v>
                      </c:pt>
                      <c:pt idx="17">
                        <c:v>0.3372999638301693</c:v>
                      </c:pt>
                      <c:pt idx="18">
                        <c:v>0.35603885070962316</c:v>
                      </c:pt>
                      <c:pt idx="19">
                        <c:v>0.37477773758907701</c:v>
                      </c:pt>
                      <c:pt idx="20">
                        <c:v>0.39351662446853086</c:v>
                      </c:pt>
                      <c:pt idx="21">
                        <c:v>0.41225551134798472</c:v>
                      </c:pt>
                      <c:pt idx="22">
                        <c:v>0.43099439822743857</c:v>
                      </c:pt>
                      <c:pt idx="23">
                        <c:v>0.44973328510689242</c:v>
                      </c:pt>
                      <c:pt idx="24">
                        <c:v>0.46847217198634628</c:v>
                      </c:pt>
                      <c:pt idx="25">
                        <c:v>0.48721105886580013</c:v>
                      </c:pt>
                    </c:numCache>
                  </c:numRef>
                </c:val>
                <c:smooth val="0"/>
                <c:extLst xmlns:c15="http://schemas.microsoft.com/office/drawing/2012/chart">
                  <c:ext xmlns:c16="http://schemas.microsoft.com/office/drawing/2014/chart" uri="{C3380CC4-5D6E-409C-BE32-E72D297353CC}">
                    <c16:uniqueId val="{00000008-D8FA-4E15-B736-9EA4DDD2E79D}"/>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'OZL Summary'!$OC$6:$OC$7</c15:sqref>
                        </c15:formulaRef>
                      </c:ext>
                    </c:extLst>
                    <c:strCache>
                      <c:ptCount val="2"/>
                      <c:pt idx="0">
                        <c:v>90th Percentile</c:v>
                      </c:pt>
                    </c:strCache>
                  </c:strRef>
                </c:tx>
                <c:spPr>
                  <a:ln w="28575">
                    <a:solidFill>
                      <a:schemeClr val="accent1"/>
                    </a:solidFill>
                    <a:prstDash val="sysDot"/>
                  </a:ln>
                </c:spPr>
                <c:marker>
                  <c:symbol val="none"/>
                </c:marker>
                <c:cat>
                  <c:numRef>
                    <c:extLst xmlns:c15="http://schemas.microsoft.com/office/drawing/2012/chart">
                      <c:ext xmlns:c15="http://schemas.microsoft.com/office/drawing/2012/chart" uri="{02D57815-91ED-43cb-92C2-25804820EDAC}">
                        <c15:formulaRef>
                          <c15:sqref>'OZL Summary'!$NT$8:$NT$33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xmlns:c15="http://schemas.microsoft.com/office/drawing/2012/chart">
                      <c:ext xmlns:c15="http://schemas.microsoft.com/office/drawing/2012/chart" uri="{02D57815-91ED-43cb-92C2-25804820EDAC}">
                        <c15:formulaRef>
                          <c15:sqref>'OZL Summary'!$OC$8:$OC$33</c15:sqref>
                        </c15:formulaRef>
                      </c:ext>
                    </c:extLst>
                    <c:numCache>
                      <c:formatCode>0.000</c:formatCode>
                      <c:ptCount val="26"/>
                      <c:pt idx="0">
                        <c:v>2.8508343538959226E-2</c:v>
                      </c:pt>
                      <c:pt idx="1">
                        <c:v>5.7016687077918453E-2</c:v>
                      </c:pt>
                      <c:pt idx="2">
                        <c:v>8.5525030616877676E-2</c:v>
                      </c:pt>
                      <c:pt idx="3">
                        <c:v>0.11403337415583691</c:v>
                      </c:pt>
                      <c:pt idx="4">
                        <c:v>0.14254171769479612</c:v>
                      </c:pt>
                      <c:pt idx="5">
                        <c:v>0.17105006123375535</c:v>
                      </c:pt>
                      <c:pt idx="6">
                        <c:v>0.19955840477271458</c:v>
                      </c:pt>
                      <c:pt idx="7">
                        <c:v>0.22806674831167381</c:v>
                      </c:pt>
                      <c:pt idx="8">
                        <c:v>0.25657509185063304</c:v>
                      </c:pt>
                      <c:pt idx="9">
                        <c:v>0.28508343538959224</c:v>
                      </c:pt>
                      <c:pt idx="10">
                        <c:v>0.31359177892855145</c:v>
                      </c:pt>
                      <c:pt idx="11">
                        <c:v>0.34210012246751065</c:v>
                      </c:pt>
                      <c:pt idx="12">
                        <c:v>0.37060846600646985</c:v>
                      </c:pt>
                      <c:pt idx="13">
                        <c:v>0.39911680954542905</c:v>
                      </c:pt>
                      <c:pt idx="14">
                        <c:v>0.42762515308438825</c:v>
                      </c:pt>
                      <c:pt idx="15">
                        <c:v>0.45613349662334746</c:v>
                      </c:pt>
                      <c:pt idx="16">
                        <c:v>0.48464184016230666</c:v>
                      </c:pt>
                      <c:pt idx="17">
                        <c:v>0.51315018370126586</c:v>
                      </c:pt>
                      <c:pt idx="18">
                        <c:v>0.54165852724022512</c:v>
                      </c:pt>
                      <c:pt idx="19">
                        <c:v>0.57016687077918438</c:v>
                      </c:pt>
                      <c:pt idx="20">
                        <c:v>0.59867521431814363</c:v>
                      </c:pt>
                      <c:pt idx="21">
                        <c:v>0.62718355785710289</c:v>
                      </c:pt>
                      <c:pt idx="22">
                        <c:v>0.65569190139606215</c:v>
                      </c:pt>
                      <c:pt idx="23">
                        <c:v>0.68420024493502141</c:v>
                      </c:pt>
                      <c:pt idx="24">
                        <c:v>0.71270858847398066</c:v>
                      </c:pt>
                      <c:pt idx="25">
                        <c:v>0.74121693201293992</c:v>
                      </c:pt>
                    </c:numCache>
                  </c:numRef>
                </c:val>
                <c:smooth val="0"/>
                <c:extLst xmlns:c15="http://schemas.microsoft.com/office/drawing/2012/chart">
                  <c:ext xmlns:c16="http://schemas.microsoft.com/office/drawing/2014/chart" uri="{C3380CC4-5D6E-409C-BE32-E72D297353CC}">
                    <c16:uniqueId val="{00000009-D8FA-4E15-B736-9EA4DDD2E79D}"/>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'OZL Summary'!$OE$6:$OE$7</c15:sqref>
                        </c15:formulaRef>
                      </c:ext>
                    </c:extLst>
                    <c:strCache>
                      <c:ptCount val="2"/>
                      <c:pt idx="0">
                        <c:v>99th Percentile</c:v>
                      </c:pt>
                    </c:strCache>
                  </c:strRef>
                </c:tx>
                <c:marker>
                  <c:symbol val="none"/>
                </c:marker>
                <c:cat>
                  <c:numRef>
                    <c:extLst xmlns:c15="http://schemas.microsoft.com/office/drawing/2012/chart">
                      <c:ext xmlns:c15="http://schemas.microsoft.com/office/drawing/2012/chart" uri="{02D57815-91ED-43cb-92C2-25804820EDAC}">
                        <c15:formulaRef>
                          <c15:sqref>'OZL Summary'!$NT$8:$NT$33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xmlns:c15="http://schemas.microsoft.com/office/drawing/2012/chart">
                      <c:ext xmlns:c15="http://schemas.microsoft.com/office/drawing/2012/chart" uri="{02D57815-91ED-43cb-92C2-25804820EDAC}">
                        <c15:formulaRef>
                          <c15:sqref>'OZL Summary'!$OE$8:$OE$33</c15:sqref>
                        </c15:formulaRef>
                      </c:ext>
                    </c:extLst>
                    <c:numCache>
                      <c:formatCode>0.000</c:formatCode>
                      <c:ptCount val="26"/>
                      <c:pt idx="0">
                        <c:v>3.4534613209915382E-2</c:v>
                      </c:pt>
                      <c:pt idx="1">
                        <c:v>6.9069226419830765E-2</c:v>
                      </c:pt>
                      <c:pt idx="2">
                        <c:v>0.10360383962974615</c:v>
                      </c:pt>
                      <c:pt idx="3">
                        <c:v>0.13813845283966153</c:v>
                      </c:pt>
                      <c:pt idx="4">
                        <c:v>0.17267306604957691</c:v>
                      </c:pt>
                      <c:pt idx="5">
                        <c:v>0.20720767925949229</c:v>
                      </c:pt>
                      <c:pt idx="6">
                        <c:v>0.24174229246940768</c:v>
                      </c:pt>
                      <c:pt idx="7">
                        <c:v>0.27627690567932306</c:v>
                      </c:pt>
                      <c:pt idx="8">
                        <c:v>0.31081151888923841</c:v>
                      </c:pt>
                      <c:pt idx="9">
                        <c:v>0.34534613209915377</c:v>
                      </c:pt>
                      <c:pt idx="10">
                        <c:v>0.37988074530906912</c:v>
                      </c:pt>
                      <c:pt idx="11">
                        <c:v>0.41441535851898448</c:v>
                      </c:pt>
                      <c:pt idx="12">
                        <c:v>0.44894997172889983</c:v>
                      </c:pt>
                      <c:pt idx="13">
                        <c:v>0.48348458493881519</c:v>
                      </c:pt>
                      <c:pt idx="14">
                        <c:v>0.51801919814873054</c:v>
                      </c:pt>
                      <c:pt idx="15">
                        <c:v>0.5525538113586459</c:v>
                      </c:pt>
                      <c:pt idx="16">
                        <c:v>0.58708842456856125</c:v>
                      </c:pt>
                      <c:pt idx="17">
                        <c:v>0.62162303777847661</c:v>
                      </c:pt>
                      <c:pt idx="18">
                        <c:v>0.65615765098839196</c:v>
                      </c:pt>
                      <c:pt idx="19">
                        <c:v>0.69069226419830732</c:v>
                      </c:pt>
                      <c:pt idx="20">
                        <c:v>0.72522687740822267</c:v>
                      </c:pt>
                      <c:pt idx="21">
                        <c:v>0.75976149061813802</c:v>
                      </c:pt>
                      <c:pt idx="22">
                        <c:v>0.79429610382805338</c:v>
                      </c:pt>
                      <c:pt idx="23">
                        <c:v>0.82883071703796873</c:v>
                      </c:pt>
                      <c:pt idx="24">
                        <c:v>0.86336533024788409</c:v>
                      </c:pt>
                      <c:pt idx="25">
                        <c:v>0.89789994345779944</c:v>
                      </c:pt>
                    </c:numCache>
                  </c:numRef>
                </c:val>
                <c:smooth val="0"/>
                <c:extLst xmlns:c15="http://schemas.microsoft.com/office/drawing/2012/chart">
                  <c:ext xmlns:c16="http://schemas.microsoft.com/office/drawing/2014/chart" uri="{C3380CC4-5D6E-409C-BE32-E72D297353CC}">
                    <c16:uniqueId val="{0000000A-D8FA-4E15-B736-9EA4DDD2E79D}"/>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'OZL Summary'!$OF$6:$OF$7</c15:sqref>
                        </c15:formulaRef>
                      </c:ext>
                    </c:extLst>
                    <c:strCache>
                      <c:ptCount val="2"/>
                      <c:pt idx="0">
                        <c:v>Max</c:v>
                      </c:pt>
                    </c:strCache>
                  </c:strRef>
                </c:tx>
                <c:marker>
                  <c:symbol val="none"/>
                </c:marker>
                <c:cat>
                  <c:numRef>
                    <c:extLst xmlns:c15="http://schemas.microsoft.com/office/drawing/2012/chart">
                      <c:ext xmlns:c15="http://schemas.microsoft.com/office/drawing/2012/chart" uri="{02D57815-91ED-43cb-92C2-25804820EDAC}">
                        <c15:formulaRef>
                          <c15:sqref>'OZL Summary'!$NT$8:$NT$33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xmlns:c15="http://schemas.microsoft.com/office/drawing/2012/chart">
                      <c:ext xmlns:c15="http://schemas.microsoft.com/office/drawing/2012/chart" uri="{02D57815-91ED-43cb-92C2-25804820EDAC}">
                        <c15:formulaRef>
                          <c15:sqref>'OZL Summary'!$OF$8:$OF$33</c15:sqref>
                        </c15:formulaRef>
                      </c:ext>
                    </c:extLst>
                    <c:numCache>
                      <c:formatCode>0.000</c:formatCode>
                      <c:ptCount val="26"/>
                      <c:pt idx="0">
                        <c:v>4.264335589068461E-2</c:v>
                      </c:pt>
                      <c:pt idx="1">
                        <c:v>8.528671178136922E-2</c:v>
                      </c:pt>
                      <c:pt idx="2">
                        <c:v>0.12793006767205384</c:v>
                      </c:pt>
                      <c:pt idx="3">
                        <c:v>0.17057342356273844</c:v>
                      </c:pt>
                      <c:pt idx="4">
                        <c:v>0.21321677945342304</c:v>
                      </c:pt>
                      <c:pt idx="5">
                        <c:v>0.25586013534410768</c:v>
                      </c:pt>
                      <c:pt idx="6">
                        <c:v>0.29850349123479231</c:v>
                      </c:pt>
                      <c:pt idx="7">
                        <c:v>0.34114684712547694</c:v>
                      </c:pt>
                      <c:pt idx="8">
                        <c:v>0.38379020301616157</c:v>
                      </c:pt>
                      <c:pt idx="9">
                        <c:v>0.4264335589068462</c:v>
                      </c:pt>
                      <c:pt idx="10">
                        <c:v>0.46907691479753083</c:v>
                      </c:pt>
                      <c:pt idx="11">
                        <c:v>0.51172027068821546</c:v>
                      </c:pt>
                      <c:pt idx="12">
                        <c:v>0.55436362657890004</c:v>
                      </c:pt>
                      <c:pt idx="13">
                        <c:v>0.59700698246958461</c:v>
                      </c:pt>
                      <c:pt idx="14">
                        <c:v>0.63965033836026919</c:v>
                      </c:pt>
                      <c:pt idx="15">
                        <c:v>0.68229369425095376</c:v>
                      </c:pt>
                      <c:pt idx="16">
                        <c:v>0.72493705014163834</c:v>
                      </c:pt>
                      <c:pt idx="17">
                        <c:v>0.76758040603232291</c:v>
                      </c:pt>
                      <c:pt idx="18">
                        <c:v>0.81022376192300749</c:v>
                      </c:pt>
                      <c:pt idx="19">
                        <c:v>0.85286711781369207</c:v>
                      </c:pt>
                      <c:pt idx="20">
                        <c:v>0.89551047370437664</c:v>
                      </c:pt>
                      <c:pt idx="21">
                        <c:v>0.93815382959506122</c:v>
                      </c:pt>
                      <c:pt idx="22">
                        <c:v>0.98079718548574579</c:v>
                      </c:pt>
                      <c:pt idx="23">
                        <c:v>1.0234405413764305</c:v>
                      </c:pt>
                      <c:pt idx="24">
                        <c:v>1.0660838972671152</c:v>
                      </c:pt>
                      <c:pt idx="25">
                        <c:v>1.1087272531577999</c:v>
                      </c:pt>
                    </c:numCache>
                  </c:numRef>
                </c:val>
                <c:smooth val="0"/>
                <c:extLst xmlns:c15="http://schemas.microsoft.com/office/drawing/2012/chart">
                  <c:ext xmlns:c16="http://schemas.microsoft.com/office/drawing/2014/chart" uri="{C3380CC4-5D6E-409C-BE32-E72D297353CC}">
                    <c16:uniqueId val="{0000000B-D8FA-4E15-B736-9EA4DDD2E79D}"/>
                  </c:ext>
                </c:extLst>
              </c15:ser>
            </c15:filteredLineSeries>
          </c:ext>
        </c:extLst>
      </c:lineChart>
      <c:dateAx>
        <c:axId val="1388952432"/>
        <c:scaling>
          <c:orientation val="minMax"/>
        </c:scaling>
        <c:delete val="0"/>
        <c:axPos val="b"/>
        <c:numFmt formatCode="d\-mmm\-yy_);\(###0\);&quot;-  &quot;;&quot; &quot;@&quot; &quot;"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3088"/>
        <c:crosses val="autoZero"/>
        <c:auto val="1"/>
        <c:lblOffset val="100"/>
        <c:baseTimeUnit val="days"/>
        <c:majorUnit val="3"/>
        <c:majorTimeUnit val="months"/>
      </c:dateAx>
      <c:valAx>
        <c:axId val="1388953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Ticket Sales ($b)</a:t>
                </a:r>
              </a:p>
            </c:rich>
          </c:tx>
          <c:overlay val="0"/>
          <c:spPr>
            <a:noFill/>
            <a:ln>
              <a:noFill/>
            </a:ln>
            <a:effectLst/>
          </c:sp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2432"/>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'OZL Summary'!$OT$6:$OT$7</c:f>
              <c:strCache>
                <c:ptCount val="2"/>
                <c:pt idx="0">
                  <c:v>Actual</c:v>
                </c:pt>
              </c:strCache>
            </c:strRef>
          </c:tx>
          <c:spPr>
            <a:ln w="28575" cap="rnd">
              <a:solidFill>
                <a:schemeClr val="tx2"/>
              </a:solidFill>
              <a:round/>
            </a:ln>
            <a:effectLst/>
          </c:spPr>
          <c:marker>
            <c:symbol val="none"/>
          </c:marker>
          <c:cat>
            <c:numRef>
              <c:f>'OZL Summary'!$OS$8:$OS$33</c:f>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f>'OZL Summary'!$OT$8:$OT$33</c:f>
              <c:numCache>
                <c:formatCode>0.000</c:formatCode>
                <c:ptCount val="26"/>
                <c:pt idx="0">
                  <c:v>1.83918084912E-2</c:v>
                </c:pt>
                <c:pt idx="1">
                  <c:v>5.1320441797199995E-2</c:v>
                </c:pt>
                <c:pt idx="2">
                  <c:v>9.3269601025199989E-2</c:v>
                </c:pt>
                <c:pt idx="3">
                  <c:v>0.15693653862000001</c:v>
                </c:pt>
                <c:pt idx="4">
                  <c:v>0.16921774255320002</c:v>
                </c:pt>
                <c:pt idx="5">
                  <c:v>0.1838797388964</c:v>
                </c:pt>
                <c:pt idx="6">
                  <c:v>0.20299689739439999</c:v>
                </c:pt>
                <c:pt idx="7">
                  <c:v>0.21386782008719998</c:v>
                </c:pt>
                <c:pt idx="8">
                  <c:v>0.23052645776519998</c:v>
                </c:pt>
                <c:pt idx="9">
                  <c:v>0.25480109778479998</c:v>
                </c:pt>
                <c:pt idx="10">
                  <c:v>0.26624755617119999</c:v>
                </c:pt>
                <c:pt idx="11">
                  <c:v>0.28611919843559996</c:v>
                </c:pt>
                <c:pt idx="12">
                  <c:v>0.29892757371840001</c:v>
                </c:pt>
                <c:pt idx="13">
                  <c:v>0.30904758271839999</c:v>
                </c:pt>
                <c:pt idx="14">
                  <c:v>0.32416328266959998</c:v>
                </c:pt>
                <c:pt idx="15">
                  <c:v>0.34605206353840001</c:v>
                </c:pt>
                <c:pt idx="16">
                  <c:v>0.3734694646924</c:v>
                </c:pt>
              </c:numCache>
            </c:numRef>
          </c:val>
          <c:smooth val="0"/>
          <c:extLst>
            <c:ext xmlns:c16="http://schemas.microsoft.com/office/drawing/2014/chart" uri="{C3380CC4-5D6E-409C-BE32-E72D297353CC}">
              <c16:uniqueId val="{00000000-5E01-4FA0-9878-5D625697C1CE}"/>
            </c:ext>
          </c:extLst>
        </c:ser>
        <c:ser>
          <c:idx val="3"/>
          <c:order val="3"/>
          <c:tx>
            <c:strRef>
              <c:f>'OZL Summary'!$OW$6:$OW$7</c:f>
              <c:strCache>
                <c:ptCount val="2"/>
                <c:pt idx="0">
                  <c:v>5th Percentile</c:v>
                </c:pt>
              </c:strCache>
            </c:strRef>
          </c:tx>
          <c:spPr>
            <a:ln w="28575" cap="rnd">
              <a:solidFill>
                <a:schemeClr val="accent6"/>
              </a:solidFill>
              <a:prstDash val="sysDot"/>
              <a:round/>
            </a:ln>
            <a:effectLst/>
          </c:spPr>
          <c:marker>
            <c:symbol val="none"/>
          </c:marker>
          <c:cat>
            <c:numRef>
              <c:f>'OZL Summary'!$OS$8:$OS$33</c:f>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f>'OZL Summary'!$OW$8:$OW$33</c:f>
              <c:numCache>
                <c:formatCode>0.000</c:formatCode>
                <c:ptCount val="26"/>
                <c:pt idx="16">
                  <c:v>0.3734694646924</c:v>
                </c:pt>
                <c:pt idx="17">
                  <c:v>0.38783220559086667</c:v>
                </c:pt>
                <c:pt idx="18">
                  <c:v>0.40219494648933335</c:v>
                </c:pt>
                <c:pt idx="19">
                  <c:v>0.41655768738780002</c:v>
                </c:pt>
                <c:pt idx="20">
                  <c:v>0.4309204282862667</c:v>
                </c:pt>
                <c:pt idx="21">
                  <c:v>0.44528316918473337</c:v>
                </c:pt>
                <c:pt idx="22">
                  <c:v>0.45964591008320005</c:v>
                </c:pt>
                <c:pt idx="23">
                  <c:v>0.47400865098166672</c:v>
                </c:pt>
                <c:pt idx="24">
                  <c:v>0.4883713918801334</c:v>
                </c:pt>
                <c:pt idx="25">
                  <c:v>0.50273413277860002</c:v>
                </c:pt>
              </c:numCache>
            </c:numRef>
          </c:val>
          <c:smooth val="0"/>
          <c:extLst>
            <c:ext xmlns:c16="http://schemas.microsoft.com/office/drawing/2014/chart" uri="{C3380CC4-5D6E-409C-BE32-E72D297353CC}">
              <c16:uniqueId val="{00000001-5E01-4FA0-9878-5D625697C1CE}"/>
            </c:ext>
          </c:extLst>
        </c:ser>
        <c:ser>
          <c:idx val="5"/>
          <c:order val="5"/>
          <c:tx>
            <c:strRef>
              <c:f>'OZL Summary'!$OY$6:$OY$7</c:f>
              <c:strCache>
                <c:ptCount val="2"/>
                <c:pt idx="0">
                  <c:v>25th Percentile</c:v>
                </c:pt>
              </c:strCache>
            </c:strRef>
          </c:tx>
          <c:spPr>
            <a:ln w="28575" cap="rnd">
              <a:solidFill>
                <a:schemeClr val="accent5"/>
              </a:solidFill>
              <a:prstDash val="sysDot"/>
              <a:round/>
            </a:ln>
            <a:effectLst/>
          </c:spPr>
          <c:marker>
            <c:symbol val="none"/>
          </c:marker>
          <c:cat>
            <c:numRef>
              <c:f>'OZL Summary'!$OS$8:$OS$33</c:f>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f>'OZL Summary'!$OY$8:$OY$33</c:f>
              <c:numCache>
                <c:formatCode>0.000</c:formatCode>
                <c:ptCount val="26"/>
                <c:pt idx="16">
                  <c:v>0.3734694646924</c:v>
                </c:pt>
                <c:pt idx="17">
                  <c:v>0.39021365693306664</c:v>
                </c:pt>
                <c:pt idx="18">
                  <c:v>0.40695784917373329</c:v>
                </c:pt>
                <c:pt idx="19">
                  <c:v>0.42370204141439993</c:v>
                </c:pt>
                <c:pt idx="20">
                  <c:v>0.44044623365506658</c:v>
                </c:pt>
                <c:pt idx="21">
                  <c:v>0.45719042589573322</c:v>
                </c:pt>
                <c:pt idx="22">
                  <c:v>0.47393461813639987</c:v>
                </c:pt>
                <c:pt idx="23">
                  <c:v>0.49067881037706651</c:v>
                </c:pt>
                <c:pt idx="24">
                  <c:v>0.50742300261773321</c:v>
                </c:pt>
                <c:pt idx="25">
                  <c:v>0.52416719485839991</c:v>
                </c:pt>
              </c:numCache>
            </c:numRef>
          </c:val>
          <c:smooth val="0"/>
          <c:extLst>
            <c:ext xmlns:c16="http://schemas.microsoft.com/office/drawing/2014/chart" uri="{C3380CC4-5D6E-409C-BE32-E72D297353CC}">
              <c16:uniqueId val="{00000002-5E01-4FA0-9878-5D625697C1CE}"/>
            </c:ext>
          </c:extLst>
        </c:ser>
        <c:ser>
          <c:idx val="6"/>
          <c:order val="6"/>
          <c:tx>
            <c:strRef>
              <c:f>'OZL Summary'!$OZ$6:$OZ$7</c:f>
              <c:strCache>
                <c:ptCount val="2"/>
                <c:pt idx="0">
                  <c:v>50th Percentile</c:v>
                </c:pt>
              </c:strCache>
            </c:strRef>
          </c:tx>
          <c:spPr>
            <a:ln w="28575" cap="rnd">
              <a:solidFill>
                <a:schemeClr val="bg2"/>
              </a:solidFill>
              <a:prstDash val="sysDot"/>
              <a:round/>
            </a:ln>
            <a:effectLst/>
          </c:spPr>
          <c:marker>
            <c:symbol val="none"/>
          </c:marker>
          <c:cat>
            <c:numRef>
              <c:f>'OZL Summary'!$OS$8:$OS$33</c:f>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f>'OZL Summary'!$OZ$8:$OZ$33</c:f>
              <c:numCache>
                <c:formatCode>0.000</c:formatCode>
                <c:ptCount val="26"/>
                <c:pt idx="16">
                  <c:v>0.3734694646924</c:v>
                </c:pt>
                <c:pt idx="17">
                  <c:v>0.39298737978353332</c:v>
                </c:pt>
                <c:pt idx="18">
                  <c:v>0.41250529487466664</c:v>
                </c:pt>
                <c:pt idx="19">
                  <c:v>0.43202320996579996</c:v>
                </c:pt>
                <c:pt idx="20">
                  <c:v>0.45154112505693328</c:v>
                </c:pt>
                <c:pt idx="21">
                  <c:v>0.4710590401480666</c:v>
                </c:pt>
                <c:pt idx="22">
                  <c:v>0.49057695523919992</c:v>
                </c:pt>
                <c:pt idx="23">
                  <c:v>0.51009487033033329</c:v>
                </c:pt>
                <c:pt idx="24">
                  <c:v>0.52961278542146661</c:v>
                </c:pt>
                <c:pt idx="25">
                  <c:v>0.54913070051259993</c:v>
                </c:pt>
              </c:numCache>
            </c:numRef>
          </c:val>
          <c:smooth val="0"/>
          <c:extLst xmlns:c15="http://schemas.microsoft.com/office/drawing/2012/chart">
            <c:ext xmlns:c16="http://schemas.microsoft.com/office/drawing/2014/chart" uri="{C3380CC4-5D6E-409C-BE32-E72D297353CC}">
              <c16:uniqueId val="{00000003-5E01-4FA0-9878-5D625697C1CE}"/>
            </c:ext>
          </c:extLst>
        </c:ser>
        <c:ser>
          <c:idx val="7"/>
          <c:order val="7"/>
          <c:tx>
            <c:strRef>
              <c:f>'OZL Summary'!$PA$6:$PA$7</c:f>
              <c:strCache>
                <c:ptCount val="2"/>
                <c:pt idx="0">
                  <c:v>75th Percentile</c:v>
                </c:pt>
              </c:strCache>
            </c:strRef>
          </c:tx>
          <c:spPr>
            <a:ln w="28575" cap="rnd">
              <a:solidFill>
                <a:schemeClr val="accent4"/>
              </a:solidFill>
              <a:prstDash val="sysDot"/>
              <a:round/>
            </a:ln>
            <a:effectLst/>
          </c:spPr>
          <c:marker>
            <c:symbol val="none"/>
          </c:marker>
          <c:cat>
            <c:numRef>
              <c:f>'OZL Summary'!$OS$8:$OS$33</c:f>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f>'OZL Summary'!$PA$8:$PA$33</c:f>
              <c:numCache>
                <c:formatCode>0.000</c:formatCode>
                <c:ptCount val="26"/>
                <c:pt idx="16">
                  <c:v>0.3734694646924</c:v>
                </c:pt>
                <c:pt idx="17">
                  <c:v>0.39637111178373335</c:v>
                </c:pt>
                <c:pt idx="18">
                  <c:v>0.41927275887506671</c:v>
                </c:pt>
                <c:pt idx="19">
                  <c:v>0.44217440596640006</c:v>
                </c:pt>
                <c:pt idx="20">
                  <c:v>0.46507605305773342</c:v>
                </c:pt>
                <c:pt idx="21">
                  <c:v>0.48797770014906677</c:v>
                </c:pt>
                <c:pt idx="22">
                  <c:v>0.51087934724040007</c:v>
                </c:pt>
                <c:pt idx="23">
                  <c:v>0.53378099433173343</c:v>
                </c:pt>
                <c:pt idx="24">
                  <c:v>0.55668264142306678</c:v>
                </c:pt>
                <c:pt idx="25">
                  <c:v>0.57958428851440014</c:v>
                </c:pt>
              </c:numCache>
            </c:numRef>
          </c:val>
          <c:smooth val="0"/>
          <c:extLst>
            <c:ext xmlns:c16="http://schemas.microsoft.com/office/drawing/2014/chart" uri="{C3380CC4-5D6E-409C-BE32-E72D297353CC}">
              <c16:uniqueId val="{00000004-5E01-4FA0-9878-5D625697C1CE}"/>
            </c:ext>
          </c:extLst>
        </c:ser>
        <c:ser>
          <c:idx val="9"/>
          <c:order val="9"/>
          <c:tx>
            <c:strRef>
              <c:f>'OZL Summary'!$PC$6:$PC$7</c:f>
              <c:strCache>
                <c:ptCount val="2"/>
                <c:pt idx="0">
                  <c:v>95th Percentile</c:v>
                </c:pt>
              </c:strCache>
            </c:strRef>
          </c:tx>
          <c:spPr>
            <a:ln w="28575" cap="rnd">
              <a:solidFill>
                <a:schemeClr val="accent1"/>
              </a:solidFill>
              <a:prstDash val="sysDot"/>
              <a:round/>
            </a:ln>
            <a:effectLst/>
          </c:spPr>
          <c:marker>
            <c:symbol val="none"/>
          </c:marker>
          <c:cat>
            <c:numRef>
              <c:f>'OZL Summary'!$OS$8:$OS$33</c:f>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f>'OZL Summary'!$PC$8:$PC$33</c:f>
              <c:numCache>
                <c:formatCode>0.000</c:formatCode>
                <c:ptCount val="26"/>
                <c:pt idx="16">
                  <c:v>0.3734694646924</c:v>
                </c:pt>
                <c:pt idx="17">
                  <c:v>0.40614467264486664</c:v>
                </c:pt>
                <c:pt idx="18">
                  <c:v>0.43881988059733329</c:v>
                </c:pt>
                <c:pt idx="19">
                  <c:v>0.47149508854979993</c:v>
                </c:pt>
                <c:pt idx="20">
                  <c:v>0.50417029650226663</c:v>
                </c:pt>
                <c:pt idx="21">
                  <c:v>0.53684550445473334</c:v>
                </c:pt>
                <c:pt idx="22">
                  <c:v>0.56952071240720004</c:v>
                </c:pt>
                <c:pt idx="23">
                  <c:v>0.60219592035966674</c:v>
                </c:pt>
                <c:pt idx="24">
                  <c:v>0.63487112831213344</c:v>
                </c:pt>
                <c:pt idx="25">
                  <c:v>0.66754633626460014</c:v>
                </c:pt>
              </c:numCache>
            </c:numRef>
          </c:val>
          <c:smooth val="0"/>
          <c:extLst xmlns:c15="http://schemas.microsoft.com/office/drawing/2012/chart">
            <c:ext xmlns:c16="http://schemas.microsoft.com/office/drawing/2014/chart" uri="{C3380CC4-5D6E-409C-BE32-E72D297353CC}">
              <c16:uniqueId val="{00000005-5E01-4FA0-9878-5D625697C1CE}"/>
            </c:ext>
          </c:extLst>
        </c:ser>
        <c:ser>
          <c:idx val="12"/>
          <c:order val="12"/>
          <c:tx>
            <c:strRef>
              <c:f>'OZL Summary'!$PF$6:$PF$7</c:f>
              <c:strCache>
                <c:ptCount val="2"/>
                <c:pt idx="0">
                  <c:v>HY Average</c:v>
                </c:pt>
              </c:strCache>
            </c:strRef>
          </c:tx>
          <c:spPr>
            <a:ln w="28575" cap="rnd">
              <a:solidFill>
                <a:schemeClr val="accent2"/>
              </a:solidFill>
              <a:prstDash val="dash"/>
              <a:round/>
            </a:ln>
            <a:effectLst/>
          </c:spPr>
          <c:marker>
            <c:symbol val="none"/>
          </c:marker>
          <c:cat>
            <c:numRef>
              <c:f>'OZL Summary'!$OS$8:$OS$33</c:f>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f>'OZL Summary'!$PF$8:$PF$33</c:f>
              <c:numCache>
                <c:formatCode>0.000</c:formatCode>
                <c:ptCount val="26"/>
                <c:pt idx="16">
                  <c:v>0.3734694646924</c:v>
                </c:pt>
                <c:pt idx="17">
                  <c:v>0.39543825673312943</c:v>
                </c:pt>
                <c:pt idx="18">
                  <c:v>0.41740704877385887</c:v>
                </c:pt>
                <c:pt idx="19">
                  <c:v>0.4393758408145883</c:v>
                </c:pt>
                <c:pt idx="20">
                  <c:v>0.46134463285531774</c:v>
                </c:pt>
                <c:pt idx="21">
                  <c:v>0.48331342489604717</c:v>
                </c:pt>
                <c:pt idx="22">
                  <c:v>0.50528221693677655</c:v>
                </c:pt>
                <c:pt idx="23">
                  <c:v>0.52725100897750599</c:v>
                </c:pt>
                <c:pt idx="24">
                  <c:v>0.54921980101823542</c:v>
                </c:pt>
                <c:pt idx="25">
                  <c:v>0.57118859305896486</c:v>
                </c:pt>
              </c:numCache>
            </c:numRef>
          </c:val>
          <c:smooth val="0"/>
          <c:extLst>
            <c:ext xmlns:c16="http://schemas.microsoft.com/office/drawing/2014/chart" uri="{C3380CC4-5D6E-409C-BE32-E72D297353CC}">
              <c16:uniqueId val="{00000006-5E01-4FA0-9878-5D625697C1CE}"/>
            </c:ext>
          </c:extLst>
        </c:ser>
        <c:dLbls>
          <c:showLegendKey val="0"/>
          <c:showVal val="0"/>
          <c:showCatName val="0"/>
          <c:showSerName val="0"/>
          <c:showPercent val="0"/>
          <c:showBubbleSize val="0"/>
        </c:dLbls>
        <c:smooth val="0"/>
        <c:axId val="1388952432"/>
        <c:axId val="1388953088"/>
        <c:extLst>
          <c:ext xmlns:c15="http://schemas.microsoft.com/office/drawing/2012/chart" uri="{02D57815-91ED-43cb-92C2-25804820EDAC}">
            <c15:filteredLineSeries>
              <c15:ser>
                <c:idx val="1"/>
                <c:order val="1"/>
                <c:tx>
                  <c:strRef>
                    <c:extLst>
                      <c:ext uri="{02D57815-91ED-43cb-92C2-25804820EDAC}">
                        <c15:formulaRef>
                          <c15:sqref>'OZL Summary'!$OU$6:$OU$7</c15:sqref>
                        </c15:formulaRef>
                      </c:ext>
                    </c:extLst>
                    <c:strCache>
                      <c:ptCount val="2"/>
                      <c:pt idx="0">
                        <c:v>Min</c:v>
                      </c:pt>
                    </c:strCache>
                  </c:strRef>
                </c:tx>
                <c:spPr>
                  <a:ln w="28575" cap="rnd">
                    <a:solidFill>
                      <a:schemeClr val="accent2"/>
                    </a:solidFill>
                    <a:round/>
                  </a:ln>
                  <a:effectLst/>
                </c:spPr>
                <c:marker>
                  <c:symbol val="none"/>
                </c:marker>
                <c:cat>
                  <c:numRef>
                    <c:extLst>
                      <c:ext uri="{02D57815-91ED-43cb-92C2-25804820EDAC}">
                        <c15:formulaRef>
                          <c15:sqref>'OZL Summary'!$OS$8:$OS$33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c:ext uri="{02D57815-91ED-43cb-92C2-25804820EDAC}">
                        <c15:formulaRef>
                          <c15:sqref>'OZL Summary'!$OU$8:$OU$33</c15:sqref>
                        </c15:formulaRef>
                      </c:ext>
                    </c:extLst>
                    <c:numCache>
                      <c:formatCode>0.000</c:formatCode>
                      <c:ptCount val="26"/>
                      <c:pt idx="16">
                        <c:v>0.3734694646924</c:v>
                      </c:pt>
                      <c:pt idx="17">
                        <c:v>0.3862024850006</c:v>
                      </c:pt>
                      <c:pt idx="18">
                        <c:v>0.39893550530880001</c:v>
                      </c:pt>
                      <c:pt idx="19">
                        <c:v>0.41166852561700001</c:v>
                      </c:pt>
                      <c:pt idx="20">
                        <c:v>0.42440154592520002</c:v>
                      </c:pt>
                      <c:pt idx="21">
                        <c:v>0.43713456623340002</c:v>
                      </c:pt>
                      <c:pt idx="22">
                        <c:v>0.44986758654160003</c:v>
                      </c:pt>
                      <c:pt idx="23">
                        <c:v>0.46260060684980003</c:v>
                      </c:pt>
                      <c:pt idx="24">
                        <c:v>0.47533362715800004</c:v>
                      </c:pt>
                      <c:pt idx="25">
                        <c:v>0.48806664746620004</c:v>
                      </c:pt>
                    </c:numCache>
                  </c:numRef>
                </c:val>
                <c:smooth val="0"/>
                <c:extLst>
                  <c:ext xmlns:c16="http://schemas.microsoft.com/office/drawing/2014/chart" uri="{C3380CC4-5D6E-409C-BE32-E72D297353CC}">
                    <c16:uniqueId val="{00000007-5E01-4FA0-9878-5D625697C1CE}"/>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'OZL Summary'!$OV$6:$OV$7</c15:sqref>
                        </c15:formulaRef>
                      </c:ext>
                    </c:extLst>
                    <c:strCache>
                      <c:ptCount val="2"/>
                      <c:pt idx="0">
                        <c:v>1st Percentile</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'OZL Summary'!$OS$8:$OS$33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xmlns:c15="http://schemas.microsoft.com/office/drawing/2012/chart">
                      <c:ext xmlns:c15="http://schemas.microsoft.com/office/drawing/2012/chart" uri="{02D57815-91ED-43cb-92C2-25804820EDAC}">
                        <c15:formulaRef>
                          <c15:sqref>'OZL Summary'!$OV$8:$OV$33</c15:sqref>
                        </c15:formulaRef>
                      </c:ext>
                    </c:extLst>
                    <c:numCache>
                      <c:formatCode>0.000</c:formatCode>
                      <c:ptCount val="26"/>
                      <c:pt idx="16">
                        <c:v>0.3734694646924</c:v>
                      </c:pt>
                      <c:pt idx="17">
                        <c:v>0.38721348104986664</c:v>
                      </c:pt>
                      <c:pt idx="18">
                        <c:v>0.40095749740733327</c:v>
                      </c:pt>
                      <c:pt idx="19">
                        <c:v>0.41470151376479991</c:v>
                      </c:pt>
                      <c:pt idx="20">
                        <c:v>0.42844553012226655</c:v>
                      </c:pt>
                      <c:pt idx="21">
                        <c:v>0.44218954647973319</c:v>
                      </c:pt>
                      <c:pt idx="22">
                        <c:v>0.45593356283719982</c:v>
                      </c:pt>
                      <c:pt idx="23">
                        <c:v>0.46967757919466646</c:v>
                      </c:pt>
                      <c:pt idx="24">
                        <c:v>0.4834215955521331</c:v>
                      </c:pt>
                      <c:pt idx="25">
                        <c:v>0.49716561190959974</c:v>
                      </c:pt>
                    </c:numCache>
                  </c:numRef>
                </c:val>
                <c:smooth val="0"/>
                <c:extLst xmlns:c15="http://schemas.microsoft.com/office/drawing/2012/chart">
                  <c:ext xmlns:c16="http://schemas.microsoft.com/office/drawing/2014/chart" uri="{C3380CC4-5D6E-409C-BE32-E72D297353CC}">
                    <c16:uniqueId val="{00000008-5E01-4FA0-9878-5D625697C1CE}"/>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'OZL Summary'!$OX$6:$OX$7</c15:sqref>
                        </c15:formulaRef>
                      </c:ext>
                    </c:extLst>
                    <c:strCache>
                      <c:ptCount val="2"/>
                      <c:pt idx="0">
                        <c:v>10th Percentile</c:v>
                      </c:pt>
                    </c:strCache>
                  </c:strRef>
                </c:tx>
                <c:spPr>
                  <a:ln w="28575" cap="rnd">
                    <a:solidFill>
                      <a:schemeClr val="accent6"/>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'OZL Summary'!$OS$8:$OS$33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xmlns:c15="http://schemas.microsoft.com/office/drawing/2012/chart">
                      <c:ext xmlns:c15="http://schemas.microsoft.com/office/drawing/2012/chart" uri="{02D57815-91ED-43cb-92C2-25804820EDAC}">
                        <c15:formulaRef>
                          <c15:sqref>'OZL Summary'!$OX$8:$OX$33</c15:sqref>
                        </c15:formulaRef>
                      </c:ext>
                    </c:extLst>
                    <c:numCache>
                      <c:formatCode>0.000</c:formatCode>
                      <c:ptCount val="26"/>
                      <c:pt idx="16">
                        <c:v>0.3734694646924</c:v>
                      </c:pt>
                      <c:pt idx="17">
                        <c:v>0.38884320164013331</c:v>
                      </c:pt>
                      <c:pt idx="18">
                        <c:v>0.40421693858786661</c:v>
                      </c:pt>
                      <c:pt idx="19">
                        <c:v>0.41959067553559992</c:v>
                      </c:pt>
                      <c:pt idx="20">
                        <c:v>0.43496441248333323</c:v>
                      </c:pt>
                      <c:pt idx="21">
                        <c:v>0.45033814943106654</c:v>
                      </c:pt>
                      <c:pt idx="22">
                        <c:v>0.46571188637879984</c:v>
                      </c:pt>
                      <c:pt idx="23">
                        <c:v>0.48108562332653315</c:v>
                      </c:pt>
                      <c:pt idx="24">
                        <c:v>0.49645936027426646</c:v>
                      </c:pt>
                      <c:pt idx="25">
                        <c:v>0.51183309722199977</c:v>
                      </c:pt>
                    </c:numCache>
                  </c:numRef>
                </c:val>
                <c:smooth val="0"/>
                <c:extLst xmlns:c15="http://schemas.microsoft.com/office/drawing/2012/chart">
                  <c:ext xmlns:c16="http://schemas.microsoft.com/office/drawing/2014/chart" uri="{C3380CC4-5D6E-409C-BE32-E72D297353CC}">
                    <c16:uniqueId val="{00000009-5E01-4FA0-9878-5D625697C1CE}"/>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'OZL Summary'!$PB$6:$PB$7</c15:sqref>
                        </c15:formulaRef>
                      </c:ext>
                    </c:extLst>
                    <c:strCache>
                      <c:ptCount val="2"/>
                      <c:pt idx="0">
                        <c:v>90th Percentile</c:v>
                      </c:pt>
                    </c:strCache>
                  </c:strRef>
                </c:tx>
                <c:spPr>
                  <a:ln w="28575" cap="rnd">
                    <a:solidFill>
                      <a:schemeClr val="accent1"/>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'OZL Summary'!$OS$8:$OS$33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xmlns:c15="http://schemas.microsoft.com/office/drawing/2012/chart">
                      <c:ext xmlns:c15="http://schemas.microsoft.com/office/drawing/2012/chart" uri="{02D57815-91ED-43cb-92C2-25804820EDAC}">
                        <c15:formulaRef>
                          <c15:sqref>'OZL Summary'!$PB$8:$PB$33</c15:sqref>
                        </c15:formulaRef>
                      </c:ext>
                    </c:extLst>
                    <c:numCache>
                      <c:formatCode>0.000</c:formatCode>
                      <c:ptCount val="26"/>
                      <c:pt idx="16">
                        <c:v>0.3734694646924</c:v>
                      </c:pt>
                      <c:pt idx="17">
                        <c:v>0.39978647892693331</c:v>
                      </c:pt>
                      <c:pt idx="18">
                        <c:v>0.42610349316146662</c:v>
                      </c:pt>
                      <c:pt idx="19">
                        <c:v>0.45242050739599993</c:v>
                      </c:pt>
                      <c:pt idx="20">
                        <c:v>0.47873752163053324</c:v>
                      </c:pt>
                      <c:pt idx="21">
                        <c:v>0.50505453586506655</c:v>
                      </c:pt>
                      <c:pt idx="22">
                        <c:v>0.53137155009959991</c:v>
                      </c:pt>
                      <c:pt idx="23">
                        <c:v>0.55768856433413327</c:v>
                      </c:pt>
                      <c:pt idx="24">
                        <c:v>0.58400557856866664</c:v>
                      </c:pt>
                      <c:pt idx="25">
                        <c:v>0.6103225928032</c:v>
                      </c:pt>
                    </c:numCache>
                  </c:numRef>
                </c:val>
                <c:smooth val="0"/>
                <c:extLst xmlns:c15="http://schemas.microsoft.com/office/drawing/2012/chart">
                  <c:ext xmlns:c16="http://schemas.microsoft.com/office/drawing/2014/chart" uri="{C3380CC4-5D6E-409C-BE32-E72D297353CC}">
                    <c16:uniqueId val="{0000000A-5E01-4FA0-9878-5D625697C1CE}"/>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'OZL Summary'!$PD$6:$PD$7</c15:sqref>
                        </c15:formulaRef>
                      </c:ext>
                    </c:extLst>
                    <c:strCache>
                      <c:ptCount val="2"/>
                      <c:pt idx="0">
                        <c:v>99th Percentile</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'OZL Summary'!$OS$8:$OS$33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xmlns:c15="http://schemas.microsoft.com/office/drawing/2012/chart">
                      <c:ext xmlns:c15="http://schemas.microsoft.com/office/drawing/2012/chart" uri="{02D57815-91ED-43cb-92C2-25804820EDAC}">
                        <c15:formulaRef>
                          <c15:sqref>'OZL Summary'!$PD$8:$PD$33</c15:sqref>
                        </c15:formulaRef>
                      </c:ext>
                    </c:extLst>
                    <c:numCache>
                      <c:formatCode>0.000</c:formatCode>
                      <c:ptCount val="26"/>
                      <c:pt idx="16">
                        <c:v>0.3734694646924</c:v>
                      </c:pt>
                      <c:pt idx="17">
                        <c:v>0.4170739202864</c:v>
                      </c:pt>
                      <c:pt idx="18">
                        <c:v>0.4606783758804</c:v>
                      </c:pt>
                      <c:pt idx="19">
                        <c:v>0.50428283147440001</c:v>
                      </c:pt>
                      <c:pt idx="20">
                        <c:v>0.54788728706839995</c:v>
                      </c:pt>
                      <c:pt idx="21">
                        <c:v>0.59149174266240001</c:v>
                      </c:pt>
                      <c:pt idx="22">
                        <c:v>0.63509619825640007</c:v>
                      </c:pt>
                      <c:pt idx="23">
                        <c:v>0.67870065385040013</c:v>
                      </c:pt>
                      <c:pt idx="24">
                        <c:v>0.72230510944440018</c:v>
                      </c:pt>
                      <c:pt idx="25">
                        <c:v>0.76590956503840024</c:v>
                      </c:pt>
                    </c:numCache>
                  </c:numRef>
                </c:val>
                <c:smooth val="0"/>
                <c:extLst xmlns:c15="http://schemas.microsoft.com/office/drawing/2012/chart">
                  <c:ext xmlns:c16="http://schemas.microsoft.com/office/drawing/2014/chart" uri="{C3380CC4-5D6E-409C-BE32-E72D297353CC}">
                    <c16:uniqueId val="{0000000B-5E01-4FA0-9878-5D625697C1CE}"/>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'OZL Summary'!$PE$6:$PE$7</c15:sqref>
                        </c15:formulaRef>
                      </c:ext>
                    </c:extLst>
                    <c:strCache>
                      <c:ptCount val="2"/>
                      <c:pt idx="0">
                        <c:v>Max</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'OZL Summary'!$OS$8:$OS$33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xmlns:c15="http://schemas.microsoft.com/office/drawing/2012/chart">
                      <c:ext xmlns:c15="http://schemas.microsoft.com/office/drawing/2012/chart" uri="{02D57815-91ED-43cb-92C2-25804820EDAC}">
                        <c15:formulaRef>
                          <c15:sqref>'OZL Summary'!$PE$8:$PE$33</c15:sqref>
                        </c15:formulaRef>
                      </c:ext>
                    </c:extLst>
                    <c:numCache>
                      <c:formatCode>0.000</c:formatCode>
                      <c:ptCount val="26"/>
                      <c:pt idx="16">
                        <c:v>0.3734694646924</c:v>
                      </c:pt>
                      <c:pt idx="17">
                        <c:v>0.43109156792793335</c:v>
                      </c:pt>
                      <c:pt idx="18">
                        <c:v>0.4887136711634667</c:v>
                      </c:pt>
                      <c:pt idx="19">
                        <c:v>0.54633577439900005</c:v>
                      </c:pt>
                      <c:pt idx="20">
                        <c:v>0.60395787763453335</c:v>
                      </c:pt>
                      <c:pt idx="21">
                        <c:v>0.66157998087006664</c:v>
                      </c:pt>
                      <c:pt idx="22">
                        <c:v>0.71920208410559994</c:v>
                      </c:pt>
                      <c:pt idx="23">
                        <c:v>0.77682418734113323</c:v>
                      </c:pt>
                      <c:pt idx="24">
                        <c:v>0.83444629057666653</c:v>
                      </c:pt>
                      <c:pt idx="25">
                        <c:v>0.89206839381219982</c:v>
                      </c:pt>
                    </c:numCache>
                  </c:numRef>
                </c:val>
                <c:smooth val="0"/>
                <c:extLst xmlns:c15="http://schemas.microsoft.com/office/drawing/2012/chart">
                  <c:ext xmlns:c16="http://schemas.microsoft.com/office/drawing/2014/chart" uri="{C3380CC4-5D6E-409C-BE32-E72D297353CC}">
                    <c16:uniqueId val="{0000000C-5E01-4FA0-9878-5D625697C1CE}"/>
                  </c:ext>
                </c:extLst>
              </c15:ser>
            </c15:filteredLineSeries>
          </c:ext>
        </c:extLst>
      </c:lineChart>
      <c:dateAx>
        <c:axId val="1388952432"/>
        <c:scaling>
          <c:orientation val="minMax"/>
        </c:scaling>
        <c:delete val="0"/>
        <c:axPos val="b"/>
        <c:numFmt formatCode="d\-mmm\-yy_);\(###0\);&quot;-  &quot;;&quot; &quot;@&quot; &quot;"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3088"/>
        <c:crosses val="autoZero"/>
        <c:auto val="1"/>
        <c:lblOffset val="100"/>
        <c:baseTimeUnit val="days"/>
        <c:majorUnit val="3"/>
        <c:majorTimeUnit val="months"/>
      </c:dateAx>
      <c:valAx>
        <c:axId val="1388953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Ticket Sales ($b)</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'OZL Summary'!$OT$6:$OT$7</c:f>
              <c:strCache>
                <c:ptCount val="2"/>
                <c:pt idx="0">
                  <c:v>Actual</c:v>
                </c:pt>
              </c:strCache>
            </c:strRef>
          </c:tx>
          <c:spPr>
            <a:ln w="28575" cap="rnd">
              <a:solidFill>
                <a:schemeClr val="tx2"/>
              </a:solidFill>
              <a:round/>
            </a:ln>
            <a:effectLst/>
          </c:spPr>
          <c:marker>
            <c:symbol val="none"/>
          </c:marker>
          <c:cat>
            <c:numRef>
              <c:f>'OZL Summary'!$OS$8:$OS$33</c:f>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f>'OZL Summary'!$OT$8:$OT$33</c:f>
              <c:numCache>
                <c:formatCode>0.000</c:formatCode>
                <c:ptCount val="26"/>
                <c:pt idx="0">
                  <c:v>1.83918084912E-2</c:v>
                </c:pt>
                <c:pt idx="1">
                  <c:v>5.1320441797199995E-2</c:v>
                </c:pt>
                <c:pt idx="2">
                  <c:v>9.3269601025199989E-2</c:v>
                </c:pt>
                <c:pt idx="3">
                  <c:v>0.15693653862000001</c:v>
                </c:pt>
                <c:pt idx="4">
                  <c:v>0.16921774255320002</c:v>
                </c:pt>
                <c:pt idx="5">
                  <c:v>0.1838797388964</c:v>
                </c:pt>
                <c:pt idx="6">
                  <c:v>0.20299689739439999</c:v>
                </c:pt>
                <c:pt idx="7">
                  <c:v>0.21386782008719998</c:v>
                </c:pt>
                <c:pt idx="8">
                  <c:v>0.23052645776519998</c:v>
                </c:pt>
                <c:pt idx="9">
                  <c:v>0.25480109778479998</c:v>
                </c:pt>
                <c:pt idx="10">
                  <c:v>0.26624755617119999</c:v>
                </c:pt>
                <c:pt idx="11">
                  <c:v>0.28611919843559996</c:v>
                </c:pt>
                <c:pt idx="12">
                  <c:v>0.29892757371840001</c:v>
                </c:pt>
                <c:pt idx="13">
                  <c:v>0.30904758271839999</c:v>
                </c:pt>
                <c:pt idx="14">
                  <c:v>0.32416328266959998</c:v>
                </c:pt>
                <c:pt idx="15">
                  <c:v>0.34605206353840001</c:v>
                </c:pt>
                <c:pt idx="16">
                  <c:v>0.3734694646924</c:v>
                </c:pt>
              </c:numCache>
            </c:numRef>
          </c:val>
          <c:smooth val="0"/>
          <c:extLst>
            <c:ext xmlns:c16="http://schemas.microsoft.com/office/drawing/2014/chart" uri="{C3380CC4-5D6E-409C-BE32-E72D297353CC}">
              <c16:uniqueId val="{00000000-0BD0-4FD8-BC42-F3F9B0A0D529}"/>
            </c:ext>
          </c:extLst>
        </c:ser>
        <c:ser>
          <c:idx val="4"/>
          <c:order val="4"/>
          <c:tx>
            <c:strRef>
              <c:f>'OZL Summary'!$OX$6:$OX$7</c:f>
              <c:strCache>
                <c:ptCount val="2"/>
                <c:pt idx="0">
                  <c:v>10th Percentile</c:v>
                </c:pt>
              </c:strCache>
            </c:strRef>
          </c:tx>
          <c:spPr>
            <a:ln w="28575" cap="rnd">
              <a:solidFill>
                <a:schemeClr val="accent6"/>
              </a:solidFill>
              <a:prstDash val="sysDot"/>
              <a:round/>
            </a:ln>
            <a:effectLst/>
          </c:spPr>
          <c:marker>
            <c:symbol val="none"/>
          </c:marker>
          <c:cat>
            <c:numRef>
              <c:f>'OZL Summary'!$OS$8:$OS$33</c:f>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f>'OZL Summary'!$OX$8:$OX$33</c:f>
              <c:numCache>
                <c:formatCode>0.000</c:formatCode>
                <c:ptCount val="26"/>
                <c:pt idx="16">
                  <c:v>0.3734694646924</c:v>
                </c:pt>
                <c:pt idx="17">
                  <c:v>0.38884320164013331</c:v>
                </c:pt>
                <c:pt idx="18">
                  <c:v>0.40421693858786661</c:v>
                </c:pt>
                <c:pt idx="19">
                  <c:v>0.41959067553559992</c:v>
                </c:pt>
                <c:pt idx="20">
                  <c:v>0.43496441248333323</c:v>
                </c:pt>
                <c:pt idx="21">
                  <c:v>0.45033814943106654</c:v>
                </c:pt>
                <c:pt idx="22">
                  <c:v>0.46571188637879984</c:v>
                </c:pt>
                <c:pt idx="23">
                  <c:v>0.48108562332653315</c:v>
                </c:pt>
                <c:pt idx="24">
                  <c:v>0.49645936027426646</c:v>
                </c:pt>
                <c:pt idx="25">
                  <c:v>0.51183309722199977</c:v>
                </c:pt>
              </c:numCache>
            </c:numRef>
          </c:val>
          <c:smooth val="0"/>
          <c:extLst xmlns:c15="http://schemas.microsoft.com/office/drawing/2012/chart">
            <c:ext xmlns:c16="http://schemas.microsoft.com/office/drawing/2014/chart" uri="{C3380CC4-5D6E-409C-BE32-E72D297353CC}">
              <c16:uniqueId val="{00000001-0BD0-4FD8-BC42-F3F9B0A0D529}"/>
            </c:ext>
          </c:extLst>
        </c:ser>
        <c:ser>
          <c:idx val="6"/>
          <c:order val="6"/>
          <c:tx>
            <c:strRef>
              <c:f>'OZL Summary'!$OZ$6:$OZ$7</c:f>
              <c:strCache>
                <c:ptCount val="2"/>
                <c:pt idx="0">
                  <c:v>50th Percentile</c:v>
                </c:pt>
              </c:strCache>
            </c:strRef>
          </c:tx>
          <c:spPr>
            <a:ln w="28575" cap="rnd">
              <a:solidFill>
                <a:schemeClr val="bg2"/>
              </a:solidFill>
              <a:prstDash val="sysDot"/>
              <a:round/>
            </a:ln>
            <a:effectLst/>
          </c:spPr>
          <c:marker>
            <c:symbol val="none"/>
          </c:marker>
          <c:cat>
            <c:numRef>
              <c:f>'OZL Summary'!$OS$8:$OS$33</c:f>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f>'OZL Summary'!$OZ$8:$OZ$33</c:f>
              <c:numCache>
                <c:formatCode>0.000</c:formatCode>
                <c:ptCount val="26"/>
                <c:pt idx="16">
                  <c:v>0.3734694646924</c:v>
                </c:pt>
                <c:pt idx="17">
                  <c:v>0.39298737978353332</c:v>
                </c:pt>
                <c:pt idx="18">
                  <c:v>0.41250529487466664</c:v>
                </c:pt>
                <c:pt idx="19">
                  <c:v>0.43202320996579996</c:v>
                </c:pt>
                <c:pt idx="20">
                  <c:v>0.45154112505693328</c:v>
                </c:pt>
                <c:pt idx="21">
                  <c:v>0.4710590401480666</c:v>
                </c:pt>
                <c:pt idx="22">
                  <c:v>0.49057695523919992</c:v>
                </c:pt>
                <c:pt idx="23">
                  <c:v>0.51009487033033329</c:v>
                </c:pt>
                <c:pt idx="24">
                  <c:v>0.52961278542146661</c:v>
                </c:pt>
                <c:pt idx="25">
                  <c:v>0.54913070051259993</c:v>
                </c:pt>
              </c:numCache>
            </c:numRef>
          </c:val>
          <c:smooth val="0"/>
          <c:extLst xmlns:c15="http://schemas.microsoft.com/office/drawing/2012/chart">
            <c:ext xmlns:c16="http://schemas.microsoft.com/office/drawing/2014/chart" uri="{C3380CC4-5D6E-409C-BE32-E72D297353CC}">
              <c16:uniqueId val="{00000002-0BD0-4FD8-BC42-F3F9B0A0D529}"/>
            </c:ext>
          </c:extLst>
        </c:ser>
        <c:ser>
          <c:idx val="8"/>
          <c:order val="8"/>
          <c:tx>
            <c:strRef>
              <c:f>'OZL Summary'!$PB$6:$PB$7</c:f>
              <c:strCache>
                <c:ptCount val="2"/>
                <c:pt idx="0">
                  <c:v>90th Percentile</c:v>
                </c:pt>
              </c:strCache>
            </c:strRef>
          </c:tx>
          <c:spPr>
            <a:ln w="28575" cap="rnd">
              <a:solidFill>
                <a:schemeClr val="accent1"/>
              </a:solidFill>
              <a:prstDash val="sysDot"/>
              <a:round/>
            </a:ln>
            <a:effectLst/>
          </c:spPr>
          <c:marker>
            <c:symbol val="none"/>
          </c:marker>
          <c:cat>
            <c:numRef>
              <c:f>'OZL Summary'!$OS$8:$OS$33</c:f>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f>'OZL Summary'!$PB$8:$PB$33</c:f>
              <c:numCache>
                <c:formatCode>0.000</c:formatCode>
                <c:ptCount val="26"/>
                <c:pt idx="16">
                  <c:v>0.3734694646924</c:v>
                </c:pt>
                <c:pt idx="17">
                  <c:v>0.39978647892693331</c:v>
                </c:pt>
                <c:pt idx="18">
                  <c:v>0.42610349316146662</c:v>
                </c:pt>
                <c:pt idx="19">
                  <c:v>0.45242050739599993</c:v>
                </c:pt>
                <c:pt idx="20">
                  <c:v>0.47873752163053324</c:v>
                </c:pt>
                <c:pt idx="21">
                  <c:v>0.50505453586506655</c:v>
                </c:pt>
                <c:pt idx="22">
                  <c:v>0.53137155009959991</c:v>
                </c:pt>
                <c:pt idx="23">
                  <c:v>0.55768856433413327</c:v>
                </c:pt>
                <c:pt idx="24">
                  <c:v>0.58400557856866664</c:v>
                </c:pt>
                <c:pt idx="25">
                  <c:v>0.6103225928032</c:v>
                </c:pt>
              </c:numCache>
            </c:numRef>
          </c:val>
          <c:smooth val="0"/>
          <c:extLst xmlns:c15="http://schemas.microsoft.com/office/drawing/2012/chart">
            <c:ext xmlns:c16="http://schemas.microsoft.com/office/drawing/2014/chart" uri="{C3380CC4-5D6E-409C-BE32-E72D297353CC}">
              <c16:uniqueId val="{00000003-0BD0-4FD8-BC42-F3F9B0A0D529}"/>
            </c:ext>
          </c:extLst>
        </c:ser>
        <c:ser>
          <c:idx val="12"/>
          <c:order val="12"/>
          <c:tx>
            <c:strRef>
              <c:f>'OZL Summary'!$PF$6:$PF$7</c:f>
              <c:strCache>
                <c:ptCount val="2"/>
                <c:pt idx="0">
                  <c:v>HY Average</c:v>
                </c:pt>
              </c:strCache>
            </c:strRef>
          </c:tx>
          <c:spPr>
            <a:ln w="28575" cap="rnd">
              <a:solidFill>
                <a:schemeClr val="accent2"/>
              </a:solidFill>
              <a:prstDash val="dash"/>
              <a:round/>
            </a:ln>
            <a:effectLst/>
          </c:spPr>
          <c:marker>
            <c:symbol val="none"/>
          </c:marker>
          <c:cat>
            <c:numRef>
              <c:f>'OZL Summary'!$OS$8:$OS$33</c:f>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f>'OZL Summary'!$PF$8:$PF$33</c:f>
              <c:numCache>
                <c:formatCode>0.000</c:formatCode>
                <c:ptCount val="26"/>
                <c:pt idx="16">
                  <c:v>0.3734694646924</c:v>
                </c:pt>
                <c:pt idx="17">
                  <c:v>0.39543825673312943</c:v>
                </c:pt>
                <c:pt idx="18">
                  <c:v>0.41740704877385887</c:v>
                </c:pt>
                <c:pt idx="19">
                  <c:v>0.4393758408145883</c:v>
                </c:pt>
                <c:pt idx="20">
                  <c:v>0.46134463285531774</c:v>
                </c:pt>
                <c:pt idx="21">
                  <c:v>0.48331342489604717</c:v>
                </c:pt>
                <c:pt idx="22">
                  <c:v>0.50528221693677655</c:v>
                </c:pt>
                <c:pt idx="23">
                  <c:v>0.52725100897750599</c:v>
                </c:pt>
                <c:pt idx="24">
                  <c:v>0.54921980101823542</c:v>
                </c:pt>
                <c:pt idx="25">
                  <c:v>0.57118859305896486</c:v>
                </c:pt>
              </c:numCache>
            </c:numRef>
          </c:val>
          <c:smooth val="0"/>
          <c:extLst>
            <c:ext xmlns:c16="http://schemas.microsoft.com/office/drawing/2014/chart" uri="{C3380CC4-5D6E-409C-BE32-E72D297353CC}">
              <c16:uniqueId val="{00000004-0BD0-4FD8-BC42-F3F9B0A0D529}"/>
            </c:ext>
          </c:extLst>
        </c:ser>
        <c:dLbls>
          <c:showLegendKey val="0"/>
          <c:showVal val="0"/>
          <c:showCatName val="0"/>
          <c:showSerName val="0"/>
          <c:showPercent val="0"/>
          <c:showBubbleSize val="0"/>
        </c:dLbls>
        <c:smooth val="0"/>
        <c:axId val="1388952432"/>
        <c:axId val="1388953088"/>
        <c:extLst>
          <c:ext xmlns:c15="http://schemas.microsoft.com/office/drawing/2012/chart" uri="{02D57815-91ED-43cb-92C2-25804820EDAC}">
            <c15:filteredLineSeries>
              <c15:ser>
                <c:idx val="1"/>
                <c:order val="1"/>
                <c:tx>
                  <c:strRef>
                    <c:extLst>
                      <c:ext uri="{02D57815-91ED-43cb-92C2-25804820EDAC}">
                        <c15:formulaRef>
                          <c15:sqref>'OZL Summary'!$OU$6:$OU$7</c15:sqref>
                        </c15:formulaRef>
                      </c:ext>
                    </c:extLst>
                    <c:strCache>
                      <c:ptCount val="2"/>
                      <c:pt idx="0">
                        <c:v>Min</c:v>
                      </c:pt>
                    </c:strCache>
                  </c:strRef>
                </c:tx>
                <c:spPr>
                  <a:ln w="28575" cap="rnd">
                    <a:solidFill>
                      <a:schemeClr val="accent2"/>
                    </a:solidFill>
                    <a:round/>
                  </a:ln>
                  <a:effectLst/>
                </c:spPr>
                <c:marker>
                  <c:symbol val="none"/>
                </c:marker>
                <c:cat>
                  <c:numRef>
                    <c:extLst>
                      <c:ext uri="{02D57815-91ED-43cb-92C2-25804820EDAC}">
                        <c15:formulaRef>
                          <c15:sqref>'OZL Summary'!$OS$8:$OS$33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c:ext uri="{02D57815-91ED-43cb-92C2-25804820EDAC}">
                        <c15:formulaRef>
                          <c15:sqref>'OZL Summary'!$OU$8:$OU$33</c15:sqref>
                        </c15:formulaRef>
                      </c:ext>
                    </c:extLst>
                    <c:numCache>
                      <c:formatCode>0.000</c:formatCode>
                      <c:ptCount val="26"/>
                      <c:pt idx="16">
                        <c:v>0.3734694646924</c:v>
                      </c:pt>
                      <c:pt idx="17">
                        <c:v>0.3862024850006</c:v>
                      </c:pt>
                      <c:pt idx="18">
                        <c:v>0.39893550530880001</c:v>
                      </c:pt>
                      <c:pt idx="19">
                        <c:v>0.41166852561700001</c:v>
                      </c:pt>
                      <c:pt idx="20">
                        <c:v>0.42440154592520002</c:v>
                      </c:pt>
                      <c:pt idx="21">
                        <c:v>0.43713456623340002</c:v>
                      </c:pt>
                      <c:pt idx="22">
                        <c:v>0.44986758654160003</c:v>
                      </c:pt>
                      <c:pt idx="23">
                        <c:v>0.46260060684980003</c:v>
                      </c:pt>
                      <c:pt idx="24">
                        <c:v>0.47533362715800004</c:v>
                      </c:pt>
                      <c:pt idx="25">
                        <c:v>0.48806664746620004</c:v>
                      </c:pt>
                    </c:numCache>
                  </c:numRef>
                </c:val>
                <c:smooth val="0"/>
                <c:extLst>
                  <c:ext xmlns:c16="http://schemas.microsoft.com/office/drawing/2014/chart" uri="{C3380CC4-5D6E-409C-BE32-E72D297353CC}">
                    <c16:uniqueId val="{00000005-0BD0-4FD8-BC42-F3F9B0A0D529}"/>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'OZL Summary'!$OV$6:$OV$7</c15:sqref>
                        </c15:formulaRef>
                      </c:ext>
                    </c:extLst>
                    <c:strCache>
                      <c:ptCount val="2"/>
                      <c:pt idx="0">
                        <c:v>1st Percentile</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'OZL Summary'!$OS$8:$OS$33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xmlns:c15="http://schemas.microsoft.com/office/drawing/2012/chart">
                      <c:ext xmlns:c15="http://schemas.microsoft.com/office/drawing/2012/chart" uri="{02D57815-91ED-43cb-92C2-25804820EDAC}">
                        <c15:formulaRef>
                          <c15:sqref>'OZL Summary'!$OV$8:$OV$33</c15:sqref>
                        </c15:formulaRef>
                      </c:ext>
                    </c:extLst>
                    <c:numCache>
                      <c:formatCode>0.000</c:formatCode>
                      <c:ptCount val="26"/>
                      <c:pt idx="16">
                        <c:v>0.3734694646924</c:v>
                      </c:pt>
                      <c:pt idx="17">
                        <c:v>0.38721348104986664</c:v>
                      </c:pt>
                      <c:pt idx="18">
                        <c:v>0.40095749740733327</c:v>
                      </c:pt>
                      <c:pt idx="19">
                        <c:v>0.41470151376479991</c:v>
                      </c:pt>
                      <c:pt idx="20">
                        <c:v>0.42844553012226655</c:v>
                      </c:pt>
                      <c:pt idx="21">
                        <c:v>0.44218954647973319</c:v>
                      </c:pt>
                      <c:pt idx="22">
                        <c:v>0.45593356283719982</c:v>
                      </c:pt>
                      <c:pt idx="23">
                        <c:v>0.46967757919466646</c:v>
                      </c:pt>
                      <c:pt idx="24">
                        <c:v>0.4834215955521331</c:v>
                      </c:pt>
                      <c:pt idx="25">
                        <c:v>0.49716561190959974</c:v>
                      </c:pt>
                    </c:numCache>
                  </c:numRef>
                </c:val>
                <c:smooth val="0"/>
                <c:extLst xmlns:c15="http://schemas.microsoft.com/office/drawing/2012/chart">
                  <c:ext xmlns:c16="http://schemas.microsoft.com/office/drawing/2014/chart" uri="{C3380CC4-5D6E-409C-BE32-E72D297353CC}">
                    <c16:uniqueId val="{00000006-0BD0-4FD8-BC42-F3F9B0A0D529}"/>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'OZL Summary'!$OW$6:$OW$7</c15:sqref>
                        </c15:formulaRef>
                      </c:ext>
                    </c:extLst>
                    <c:strCache>
                      <c:ptCount val="2"/>
                      <c:pt idx="0">
                        <c:v>5th Percentile</c:v>
                      </c:pt>
                    </c:strCache>
                  </c:strRef>
                </c:tx>
                <c:spPr>
                  <a:ln w="28575" cap="rnd">
                    <a:solidFill>
                      <a:schemeClr val="accent6"/>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'OZL Summary'!$OS$8:$OS$33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xmlns:c15="http://schemas.microsoft.com/office/drawing/2012/chart">
                      <c:ext xmlns:c15="http://schemas.microsoft.com/office/drawing/2012/chart" uri="{02D57815-91ED-43cb-92C2-25804820EDAC}">
                        <c15:formulaRef>
                          <c15:sqref>'OZL Summary'!$OW$8:$OW$33</c15:sqref>
                        </c15:formulaRef>
                      </c:ext>
                    </c:extLst>
                    <c:numCache>
                      <c:formatCode>0.000</c:formatCode>
                      <c:ptCount val="26"/>
                      <c:pt idx="16">
                        <c:v>0.3734694646924</c:v>
                      </c:pt>
                      <c:pt idx="17">
                        <c:v>0.38783220559086667</c:v>
                      </c:pt>
                      <c:pt idx="18">
                        <c:v>0.40219494648933335</c:v>
                      </c:pt>
                      <c:pt idx="19">
                        <c:v>0.41655768738780002</c:v>
                      </c:pt>
                      <c:pt idx="20">
                        <c:v>0.4309204282862667</c:v>
                      </c:pt>
                      <c:pt idx="21">
                        <c:v>0.44528316918473337</c:v>
                      </c:pt>
                      <c:pt idx="22">
                        <c:v>0.45964591008320005</c:v>
                      </c:pt>
                      <c:pt idx="23">
                        <c:v>0.47400865098166672</c:v>
                      </c:pt>
                      <c:pt idx="24">
                        <c:v>0.4883713918801334</c:v>
                      </c:pt>
                      <c:pt idx="25">
                        <c:v>0.50273413277860002</c:v>
                      </c:pt>
                    </c:numCache>
                  </c:numRef>
                </c:val>
                <c:smooth val="0"/>
                <c:extLst xmlns:c15="http://schemas.microsoft.com/office/drawing/2012/chart">
                  <c:ext xmlns:c16="http://schemas.microsoft.com/office/drawing/2014/chart" uri="{C3380CC4-5D6E-409C-BE32-E72D297353CC}">
                    <c16:uniqueId val="{00000007-0BD0-4FD8-BC42-F3F9B0A0D529}"/>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'OZL Summary'!$OY$6:$OY$7</c15:sqref>
                        </c15:formulaRef>
                      </c:ext>
                    </c:extLst>
                    <c:strCache>
                      <c:ptCount val="2"/>
                      <c:pt idx="0">
                        <c:v>25th Percentile</c:v>
                      </c:pt>
                    </c:strCache>
                  </c:strRef>
                </c:tx>
                <c:spPr>
                  <a:ln w="28575" cap="rnd">
                    <a:solidFill>
                      <a:schemeClr val="accent5"/>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'OZL Summary'!$OS$8:$OS$33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xmlns:c15="http://schemas.microsoft.com/office/drawing/2012/chart">
                      <c:ext xmlns:c15="http://schemas.microsoft.com/office/drawing/2012/chart" uri="{02D57815-91ED-43cb-92C2-25804820EDAC}">
                        <c15:formulaRef>
                          <c15:sqref>'OZL Summary'!$OY$8:$OY$33</c15:sqref>
                        </c15:formulaRef>
                      </c:ext>
                    </c:extLst>
                    <c:numCache>
                      <c:formatCode>0.000</c:formatCode>
                      <c:ptCount val="26"/>
                      <c:pt idx="16">
                        <c:v>0.3734694646924</c:v>
                      </c:pt>
                      <c:pt idx="17">
                        <c:v>0.39021365693306664</c:v>
                      </c:pt>
                      <c:pt idx="18">
                        <c:v>0.40695784917373329</c:v>
                      </c:pt>
                      <c:pt idx="19">
                        <c:v>0.42370204141439993</c:v>
                      </c:pt>
                      <c:pt idx="20">
                        <c:v>0.44044623365506658</c:v>
                      </c:pt>
                      <c:pt idx="21">
                        <c:v>0.45719042589573322</c:v>
                      </c:pt>
                      <c:pt idx="22">
                        <c:v>0.47393461813639987</c:v>
                      </c:pt>
                      <c:pt idx="23">
                        <c:v>0.49067881037706651</c:v>
                      </c:pt>
                      <c:pt idx="24">
                        <c:v>0.50742300261773321</c:v>
                      </c:pt>
                      <c:pt idx="25">
                        <c:v>0.52416719485839991</c:v>
                      </c:pt>
                    </c:numCache>
                  </c:numRef>
                </c:val>
                <c:smooth val="0"/>
                <c:extLst xmlns:c15="http://schemas.microsoft.com/office/drawing/2012/chart">
                  <c:ext xmlns:c16="http://schemas.microsoft.com/office/drawing/2014/chart" uri="{C3380CC4-5D6E-409C-BE32-E72D297353CC}">
                    <c16:uniqueId val="{00000008-0BD0-4FD8-BC42-F3F9B0A0D529}"/>
                  </c:ext>
                </c:extLst>
              </c15:ser>
            </c15:filteredLineSeries>
            <c15:filteredLineSeries>
              <c15:ser>
                <c:idx val="7"/>
                <c:order val="7"/>
                <c:tx>
                  <c:strRef>
                    <c:extLst xmlns:c15="http://schemas.microsoft.com/office/drawing/2012/chart">
                      <c:ext xmlns:c15="http://schemas.microsoft.com/office/drawing/2012/chart" uri="{02D57815-91ED-43cb-92C2-25804820EDAC}">
                        <c15:formulaRef>
                          <c15:sqref>'OZL Summary'!$PA$6:$PA$7</c15:sqref>
                        </c15:formulaRef>
                      </c:ext>
                    </c:extLst>
                    <c:strCache>
                      <c:ptCount val="2"/>
                      <c:pt idx="0">
                        <c:v>75th Percentile</c:v>
                      </c:pt>
                    </c:strCache>
                  </c:strRef>
                </c:tx>
                <c:spPr>
                  <a:ln w="28575" cap="rnd">
                    <a:solidFill>
                      <a:schemeClr val="accent4"/>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'OZL Summary'!$OS$8:$OS$33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xmlns:c15="http://schemas.microsoft.com/office/drawing/2012/chart">
                      <c:ext xmlns:c15="http://schemas.microsoft.com/office/drawing/2012/chart" uri="{02D57815-91ED-43cb-92C2-25804820EDAC}">
                        <c15:formulaRef>
                          <c15:sqref>'OZL Summary'!$PA$8:$PA$33</c15:sqref>
                        </c15:formulaRef>
                      </c:ext>
                    </c:extLst>
                    <c:numCache>
                      <c:formatCode>0.000</c:formatCode>
                      <c:ptCount val="26"/>
                      <c:pt idx="16">
                        <c:v>0.3734694646924</c:v>
                      </c:pt>
                      <c:pt idx="17">
                        <c:v>0.39637111178373335</c:v>
                      </c:pt>
                      <c:pt idx="18">
                        <c:v>0.41927275887506671</c:v>
                      </c:pt>
                      <c:pt idx="19">
                        <c:v>0.44217440596640006</c:v>
                      </c:pt>
                      <c:pt idx="20">
                        <c:v>0.46507605305773342</c:v>
                      </c:pt>
                      <c:pt idx="21">
                        <c:v>0.48797770014906677</c:v>
                      </c:pt>
                      <c:pt idx="22">
                        <c:v>0.51087934724040007</c:v>
                      </c:pt>
                      <c:pt idx="23">
                        <c:v>0.53378099433173343</c:v>
                      </c:pt>
                      <c:pt idx="24">
                        <c:v>0.55668264142306678</c:v>
                      </c:pt>
                      <c:pt idx="25">
                        <c:v>0.57958428851440014</c:v>
                      </c:pt>
                    </c:numCache>
                  </c:numRef>
                </c:val>
                <c:smooth val="0"/>
                <c:extLst xmlns:c15="http://schemas.microsoft.com/office/drawing/2012/chart">
                  <c:ext xmlns:c16="http://schemas.microsoft.com/office/drawing/2014/chart" uri="{C3380CC4-5D6E-409C-BE32-E72D297353CC}">
                    <c16:uniqueId val="{00000009-0BD0-4FD8-BC42-F3F9B0A0D529}"/>
                  </c:ext>
                </c:extLst>
              </c15:ser>
            </c15:filteredLineSeries>
            <c15:filteredLineSeries>
              <c15:ser>
                <c:idx val="9"/>
                <c:order val="9"/>
                <c:tx>
                  <c:strRef>
                    <c:extLst xmlns:c15="http://schemas.microsoft.com/office/drawing/2012/chart">
                      <c:ext xmlns:c15="http://schemas.microsoft.com/office/drawing/2012/chart" uri="{02D57815-91ED-43cb-92C2-25804820EDAC}">
                        <c15:formulaRef>
                          <c15:sqref>'OZL Summary'!$PC$6:$PC$7</c15:sqref>
                        </c15:formulaRef>
                      </c:ext>
                    </c:extLst>
                    <c:strCache>
                      <c:ptCount val="2"/>
                      <c:pt idx="0">
                        <c:v>95th Percentile</c:v>
                      </c:pt>
                    </c:strCache>
                  </c:strRef>
                </c:tx>
                <c:spPr>
                  <a:ln w="28575" cap="rnd">
                    <a:solidFill>
                      <a:schemeClr val="accent1"/>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'OZL Summary'!$OS$8:$OS$33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xmlns:c15="http://schemas.microsoft.com/office/drawing/2012/chart">
                      <c:ext xmlns:c15="http://schemas.microsoft.com/office/drawing/2012/chart" uri="{02D57815-91ED-43cb-92C2-25804820EDAC}">
                        <c15:formulaRef>
                          <c15:sqref>'OZL Summary'!$PC$8:$PC$33</c15:sqref>
                        </c15:formulaRef>
                      </c:ext>
                    </c:extLst>
                    <c:numCache>
                      <c:formatCode>0.000</c:formatCode>
                      <c:ptCount val="26"/>
                      <c:pt idx="16">
                        <c:v>0.3734694646924</c:v>
                      </c:pt>
                      <c:pt idx="17">
                        <c:v>0.40614467264486664</c:v>
                      </c:pt>
                      <c:pt idx="18">
                        <c:v>0.43881988059733329</c:v>
                      </c:pt>
                      <c:pt idx="19">
                        <c:v>0.47149508854979993</c:v>
                      </c:pt>
                      <c:pt idx="20">
                        <c:v>0.50417029650226663</c:v>
                      </c:pt>
                      <c:pt idx="21">
                        <c:v>0.53684550445473334</c:v>
                      </c:pt>
                      <c:pt idx="22">
                        <c:v>0.56952071240720004</c:v>
                      </c:pt>
                      <c:pt idx="23">
                        <c:v>0.60219592035966674</c:v>
                      </c:pt>
                      <c:pt idx="24">
                        <c:v>0.63487112831213344</c:v>
                      </c:pt>
                      <c:pt idx="25">
                        <c:v>0.66754633626460014</c:v>
                      </c:pt>
                    </c:numCache>
                  </c:numRef>
                </c:val>
                <c:smooth val="0"/>
                <c:extLst xmlns:c15="http://schemas.microsoft.com/office/drawing/2012/chart">
                  <c:ext xmlns:c16="http://schemas.microsoft.com/office/drawing/2014/chart" uri="{C3380CC4-5D6E-409C-BE32-E72D297353CC}">
                    <c16:uniqueId val="{0000000A-0BD0-4FD8-BC42-F3F9B0A0D529}"/>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'OZL Summary'!$PD$6:$PD$7</c15:sqref>
                        </c15:formulaRef>
                      </c:ext>
                    </c:extLst>
                    <c:strCache>
                      <c:ptCount val="2"/>
                      <c:pt idx="0">
                        <c:v>99th Percentile</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'OZL Summary'!$OS$8:$OS$33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xmlns:c15="http://schemas.microsoft.com/office/drawing/2012/chart">
                      <c:ext xmlns:c15="http://schemas.microsoft.com/office/drawing/2012/chart" uri="{02D57815-91ED-43cb-92C2-25804820EDAC}">
                        <c15:formulaRef>
                          <c15:sqref>'OZL Summary'!$PD$8:$PD$33</c15:sqref>
                        </c15:formulaRef>
                      </c:ext>
                    </c:extLst>
                    <c:numCache>
                      <c:formatCode>0.000</c:formatCode>
                      <c:ptCount val="26"/>
                      <c:pt idx="16">
                        <c:v>0.3734694646924</c:v>
                      </c:pt>
                      <c:pt idx="17">
                        <c:v>0.4170739202864</c:v>
                      </c:pt>
                      <c:pt idx="18">
                        <c:v>0.4606783758804</c:v>
                      </c:pt>
                      <c:pt idx="19">
                        <c:v>0.50428283147440001</c:v>
                      </c:pt>
                      <c:pt idx="20">
                        <c:v>0.54788728706839995</c:v>
                      </c:pt>
                      <c:pt idx="21">
                        <c:v>0.59149174266240001</c:v>
                      </c:pt>
                      <c:pt idx="22">
                        <c:v>0.63509619825640007</c:v>
                      </c:pt>
                      <c:pt idx="23">
                        <c:v>0.67870065385040013</c:v>
                      </c:pt>
                      <c:pt idx="24">
                        <c:v>0.72230510944440018</c:v>
                      </c:pt>
                      <c:pt idx="25">
                        <c:v>0.76590956503840024</c:v>
                      </c:pt>
                    </c:numCache>
                  </c:numRef>
                </c:val>
                <c:smooth val="0"/>
                <c:extLst xmlns:c15="http://schemas.microsoft.com/office/drawing/2012/chart">
                  <c:ext xmlns:c16="http://schemas.microsoft.com/office/drawing/2014/chart" uri="{C3380CC4-5D6E-409C-BE32-E72D297353CC}">
                    <c16:uniqueId val="{0000000B-0BD0-4FD8-BC42-F3F9B0A0D529}"/>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'OZL Summary'!$PE$6:$PE$7</c15:sqref>
                        </c15:formulaRef>
                      </c:ext>
                    </c:extLst>
                    <c:strCache>
                      <c:ptCount val="2"/>
                      <c:pt idx="0">
                        <c:v>Max</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'OZL Summary'!$OS$8:$OS$33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xmlns:c15="http://schemas.microsoft.com/office/drawing/2012/chart">
                      <c:ext xmlns:c15="http://schemas.microsoft.com/office/drawing/2012/chart" uri="{02D57815-91ED-43cb-92C2-25804820EDAC}">
                        <c15:formulaRef>
                          <c15:sqref>'OZL Summary'!$PE$8:$PE$33</c15:sqref>
                        </c15:formulaRef>
                      </c:ext>
                    </c:extLst>
                    <c:numCache>
                      <c:formatCode>0.000</c:formatCode>
                      <c:ptCount val="26"/>
                      <c:pt idx="16">
                        <c:v>0.3734694646924</c:v>
                      </c:pt>
                      <c:pt idx="17">
                        <c:v>0.43109156792793335</c:v>
                      </c:pt>
                      <c:pt idx="18">
                        <c:v>0.4887136711634667</c:v>
                      </c:pt>
                      <c:pt idx="19">
                        <c:v>0.54633577439900005</c:v>
                      </c:pt>
                      <c:pt idx="20">
                        <c:v>0.60395787763453335</c:v>
                      </c:pt>
                      <c:pt idx="21">
                        <c:v>0.66157998087006664</c:v>
                      </c:pt>
                      <c:pt idx="22">
                        <c:v>0.71920208410559994</c:v>
                      </c:pt>
                      <c:pt idx="23">
                        <c:v>0.77682418734113323</c:v>
                      </c:pt>
                      <c:pt idx="24">
                        <c:v>0.83444629057666653</c:v>
                      </c:pt>
                      <c:pt idx="25">
                        <c:v>0.89206839381219982</c:v>
                      </c:pt>
                    </c:numCache>
                  </c:numRef>
                </c:val>
                <c:smooth val="0"/>
                <c:extLst xmlns:c15="http://schemas.microsoft.com/office/drawing/2012/chart">
                  <c:ext xmlns:c16="http://schemas.microsoft.com/office/drawing/2014/chart" uri="{C3380CC4-5D6E-409C-BE32-E72D297353CC}">
                    <c16:uniqueId val="{0000000C-0BD0-4FD8-BC42-F3F9B0A0D529}"/>
                  </c:ext>
                </c:extLst>
              </c15:ser>
            </c15:filteredLineSeries>
          </c:ext>
        </c:extLst>
      </c:lineChart>
      <c:dateAx>
        <c:axId val="1388952432"/>
        <c:scaling>
          <c:orientation val="minMax"/>
        </c:scaling>
        <c:delete val="0"/>
        <c:axPos val="b"/>
        <c:numFmt formatCode="d\-mmm\-yy_);\(###0\);&quot;-  &quot;;&quot; &quot;@&quot; &quot;"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3088"/>
        <c:crosses val="autoZero"/>
        <c:auto val="1"/>
        <c:lblOffset val="100"/>
        <c:baseTimeUnit val="days"/>
        <c:majorUnit val="3"/>
        <c:majorTimeUnit val="months"/>
      </c:dateAx>
      <c:valAx>
        <c:axId val="1388953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Ticket Sales ($b)</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'OZL Summary'!$JC$6</c:f>
              <c:strCache>
                <c:ptCount val="1"/>
                <c:pt idx="0">
                  <c:v>Actual</c:v>
                </c:pt>
              </c:strCache>
            </c:strRef>
          </c:tx>
          <c:spPr>
            <a:ln w="28575" cap="rnd">
              <a:solidFill>
                <a:schemeClr val="tx2"/>
              </a:solidFill>
              <a:round/>
            </a:ln>
            <a:effectLst/>
          </c:spPr>
          <c:marker>
            <c:symbol val="none"/>
          </c:marker>
          <c:cat>
            <c:numRef>
              <c:extLst>
                <c:ext xmlns:c15="http://schemas.microsoft.com/office/drawing/2012/chart" uri="{02D57815-91ED-43cb-92C2-25804820EDAC}">
                  <c15:fullRef>
                    <c15:sqref>'OZL Summary'!$JB$7:$JB$60</c15:sqref>
                  </c15:fullRef>
                </c:ext>
              </c:extLst>
              <c:f>'OZL Summary'!$JB$8:$JB$60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c:ext xmlns:c15="http://schemas.microsoft.com/office/drawing/2012/chart" uri="{02D57815-91ED-43cb-92C2-25804820EDAC}">
                  <c15:fullRef>
                    <c15:sqref>'OZL Summary'!$JC$7:$JC$60</c15:sqref>
                  </c15:fullRef>
                </c:ext>
              </c:extLst>
              <c:f>'OZL Summary'!$JC$8:$JC$60</c:f>
              <c:numCache>
                <c:formatCode>0.000</c:formatCode>
                <c:ptCount val="53"/>
                <c:pt idx="0">
                  <c:v>3.4282144018799997E-2</c:v>
                </c:pt>
                <c:pt idx="1">
                  <c:v>4.61727482976E-2</c:v>
                </c:pt>
                <c:pt idx="2">
                  <c:v>6.0744925144799997E-2</c:v>
                </c:pt>
                <c:pt idx="3">
                  <c:v>7.9887071887199998E-2</c:v>
                </c:pt>
                <c:pt idx="4">
                  <c:v>9.0591598206000004E-2</c:v>
                </c:pt>
                <c:pt idx="5">
                  <c:v>0.10471594425839999</c:v>
                </c:pt>
                <c:pt idx="6">
                  <c:v>0.13024126318319998</c:v>
                </c:pt>
                <c:pt idx="7">
                  <c:v>0.14299494069599997</c:v>
                </c:pt>
                <c:pt idx="8">
                  <c:v>0.15712274134439999</c:v>
                </c:pt>
                <c:pt idx="9">
                  <c:v>0.18211939192799997</c:v>
                </c:pt>
                <c:pt idx="10">
                  <c:v>0.21562528822559998</c:v>
                </c:pt>
                <c:pt idx="11">
                  <c:v>0.26312805598319994</c:v>
                </c:pt>
                <c:pt idx="12">
                  <c:v>0.27559419595559997</c:v>
                </c:pt>
                <c:pt idx="13">
                  <c:v>0.29338294713839996</c:v>
                </c:pt>
                <c:pt idx="14">
                  <c:v>0.31479798774239992</c:v>
                </c:pt>
                <c:pt idx="15">
                  <c:v>0.34138237064759991</c:v>
                </c:pt>
                <c:pt idx="16">
                  <c:v>0.38401116406199992</c:v>
                </c:pt>
                <c:pt idx="17">
                  <c:v>0.45353502371519994</c:v>
                </c:pt>
                <c:pt idx="18">
                  <c:v>0.46636884785519994</c:v>
                </c:pt>
                <c:pt idx="19">
                  <c:v>0.48057414660719988</c:v>
                </c:pt>
                <c:pt idx="20">
                  <c:v>0.50512031787239997</c:v>
                </c:pt>
                <c:pt idx="21">
                  <c:v>0.53195446806839985</c:v>
                </c:pt>
                <c:pt idx="22">
                  <c:v>0.57374874624239991</c:v>
                </c:pt>
                <c:pt idx="23">
                  <c:v>0.58543426267199994</c:v>
                </c:pt>
                <c:pt idx="24">
                  <c:v>0.59798193110999986</c:v>
                </c:pt>
                <c:pt idx="25">
                  <c:v>0.60953824564919989</c:v>
                </c:pt>
                <c:pt idx="26">
                  <c:v>0.62793005414039982</c:v>
                </c:pt>
                <c:pt idx="27">
                  <c:v>0.66085868744639986</c:v>
                </c:pt>
                <c:pt idx="28">
                  <c:v>0.70280784667439988</c:v>
                </c:pt>
                <c:pt idx="29">
                  <c:v>0.76647478426919979</c:v>
                </c:pt>
                <c:pt idx="30">
                  <c:v>0.77875598820239988</c:v>
                </c:pt>
                <c:pt idx="31">
                  <c:v>0.79341798454559986</c:v>
                </c:pt>
                <c:pt idx="32">
                  <c:v>0.81253514304359986</c:v>
                </c:pt>
                <c:pt idx="33">
                  <c:v>0.82340606573639985</c:v>
                </c:pt>
                <c:pt idx="34">
                  <c:v>0.84006470341439987</c:v>
                </c:pt>
                <c:pt idx="35">
                  <c:v>0.86433934343399987</c:v>
                </c:pt>
                <c:pt idx="36">
                  <c:v>0.87578580182039989</c:v>
                </c:pt>
                <c:pt idx="37">
                  <c:v>0.89565744408479986</c:v>
                </c:pt>
                <c:pt idx="38">
                  <c:v>0.90846581936759985</c:v>
                </c:pt>
                <c:pt idx="39">
                  <c:v>0.91858582836759983</c:v>
                </c:pt>
                <c:pt idx="40">
                  <c:v>0.93370152831879982</c:v>
                </c:pt>
                <c:pt idx="41">
                  <c:v>0.95559030918759991</c:v>
                </c:pt>
                <c:pt idx="42">
                  <c:v>0.98300771034159995</c:v>
                </c:pt>
              </c:numCache>
            </c:numRef>
          </c:val>
          <c:smooth val="0"/>
          <c:extLst>
            <c:ext xmlns:c16="http://schemas.microsoft.com/office/drawing/2014/chart" uri="{C3380CC4-5D6E-409C-BE32-E72D297353CC}">
              <c16:uniqueId val="{00000000-AF71-4FC8-B0D2-E9CA31B86802}"/>
            </c:ext>
          </c:extLst>
        </c:ser>
        <c:ser>
          <c:idx val="7"/>
          <c:order val="4"/>
          <c:tx>
            <c:strRef>
              <c:f>'OZL Summary'!$JG$6</c:f>
              <c:strCache>
                <c:ptCount val="1"/>
                <c:pt idx="0">
                  <c:v>10th Percentile</c:v>
                </c:pt>
              </c:strCache>
            </c:strRef>
          </c:tx>
          <c:spPr>
            <a:ln w="28575" cap="rnd">
              <a:solidFill>
                <a:schemeClr val="accent6"/>
              </a:solidFill>
              <a:prstDash val="sysDot"/>
              <a:round/>
            </a:ln>
            <a:effectLst/>
          </c:spPr>
          <c:marker>
            <c:symbol val="none"/>
          </c:marker>
          <c:cat>
            <c:numRef>
              <c:extLst>
                <c:ext xmlns:c15="http://schemas.microsoft.com/office/drawing/2012/chart" uri="{02D57815-91ED-43cb-92C2-25804820EDAC}">
                  <c15:fullRef>
                    <c15:sqref>'OZL Summary'!$JB$7:$JB$60</c15:sqref>
                  </c15:fullRef>
                </c:ext>
              </c:extLst>
              <c:f>'OZL Summary'!$JB$8:$JB$60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c:ext xmlns:c15="http://schemas.microsoft.com/office/drawing/2012/chart" uri="{02D57815-91ED-43cb-92C2-25804820EDAC}">
                  <c15:fullRef>
                    <c15:sqref>'OZL Summary'!$JG$7:$JG$60</c15:sqref>
                  </c15:fullRef>
                </c:ext>
              </c:extLst>
              <c:f>'OZL Summary'!$JG$8:$JG$60</c:f>
              <c:numCache>
                <c:formatCode>0.000</c:formatCode>
                <c:ptCount val="53"/>
                <c:pt idx="42">
                  <c:v>0.98300771034159995</c:v>
                </c:pt>
                <c:pt idx="43">
                  <c:v>0.99838144728933331</c:v>
                </c:pt>
                <c:pt idx="44">
                  <c:v>1.0137551842370667</c:v>
                </c:pt>
                <c:pt idx="45">
                  <c:v>1.0291289211848</c:v>
                </c:pt>
                <c:pt idx="46">
                  <c:v>1.0445026581325334</c:v>
                </c:pt>
                <c:pt idx="47">
                  <c:v>1.0598763950802668</c:v>
                </c:pt>
                <c:pt idx="48">
                  <c:v>1.0752501320280001</c:v>
                </c:pt>
                <c:pt idx="49">
                  <c:v>1.0906238689757335</c:v>
                </c:pt>
                <c:pt idx="50">
                  <c:v>1.1059976059234669</c:v>
                </c:pt>
                <c:pt idx="51">
                  <c:v>1.1213713428712002</c:v>
                </c:pt>
              </c:numCache>
            </c:numRef>
          </c:val>
          <c:smooth val="0"/>
          <c:extLst>
            <c:ext xmlns:c16="http://schemas.microsoft.com/office/drawing/2014/chart" uri="{C3380CC4-5D6E-409C-BE32-E72D297353CC}">
              <c16:uniqueId val="{00000001-AF71-4FC8-B0D2-E9CA31B86802}"/>
            </c:ext>
          </c:extLst>
        </c:ser>
        <c:ser>
          <c:idx val="1"/>
          <c:order val="6"/>
          <c:tx>
            <c:strRef>
              <c:f>'OZL Summary'!$JI$6</c:f>
              <c:strCache>
                <c:ptCount val="1"/>
                <c:pt idx="0">
                  <c:v>50th Percentile</c:v>
                </c:pt>
              </c:strCache>
            </c:strRef>
          </c:tx>
          <c:spPr>
            <a:ln w="28575">
              <a:solidFill>
                <a:schemeClr val="bg2"/>
              </a:solidFill>
              <a:prstDash val="sysDot"/>
            </a:ln>
          </c:spPr>
          <c:marker>
            <c:symbol val="none"/>
          </c:marker>
          <c:cat>
            <c:numRef>
              <c:extLst>
                <c:ext xmlns:c15="http://schemas.microsoft.com/office/drawing/2012/chart" uri="{02D57815-91ED-43cb-92C2-25804820EDAC}">
                  <c15:fullRef>
                    <c15:sqref>'OZL Summary'!$JB$7:$JB$60</c15:sqref>
                  </c15:fullRef>
                </c:ext>
              </c:extLst>
              <c:f>'OZL Summary'!$JB$8:$JB$60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c:ext xmlns:c15="http://schemas.microsoft.com/office/drawing/2012/chart" uri="{02D57815-91ED-43cb-92C2-25804820EDAC}">
                  <c15:fullRef>
                    <c15:sqref>'OZL Summary'!$JI$7:$JI$60</c15:sqref>
                  </c15:fullRef>
                </c:ext>
              </c:extLst>
              <c:f>'OZL Summary'!$JI$8:$JI$60</c:f>
              <c:numCache>
                <c:formatCode>0.000</c:formatCode>
                <c:ptCount val="53"/>
                <c:pt idx="42">
                  <c:v>0.98300771034159995</c:v>
                </c:pt>
                <c:pt idx="43">
                  <c:v>1.0025256254327333</c:v>
                </c:pt>
                <c:pt idx="44">
                  <c:v>1.0220435405238666</c:v>
                </c:pt>
                <c:pt idx="45">
                  <c:v>1.0415614556149999</c:v>
                </c:pt>
                <c:pt idx="46">
                  <c:v>1.0610793707061332</c:v>
                </c:pt>
                <c:pt idx="47">
                  <c:v>1.0805972857972665</c:v>
                </c:pt>
                <c:pt idx="48">
                  <c:v>1.1001152008883999</c:v>
                </c:pt>
                <c:pt idx="49">
                  <c:v>1.1196331159795332</c:v>
                </c:pt>
                <c:pt idx="50">
                  <c:v>1.1391510310706665</c:v>
                </c:pt>
                <c:pt idx="51">
                  <c:v>1.1586689461617998</c:v>
                </c:pt>
              </c:numCache>
            </c:numRef>
          </c:val>
          <c:smooth val="0"/>
          <c:extLst>
            <c:ext xmlns:c16="http://schemas.microsoft.com/office/drawing/2014/chart" uri="{C3380CC4-5D6E-409C-BE32-E72D297353CC}">
              <c16:uniqueId val="{00000002-AF71-4FC8-B0D2-E9CA31B86802}"/>
            </c:ext>
          </c:extLst>
        </c:ser>
        <c:ser>
          <c:idx val="4"/>
          <c:order val="8"/>
          <c:tx>
            <c:strRef>
              <c:f>'OZL Summary'!$JK$6</c:f>
              <c:strCache>
                <c:ptCount val="1"/>
                <c:pt idx="0">
                  <c:v>90th Percentile</c:v>
                </c:pt>
              </c:strCache>
            </c:strRef>
          </c:tx>
          <c:spPr>
            <a:ln w="28575">
              <a:solidFill>
                <a:schemeClr val="accent1"/>
              </a:solidFill>
              <a:prstDash val="sysDot"/>
            </a:ln>
          </c:spPr>
          <c:marker>
            <c:symbol val="none"/>
          </c:marker>
          <c:cat>
            <c:numRef>
              <c:extLst>
                <c:ext xmlns:c15="http://schemas.microsoft.com/office/drawing/2012/chart" uri="{02D57815-91ED-43cb-92C2-25804820EDAC}">
                  <c15:fullRef>
                    <c15:sqref>'OZL Summary'!$JB$7:$JB$60</c15:sqref>
                  </c15:fullRef>
                </c:ext>
              </c:extLst>
              <c:f>'OZL Summary'!$JB$8:$JB$60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c:ext xmlns:c15="http://schemas.microsoft.com/office/drawing/2012/chart" uri="{02D57815-91ED-43cb-92C2-25804820EDAC}">
                  <c15:fullRef>
                    <c15:sqref>'OZL Summary'!$JK$7:$JK$60</c15:sqref>
                  </c15:fullRef>
                </c:ext>
              </c:extLst>
              <c:f>'OZL Summary'!$JK$8:$JK$60</c:f>
              <c:numCache>
                <c:formatCode>0.000</c:formatCode>
                <c:ptCount val="53"/>
                <c:pt idx="42">
                  <c:v>0.98300771034159995</c:v>
                </c:pt>
                <c:pt idx="43">
                  <c:v>1.0093247245761332</c:v>
                </c:pt>
                <c:pt idx="44">
                  <c:v>1.0356417388106665</c:v>
                </c:pt>
                <c:pt idx="45">
                  <c:v>1.0619587530451997</c:v>
                </c:pt>
                <c:pt idx="46">
                  <c:v>1.088275767279733</c:v>
                </c:pt>
                <c:pt idx="47">
                  <c:v>1.1145927815142662</c:v>
                </c:pt>
                <c:pt idx="48">
                  <c:v>1.1409097957487995</c:v>
                </c:pt>
                <c:pt idx="49">
                  <c:v>1.1672268099833327</c:v>
                </c:pt>
                <c:pt idx="50">
                  <c:v>1.193543824217866</c:v>
                </c:pt>
                <c:pt idx="51">
                  <c:v>1.2198608384523992</c:v>
                </c:pt>
              </c:numCache>
            </c:numRef>
          </c:val>
          <c:smooth val="0"/>
          <c:extLst>
            <c:ext xmlns:c16="http://schemas.microsoft.com/office/drawing/2014/chart" uri="{C3380CC4-5D6E-409C-BE32-E72D297353CC}">
              <c16:uniqueId val="{00000003-AF71-4FC8-B0D2-E9CA31B86802}"/>
            </c:ext>
          </c:extLst>
        </c:ser>
        <c:ser>
          <c:idx val="12"/>
          <c:order val="12"/>
          <c:tx>
            <c:strRef>
              <c:f>'OZL Summary'!$JO$6</c:f>
              <c:strCache>
                <c:ptCount val="1"/>
                <c:pt idx="0">
                  <c:v>Yearly Average</c:v>
                </c:pt>
              </c:strCache>
            </c:strRef>
          </c:tx>
          <c:spPr>
            <a:ln>
              <a:solidFill>
                <a:schemeClr val="accent2"/>
              </a:solidFill>
              <a:prstDash val="dash"/>
            </a:ln>
          </c:spPr>
          <c:marker>
            <c:symbol val="none"/>
          </c:marker>
          <c:cat>
            <c:numRef>
              <c:extLst>
                <c:ext xmlns:c15="http://schemas.microsoft.com/office/drawing/2012/chart" uri="{02D57815-91ED-43cb-92C2-25804820EDAC}">
                  <c15:fullRef>
                    <c15:sqref>'OZL Summary'!$JB$7:$JB$60</c15:sqref>
                  </c15:fullRef>
                </c:ext>
              </c:extLst>
              <c:f>'OZL Summary'!$JB$8:$JB$60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c:ext xmlns:c15="http://schemas.microsoft.com/office/drawing/2012/chart" uri="{02D57815-91ED-43cb-92C2-25804820EDAC}">
                  <c15:fullRef>
                    <c15:sqref>'OZL Summary'!$JO$7:$JO$60</c15:sqref>
                  </c15:fullRef>
                </c:ext>
              </c:extLst>
              <c:f>'OZL Summary'!$JO$8:$JO$60</c:f>
              <c:numCache>
                <c:formatCode>0.000</c:formatCode>
                <c:ptCount val="53"/>
                <c:pt idx="42">
                  <c:v>0.98300771034159995</c:v>
                </c:pt>
                <c:pt idx="43">
                  <c:v>0.98300771034159995</c:v>
                </c:pt>
                <c:pt idx="44">
                  <c:v>0.98300771034159995</c:v>
                </c:pt>
                <c:pt idx="45">
                  <c:v>0.98300771034159995</c:v>
                </c:pt>
                <c:pt idx="46">
                  <c:v>0.98300771034159995</c:v>
                </c:pt>
                <c:pt idx="47">
                  <c:v>0.98300771034159995</c:v>
                </c:pt>
                <c:pt idx="48">
                  <c:v>0.98300771034159995</c:v>
                </c:pt>
                <c:pt idx="49">
                  <c:v>0.98300771034159995</c:v>
                </c:pt>
                <c:pt idx="50">
                  <c:v>0.98300771034159995</c:v>
                </c:pt>
                <c:pt idx="51">
                  <c:v>0.98300771034159995</c:v>
                </c:pt>
              </c:numCache>
            </c:numRef>
          </c:val>
          <c:smooth val="0"/>
          <c:extLst>
            <c:ext xmlns:c16="http://schemas.microsoft.com/office/drawing/2014/chart" uri="{C3380CC4-5D6E-409C-BE32-E72D297353CC}">
              <c16:uniqueId val="{00000004-AF71-4FC8-B0D2-E9CA31B86802}"/>
            </c:ext>
          </c:extLst>
        </c:ser>
        <c:dLbls>
          <c:showLegendKey val="0"/>
          <c:showVal val="0"/>
          <c:showCatName val="0"/>
          <c:showSerName val="0"/>
          <c:showPercent val="0"/>
          <c:showBubbleSize val="0"/>
        </c:dLbls>
        <c:smooth val="0"/>
        <c:axId val="1388952432"/>
        <c:axId val="1388953088"/>
        <c:extLst>
          <c:ext xmlns:c15="http://schemas.microsoft.com/office/drawing/2012/chart" uri="{02D57815-91ED-43cb-92C2-25804820EDAC}">
            <c15:filteredLineSeries>
              <c15:ser>
                <c:idx val="3"/>
                <c:order val="1"/>
                <c:tx>
                  <c:strRef>
                    <c:extLst>
                      <c:ext uri="{02D57815-91ED-43cb-92C2-25804820EDAC}">
                        <c15:formulaRef>
                          <c15:sqref>'OZL Summary'!$JD$6</c15:sqref>
                        </c15:formulaRef>
                      </c:ext>
                    </c:extLst>
                    <c:strCache>
                      <c:ptCount val="1"/>
                      <c:pt idx="0">
                        <c:v>Min</c:v>
                      </c:pt>
                    </c:strCache>
                  </c:strRef>
                </c:tx>
                <c:spPr>
                  <a:ln w="28575" cap="rnd">
                    <a:solidFill>
                      <a:schemeClr val="accent6"/>
                    </a:solidFill>
                    <a:prstDash val="sysDot"/>
                    <a:round/>
                  </a:ln>
                  <a:effectLst/>
                </c:spPr>
                <c:marker>
                  <c:symbol val="none"/>
                </c:marker>
                <c:cat>
                  <c:numRef>
                    <c:extLst>
                      <c:ext uri="{02D57815-91ED-43cb-92C2-25804820EDAC}">
                        <c15:fullRef>
                          <c15:sqref>'OZL Summary'!$JB$7:$JB$60</c15:sqref>
                        </c15:fullRef>
                        <c15:formulaRef>
                          <c15:sqref>'OZL Summary'!$JB$8:$JB$60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c:ext uri="{02D57815-91ED-43cb-92C2-25804820EDAC}">
                        <c15:fullRef>
                          <c15:sqref>'OZL Summary'!$JD$7:$JD$60</c15:sqref>
                        </c15:fullRef>
                        <c15:formulaRef>
                          <c15:sqref>'OZL Summary'!$JD$8:$JD$60</c15:sqref>
                        </c15:formulaRef>
                      </c:ext>
                    </c:extLst>
                    <c:numCache>
                      <c:formatCode>0.000</c:formatCode>
                      <c:ptCount val="53"/>
                      <c:pt idx="42">
                        <c:v>0.98300771034159995</c:v>
                      </c:pt>
                      <c:pt idx="43">
                        <c:v>0.99574073064979995</c:v>
                      </c:pt>
                      <c:pt idx="44">
                        <c:v>1.008473750958</c:v>
                      </c:pt>
                      <c:pt idx="45">
                        <c:v>1.0212067712661999</c:v>
                      </c:pt>
                      <c:pt idx="46">
                        <c:v>1.0339397915743997</c:v>
                      </c:pt>
                      <c:pt idx="47">
                        <c:v>1.0466728118825996</c:v>
                      </c:pt>
                      <c:pt idx="48">
                        <c:v>1.0594058321907995</c:v>
                      </c:pt>
                      <c:pt idx="49">
                        <c:v>1.0721388524989994</c:v>
                      </c:pt>
                      <c:pt idx="50">
                        <c:v>1.0848718728071993</c:v>
                      </c:pt>
                      <c:pt idx="51">
                        <c:v>1.0976048931153992</c:v>
                      </c:pt>
                    </c:numCache>
                  </c:numRef>
                </c:val>
                <c:smooth val="0"/>
                <c:extLst>
                  <c:ext xmlns:c16="http://schemas.microsoft.com/office/drawing/2014/chart" uri="{C3380CC4-5D6E-409C-BE32-E72D297353CC}">
                    <c16:uniqueId val="{00000005-AF71-4FC8-B0D2-E9CA31B86802}"/>
                  </c:ext>
                </c:extLst>
              </c15:ser>
            </c15:filteredLineSeries>
            <c15:filteredLineSeries>
              <c15:ser>
                <c:idx val="5"/>
                <c:order val="2"/>
                <c:tx>
                  <c:strRef>
                    <c:extLst xmlns:c15="http://schemas.microsoft.com/office/drawing/2012/chart">
                      <c:ext xmlns:c15="http://schemas.microsoft.com/office/drawing/2012/chart" uri="{02D57815-91ED-43cb-92C2-25804820EDAC}">
                        <c15:formulaRef>
                          <c15:sqref>'OZL Summary'!$JE$6</c15:sqref>
                        </c15:formulaRef>
                      </c:ext>
                    </c:extLst>
                    <c:strCache>
                      <c:ptCount val="1"/>
                      <c:pt idx="0">
                        <c:v>1st Percentile</c:v>
                      </c:pt>
                    </c:strCache>
                  </c:strRef>
                </c:tx>
                <c:spPr>
                  <a:ln w="28575" cap="rnd">
                    <a:solidFill>
                      <a:schemeClr val="accent5"/>
                    </a:solidFill>
                    <a:prstDash val="sysDot"/>
                    <a:round/>
                  </a:ln>
                  <a:effectLst/>
                </c:spPr>
                <c:marker>
                  <c:symbol val="none"/>
                </c:marker>
                <c:cat>
                  <c:numRef>
                    <c:extLst>
                      <c:ext xmlns:c15="http://schemas.microsoft.com/office/drawing/2012/chart" uri="{02D57815-91ED-43cb-92C2-25804820EDAC}">
                        <c15:fullRef>
                          <c15:sqref>'OZL Summary'!$JB$7:$JB$60</c15:sqref>
                        </c15:fullRef>
                        <c15:formulaRef>
                          <c15:sqref>'OZL Summary'!$JB$8:$JB$60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c:ext xmlns:c15="http://schemas.microsoft.com/office/drawing/2012/chart" uri="{02D57815-91ED-43cb-92C2-25804820EDAC}">
                        <c15:fullRef>
                          <c15:sqref>'OZL Summary'!$JE$7:$JE$60</c15:sqref>
                        </c15:fullRef>
                        <c15:formulaRef>
                          <c15:sqref>'OZL Summary'!$JE$8:$JE$60</c15:sqref>
                        </c15:formulaRef>
                      </c:ext>
                    </c:extLst>
                    <c:numCache>
                      <c:formatCode>0.000</c:formatCode>
                      <c:ptCount val="53"/>
                      <c:pt idx="42">
                        <c:v>0.98300771034159995</c:v>
                      </c:pt>
                      <c:pt idx="43">
                        <c:v>0.99675172669906664</c:v>
                      </c:pt>
                      <c:pt idx="44">
                        <c:v>1.0104957430565333</c:v>
                      </c:pt>
                      <c:pt idx="45">
                        <c:v>1.024239759414</c:v>
                      </c:pt>
                      <c:pt idx="46">
                        <c:v>1.0379837757714667</c:v>
                      </c:pt>
                      <c:pt idx="47">
                        <c:v>1.0517277921289334</c:v>
                      </c:pt>
                      <c:pt idx="48">
                        <c:v>1.0654718084864001</c:v>
                      </c:pt>
                      <c:pt idx="49">
                        <c:v>1.0792158248438668</c:v>
                      </c:pt>
                      <c:pt idx="50">
                        <c:v>1.0929598412013335</c:v>
                      </c:pt>
                      <c:pt idx="51">
                        <c:v>1.1067038575588002</c:v>
                      </c:pt>
                    </c:numCache>
                  </c:numRef>
                </c:val>
                <c:smooth val="0"/>
                <c:extLst xmlns:c15="http://schemas.microsoft.com/office/drawing/2012/chart">
                  <c:ext xmlns:c16="http://schemas.microsoft.com/office/drawing/2014/chart" uri="{C3380CC4-5D6E-409C-BE32-E72D297353CC}">
                    <c16:uniqueId val="{00000006-AF71-4FC8-B0D2-E9CA31B86802}"/>
                  </c:ext>
                </c:extLst>
              </c15:ser>
            </c15:filteredLineSeries>
            <c15:filteredLineSeries>
              <c15:ser>
                <c:idx val="6"/>
                <c:order val="3"/>
                <c:tx>
                  <c:strRef>
                    <c:extLst xmlns:c15="http://schemas.microsoft.com/office/drawing/2012/chart">
                      <c:ext xmlns:c15="http://schemas.microsoft.com/office/drawing/2012/chart" uri="{02D57815-91ED-43cb-92C2-25804820EDAC}">
                        <c15:formulaRef>
                          <c15:sqref>'OZL Summary'!$JF$6</c15:sqref>
                        </c15:formulaRef>
                      </c:ext>
                    </c:extLst>
                    <c:strCache>
                      <c:ptCount val="1"/>
                      <c:pt idx="0">
                        <c:v>5th Percentile</c:v>
                      </c:pt>
                    </c:strCache>
                  </c:strRef>
                </c:tx>
                <c:spPr>
                  <a:ln w="28575" cap="rnd">
                    <a:solidFill>
                      <a:schemeClr val="bg2"/>
                    </a:solidFill>
                    <a:prstDash val="sysDot"/>
                    <a:round/>
                  </a:ln>
                  <a:effectLst/>
                </c:spPr>
                <c:marker>
                  <c:symbol val="none"/>
                </c:marker>
                <c:cat>
                  <c:numRef>
                    <c:extLst>
                      <c:ext xmlns:c15="http://schemas.microsoft.com/office/drawing/2012/chart" uri="{02D57815-91ED-43cb-92C2-25804820EDAC}">
                        <c15:fullRef>
                          <c15:sqref>'OZL Summary'!$JB$7:$JB$60</c15:sqref>
                        </c15:fullRef>
                        <c15:formulaRef>
                          <c15:sqref>'OZL Summary'!$JB$8:$JB$60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c:ext xmlns:c15="http://schemas.microsoft.com/office/drawing/2012/chart" uri="{02D57815-91ED-43cb-92C2-25804820EDAC}">
                        <c15:fullRef>
                          <c15:sqref>'OZL Summary'!$JF$7:$JF$60</c15:sqref>
                        </c15:fullRef>
                        <c15:formulaRef>
                          <c15:sqref>'OZL Summary'!$JF$8:$JF$60</c15:sqref>
                        </c15:formulaRef>
                      </c:ext>
                    </c:extLst>
                    <c:numCache>
                      <c:formatCode>0.000</c:formatCode>
                      <c:ptCount val="53"/>
                      <c:pt idx="42">
                        <c:v>0.98300771034159995</c:v>
                      </c:pt>
                      <c:pt idx="43">
                        <c:v>0.99737045124006662</c:v>
                      </c:pt>
                      <c:pt idx="44">
                        <c:v>1.0117331921385333</c:v>
                      </c:pt>
                      <c:pt idx="45">
                        <c:v>1.0260959330369999</c:v>
                      </c:pt>
                      <c:pt idx="46">
                        <c:v>1.0404586739354664</c:v>
                      </c:pt>
                      <c:pt idx="47">
                        <c:v>1.054821414833933</c:v>
                      </c:pt>
                      <c:pt idx="48">
                        <c:v>1.0691841557323996</c:v>
                      </c:pt>
                      <c:pt idx="49">
                        <c:v>1.0835468966308661</c:v>
                      </c:pt>
                      <c:pt idx="50">
                        <c:v>1.0979096375293327</c:v>
                      </c:pt>
                      <c:pt idx="51">
                        <c:v>1.1122723784277992</c:v>
                      </c:pt>
                    </c:numCache>
                  </c:numRef>
                </c:val>
                <c:smooth val="0"/>
                <c:extLst xmlns:c15="http://schemas.microsoft.com/office/drawing/2012/chart">
                  <c:ext xmlns:c16="http://schemas.microsoft.com/office/drawing/2014/chart" uri="{C3380CC4-5D6E-409C-BE32-E72D297353CC}">
                    <c16:uniqueId val="{00000007-AF71-4FC8-B0D2-E9CA31B86802}"/>
                  </c:ext>
                </c:extLst>
              </c15:ser>
            </c15:filteredLineSeries>
            <c15:filteredLineSeries>
              <c15:ser>
                <c:idx val="9"/>
                <c:order val="5"/>
                <c:tx>
                  <c:strRef>
                    <c:extLst xmlns:c15="http://schemas.microsoft.com/office/drawing/2012/chart">
                      <c:ext xmlns:c15="http://schemas.microsoft.com/office/drawing/2012/chart" uri="{02D57815-91ED-43cb-92C2-25804820EDAC}">
                        <c15:formulaRef>
                          <c15:sqref>'OZL Summary'!$JH$6</c15:sqref>
                        </c15:formulaRef>
                      </c:ext>
                    </c:extLst>
                    <c:strCache>
                      <c:ptCount val="1"/>
                      <c:pt idx="0">
                        <c:v>25th Percentile</c:v>
                      </c:pt>
                    </c:strCache>
                  </c:strRef>
                </c:tx>
                <c:spPr>
                  <a:ln w="28575" cap="rnd">
                    <a:solidFill>
                      <a:schemeClr val="accent1"/>
                    </a:solidFill>
                    <a:prstDash val="sysDot"/>
                    <a:round/>
                  </a:ln>
                  <a:effectLst/>
                </c:spPr>
                <c:marker>
                  <c:symbol val="none"/>
                </c:marker>
                <c:cat>
                  <c:numRef>
                    <c:extLst>
                      <c:ext xmlns:c15="http://schemas.microsoft.com/office/drawing/2012/chart" uri="{02D57815-91ED-43cb-92C2-25804820EDAC}">
                        <c15:fullRef>
                          <c15:sqref>'OZL Summary'!$JB$7:$JB$60</c15:sqref>
                        </c15:fullRef>
                        <c15:formulaRef>
                          <c15:sqref>'OZL Summary'!$JB$8:$JB$60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c:ext xmlns:c15="http://schemas.microsoft.com/office/drawing/2012/chart" uri="{02D57815-91ED-43cb-92C2-25804820EDAC}">
                        <c15:fullRef>
                          <c15:sqref>'OZL Summary'!$JH$7:$JH$60</c15:sqref>
                        </c15:fullRef>
                        <c15:formulaRef>
                          <c15:sqref>'OZL Summary'!$JH$8:$JH$60</c15:sqref>
                        </c15:formulaRef>
                      </c:ext>
                    </c:extLst>
                    <c:numCache>
                      <c:formatCode>0.000</c:formatCode>
                      <c:ptCount val="53"/>
                      <c:pt idx="42">
                        <c:v>0.98300771034159995</c:v>
                      </c:pt>
                      <c:pt idx="43">
                        <c:v>0.99975190258226665</c:v>
                      </c:pt>
                      <c:pt idx="44">
                        <c:v>1.0164960948229333</c:v>
                      </c:pt>
                      <c:pt idx="45">
                        <c:v>1.0332402870635999</c:v>
                      </c:pt>
                      <c:pt idx="46">
                        <c:v>1.0499844793042665</c:v>
                      </c:pt>
                      <c:pt idx="47">
                        <c:v>1.0667286715449331</c:v>
                      </c:pt>
                      <c:pt idx="48">
                        <c:v>1.0834728637855997</c:v>
                      </c:pt>
                      <c:pt idx="49">
                        <c:v>1.1002170560262663</c:v>
                      </c:pt>
                      <c:pt idx="50">
                        <c:v>1.1169612482669329</c:v>
                      </c:pt>
                      <c:pt idx="51">
                        <c:v>1.1337054405075995</c:v>
                      </c:pt>
                    </c:numCache>
                  </c:numRef>
                </c:val>
                <c:smooth val="0"/>
                <c:extLst xmlns:c15="http://schemas.microsoft.com/office/drawing/2012/chart">
                  <c:ext xmlns:c16="http://schemas.microsoft.com/office/drawing/2014/chart" uri="{C3380CC4-5D6E-409C-BE32-E72D297353CC}">
                    <c16:uniqueId val="{00000008-AF71-4FC8-B0D2-E9CA31B86802}"/>
                  </c:ext>
                </c:extLst>
              </c15:ser>
            </c15:filteredLineSeries>
            <c15:filteredLineSeries>
              <c15:ser>
                <c:idx val="2"/>
                <c:order val="7"/>
                <c:tx>
                  <c:strRef>
                    <c:extLst xmlns:c15="http://schemas.microsoft.com/office/drawing/2012/chart">
                      <c:ext xmlns:c15="http://schemas.microsoft.com/office/drawing/2012/chart" uri="{02D57815-91ED-43cb-92C2-25804820EDAC}">
                        <c15:formulaRef>
                          <c15:sqref>'OZL Summary'!$JJ$6</c15:sqref>
                        </c15:formulaRef>
                      </c:ext>
                    </c:extLst>
                    <c:strCache>
                      <c:ptCount val="1"/>
                      <c:pt idx="0">
                        <c:v>75th Percentile</c:v>
                      </c:pt>
                    </c:strCache>
                  </c:strRef>
                </c:tx>
                <c:marker>
                  <c:symbol val="none"/>
                </c:marker>
                <c:cat>
                  <c:numRef>
                    <c:extLst>
                      <c:ext xmlns:c15="http://schemas.microsoft.com/office/drawing/2012/chart" uri="{02D57815-91ED-43cb-92C2-25804820EDAC}">
                        <c15:fullRef>
                          <c15:sqref>'OZL Summary'!$JB$7:$JB$60</c15:sqref>
                        </c15:fullRef>
                        <c15:formulaRef>
                          <c15:sqref>'OZL Summary'!$JB$8:$JB$60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c:ext xmlns:c15="http://schemas.microsoft.com/office/drawing/2012/chart" uri="{02D57815-91ED-43cb-92C2-25804820EDAC}">
                        <c15:fullRef>
                          <c15:sqref>'OZL Summary'!$JJ$7:$JJ$60</c15:sqref>
                        </c15:fullRef>
                        <c15:formulaRef>
                          <c15:sqref>'OZL Summary'!$JJ$8:$JJ$60</c15:sqref>
                        </c15:formulaRef>
                      </c:ext>
                    </c:extLst>
                    <c:numCache>
                      <c:formatCode>0.000</c:formatCode>
                      <c:ptCount val="53"/>
                      <c:pt idx="42">
                        <c:v>0.98300771034159995</c:v>
                      </c:pt>
                      <c:pt idx="43">
                        <c:v>1.0059093574329332</c:v>
                      </c:pt>
                      <c:pt idx="44">
                        <c:v>1.0288110045242664</c:v>
                      </c:pt>
                      <c:pt idx="45">
                        <c:v>1.0517126516155997</c:v>
                      </c:pt>
                      <c:pt idx="46">
                        <c:v>1.0746142987069329</c:v>
                      </c:pt>
                      <c:pt idx="47">
                        <c:v>1.0975159457982662</c:v>
                      </c:pt>
                      <c:pt idx="48">
                        <c:v>1.1204175928895994</c:v>
                      </c:pt>
                      <c:pt idx="49">
                        <c:v>1.1433192399809327</c:v>
                      </c:pt>
                      <c:pt idx="50">
                        <c:v>1.1662208870722659</c:v>
                      </c:pt>
                      <c:pt idx="51">
                        <c:v>1.1891225341635991</c:v>
                      </c:pt>
                    </c:numCache>
                  </c:numRef>
                </c:val>
                <c:smooth val="0"/>
                <c:extLst xmlns:c15="http://schemas.microsoft.com/office/drawing/2012/chart">
                  <c:ext xmlns:c16="http://schemas.microsoft.com/office/drawing/2014/chart" uri="{C3380CC4-5D6E-409C-BE32-E72D297353CC}">
                    <c16:uniqueId val="{00000009-AF71-4FC8-B0D2-E9CA31B86802}"/>
                  </c:ext>
                </c:extLst>
              </c15:ser>
            </c15:filteredLineSeries>
            <c15:filteredLineSeries>
              <c15:ser>
                <c:idx val="8"/>
                <c:order val="9"/>
                <c:tx>
                  <c:strRef>
                    <c:extLst xmlns:c15="http://schemas.microsoft.com/office/drawing/2012/chart">
                      <c:ext xmlns:c15="http://schemas.microsoft.com/office/drawing/2012/chart" uri="{02D57815-91ED-43cb-92C2-25804820EDAC}">
                        <c15:formulaRef>
                          <c15:sqref>'OZL Summary'!$JL$6</c15:sqref>
                        </c15:formulaRef>
                      </c:ext>
                    </c:extLst>
                    <c:strCache>
                      <c:ptCount val="1"/>
                      <c:pt idx="0">
                        <c:v>95th Percentile</c:v>
                      </c:pt>
                    </c:strCache>
                  </c:strRef>
                </c:tx>
                <c:marker>
                  <c:symbol val="none"/>
                </c:marker>
                <c:cat>
                  <c:numRef>
                    <c:extLst>
                      <c:ext xmlns:c15="http://schemas.microsoft.com/office/drawing/2012/chart" uri="{02D57815-91ED-43cb-92C2-25804820EDAC}">
                        <c15:fullRef>
                          <c15:sqref>'OZL Summary'!$JB$7:$JB$60</c15:sqref>
                        </c15:fullRef>
                        <c15:formulaRef>
                          <c15:sqref>'OZL Summary'!$JB$8:$JB$60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c:ext xmlns:c15="http://schemas.microsoft.com/office/drawing/2012/chart" uri="{02D57815-91ED-43cb-92C2-25804820EDAC}">
                        <c15:fullRef>
                          <c15:sqref>'OZL Summary'!$JL$7:$JL$60</c15:sqref>
                        </c15:fullRef>
                        <c15:formulaRef>
                          <c15:sqref>'OZL Summary'!$JL$8:$JL$60</c15:sqref>
                        </c15:formulaRef>
                      </c:ext>
                    </c:extLst>
                    <c:numCache>
                      <c:formatCode>0.000</c:formatCode>
                      <c:ptCount val="53"/>
                      <c:pt idx="42">
                        <c:v>0.98300771034159995</c:v>
                      </c:pt>
                      <c:pt idx="43">
                        <c:v>1.0156829182940665</c:v>
                      </c:pt>
                      <c:pt idx="44">
                        <c:v>1.0483581262465331</c:v>
                      </c:pt>
                      <c:pt idx="45">
                        <c:v>1.0810333341989997</c:v>
                      </c:pt>
                      <c:pt idx="46">
                        <c:v>1.1137085421514663</c:v>
                      </c:pt>
                      <c:pt idx="47">
                        <c:v>1.1463837501039329</c:v>
                      </c:pt>
                      <c:pt idx="48">
                        <c:v>1.1790589580563995</c:v>
                      </c:pt>
                      <c:pt idx="49">
                        <c:v>1.2117341660088661</c:v>
                      </c:pt>
                      <c:pt idx="50">
                        <c:v>1.2444093739613327</c:v>
                      </c:pt>
                      <c:pt idx="51">
                        <c:v>1.2770845819137993</c:v>
                      </c:pt>
                    </c:numCache>
                  </c:numRef>
                </c:val>
                <c:smooth val="0"/>
                <c:extLst xmlns:c15="http://schemas.microsoft.com/office/drawing/2012/chart">
                  <c:ext xmlns:c16="http://schemas.microsoft.com/office/drawing/2014/chart" uri="{C3380CC4-5D6E-409C-BE32-E72D297353CC}">
                    <c16:uniqueId val="{0000000A-AF71-4FC8-B0D2-E9CA31B86802}"/>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'OZL Summary'!$JM$6</c15:sqref>
                        </c15:formulaRef>
                      </c:ext>
                    </c:extLst>
                    <c:strCache>
                      <c:ptCount val="1"/>
                      <c:pt idx="0">
                        <c:v>99th Percentile</c:v>
                      </c:pt>
                    </c:strCache>
                  </c:strRef>
                </c:tx>
                <c:spPr>
                  <a:ln>
                    <a:solidFill>
                      <a:schemeClr val="accent6"/>
                    </a:solidFill>
                    <a:prstDash val="sysDot"/>
                  </a:ln>
                </c:spPr>
                <c:marker>
                  <c:symbol val="none"/>
                </c:marker>
                <c:cat>
                  <c:numRef>
                    <c:extLst>
                      <c:ext xmlns:c15="http://schemas.microsoft.com/office/drawing/2012/chart" uri="{02D57815-91ED-43cb-92C2-25804820EDAC}">
                        <c15:fullRef>
                          <c15:sqref>'OZL Summary'!$JB$7:$JB$60</c15:sqref>
                        </c15:fullRef>
                        <c15:formulaRef>
                          <c15:sqref>'OZL Summary'!$JB$8:$JB$60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c:ext xmlns:c15="http://schemas.microsoft.com/office/drawing/2012/chart" uri="{02D57815-91ED-43cb-92C2-25804820EDAC}">
                        <c15:fullRef>
                          <c15:sqref>'OZL Summary'!$JM$7:$JM$60</c15:sqref>
                        </c15:fullRef>
                        <c15:formulaRef>
                          <c15:sqref>'OZL Summary'!$JM$8:$JM$60</c15:sqref>
                        </c15:formulaRef>
                      </c:ext>
                    </c:extLst>
                    <c:numCache>
                      <c:formatCode>0.000</c:formatCode>
                      <c:ptCount val="53"/>
                      <c:pt idx="42">
                        <c:v>0.98300771034159995</c:v>
                      </c:pt>
                      <c:pt idx="43">
                        <c:v>1.0266121659356</c:v>
                      </c:pt>
                      <c:pt idx="44">
                        <c:v>1.0702166215296001</c:v>
                      </c:pt>
                      <c:pt idx="45">
                        <c:v>1.1138210771236001</c:v>
                      </c:pt>
                      <c:pt idx="46">
                        <c:v>1.1574255327176002</c:v>
                      </c:pt>
                      <c:pt idx="47">
                        <c:v>1.2010299883116002</c:v>
                      </c:pt>
                      <c:pt idx="48">
                        <c:v>1.2446344439056003</c:v>
                      </c:pt>
                      <c:pt idx="49">
                        <c:v>1.2882388994996004</c:v>
                      </c:pt>
                      <c:pt idx="50">
                        <c:v>1.3318433550936004</c:v>
                      </c:pt>
                      <c:pt idx="51">
                        <c:v>1.3754478106876005</c:v>
                      </c:pt>
                    </c:numCache>
                  </c:numRef>
                </c:val>
                <c:smooth val="0"/>
                <c:extLst xmlns:c15="http://schemas.microsoft.com/office/drawing/2012/chart">
                  <c:ext xmlns:c16="http://schemas.microsoft.com/office/drawing/2014/chart" uri="{C3380CC4-5D6E-409C-BE32-E72D297353CC}">
                    <c16:uniqueId val="{0000000B-AF71-4FC8-B0D2-E9CA31B86802}"/>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'OZL Summary'!$JN$6</c15:sqref>
                        </c15:formulaRef>
                      </c:ext>
                    </c:extLst>
                    <c:strCache>
                      <c:ptCount val="1"/>
                      <c:pt idx="0">
                        <c:v>Max</c:v>
                      </c:pt>
                    </c:strCache>
                  </c:strRef>
                </c:tx>
                <c:marker>
                  <c:symbol val="none"/>
                </c:marker>
                <c:cat>
                  <c:numRef>
                    <c:extLst>
                      <c:ext xmlns:c15="http://schemas.microsoft.com/office/drawing/2012/chart" uri="{02D57815-91ED-43cb-92C2-25804820EDAC}">
                        <c15:fullRef>
                          <c15:sqref>'OZL Summary'!$JB$7:$JB$60</c15:sqref>
                        </c15:fullRef>
                        <c15:formulaRef>
                          <c15:sqref>'OZL Summary'!$JB$8:$JB$60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c:ext xmlns:c15="http://schemas.microsoft.com/office/drawing/2012/chart" uri="{02D57815-91ED-43cb-92C2-25804820EDAC}">
                        <c15:fullRef>
                          <c15:sqref>'OZL Summary'!$JN$7:$JN$60</c15:sqref>
                        </c15:fullRef>
                        <c15:formulaRef>
                          <c15:sqref>'OZL Summary'!$JN$8:$JN$60</c15:sqref>
                        </c15:formulaRef>
                      </c:ext>
                    </c:extLst>
                    <c:numCache>
                      <c:formatCode>0.000</c:formatCode>
                      <c:ptCount val="53"/>
                      <c:pt idx="42">
                        <c:v>0.98300771034159995</c:v>
                      </c:pt>
                      <c:pt idx="43">
                        <c:v>1.0406298135771332</c:v>
                      </c:pt>
                      <c:pt idx="44">
                        <c:v>1.0982519168126665</c:v>
                      </c:pt>
                      <c:pt idx="45">
                        <c:v>1.1558740200481998</c:v>
                      </c:pt>
                      <c:pt idx="46">
                        <c:v>1.2134961232837331</c:v>
                      </c:pt>
                      <c:pt idx="47">
                        <c:v>1.2711182265192664</c:v>
                      </c:pt>
                      <c:pt idx="48">
                        <c:v>1.3287403297547997</c:v>
                      </c:pt>
                      <c:pt idx="49">
                        <c:v>1.386362432990333</c:v>
                      </c:pt>
                      <c:pt idx="50">
                        <c:v>1.4439845362258663</c:v>
                      </c:pt>
                      <c:pt idx="51">
                        <c:v>1.5016066394613996</c:v>
                      </c:pt>
                    </c:numCache>
                  </c:numRef>
                </c:val>
                <c:smooth val="0"/>
                <c:extLst xmlns:c15="http://schemas.microsoft.com/office/drawing/2012/chart">
                  <c:ext xmlns:c16="http://schemas.microsoft.com/office/drawing/2014/chart" uri="{C3380CC4-5D6E-409C-BE32-E72D297353CC}">
                    <c16:uniqueId val="{0000000C-AF71-4FC8-B0D2-E9CA31B86802}"/>
                  </c:ext>
                </c:extLst>
              </c15:ser>
            </c15:filteredLineSeries>
          </c:ext>
        </c:extLst>
      </c:lineChart>
      <c:dateAx>
        <c:axId val="1388952432"/>
        <c:scaling>
          <c:orientation val="minMax"/>
          <c:min val="44562"/>
        </c:scaling>
        <c:delete val="0"/>
        <c:axPos val="b"/>
        <c:numFmt formatCode="d\-mmm\-yy_);\(###0\);&quot;-  &quot;;&quot; &quot;@&quot; &quot;"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3088"/>
        <c:crosses val="autoZero"/>
        <c:auto val="1"/>
        <c:lblOffset val="100"/>
        <c:baseTimeUnit val="days"/>
        <c:majorUnit val="3"/>
        <c:majorTimeUnit val="months"/>
      </c:dateAx>
      <c:valAx>
        <c:axId val="1388953088"/>
        <c:scaling>
          <c:orientation val="minMax"/>
          <c:min val="0.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Ticket Sales ($b)</a:t>
                </a:r>
              </a:p>
            </c:rich>
          </c:tx>
          <c:overlay val="0"/>
          <c:spPr>
            <a:noFill/>
            <a:ln>
              <a:noFill/>
            </a:ln>
            <a:effectLst/>
          </c:sp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2432"/>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'OZL Summary'!$MX$41</c:f>
              <c:strCache>
                <c:ptCount val="1"/>
                <c:pt idx="0">
                  <c:v>Delete</c:v>
                </c:pt>
              </c:strCache>
            </c:strRef>
          </c:tx>
          <c:spPr>
            <a:solidFill>
              <a:schemeClr val="bg1"/>
            </a:solidFill>
          </c:spPr>
          <c:invertIfNegative val="0"/>
          <c:cat>
            <c:strRef>
              <c:f>'OZL Summary'!$MY$9:$NH$9</c:f>
              <c:strCache>
                <c:ptCount val="10"/>
                <c:pt idx="0">
                  <c:v>1H18</c:v>
                </c:pt>
                <c:pt idx="1">
                  <c:v>2H18</c:v>
                </c:pt>
                <c:pt idx="2">
                  <c:v>1H19</c:v>
                </c:pt>
                <c:pt idx="3">
                  <c:v>2H19</c:v>
                </c:pt>
                <c:pt idx="4">
                  <c:v>1H20</c:v>
                </c:pt>
                <c:pt idx="5">
                  <c:v>2H20</c:v>
                </c:pt>
                <c:pt idx="6">
                  <c:v>1H21</c:v>
                </c:pt>
                <c:pt idx="7">
                  <c:v>2H21</c:v>
                </c:pt>
                <c:pt idx="8">
                  <c:v>1H22</c:v>
                </c:pt>
                <c:pt idx="9">
                  <c:v>2H22*</c:v>
                </c:pt>
              </c:strCache>
            </c:strRef>
          </c:cat>
          <c:val>
            <c:numRef>
              <c:f>'OZL Summary'!$MY$41:$NI$41</c:f>
              <c:numCache>
                <c:formatCode>0.0000</c:formatCode>
                <c:ptCount val="11"/>
                <c:pt idx="0">
                  <c:v>0.36670223228814003</c:v>
                </c:pt>
                <c:pt idx="1">
                  <c:v>0.37127926012302853</c:v>
                </c:pt>
                <c:pt idx="2">
                  <c:v>0.31761858401399984</c:v>
                </c:pt>
                <c:pt idx="3">
                  <c:v>0.32348451958559998</c:v>
                </c:pt>
                <c:pt idx="4">
                  <c:v>0.35713337259291411</c:v>
                </c:pt>
                <c:pt idx="5">
                  <c:v>0.34789663857927866</c:v>
                </c:pt>
                <c:pt idx="6">
                  <c:v>0.43473146576519983</c:v>
                </c:pt>
                <c:pt idx="7">
                  <c:v>0.3786386174889429</c:v>
                </c:pt>
                <c:pt idx="8">
                  <c:v>0.39560607685714289</c:v>
                </c:pt>
                <c:pt idx="9">
                  <c:v>0.40126193868659998</c:v>
                </c:pt>
                <c:pt idx="10">
                  <c:v>0.24703376494619997</c:v>
                </c:pt>
              </c:numCache>
            </c:numRef>
          </c:val>
          <c:extLst>
            <c:ext xmlns:c16="http://schemas.microsoft.com/office/drawing/2014/chart" uri="{C3380CC4-5D6E-409C-BE32-E72D297353CC}">
              <c16:uniqueId val="{00000000-2A2F-4EB4-93C0-9B671CD28F5D}"/>
            </c:ext>
          </c:extLst>
        </c:ser>
        <c:ser>
          <c:idx val="6"/>
          <c:order val="1"/>
          <c:tx>
            <c:strRef>
              <c:f>'OZL Summary'!$MX$42</c:f>
              <c:strCache>
                <c:ptCount val="1"/>
                <c:pt idx="0">
                  <c:v>Min to 25th Percentile</c:v>
                </c:pt>
              </c:strCache>
            </c:strRef>
          </c:tx>
          <c:spPr>
            <a:solidFill>
              <a:srgbClr val="7030A0"/>
            </a:solidFill>
          </c:spPr>
          <c:invertIfNegative val="0"/>
          <c:cat>
            <c:strRef>
              <c:f>'OZL Summary'!$MY$9:$NH$9</c:f>
              <c:strCache>
                <c:ptCount val="10"/>
                <c:pt idx="0">
                  <c:v>1H18</c:v>
                </c:pt>
                <c:pt idx="1">
                  <c:v>2H18</c:v>
                </c:pt>
                <c:pt idx="2">
                  <c:v>1H19</c:v>
                </c:pt>
                <c:pt idx="3">
                  <c:v>2H19</c:v>
                </c:pt>
                <c:pt idx="4">
                  <c:v>1H20</c:v>
                </c:pt>
                <c:pt idx="5">
                  <c:v>2H20</c:v>
                </c:pt>
                <c:pt idx="6">
                  <c:v>1H21</c:v>
                </c:pt>
                <c:pt idx="7">
                  <c:v>2H21</c:v>
                </c:pt>
                <c:pt idx="8">
                  <c:v>1H22</c:v>
                </c:pt>
                <c:pt idx="9">
                  <c:v>2H22*</c:v>
                </c:pt>
              </c:strCache>
            </c:strRef>
          </c:cat>
          <c:val>
            <c:numRef>
              <c:f>'OZL Summary'!$MY$42:$NI$42</c:f>
              <c:numCache>
                <c:formatCode>0.0000</c:formatCode>
                <c:ptCount val="11"/>
                <c:pt idx="0">
                  <c:v>0.13551670210968003</c:v>
                </c:pt>
                <c:pt idx="1">
                  <c:v>0.13497151334742857</c:v>
                </c:pt>
                <c:pt idx="2">
                  <c:v>0.14609172494586847</c:v>
                </c:pt>
                <c:pt idx="3">
                  <c:v>0.10906263504809999</c:v>
                </c:pt>
                <c:pt idx="4">
                  <c:v>0.1207366607729829</c:v>
                </c:pt>
                <c:pt idx="5">
                  <c:v>0.13776320315809282</c:v>
                </c:pt>
                <c:pt idx="6">
                  <c:v>0.15118977978960024</c:v>
                </c:pt>
                <c:pt idx="7">
                  <c:v>0.12730990687354271</c:v>
                </c:pt>
                <c:pt idx="8">
                  <c:v>0.14513045404825708</c:v>
                </c:pt>
                <c:pt idx="9">
                  <c:v>0.1290215221044001</c:v>
                </c:pt>
                <c:pt idx="10">
                  <c:v>8.9479563753600028E-2</c:v>
                </c:pt>
              </c:numCache>
            </c:numRef>
          </c:val>
          <c:extLst>
            <c:ext xmlns:c16="http://schemas.microsoft.com/office/drawing/2014/chart" uri="{C3380CC4-5D6E-409C-BE32-E72D297353CC}">
              <c16:uniqueId val="{00000001-2A2F-4EB4-93C0-9B671CD28F5D}"/>
            </c:ext>
          </c:extLst>
        </c:ser>
        <c:ser>
          <c:idx val="8"/>
          <c:order val="2"/>
          <c:tx>
            <c:strRef>
              <c:f>'OZL Summary'!$MX$43</c:f>
              <c:strCache>
                <c:ptCount val="1"/>
                <c:pt idx="0">
                  <c:v>25th to 50th Percentile</c:v>
                </c:pt>
              </c:strCache>
            </c:strRef>
          </c:tx>
          <c:spPr>
            <a:solidFill>
              <a:schemeClr val="bg2"/>
            </a:solidFill>
          </c:spPr>
          <c:invertIfNegative val="0"/>
          <c:cat>
            <c:strRef>
              <c:f>'OZL Summary'!$MY$9:$NH$9</c:f>
              <c:strCache>
                <c:ptCount val="10"/>
                <c:pt idx="0">
                  <c:v>1H18</c:v>
                </c:pt>
                <c:pt idx="1">
                  <c:v>2H18</c:v>
                </c:pt>
                <c:pt idx="2">
                  <c:v>1H19</c:v>
                </c:pt>
                <c:pt idx="3">
                  <c:v>2H19</c:v>
                </c:pt>
                <c:pt idx="4">
                  <c:v>1H20</c:v>
                </c:pt>
                <c:pt idx="5">
                  <c:v>2H20</c:v>
                </c:pt>
                <c:pt idx="6">
                  <c:v>1H21</c:v>
                </c:pt>
                <c:pt idx="7">
                  <c:v>2H21</c:v>
                </c:pt>
                <c:pt idx="8">
                  <c:v>1H22</c:v>
                </c:pt>
                <c:pt idx="9">
                  <c:v>2H22*</c:v>
                </c:pt>
              </c:strCache>
            </c:strRef>
          </c:cat>
          <c:val>
            <c:numRef>
              <c:f>'OZL Summary'!$MY$43:$NI$43</c:f>
              <c:numCache>
                <c:formatCode>0.0000</c:formatCode>
                <c:ptCount val="11"/>
                <c:pt idx="0">
                  <c:v>5.9148526641840116E-2</c:v>
                </c:pt>
                <c:pt idx="1">
                  <c:v>5.5978854535200129E-2</c:v>
                </c:pt>
                <c:pt idx="2">
                  <c:v>4.7021670849857311E-2</c:v>
                </c:pt>
                <c:pt idx="3">
                  <c:v>4.7037752096399932E-2</c:v>
                </c:pt>
                <c:pt idx="4">
                  <c:v>4.6781567513588806E-2</c:v>
                </c:pt>
                <c:pt idx="5">
                  <c:v>5.3002871529878537E-2</c:v>
                </c:pt>
                <c:pt idx="6">
                  <c:v>6.46239886347999E-2</c:v>
                </c:pt>
                <c:pt idx="7">
                  <c:v>4.9769428124999959E-2</c:v>
                </c:pt>
                <c:pt idx="8">
                  <c:v>6.1428784356942878E-2</c:v>
                </c:pt>
                <c:pt idx="9">
                  <c:v>5.5417093656000005E-2</c:v>
                </c:pt>
                <c:pt idx="10">
                  <c:v>4.2787685638199957E-2</c:v>
                </c:pt>
              </c:numCache>
            </c:numRef>
          </c:val>
          <c:extLst>
            <c:ext xmlns:c16="http://schemas.microsoft.com/office/drawing/2014/chart" uri="{C3380CC4-5D6E-409C-BE32-E72D297353CC}">
              <c16:uniqueId val="{00000002-2A2F-4EB4-93C0-9B671CD28F5D}"/>
            </c:ext>
          </c:extLst>
        </c:ser>
        <c:ser>
          <c:idx val="2"/>
          <c:order val="3"/>
          <c:tx>
            <c:strRef>
              <c:f>'OZL Summary'!$MX$44</c:f>
              <c:strCache>
                <c:ptCount val="1"/>
                <c:pt idx="0">
                  <c:v>50th to 75th Percentile</c:v>
                </c:pt>
              </c:strCache>
            </c:strRef>
          </c:tx>
          <c:spPr>
            <a:solidFill>
              <a:schemeClr val="accent2"/>
            </a:solidFill>
          </c:spPr>
          <c:invertIfNegative val="0"/>
          <c:cat>
            <c:strRef>
              <c:f>'OZL Summary'!$MY$9:$NH$9</c:f>
              <c:strCache>
                <c:ptCount val="10"/>
                <c:pt idx="0">
                  <c:v>1H18</c:v>
                </c:pt>
                <c:pt idx="1">
                  <c:v>2H18</c:v>
                </c:pt>
                <c:pt idx="2">
                  <c:v>1H19</c:v>
                </c:pt>
                <c:pt idx="3">
                  <c:v>2H19</c:v>
                </c:pt>
                <c:pt idx="4">
                  <c:v>1H20</c:v>
                </c:pt>
                <c:pt idx="5">
                  <c:v>2H20</c:v>
                </c:pt>
                <c:pt idx="6">
                  <c:v>1H21</c:v>
                </c:pt>
                <c:pt idx="7">
                  <c:v>2H21</c:v>
                </c:pt>
                <c:pt idx="8">
                  <c:v>1H22</c:v>
                </c:pt>
                <c:pt idx="9">
                  <c:v>2H22*</c:v>
                </c:pt>
              </c:strCache>
            </c:strRef>
          </c:cat>
          <c:val>
            <c:numRef>
              <c:f>'OZL Summary'!$MY$44:$NI$44</c:f>
              <c:numCache>
                <c:formatCode>0.0000</c:formatCode>
                <c:ptCount val="11"/>
                <c:pt idx="0">
                  <c:v>7.7594290232759988E-2</c:v>
                </c:pt>
                <c:pt idx="1">
                  <c:v>6.8556667393542603E-2</c:v>
                </c:pt>
                <c:pt idx="2">
                  <c:v>6.4620355662119877E-2</c:v>
                </c:pt>
                <c:pt idx="3">
                  <c:v>6.117688043190006E-2</c:v>
                </c:pt>
                <c:pt idx="4">
                  <c:v>6.4791846863999858E-2</c:v>
                </c:pt>
                <c:pt idx="5">
                  <c:v>5.8472204107542947E-2</c:v>
                </c:pt>
                <c:pt idx="6">
                  <c:v>7.4610614167599953E-2</c:v>
                </c:pt>
                <c:pt idx="7">
                  <c:v>5.8600912389685678E-2</c:v>
                </c:pt>
                <c:pt idx="8">
                  <c:v>7.6899864762857151E-2</c:v>
                </c:pt>
                <c:pt idx="9">
                  <c:v>7.1891228773799831E-2</c:v>
                </c:pt>
                <c:pt idx="10">
                  <c:v>6.2388948189000093E-2</c:v>
                </c:pt>
              </c:numCache>
            </c:numRef>
          </c:val>
          <c:extLst>
            <c:ext xmlns:c16="http://schemas.microsoft.com/office/drawing/2014/chart" uri="{C3380CC4-5D6E-409C-BE32-E72D297353CC}">
              <c16:uniqueId val="{00000003-2A2F-4EB4-93C0-9B671CD28F5D}"/>
            </c:ext>
          </c:extLst>
        </c:ser>
        <c:ser>
          <c:idx val="4"/>
          <c:order val="4"/>
          <c:tx>
            <c:strRef>
              <c:f>'OZL Summary'!$MX$45</c:f>
              <c:strCache>
                <c:ptCount val="1"/>
                <c:pt idx="0">
                  <c:v>75th Percentile to Max</c:v>
                </c:pt>
              </c:strCache>
            </c:strRef>
          </c:tx>
          <c:spPr>
            <a:solidFill>
              <a:schemeClr val="accent1"/>
            </a:solidFill>
          </c:spPr>
          <c:invertIfNegative val="0"/>
          <c:val>
            <c:numRef>
              <c:f>'OZL Summary'!$MY$45:$NI$45</c:f>
              <c:numCache>
                <c:formatCode>0.0000</c:formatCode>
                <c:ptCount val="11"/>
                <c:pt idx="0">
                  <c:v>0.56952013947053981</c:v>
                </c:pt>
                <c:pt idx="1">
                  <c:v>0.53949669631062869</c:v>
                </c:pt>
                <c:pt idx="2">
                  <c:v>0.47578577079260609</c:v>
                </c:pt>
                <c:pt idx="3">
                  <c:v>0.44348292687599988</c:v>
                </c:pt>
                <c:pt idx="4">
                  <c:v>0.43254284886349692</c:v>
                </c:pt>
                <c:pt idx="5">
                  <c:v>0.46389032604469282</c:v>
                </c:pt>
                <c:pt idx="6">
                  <c:v>0.5020702696235998</c:v>
                </c:pt>
                <c:pt idx="7">
                  <c:v>0.42117885629622831</c:v>
                </c:pt>
                <c:pt idx="8">
                  <c:v>0.55302137502222803</c:v>
                </c:pt>
                <c:pt idx="9">
                  <c:v>0.45113546993699993</c:v>
                </c:pt>
                <c:pt idx="10">
                  <c:v>0.51184697484359987</c:v>
                </c:pt>
              </c:numCache>
            </c:numRef>
          </c:val>
          <c:extLst>
            <c:ext xmlns:c16="http://schemas.microsoft.com/office/drawing/2014/chart" uri="{C3380CC4-5D6E-409C-BE32-E72D297353CC}">
              <c16:uniqueId val="{00000004-2A2F-4EB4-93C0-9B671CD28F5D}"/>
            </c:ext>
          </c:extLst>
        </c:ser>
        <c:dLbls>
          <c:showLegendKey val="0"/>
          <c:showVal val="0"/>
          <c:showCatName val="0"/>
          <c:showSerName val="0"/>
          <c:showPercent val="0"/>
          <c:showBubbleSize val="0"/>
        </c:dLbls>
        <c:gapWidth val="150"/>
        <c:overlap val="100"/>
        <c:axId val="1019316528"/>
        <c:axId val="1019315544"/>
      </c:barChart>
      <c:lineChart>
        <c:grouping val="stacked"/>
        <c:varyColors val="0"/>
        <c:ser>
          <c:idx val="3"/>
          <c:order val="5"/>
          <c:tx>
            <c:strRef>
              <c:f>'OZL Summary'!$MX$12</c:f>
              <c:strCache>
                <c:ptCount val="1"/>
                <c:pt idx="0">
                  <c:v>Actual</c:v>
                </c:pt>
              </c:strCache>
            </c:strRef>
          </c:tx>
          <c:spPr>
            <a:ln w="19050">
              <a:noFill/>
            </a:ln>
          </c:spPr>
          <c:marker>
            <c:symbol val="diamond"/>
            <c:size val="13"/>
            <c:spPr>
              <a:solidFill>
                <a:schemeClr val="tx2"/>
              </a:solidFill>
              <a:ln w="25400">
                <a:solidFill>
                  <a:schemeClr val="tx1"/>
                </a:solidFill>
              </a:ln>
            </c:spPr>
          </c:marker>
          <c:dPt>
            <c:idx val="9"/>
            <c:marker>
              <c:spPr>
                <a:solidFill>
                  <a:schemeClr val="accent6"/>
                </a:solidFill>
                <a:ln w="25400">
                  <a:solidFill>
                    <a:schemeClr val="tx1"/>
                  </a:solidFill>
                </a:ln>
              </c:spPr>
            </c:marker>
            <c:bubble3D val="0"/>
            <c:extLst>
              <c:ext xmlns:c16="http://schemas.microsoft.com/office/drawing/2014/chart" uri="{C3380CC4-5D6E-409C-BE32-E72D297353CC}">
                <c16:uniqueId val="{00000005-2A2F-4EB4-93C0-9B671CD28F5D}"/>
              </c:ext>
            </c:extLst>
          </c:dPt>
          <c:val>
            <c:numRef>
              <c:f>'OZL Summary'!$MY$12:$NI$12</c:f>
              <c:numCache>
                <c:formatCode>_-* #,##0.0000_-;\-* #,##0.0000_-;_-* "-"??_-;_-@_-</c:formatCode>
                <c:ptCount val="11"/>
                <c:pt idx="0">
                  <c:v>0.6607169155871998</c:v>
                </c:pt>
                <c:pt idx="1">
                  <c:v>0.45883012636079995</c:v>
                </c:pt>
                <c:pt idx="2">
                  <c:v>0.56990379342239983</c:v>
                </c:pt>
                <c:pt idx="3">
                  <c:v>0.8103643989443996</c:v>
                </c:pt>
                <c:pt idx="4">
                  <c:v>0.57956100921719977</c:v>
                </c:pt>
                <c:pt idx="5">
                  <c:v>0.46721199958559995</c:v>
                </c:pt>
                <c:pt idx="6">
                  <c:v>0.55445528819520007</c:v>
                </c:pt>
                <c:pt idx="7">
                  <c:v>0.54798195105719982</c:v>
                </c:pt>
                <c:pt idx="8">
                  <c:v>0.60953824564919989</c:v>
                </c:pt>
                <c:pt idx="9">
                  <c:v>0.3734694646924</c:v>
                </c:pt>
                <c:pt idx="10">
                  <c:v>0.3734694646924</c:v>
                </c:pt>
              </c:numCache>
            </c:numRef>
          </c:val>
          <c:smooth val="0"/>
          <c:extLst>
            <c:ext xmlns:c16="http://schemas.microsoft.com/office/drawing/2014/chart" uri="{C3380CC4-5D6E-409C-BE32-E72D297353CC}">
              <c16:uniqueId val="{00000006-2A2F-4EB4-93C0-9B671CD28F5D}"/>
            </c:ext>
          </c:extLst>
        </c:ser>
        <c:dLbls>
          <c:showLegendKey val="0"/>
          <c:showVal val="0"/>
          <c:showCatName val="0"/>
          <c:showSerName val="0"/>
          <c:showPercent val="0"/>
          <c:showBubbleSize val="0"/>
        </c:dLbls>
        <c:marker val="1"/>
        <c:smooth val="0"/>
        <c:axId val="1019316528"/>
        <c:axId val="1019315544"/>
      </c:lineChart>
      <c:catAx>
        <c:axId val="101931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19315544"/>
        <c:crosses val="autoZero"/>
        <c:auto val="1"/>
        <c:lblAlgn val="ctr"/>
        <c:lblOffset val="100"/>
        <c:noMultiLvlLbl val="0"/>
      </c:catAx>
      <c:valAx>
        <c:axId val="1019315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Ticket Sales ($b)</a:t>
                </a:r>
              </a:p>
            </c:rich>
          </c:tx>
          <c:overlay val="0"/>
          <c:spPr>
            <a:noFill/>
            <a:ln>
              <a:noFill/>
            </a:ln>
            <a:effectLst/>
          </c:sp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19316528"/>
        <c:crosses val="autoZero"/>
        <c:crossBetween val="between"/>
      </c:valAx>
    </c:plotArea>
    <c:legend>
      <c:legendPos val="b"/>
      <c:legendEntry>
        <c:idx val="0"/>
        <c:delete val="1"/>
      </c:legendEntry>
      <c:overlay val="0"/>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595740524807711"/>
          <c:y val="4.5604279555213005E-2"/>
          <c:w val="0.85715770307956141"/>
          <c:h val="0.63918755829072416"/>
        </c:manualLayout>
      </c:layout>
      <c:barChart>
        <c:barDir val="col"/>
        <c:grouping val="stacked"/>
        <c:varyColors val="0"/>
        <c:ser>
          <c:idx val="0"/>
          <c:order val="0"/>
          <c:tx>
            <c:strRef>
              <c:f>'OZL Summary'!$AU$42</c:f>
              <c:strCache>
                <c:ptCount val="1"/>
                <c:pt idx="0">
                  <c:v>Delete</c:v>
                </c:pt>
              </c:strCache>
            </c:strRef>
          </c:tx>
          <c:spPr>
            <a:solidFill>
              <a:schemeClr val="bg1"/>
            </a:solidFill>
          </c:spPr>
          <c:invertIfNegative val="0"/>
          <c:cat>
            <c:strRef>
              <c:f>'OZL Summary'!$AV$9:$BB$9</c:f>
              <c:strCache>
                <c:ptCount val="7"/>
                <c:pt idx="0">
                  <c:v>FY18</c:v>
                </c:pt>
                <c:pt idx="1">
                  <c:v>FY19</c:v>
                </c:pt>
                <c:pt idx="2">
                  <c:v>FY20</c:v>
                </c:pt>
                <c:pt idx="3">
                  <c:v>FY21</c:v>
                </c:pt>
                <c:pt idx="4">
                  <c:v>FY22</c:v>
                </c:pt>
                <c:pt idx="5">
                  <c:v>FY23e</c:v>
                </c:pt>
                <c:pt idx="6">
                  <c:v>FY22 ytd</c:v>
                </c:pt>
              </c:strCache>
            </c:strRef>
          </c:cat>
          <c:val>
            <c:numRef>
              <c:f>'OZL Summary'!$AV$42:$BB$42</c:f>
              <c:numCache>
                <c:formatCode>0.0000</c:formatCode>
                <c:ptCount val="7"/>
                <c:pt idx="0">
                  <c:v>0.76174137554958854</c:v>
                </c:pt>
                <c:pt idx="1">
                  <c:v>0.71872871646197445</c:v>
                </c:pt>
                <c:pt idx="2">
                  <c:v>0.76805370043418086</c:v>
                </c:pt>
                <c:pt idx="3">
                  <c:v>0.90189161627526415</c:v>
                </c:pt>
                <c:pt idx="4">
                  <c:v>0.83367465348844649</c:v>
                </c:pt>
                <c:pt idx="5">
                  <c:v>0.97380588396585999</c:v>
                </c:pt>
                <c:pt idx="6">
                  <c:v>0.65723946065637839</c:v>
                </c:pt>
              </c:numCache>
            </c:numRef>
          </c:val>
          <c:extLst>
            <c:ext xmlns:c16="http://schemas.microsoft.com/office/drawing/2014/chart" uri="{C3380CC4-5D6E-409C-BE32-E72D297353CC}">
              <c16:uniqueId val="{00000000-A4D6-4C6F-9BC5-FF62F3E8FF49}"/>
            </c:ext>
          </c:extLst>
        </c:ser>
        <c:ser>
          <c:idx val="6"/>
          <c:order val="1"/>
          <c:tx>
            <c:strRef>
              <c:f>'OZL Summary'!$AU$43</c:f>
              <c:strCache>
                <c:ptCount val="1"/>
                <c:pt idx="0">
                  <c:v>Min to 25th Percentile</c:v>
                </c:pt>
              </c:strCache>
            </c:strRef>
          </c:tx>
          <c:spPr>
            <a:solidFill>
              <a:srgbClr val="7030A0"/>
            </a:solidFill>
          </c:spPr>
          <c:invertIfNegative val="0"/>
          <c:cat>
            <c:strRef>
              <c:f>'OZL Summary'!$AV$9:$BB$9</c:f>
              <c:strCache>
                <c:ptCount val="7"/>
                <c:pt idx="0">
                  <c:v>FY18</c:v>
                </c:pt>
                <c:pt idx="1">
                  <c:v>FY19</c:v>
                </c:pt>
                <c:pt idx="2">
                  <c:v>FY20</c:v>
                </c:pt>
                <c:pt idx="3">
                  <c:v>FY21</c:v>
                </c:pt>
                <c:pt idx="4">
                  <c:v>FY22</c:v>
                </c:pt>
                <c:pt idx="5">
                  <c:v>FY23e</c:v>
                </c:pt>
                <c:pt idx="6">
                  <c:v>FY22 ytd</c:v>
                </c:pt>
              </c:strCache>
            </c:strRef>
          </c:cat>
          <c:val>
            <c:numRef>
              <c:f>'OZL Summary'!$AV$43:$BB$43</c:f>
              <c:numCache>
                <c:formatCode>0.0000</c:formatCode>
                <c:ptCount val="7"/>
                <c:pt idx="0">
                  <c:v>0.25938421144039792</c:v>
                </c:pt>
                <c:pt idx="1">
                  <c:v>0.23219950608569506</c:v>
                </c:pt>
                <c:pt idx="2">
                  <c:v>0.23198145367176715</c:v>
                </c:pt>
                <c:pt idx="3">
                  <c:v>0.25343571130735687</c:v>
                </c:pt>
                <c:pt idx="4">
                  <c:v>0.29004292801676179</c:v>
                </c:pt>
                <c:pt idx="5">
                  <c:v>0.34610108067659728</c:v>
                </c:pt>
                <c:pt idx="6">
                  <c:v>0.25219693528193343</c:v>
                </c:pt>
              </c:numCache>
            </c:numRef>
          </c:val>
          <c:extLst>
            <c:ext xmlns:c16="http://schemas.microsoft.com/office/drawing/2014/chart" uri="{C3380CC4-5D6E-409C-BE32-E72D297353CC}">
              <c16:uniqueId val="{00000001-A4D6-4C6F-9BC5-FF62F3E8FF49}"/>
            </c:ext>
          </c:extLst>
        </c:ser>
        <c:ser>
          <c:idx val="8"/>
          <c:order val="2"/>
          <c:tx>
            <c:strRef>
              <c:f>'OZL Summary'!$AU$44</c:f>
              <c:strCache>
                <c:ptCount val="1"/>
                <c:pt idx="0">
                  <c:v>25th to 50th Percentile</c:v>
                </c:pt>
              </c:strCache>
            </c:strRef>
          </c:tx>
          <c:spPr>
            <a:solidFill>
              <a:schemeClr val="tx2">
                <a:lumMod val="40000"/>
                <a:lumOff val="60000"/>
              </a:schemeClr>
            </a:solidFill>
          </c:spPr>
          <c:invertIfNegative val="0"/>
          <c:cat>
            <c:strRef>
              <c:f>'OZL Summary'!$AV$9:$BB$9</c:f>
              <c:strCache>
                <c:ptCount val="7"/>
                <c:pt idx="0">
                  <c:v>FY18</c:v>
                </c:pt>
                <c:pt idx="1">
                  <c:v>FY19</c:v>
                </c:pt>
                <c:pt idx="2">
                  <c:v>FY20</c:v>
                </c:pt>
                <c:pt idx="3">
                  <c:v>FY21</c:v>
                </c:pt>
                <c:pt idx="4">
                  <c:v>FY22</c:v>
                </c:pt>
                <c:pt idx="5">
                  <c:v>FY23e</c:v>
                </c:pt>
                <c:pt idx="6">
                  <c:v>FY22 ytd</c:v>
                </c:pt>
              </c:strCache>
            </c:strRef>
          </c:cat>
          <c:val>
            <c:numRef>
              <c:f>'OZL Summary'!$AV$44:$BB$44</c:f>
              <c:numCache>
                <c:formatCode>0.0000</c:formatCode>
                <c:ptCount val="7"/>
                <c:pt idx="0">
                  <c:v>8.8060002975873797E-2</c:v>
                </c:pt>
                <c:pt idx="1">
                  <c:v>7.3794275101680351E-2</c:v>
                </c:pt>
                <c:pt idx="2">
                  <c:v>7.8687814150030455E-2</c:v>
                </c:pt>
                <c:pt idx="3">
                  <c:v>8.5095945263260919E-2</c:v>
                </c:pt>
                <c:pt idx="4">
                  <c:v>9.6712410500778612E-2</c:v>
                </c:pt>
                <c:pt idx="5">
                  <c:v>0.1269220465723202</c:v>
                </c:pt>
                <c:pt idx="6">
                  <c:v>8.224997318072802E-2</c:v>
                </c:pt>
              </c:numCache>
            </c:numRef>
          </c:val>
          <c:extLst>
            <c:ext xmlns:c16="http://schemas.microsoft.com/office/drawing/2014/chart" uri="{C3380CC4-5D6E-409C-BE32-E72D297353CC}">
              <c16:uniqueId val="{00000002-A4D6-4C6F-9BC5-FF62F3E8FF49}"/>
            </c:ext>
          </c:extLst>
        </c:ser>
        <c:ser>
          <c:idx val="1"/>
          <c:order val="3"/>
          <c:tx>
            <c:strRef>
              <c:f>'OZL Summary'!$AU$45</c:f>
              <c:strCache>
                <c:ptCount val="1"/>
                <c:pt idx="0">
                  <c:v>50th to 75th Percentile</c:v>
                </c:pt>
              </c:strCache>
            </c:strRef>
          </c:tx>
          <c:spPr>
            <a:solidFill>
              <a:schemeClr val="bg2"/>
            </a:solidFill>
          </c:spPr>
          <c:invertIfNegative val="0"/>
          <c:cat>
            <c:strRef>
              <c:f>'OZL Summary'!$AV$9:$BB$9</c:f>
              <c:strCache>
                <c:ptCount val="7"/>
                <c:pt idx="0">
                  <c:v>FY18</c:v>
                </c:pt>
                <c:pt idx="1">
                  <c:v>FY19</c:v>
                </c:pt>
                <c:pt idx="2">
                  <c:v>FY20</c:v>
                </c:pt>
                <c:pt idx="3">
                  <c:v>FY21</c:v>
                </c:pt>
                <c:pt idx="4">
                  <c:v>FY22</c:v>
                </c:pt>
                <c:pt idx="5">
                  <c:v>FY23e</c:v>
                </c:pt>
                <c:pt idx="6">
                  <c:v>FY22 ytd</c:v>
                </c:pt>
              </c:strCache>
            </c:strRef>
          </c:cat>
          <c:val>
            <c:numRef>
              <c:f>'OZL Summary'!$AV$45:$BB$45</c:f>
              <c:numCache>
                <c:formatCode>0.0000</c:formatCode>
                <c:ptCount val="7"/>
                <c:pt idx="0">
                  <c:v>0.10461649368839998</c:v>
                </c:pt>
                <c:pt idx="1">
                  <c:v>8.9043488596131759E-2</c:v>
                </c:pt>
                <c:pt idx="2">
                  <c:v>8.3771580358387832E-2</c:v>
                </c:pt>
                <c:pt idx="3">
                  <c:v>9.7586576491896393E-2</c:v>
                </c:pt>
                <c:pt idx="4">
                  <c:v>0.10768021865915989</c:v>
                </c:pt>
                <c:pt idx="5">
                  <c:v>0.15015471876863296</c:v>
                </c:pt>
                <c:pt idx="6">
                  <c:v>9.5838182198935362E-2</c:v>
                </c:pt>
              </c:numCache>
            </c:numRef>
          </c:val>
          <c:extLst>
            <c:ext xmlns:c16="http://schemas.microsoft.com/office/drawing/2014/chart" uri="{C3380CC4-5D6E-409C-BE32-E72D297353CC}">
              <c16:uniqueId val="{00000003-A4D6-4C6F-9BC5-FF62F3E8FF49}"/>
            </c:ext>
          </c:extLst>
        </c:ser>
        <c:ser>
          <c:idx val="2"/>
          <c:order val="4"/>
          <c:tx>
            <c:strRef>
              <c:f>'OZL Summary'!$AU$46</c:f>
              <c:strCache>
                <c:ptCount val="1"/>
                <c:pt idx="0">
                  <c:v>75th Percentile to Max</c:v>
                </c:pt>
              </c:strCache>
            </c:strRef>
          </c:tx>
          <c:spPr>
            <a:solidFill>
              <a:schemeClr val="accent1"/>
            </a:solidFill>
          </c:spPr>
          <c:invertIfNegative val="0"/>
          <c:cat>
            <c:strRef>
              <c:f>'OZL Summary'!$AV$9:$BB$9</c:f>
              <c:strCache>
                <c:ptCount val="7"/>
                <c:pt idx="0">
                  <c:v>FY18</c:v>
                </c:pt>
                <c:pt idx="1">
                  <c:v>FY19</c:v>
                </c:pt>
                <c:pt idx="2">
                  <c:v>FY20</c:v>
                </c:pt>
                <c:pt idx="3">
                  <c:v>FY21</c:v>
                </c:pt>
                <c:pt idx="4">
                  <c:v>FY22</c:v>
                </c:pt>
                <c:pt idx="5">
                  <c:v>FY23e</c:v>
                </c:pt>
                <c:pt idx="6">
                  <c:v>FY22 ytd</c:v>
                </c:pt>
              </c:strCache>
            </c:strRef>
          </c:cat>
          <c:val>
            <c:numRef>
              <c:f>'OZL Summary'!$AV$46:$BB$46</c:f>
              <c:numCache>
                <c:formatCode>0.0000</c:formatCode>
                <c:ptCount val="7"/>
                <c:pt idx="0">
                  <c:v>0.61498326584182283</c:v>
                </c:pt>
                <c:pt idx="1">
                  <c:v>0.64848937919335903</c:v>
                </c:pt>
                <c:pt idx="2">
                  <c:v>0.48421785895236225</c:v>
                </c:pt>
                <c:pt idx="3">
                  <c:v>0.57251034606713525</c:v>
                </c:pt>
                <c:pt idx="4">
                  <c:v>0.72607631091740066</c:v>
                </c:pt>
                <c:pt idx="5">
                  <c:v>0.95326646808307336</c:v>
                </c:pt>
                <c:pt idx="6">
                  <c:v>0.56219754653310328</c:v>
                </c:pt>
              </c:numCache>
            </c:numRef>
          </c:val>
          <c:extLst>
            <c:ext xmlns:c16="http://schemas.microsoft.com/office/drawing/2014/chart" uri="{C3380CC4-5D6E-409C-BE32-E72D297353CC}">
              <c16:uniqueId val="{00000004-A4D6-4C6F-9BC5-FF62F3E8FF49}"/>
            </c:ext>
          </c:extLst>
        </c:ser>
        <c:dLbls>
          <c:showLegendKey val="0"/>
          <c:showVal val="0"/>
          <c:showCatName val="0"/>
          <c:showSerName val="0"/>
          <c:showPercent val="0"/>
          <c:showBubbleSize val="0"/>
        </c:dLbls>
        <c:gapWidth val="150"/>
        <c:overlap val="100"/>
        <c:axId val="1019316528"/>
        <c:axId val="1019315544"/>
      </c:barChart>
      <c:lineChart>
        <c:grouping val="standard"/>
        <c:varyColors val="0"/>
        <c:ser>
          <c:idx val="3"/>
          <c:order val="5"/>
          <c:tx>
            <c:strRef>
              <c:f>'OZL Summary'!$AU$12</c:f>
              <c:strCache>
                <c:ptCount val="1"/>
                <c:pt idx="0">
                  <c:v>Actual</c:v>
                </c:pt>
              </c:strCache>
            </c:strRef>
          </c:tx>
          <c:spPr>
            <a:ln>
              <a:noFill/>
            </a:ln>
          </c:spPr>
          <c:marker>
            <c:symbol val="diamond"/>
            <c:size val="12"/>
            <c:spPr>
              <a:solidFill>
                <a:schemeClr val="tx2"/>
              </a:solidFill>
              <a:ln w="19050">
                <a:solidFill>
                  <a:schemeClr val="tx1"/>
                </a:solidFill>
              </a:ln>
            </c:spPr>
          </c:marker>
          <c:dPt>
            <c:idx val="4"/>
            <c:marker>
              <c:spPr>
                <a:solidFill>
                  <a:schemeClr val="accent6"/>
                </a:solidFill>
                <a:ln w="19050">
                  <a:solidFill>
                    <a:schemeClr val="tx1"/>
                  </a:solidFill>
                </a:ln>
              </c:spPr>
            </c:marker>
            <c:bubble3D val="0"/>
            <c:extLst>
              <c:ext xmlns:c16="http://schemas.microsoft.com/office/drawing/2014/chart" uri="{C3380CC4-5D6E-409C-BE32-E72D297353CC}">
                <c16:uniqueId val="{00000005-A4D6-4C6F-9BC5-FF62F3E8FF49}"/>
              </c:ext>
            </c:extLst>
          </c:dPt>
          <c:cat>
            <c:strRef>
              <c:f>'OZL Summary'!$AV$9:$BB$9</c:f>
              <c:strCache>
                <c:ptCount val="7"/>
                <c:pt idx="0">
                  <c:v>FY18</c:v>
                </c:pt>
                <c:pt idx="1">
                  <c:v>FY19</c:v>
                </c:pt>
                <c:pt idx="2">
                  <c:v>FY20</c:v>
                </c:pt>
                <c:pt idx="3">
                  <c:v>FY21</c:v>
                </c:pt>
                <c:pt idx="4">
                  <c:v>FY22</c:v>
                </c:pt>
                <c:pt idx="5">
                  <c:v>FY23e</c:v>
                </c:pt>
                <c:pt idx="6">
                  <c:v>FY22 ytd</c:v>
                </c:pt>
              </c:strCache>
            </c:strRef>
          </c:cat>
          <c:val>
            <c:numRef>
              <c:f>'OZL Summary'!$AV$12:$BB$12</c:f>
              <c:numCache>
                <c:formatCode>_(* #,##0.00_);_(* \(#,##0.00\);_(* "-"??_);_(@_)</c:formatCode>
                <c:ptCount val="7"/>
                <c:pt idx="0">
                  <c:v>1.1195470419479998</c:v>
                </c:pt>
                <c:pt idx="1">
                  <c:v>1.3802681923667999</c:v>
                </c:pt>
                <c:pt idx="2">
                  <c:v>1.0467730088028</c:v>
                </c:pt>
                <c:pt idx="3">
                  <c:v>1.1024372392524002</c:v>
                </c:pt>
                <c:pt idx="4">
                  <c:v>1.1194431701510998</c:v>
                </c:pt>
                <c:pt idx="6">
                  <c:v>1.1194431701510998</c:v>
                </c:pt>
              </c:numCache>
            </c:numRef>
          </c:val>
          <c:smooth val="0"/>
          <c:extLst>
            <c:ext xmlns:c16="http://schemas.microsoft.com/office/drawing/2014/chart" uri="{C3380CC4-5D6E-409C-BE32-E72D297353CC}">
              <c16:uniqueId val="{00000006-A4D6-4C6F-9BC5-FF62F3E8FF49}"/>
            </c:ext>
          </c:extLst>
        </c:ser>
        <c:dLbls>
          <c:showLegendKey val="0"/>
          <c:showVal val="0"/>
          <c:showCatName val="0"/>
          <c:showSerName val="0"/>
          <c:showPercent val="0"/>
          <c:showBubbleSize val="0"/>
        </c:dLbls>
        <c:marker val="1"/>
        <c:smooth val="0"/>
        <c:axId val="1019316528"/>
        <c:axId val="1019315544"/>
        <c:extLst>
          <c:ext xmlns:c15="http://schemas.microsoft.com/office/drawing/2012/chart" uri="{02D57815-91ED-43cb-92C2-25804820EDAC}">
            <c15:filteredLineSeries>
              <c15:ser>
                <c:idx val="5"/>
                <c:order val="6"/>
                <c:tx>
                  <c:strRef>
                    <c:extLst>
                      <c:ext uri="{02D57815-91ED-43cb-92C2-25804820EDAC}">
                        <c15:formulaRef>
                          <c15:sqref>'OZL Summary'!$AU$13</c15:sqref>
                        </c15:formulaRef>
                      </c:ext>
                    </c:extLst>
                    <c:strCache>
                      <c:ptCount val="1"/>
                      <c:pt idx="0">
                        <c:v>Actual ytd Standardised</c:v>
                      </c:pt>
                    </c:strCache>
                  </c:strRef>
                </c:tx>
                <c:spPr>
                  <a:ln w="19050">
                    <a:noFill/>
                  </a:ln>
                </c:spPr>
                <c:marker>
                  <c:symbol val="triangle"/>
                  <c:size val="10"/>
                  <c:spPr>
                    <a:solidFill>
                      <a:schemeClr val="accent6"/>
                    </a:solidFill>
                    <a:ln w="12700">
                      <a:solidFill>
                        <a:schemeClr val="tx1"/>
                      </a:solidFill>
                    </a:ln>
                  </c:spPr>
                </c:marker>
                <c:cat>
                  <c:strRef>
                    <c:extLst>
                      <c:ext uri="{02D57815-91ED-43cb-92C2-25804820EDAC}">
                        <c15:formulaRef>
                          <c15:sqref>'OZL Summary'!$AV$9:$BB$9</c15:sqref>
                        </c15:formulaRef>
                      </c:ext>
                    </c:extLst>
                    <c:strCache>
                      <c:ptCount val="7"/>
                      <c:pt idx="0">
                        <c:v>FY18</c:v>
                      </c:pt>
                      <c:pt idx="1">
                        <c:v>FY19</c:v>
                      </c:pt>
                      <c:pt idx="2">
                        <c:v>FY20</c:v>
                      </c:pt>
                      <c:pt idx="3">
                        <c:v>FY21</c:v>
                      </c:pt>
                      <c:pt idx="4">
                        <c:v>FY22</c:v>
                      </c:pt>
                      <c:pt idx="5">
                        <c:v>FY23e</c:v>
                      </c:pt>
                      <c:pt idx="6">
                        <c:v>FY22 ytd</c:v>
                      </c:pt>
                    </c:strCache>
                  </c:strRef>
                </c:cat>
                <c:val>
                  <c:numRef>
                    <c:extLst>
                      <c:ext uri="{02D57815-91ED-43cb-92C2-25804820EDAC}">
                        <c15:formulaRef>
                          <c15:sqref>'OZL Summary'!$AV$13:$AZ$13</c15:sqref>
                        </c15:formulaRef>
                      </c:ext>
                    </c:extLst>
                    <c:numCache>
                      <c:formatCode>_(* #,##0.00_);_(* \(#,##0.00\);_(* "-"??_);_(@_)</c:formatCode>
                      <c:ptCount val="5"/>
                      <c:pt idx="4">
                        <c:v>1.1194431701510998</c:v>
                      </c:pt>
                    </c:numCache>
                  </c:numRef>
                </c:val>
                <c:smooth val="0"/>
                <c:extLst>
                  <c:ext xmlns:c16="http://schemas.microsoft.com/office/drawing/2014/chart" uri="{C3380CC4-5D6E-409C-BE32-E72D297353CC}">
                    <c16:uniqueId val="{00000007-A4D6-4C6F-9BC5-FF62F3E8FF49}"/>
                  </c:ext>
                </c:extLst>
              </c15:ser>
            </c15:filteredLineSeries>
            <c15:filteredLineSeries>
              <c15:ser>
                <c:idx val="7"/>
                <c:order val="7"/>
                <c:tx>
                  <c:strRef>
                    <c:extLst xmlns:c15="http://schemas.microsoft.com/office/drawing/2012/chart">
                      <c:ext xmlns:c15="http://schemas.microsoft.com/office/drawing/2012/chart" uri="{02D57815-91ED-43cb-92C2-25804820EDAC}">
                        <c15:formulaRef>
                          <c15:sqref>'OZL Summary'!$AU$14</c15:sqref>
                        </c15:formulaRef>
                      </c:ext>
                    </c:extLst>
                    <c:strCache>
                      <c:ptCount val="1"/>
                      <c:pt idx="0">
                        <c:v>Actual ytd + 50th percentile</c:v>
                      </c:pt>
                    </c:strCache>
                  </c:strRef>
                </c:tx>
                <c:spPr>
                  <a:ln w="19050">
                    <a:noFill/>
                  </a:ln>
                </c:spPr>
                <c:marker>
                  <c:symbol val="square"/>
                  <c:size val="9"/>
                  <c:spPr>
                    <a:solidFill>
                      <a:schemeClr val="accent5"/>
                    </a:solidFill>
                    <a:ln w="12700">
                      <a:solidFill>
                        <a:schemeClr val="tx1"/>
                      </a:solidFill>
                    </a:ln>
                  </c:spPr>
                </c:marker>
                <c:cat>
                  <c:strRef>
                    <c:extLst xmlns:c15="http://schemas.microsoft.com/office/drawing/2012/chart">
                      <c:ext xmlns:c15="http://schemas.microsoft.com/office/drawing/2012/chart" uri="{02D57815-91ED-43cb-92C2-25804820EDAC}">
                        <c15:formulaRef>
                          <c15:sqref>'OZL Summary'!$AV$9:$BB$9</c15:sqref>
                        </c15:formulaRef>
                      </c:ext>
                    </c:extLst>
                    <c:strCache>
                      <c:ptCount val="7"/>
                      <c:pt idx="0">
                        <c:v>FY18</c:v>
                      </c:pt>
                      <c:pt idx="1">
                        <c:v>FY19</c:v>
                      </c:pt>
                      <c:pt idx="2">
                        <c:v>FY20</c:v>
                      </c:pt>
                      <c:pt idx="3">
                        <c:v>FY21</c:v>
                      </c:pt>
                      <c:pt idx="4">
                        <c:v>FY22</c:v>
                      </c:pt>
                      <c:pt idx="5">
                        <c:v>FY23e</c:v>
                      </c:pt>
                      <c:pt idx="6">
                        <c:v>FY22 ytd</c:v>
                      </c:pt>
                    </c:strCache>
                  </c:strRef>
                </c:cat>
                <c:val>
                  <c:numRef>
                    <c:extLst xmlns:c15="http://schemas.microsoft.com/office/drawing/2012/chart">
                      <c:ext xmlns:c15="http://schemas.microsoft.com/office/drawing/2012/chart" uri="{02D57815-91ED-43cb-92C2-25804820EDAC}">
                        <c15:formulaRef>
                          <c15:sqref>'OZL Summary'!$AV$14:$AZ$14</c15:sqref>
                        </c15:formulaRef>
                      </c:ext>
                    </c:extLst>
                    <c:numCache>
                      <c:formatCode>General</c:formatCode>
                      <c:ptCount val="5"/>
                      <c:pt idx="4" formatCode="_(* #,##0.00_);_(* \(#,##0.00\);_(* &quot;-&quot;??_);_(@_)">
                        <c:v>1.2951044059712997</c:v>
                      </c:pt>
                    </c:numCache>
                  </c:numRef>
                </c:val>
                <c:smooth val="0"/>
                <c:extLst xmlns:c15="http://schemas.microsoft.com/office/drawing/2012/chart">
                  <c:ext xmlns:c16="http://schemas.microsoft.com/office/drawing/2014/chart" uri="{C3380CC4-5D6E-409C-BE32-E72D297353CC}">
                    <c16:uniqueId val="{00000008-A4D6-4C6F-9BC5-FF62F3E8FF49}"/>
                  </c:ext>
                </c:extLst>
              </c15:ser>
            </c15:filteredLineSeries>
          </c:ext>
        </c:extLst>
      </c:lineChart>
      <c:catAx>
        <c:axId val="101931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19315544"/>
        <c:crosses val="autoZero"/>
        <c:auto val="1"/>
        <c:lblAlgn val="ctr"/>
        <c:lblOffset val="100"/>
        <c:noMultiLvlLbl val="0"/>
      </c:catAx>
      <c:valAx>
        <c:axId val="1019315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Ticket Sales ($b)</a:t>
                </a:r>
              </a:p>
            </c:rich>
          </c:tx>
          <c:overlay val="0"/>
          <c:spPr>
            <a:noFill/>
            <a:ln>
              <a:noFill/>
            </a:ln>
            <a:effectLst/>
          </c:sp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19316528"/>
        <c:crosses val="autoZero"/>
        <c:crossBetween val="between"/>
      </c:valAx>
    </c:plotArea>
    <c:legend>
      <c:legendPos val="b"/>
      <c:legendEntry>
        <c:idx val="0"/>
        <c:delete val="1"/>
      </c:legendEntry>
      <c:layout>
        <c:manualLayout>
          <c:xMode val="edge"/>
          <c:yMode val="edge"/>
          <c:x val="8.129886775224672E-3"/>
          <c:y val="0.73996485499830411"/>
          <c:w val="0.97826490419964396"/>
          <c:h val="0.2335768281946092"/>
        </c:manualLayout>
      </c:layout>
      <c:overlay val="0"/>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3406647507798637E-2"/>
          <c:y val="4.5604279555213005E-2"/>
          <c:w val="0.88970856948186683"/>
          <c:h val="0.75122131439204987"/>
        </c:manualLayout>
      </c:layout>
      <c:barChart>
        <c:barDir val="col"/>
        <c:grouping val="stacked"/>
        <c:varyColors val="0"/>
        <c:ser>
          <c:idx val="0"/>
          <c:order val="0"/>
          <c:tx>
            <c:strRef>
              <c:f>'OZL Summary'!$AU$42</c:f>
              <c:strCache>
                <c:ptCount val="1"/>
                <c:pt idx="0">
                  <c:v>Delete</c:v>
                </c:pt>
              </c:strCache>
            </c:strRef>
          </c:tx>
          <c:spPr>
            <a:noFill/>
            <a:ln>
              <a:noFill/>
            </a:ln>
          </c:spPr>
          <c:invertIfNegative val="0"/>
          <c:cat>
            <c:strRef>
              <c:extLst>
                <c:ext xmlns:c15="http://schemas.microsoft.com/office/drawing/2012/chart" uri="{02D57815-91ED-43cb-92C2-25804820EDAC}">
                  <c15:fullRef>
                    <c15:sqref>'OZL Summary'!$AV$9:$BB$9</c15:sqref>
                  </c15:fullRef>
                </c:ext>
              </c:extLst>
              <c:f>('OZL Summary'!$AV$9:$AY$9,'OZL Summary'!$BA$9:$BB$9)</c:f>
              <c:strCache>
                <c:ptCount val="6"/>
                <c:pt idx="0">
                  <c:v>FY18</c:v>
                </c:pt>
                <c:pt idx="1">
                  <c:v>FY19</c:v>
                </c:pt>
                <c:pt idx="2">
                  <c:v>FY20</c:v>
                </c:pt>
                <c:pt idx="3">
                  <c:v>FY21</c:v>
                </c:pt>
                <c:pt idx="4">
                  <c:v>FY23e</c:v>
                </c:pt>
                <c:pt idx="5">
                  <c:v>FY22 ytd</c:v>
                </c:pt>
              </c:strCache>
            </c:strRef>
          </c:cat>
          <c:val>
            <c:numRef>
              <c:extLst>
                <c:ext xmlns:c15="http://schemas.microsoft.com/office/drawing/2012/chart" uri="{02D57815-91ED-43cb-92C2-25804820EDAC}">
                  <c15:fullRef>
                    <c15:sqref>'OZL Summary'!$AV$42:$BB$42</c15:sqref>
                  </c15:fullRef>
                </c:ext>
              </c:extLst>
              <c:f>('OZL Summary'!$AV$42:$AY$42,'OZL Summary'!$BA$42:$BB$42)</c:f>
              <c:numCache>
                <c:formatCode>0.0000</c:formatCode>
                <c:ptCount val="6"/>
                <c:pt idx="0">
                  <c:v>0.76174137554958854</c:v>
                </c:pt>
                <c:pt idx="1">
                  <c:v>0.71872871646197445</c:v>
                </c:pt>
                <c:pt idx="2">
                  <c:v>0.76805370043418086</c:v>
                </c:pt>
                <c:pt idx="3">
                  <c:v>0.90189161627526415</c:v>
                </c:pt>
                <c:pt idx="4">
                  <c:v>0.97380588396585999</c:v>
                </c:pt>
                <c:pt idx="5">
                  <c:v>0.65723946065637839</c:v>
                </c:pt>
              </c:numCache>
            </c:numRef>
          </c:val>
          <c:extLst>
            <c:ext xmlns:c16="http://schemas.microsoft.com/office/drawing/2014/chart" uri="{C3380CC4-5D6E-409C-BE32-E72D297353CC}">
              <c16:uniqueId val="{00000000-3C06-41AE-9DF6-F4B52ACD16C3}"/>
            </c:ext>
          </c:extLst>
        </c:ser>
        <c:ser>
          <c:idx val="6"/>
          <c:order val="1"/>
          <c:tx>
            <c:strRef>
              <c:f>'OZL Summary'!$AU$43</c:f>
              <c:strCache>
                <c:ptCount val="1"/>
                <c:pt idx="0">
                  <c:v>Min to 25th Percentile</c:v>
                </c:pt>
              </c:strCache>
            </c:strRef>
          </c:tx>
          <c:spPr>
            <a:noFill/>
            <a:ln>
              <a:noFill/>
            </a:ln>
          </c:spPr>
          <c:invertIfNegative val="0"/>
          <c:cat>
            <c:strRef>
              <c:extLst>
                <c:ext xmlns:c15="http://schemas.microsoft.com/office/drawing/2012/chart" uri="{02D57815-91ED-43cb-92C2-25804820EDAC}">
                  <c15:fullRef>
                    <c15:sqref>'OZL Summary'!$AV$9:$BB$9</c15:sqref>
                  </c15:fullRef>
                </c:ext>
              </c:extLst>
              <c:f>('OZL Summary'!$AV$9:$AY$9,'OZL Summary'!$BA$9:$BB$9)</c:f>
              <c:strCache>
                <c:ptCount val="6"/>
                <c:pt idx="0">
                  <c:v>FY18</c:v>
                </c:pt>
                <c:pt idx="1">
                  <c:v>FY19</c:v>
                </c:pt>
                <c:pt idx="2">
                  <c:v>FY20</c:v>
                </c:pt>
                <c:pt idx="3">
                  <c:v>FY21</c:v>
                </c:pt>
                <c:pt idx="4">
                  <c:v>FY23e</c:v>
                </c:pt>
                <c:pt idx="5">
                  <c:v>FY22 ytd</c:v>
                </c:pt>
              </c:strCache>
            </c:strRef>
          </c:cat>
          <c:val>
            <c:numRef>
              <c:extLst>
                <c:ext xmlns:c15="http://schemas.microsoft.com/office/drawing/2012/chart" uri="{02D57815-91ED-43cb-92C2-25804820EDAC}">
                  <c15:fullRef>
                    <c15:sqref>'OZL Summary'!$AV$43:$BB$43</c15:sqref>
                  </c15:fullRef>
                </c:ext>
              </c:extLst>
              <c:f>('OZL Summary'!$AV$43:$AY$43,'OZL Summary'!$BA$43:$BB$43)</c:f>
              <c:numCache>
                <c:formatCode>0.0000</c:formatCode>
                <c:ptCount val="6"/>
                <c:pt idx="0">
                  <c:v>0.25938421144039792</c:v>
                </c:pt>
                <c:pt idx="1">
                  <c:v>0.23219950608569506</c:v>
                </c:pt>
                <c:pt idx="2">
                  <c:v>0.23198145367176715</c:v>
                </c:pt>
                <c:pt idx="3">
                  <c:v>0.25343571130735687</c:v>
                </c:pt>
                <c:pt idx="4">
                  <c:v>0.34610108067659728</c:v>
                </c:pt>
                <c:pt idx="5">
                  <c:v>0.25219693528193343</c:v>
                </c:pt>
              </c:numCache>
            </c:numRef>
          </c:val>
          <c:extLst>
            <c:ext xmlns:c16="http://schemas.microsoft.com/office/drawing/2014/chart" uri="{C3380CC4-5D6E-409C-BE32-E72D297353CC}">
              <c16:uniqueId val="{00000001-3C06-41AE-9DF6-F4B52ACD16C3}"/>
            </c:ext>
          </c:extLst>
        </c:ser>
        <c:ser>
          <c:idx val="8"/>
          <c:order val="2"/>
          <c:tx>
            <c:v>25-75th percentile</c:v>
          </c:tx>
          <c:spPr>
            <a:solidFill>
              <a:schemeClr val="bg2">
                <a:lumMod val="40000"/>
                <a:lumOff val="60000"/>
              </a:schemeClr>
            </a:solidFill>
          </c:spPr>
          <c:invertIfNegative val="0"/>
          <c:cat>
            <c:strRef>
              <c:extLst>
                <c:ext xmlns:c15="http://schemas.microsoft.com/office/drawing/2012/chart" uri="{02D57815-91ED-43cb-92C2-25804820EDAC}">
                  <c15:fullRef>
                    <c15:sqref>'OZL Summary'!$AV$9:$BB$9</c15:sqref>
                  </c15:fullRef>
                </c:ext>
              </c:extLst>
              <c:f>('OZL Summary'!$AV$9:$AY$9,'OZL Summary'!$BA$9:$BB$9)</c:f>
              <c:strCache>
                <c:ptCount val="6"/>
                <c:pt idx="0">
                  <c:v>FY18</c:v>
                </c:pt>
                <c:pt idx="1">
                  <c:v>FY19</c:v>
                </c:pt>
                <c:pt idx="2">
                  <c:v>FY20</c:v>
                </c:pt>
                <c:pt idx="3">
                  <c:v>FY21</c:v>
                </c:pt>
                <c:pt idx="4">
                  <c:v>FY23e</c:v>
                </c:pt>
                <c:pt idx="5">
                  <c:v>FY22 ytd</c:v>
                </c:pt>
              </c:strCache>
            </c:strRef>
          </c:cat>
          <c:val>
            <c:numRef>
              <c:extLst>
                <c:ext xmlns:c15="http://schemas.microsoft.com/office/drawing/2012/chart" uri="{02D57815-91ED-43cb-92C2-25804820EDAC}">
                  <c15:fullRef>
                    <c15:sqref>'OZL Summary'!$AV$44:$BB$44</c15:sqref>
                  </c15:fullRef>
                </c:ext>
              </c:extLst>
              <c:f>('OZL Summary'!$AV$44:$AY$44,'OZL Summary'!$BA$44:$BB$44)</c:f>
              <c:numCache>
                <c:formatCode>0.0000</c:formatCode>
                <c:ptCount val="6"/>
                <c:pt idx="0">
                  <c:v>8.8060002975873797E-2</c:v>
                </c:pt>
                <c:pt idx="1">
                  <c:v>7.3794275101680351E-2</c:v>
                </c:pt>
                <c:pt idx="2">
                  <c:v>7.8687814150030455E-2</c:v>
                </c:pt>
                <c:pt idx="3">
                  <c:v>8.5095945263260919E-2</c:v>
                </c:pt>
                <c:pt idx="4">
                  <c:v>0.1269220465723202</c:v>
                </c:pt>
                <c:pt idx="5">
                  <c:v>8.224997318072802E-2</c:v>
                </c:pt>
              </c:numCache>
            </c:numRef>
          </c:val>
          <c:extLst>
            <c:ext xmlns:c16="http://schemas.microsoft.com/office/drawing/2014/chart" uri="{C3380CC4-5D6E-409C-BE32-E72D297353CC}">
              <c16:uniqueId val="{00000002-3C06-41AE-9DF6-F4B52ACD16C3}"/>
            </c:ext>
          </c:extLst>
        </c:ser>
        <c:ser>
          <c:idx val="1"/>
          <c:order val="3"/>
          <c:tx>
            <c:v>25th to 75th percentile</c:v>
          </c:tx>
          <c:spPr>
            <a:solidFill>
              <a:schemeClr val="bg2">
                <a:lumMod val="40000"/>
                <a:lumOff val="60000"/>
              </a:schemeClr>
            </a:solidFill>
          </c:spPr>
          <c:invertIfNegative val="0"/>
          <c:cat>
            <c:strRef>
              <c:extLst>
                <c:ext xmlns:c15="http://schemas.microsoft.com/office/drawing/2012/chart" uri="{02D57815-91ED-43cb-92C2-25804820EDAC}">
                  <c15:fullRef>
                    <c15:sqref>'OZL Summary'!$AV$9:$BB$9</c15:sqref>
                  </c15:fullRef>
                </c:ext>
              </c:extLst>
              <c:f>('OZL Summary'!$AV$9:$AY$9,'OZL Summary'!$BA$9:$BB$9)</c:f>
              <c:strCache>
                <c:ptCount val="6"/>
                <c:pt idx="0">
                  <c:v>FY18</c:v>
                </c:pt>
                <c:pt idx="1">
                  <c:v>FY19</c:v>
                </c:pt>
                <c:pt idx="2">
                  <c:v>FY20</c:v>
                </c:pt>
                <c:pt idx="3">
                  <c:v>FY21</c:v>
                </c:pt>
                <c:pt idx="4">
                  <c:v>FY23e</c:v>
                </c:pt>
                <c:pt idx="5">
                  <c:v>FY22 ytd</c:v>
                </c:pt>
              </c:strCache>
            </c:strRef>
          </c:cat>
          <c:val>
            <c:numRef>
              <c:extLst>
                <c:ext xmlns:c15="http://schemas.microsoft.com/office/drawing/2012/chart" uri="{02D57815-91ED-43cb-92C2-25804820EDAC}">
                  <c15:fullRef>
                    <c15:sqref>'OZL Summary'!$AV$45:$BB$45</c15:sqref>
                  </c15:fullRef>
                </c:ext>
              </c:extLst>
              <c:f>('OZL Summary'!$AV$45:$AY$45,'OZL Summary'!$BA$45:$BB$45)</c:f>
              <c:numCache>
                <c:formatCode>0.0000</c:formatCode>
                <c:ptCount val="6"/>
                <c:pt idx="0">
                  <c:v>0.10461649368839998</c:v>
                </c:pt>
                <c:pt idx="1">
                  <c:v>8.9043488596131759E-2</c:v>
                </c:pt>
                <c:pt idx="2">
                  <c:v>8.3771580358387832E-2</c:v>
                </c:pt>
                <c:pt idx="3">
                  <c:v>9.7586576491896393E-2</c:v>
                </c:pt>
                <c:pt idx="4">
                  <c:v>0.15015471876863296</c:v>
                </c:pt>
                <c:pt idx="5">
                  <c:v>9.5838182198935362E-2</c:v>
                </c:pt>
              </c:numCache>
            </c:numRef>
          </c:val>
          <c:extLst>
            <c:ext xmlns:c16="http://schemas.microsoft.com/office/drawing/2014/chart" uri="{C3380CC4-5D6E-409C-BE32-E72D297353CC}">
              <c16:uniqueId val="{00000003-3C06-41AE-9DF6-F4B52ACD16C3}"/>
            </c:ext>
          </c:extLst>
        </c:ser>
        <c:ser>
          <c:idx val="2"/>
          <c:order val="4"/>
          <c:tx>
            <c:strRef>
              <c:f>'OZL Summary'!$AU$46</c:f>
              <c:strCache>
                <c:ptCount val="1"/>
                <c:pt idx="0">
                  <c:v>75th Percentile to Max</c:v>
                </c:pt>
              </c:strCache>
            </c:strRef>
          </c:tx>
          <c:spPr>
            <a:noFill/>
          </c:spPr>
          <c:invertIfNegative val="0"/>
          <c:cat>
            <c:strRef>
              <c:extLst>
                <c:ext xmlns:c15="http://schemas.microsoft.com/office/drawing/2012/chart" uri="{02D57815-91ED-43cb-92C2-25804820EDAC}">
                  <c15:fullRef>
                    <c15:sqref>'OZL Summary'!$AV$9:$BB$9</c15:sqref>
                  </c15:fullRef>
                </c:ext>
              </c:extLst>
              <c:f>('OZL Summary'!$AV$9:$AY$9,'OZL Summary'!$BA$9:$BB$9)</c:f>
              <c:strCache>
                <c:ptCount val="6"/>
                <c:pt idx="0">
                  <c:v>FY18</c:v>
                </c:pt>
                <c:pt idx="1">
                  <c:v>FY19</c:v>
                </c:pt>
                <c:pt idx="2">
                  <c:v>FY20</c:v>
                </c:pt>
                <c:pt idx="3">
                  <c:v>FY21</c:v>
                </c:pt>
                <c:pt idx="4">
                  <c:v>FY23e</c:v>
                </c:pt>
                <c:pt idx="5">
                  <c:v>FY22 ytd</c:v>
                </c:pt>
              </c:strCache>
            </c:strRef>
          </c:cat>
          <c:val>
            <c:numRef>
              <c:extLst>
                <c:ext xmlns:c15="http://schemas.microsoft.com/office/drawing/2012/chart" uri="{02D57815-91ED-43cb-92C2-25804820EDAC}">
                  <c15:fullRef>
                    <c15:sqref>'OZL Summary'!$AV$46:$BB$46</c15:sqref>
                  </c15:fullRef>
                </c:ext>
              </c:extLst>
              <c:f>('OZL Summary'!$AV$46:$AY$46,'OZL Summary'!$BA$46:$BB$46)</c:f>
              <c:numCache>
                <c:formatCode>0.0000</c:formatCode>
                <c:ptCount val="6"/>
                <c:pt idx="0">
                  <c:v>0.61498326584182283</c:v>
                </c:pt>
                <c:pt idx="1">
                  <c:v>0.64848937919335903</c:v>
                </c:pt>
                <c:pt idx="2">
                  <c:v>0.48421785895236225</c:v>
                </c:pt>
                <c:pt idx="3">
                  <c:v>0.57251034606713525</c:v>
                </c:pt>
                <c:pt idx="4">
                  <c:v>0.95326646808307336</c:v>
                </c:pt>
                <c:pt idx="5">
                  <c:v>0.56219754653310328</c:v>
                </c:pt>
              </c:numCache>
            </c:numRef>
          </c:val>
          <c:extLst>
            <c:ext xmlns:c16="http://schemas.microsoft.com/office/drawing/2014/chart" uri="{C3380CC4-5D6E-409C-BE32-E72D297353CC}">
              <c16:uniqueId val="{00000004-3C06-41AE-9DF6-F4B52ACD16C3}"/>
            </c:ext>
          </c:extLst>
        </c:ser>
        <c:ser>
          <c:idx val="4"/>
          <c:order val="6"/>
          <c:tx>
            <c:strRef>
              <c:f>'OZL Summary'!$AU$13</c:f>
              <c:strCache>
                <c:ptCount val="1"/>
                <c:pt idx="0">
                  <c:v>Actual ytd Standardised</c:v>
                </c:pt>
              </c:strCache>
            </c:strRef>
          </c:tx>
          <c:spPr>
            <a:solidFill>
              <a:schemeClr val="bg1"/>
            </a:solidFill>
          </c:spPr>
          <c:invertIfNegative val="0"/>
          <c:cat>
            <c:strRef>
              <c:extLst>
                <c:ext xmlns:c15="http://schemas.microsoft.com/office/drawing/2012/chart" uri="{02D57815-91ED-43cb-92C2-25804820EDAC}">
                  <c15:fullRef>
                    <c15:sqref>'OZL Summary'!$AV$9:$BB$9</c15:sqref>
                  </c15:fullRef>
                </c:ext>
              </c:extLst>
              <c:f>('OZL Summary'!$AV$9:$AY$9,'OZL Summary'!$BA$9:$BB$9)</c:f>
              <c:strCache>
                <c:ptCount val="6"/>
                <c:pt idx="0">
                  <c:v>FY18</c:v>
                </c:pt>
                <c:pt idx="1">
                  <c:v>FY19</c:v>
                </c:pt>
                <c:pt idx="2">
                  <c:v>FY20</c:v>
                </c:pt>
                <c:pt idx="3">
                  <c:v>FY21</c:v>
                </c:pt>
                <c:pt idx="4">
                  <c:v>FY23e</c:v>
                </c:pt>
                <c:pt idx="5">
                  <c:v>FY22 ytd</c:v>
                </c:pt>
              </c:strCache>
            </c:strRef>
          </c:cat>
          <c:val>
            <c:numRef>
              <c:extLst>
                <c:ext xmlns:c15="http://schemas.microsoft.com/office/drawing/2012/chart" uri="{02D57815-91ED-43cb-92C2-25804820EDAC}">
                  <c15:fullRef>
                    <c15:sqref>'OZL Summary'!$AV$13:$AZ$13</c15:sqref>
                  </c15:fullRef>
                </c:ext>
              </c:extLst>
              <c:f>'OZL Summary'!$AV$13:$AY$13</c:f>
              <c:numCache>
                <c:formatCode>_(* #,##0.00_);_(* \(#,##0.00\);_(* "-"??_);_(@_)</c:formatCode>
                <c:ptCount val="4"/>
              </c:numCache>
            </c:numRef>
          </c:val>
          <c:extLst>
            <c:ext xmlns:c16="http://schemas.microsoft.com/office/drawing/2014/chart" uri="{C3380CC4-5D6E-409C-BE32-E72D297353CC}">
              <c16:uniqueId val="{00000005-3C06-41AE-9DF6-F4B52ACD16C3}"/>
            </c:ext>
          </c:extLst>
        </c:ser>
        <c:ser>
          <c:idx val="5"/>
          <c:order val="7"/>
          <c:tx>
            <c:strRef>
              <c:f>'OZL Summary'!$AU$14</c:f>
              <c:strCache>
                <c:ptCount val="1"/>
                <c:pt idx="0">
                  <c:v>Actual ytd + 50th percentile</c:v>
                </c:pt>
              </c:strCache>
            </c:strRef>
          </c:tx>
          <c:spPr>
            <a:noFill/>
          </c:spPr>
          <c:invertIfNegative val="0"/>
          <c:cat>
            <c:strRef>
              <c:extLst>
                <c:ext xmlns:c15="http://schemas.microsoft.com/office/drawing/2012/chart" uri="{02D57815-91ED-43cb-92C2-25804820EDAC}">
                  <c15:fullRef>
                    <c15:sqref>'OZL Summary'!$AV$9:$BB$9</c15:sqref>
                  </c15:fullRef>
                </c:ext>
              </c:extLst>
              <c:f>('OZL Summary'!$AV$9:$AY$9,'OZL Summary'!$BA$9:$BB$9)</c:f>
              <c:strCache>
                <c:ptCount val="6"/>
                <c:pt idx="0">
                  <c:v>FY18</c:v>
                </c:pt>
                <c:pt idx="1">
                  <c:v>FY19</c:v>
                </c:pt>
                <c:pt idx="2">
                  <c:v>FY20</c:v>
                </c:pt>
                <c:pt idx="3">
                  <c:v>FY21</c:v>
                </c:pt>
                <c:pt idx="4">
                  <c:v>FY23e</c:v>
                </c:pt>
                <c:pt idx="5">
                  <c:v>FY22 ytd</c:v>
                </c:pt>
              </c:strCache>
            </c:strRef>
          </c:cat>
          <c:val>
            <c:numRef>
              <c:extLst>
                <c:ext xmlns:c15="http://schemas.microsoft.com/office/drawing/2012/chart" uri="{02D57815-91ED-43cb-92C2-25804820EDAC}">
                  <c15:fullRef>
                    <c15:sqref>'OZL Summary'!$AV$14:$AZ$14</c15:sqref>
                  </c15:fullRef>
                </c:ext>
              </c:extLst>
              <c:f>'OZL Summary'!$AV$14:$AY$14</c:f>
              <c:numCache>
                <c:formatCode>General</c:formatCode>
                <c:ptCount val="4"/>
              </c:numCache>
            </c:numRef>
          </c:val>
          <c:extLst>
            <c:ext xmlns:c16="http://schemas.microsoft.com/office/drawing/2014/chart" uri="{C3380CC4-5D6E-409C-BE32-E72D297353CC}">
              <c16:uniqueId val="{00000006-3C06-41AE-9DF6-F4B52ACD16C3}"/>
            </c:ext>
          </c:extLst>
        </c:ser>
        <c:dLbls>
          <c:showLegendKey val="0"/>
          <c:showVal val="0"/>
          <c:showCatName val="0"/>
          <c:showSerName val="0"/>
          <c:showPercent val="0"/>
          <c:showBubbleSize val="0"/>
        </c:dLbls>
        <c:gapWidth val="150"/>
        <c:overlap val="100"/>
        <c:axId val="1019316528"/>
        <c:axId val="1019315544"/>
      </c:barChart>
      <c:lineChart>
        <c:grouping val="standard"/>
        <c:varyColors val="0"/>
        <c:ser>
          <c:idx val="3"/>
          <c:order val="5"/>
          <c:tx>
            <c:strRef>
              <c:f>'OZL Summary'!$AU$12</c:f>
              <c:strCache>
                <c:ptCount val="1"/>
                <c:pt idx="0">
                  <c:v>Actual</c:v>
                </c:pt>
              </c:strCache>
            </c:strRef>
          </c:tx>
          <c:spPr>
            <a:ln>
              <a:noFill/>
            </a:ln>
          </c:spPr>
          <c:marker>
            <c:symbol val="circle"/>
            <c:size val="12"/>
            <c:spPr>
              <a:solidFill>
                <a:schemeClr val="tx2"/>
              </a:solidFill>
              <a:ln w="19050">
                <a:solidFill>
                  <a:schemeClr val="bg1"/>
                </a:solidFill>
              </a:ln>
            </c:spPr>
          </c:marker>
          <c:cat>
            <c:strRef>
              <c:extLst>
                <c:ext xmlns:c15="http://schemas.microsoft.com/office/drawing/2012/chart" uri="{02D57815-91ED-43cb-92C2-25804820EDAC}">
                  <c15:fullRef>
                    <c15:sqref>'OZL Summary'!$AV$9:$BB$9</c15:sqref>
                  </c15:fullRef>
                </c:ext>
              </c:extLst>
              <c:f>('OZL Summary'!$AV$9:$AY$9,'OZL Summary'!$BA$9:$BB$9)</c:f>
              <c:strCache>
                <c:ptCount val="6"/>
                <c:pt idx="0">
                  <c:v>FY18</c:v>
                </c:pt>
                <c:pt idx="1">
                  <c:v>FY19</c:v>
                </c:pt>
                <c:pt idx="2">
                  <c:v>FY20</c:v>
                </c:pt>
                <c:pt idx="3">
                  <c:v>FY21</c:v>
                </c:pt>
                <c:pt idx="4">
                  <c:v>FY23e</c:v>
                </c:pt>
                <c:pt idx="5">
                  <c:v>FY22 ytd</c:v>
                </c:pt>
              </c:strCache>
            </c:strRef>
          </c:cat>
          <c:val>
            <c:numRef>
              <c:extLst>
                <c:ext xmlns:c15="http://schemas.microsoft.com/office/drawing/2012/chart" uri="{02D57815-91ED-43cb-92C2-25804820EDAC}">
                  <c15:fullRef>
                    <c15:sqref>'OZL Summary'!$AV$12:$BB$12</c15:sqref>
                  </c15:fullRef>
                </c:ext>
              </c:extLst>
              <c:f>('OZL Summary'!$AV$12:$AY$12,'OZL Summary'!$BA$12:$BB$12)</c:f>
              <c:numCache>
                <c:formatCode>_(* #,##0.00_);_(* \(#,##0.00\);_(* "-"??_);_(@_)</c:formatCode>
                <c:ptCount val="6"/>
                <c:pt idx="0">
                  <c:v>1.1195470419479998</c:v>
                </c:pt>
                <c:pt idx="1">
                  <c:v>1.3802681923667999</c:v>
                </c:pt>
                <c:pt idx="2">
                  <c:v>1.0467730088028</c:v>
                </c:pt>
                <c:pt idx="3">
                  <c:v>1.1024372392524002</c:v>
                </c:pt>
                <c:pt idx="5">
                  <c:v>1.1194431701510998</c:v>
                </c:pt>
              </c:numCache>
            </c:numRef>
          </c:val>
          <c:smooth val="0"/>
          <c:extLst>
            <c:ext xmlns:c16="http://schemas.microsoft.com/office/drawing/2014/chart" uri="{C3380CC4-5D6E-409C-BE32-E72D297353CC}">
              <c16:uniqueId val="{00000007-3C06-41AE-9DF6-F4B52ACD16C3}"/>
            </c:ext>
          </c:extLst>
        </c:ser>
        <c:dLbls>
          <c:showLegendKey val="0"/>
          <c:showVal val="0"/>
          <c:showCatName val="0"/>
          <c:showSerName val="0"/>
          <c:showPercent val="0"/>
          <c:showBubbleSize val="0"/>
        </c:dLbls>
        <c:marker val="1"/>
        <c:smooth val="0"/>
        <c:axId val="1019316528"/>
        <c:axId val="1019315544"/>
        <c:extLst/>
      </c:lineChart>
      <c:catAx>
        <c:axId val="101931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1019315544"/>
        <c:crosses val="autoZero"/>
        <c:auto val="1"/>
        <c:lblAlgn val="ctr"/>
        <c:lblOffset val="100"/>
        <c:noMultiLvlLbl val="0"/>
      </c:catAx>
      <c:valAx>
        <c:axId val="1019315544"/>
        <c:scaling>
          <c:orientation val="minMax"/>
          <c:min val="0.5"/>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vert="horz"/>
          <a:lstStyle/>
          <a:p>
            <a:pPr>
              <a:defRPr/>
            </a:pPr>
            <a:endParaRPr lang="en-US"/>
          </a:p>
        </c:txPr>
        <c:crossAx val="1019316528"/>
        <c:crosses val="autoZero"/>
        <c:crossBetween val="between"/>
      </c:valAx>
    </c:plotArea>
    <c:legend>
      <c:legendPos val="b"/>
      <c:legendEntry>
        <c:idx val="0"/>
        <c:delete val="1"/>
      </c:legendEntry>
      <c:legendEntry>
        <c:idx val="1"/>
        <c:delete val="1"/>
      </c:legendEntry>
      <c:legendEntry>
        <c:idx val="2"/>
        <c:delete val="1"/>
      </c:legendEntry>
      <c:legendEntry>
        <c:idx val="4"/>
        <c:delete val="1"/>
      </c:legendEntry>
      <c:legendEntry>
        <c:idx val="5"/>
        <c:delete val="1"/>
      </c:legendEntry>
      <c:legendEntry>
        <c:idx val="6"/>
        <c:delete val="1"/>
      </c:legendEntry>
      <c:overlay val="0"/>
    </c:legend>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orientation="portrait"/>
  </c:printSettings>
</c:chartSpace>
</file>

<file path=xl/charts/chart1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'OZL Summary'!$KA$6</c:f>
              <c:strCache>
                <c:ptCount val="1"/>
                <c:pt idx="0">
                  <c:v>Actual</c:v>
                </c:pt>
              </c:strCache>
            </c:strRef>
          </c:tx>
          <c:spPr>
            <a:ln w="28575" cap="rnd">
              <a:solidFill>
                <a:schemeClr val="tx2"/>
              </a:solidFill>
              <a:round/>
            </a:ln>
            <a:effectLst/>
          </c:spPr>
          <c:marker>
            <c:symbol val="none"/>
          </c:marker>
          <c:cat>
            <c:numRef>
              <c:f>'OZL Summary'!$JZ$8:$JZ$59</c:f>
              <c:numCache>
                <c:formatCode>d\-mmm\-yy_);\(###0\);"-  ";" "@" "</c:formatCode>
                <c:ptCount val="52"/>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Summary'!$KA$8:$KA$59</c:f>
              <c:numCache>
                <c:formatCode>0.000</c:formatCode>
                <c:ptCount val="52"/>
                <c:pt idx="0">
                  <c:v>3.4282144018799997E-2</c:v>
                </c:pt>
                <c:pt idx="1">
                  <c:v>4.61727482976E-2</c:v>
                </c:pt>
                <c:pt idx="2">
                  <c:v>6.0744925144799997E-2</c:v>
                </c:pt>
                <c:pt idx="3">
                  <c:v>7.9887071887199998E-2</c:v>
                </c:pt>
                <c:pt idx="4">
                  <c:v>9.0591598206000004E-2</c:v>
                </c:pt>
                <c:pt idx="5">
                  <c:v>0.10471594425839999</c:v>
                </c:pt>
                <c:pt idx="6">
                  <c:v>0.13024126318319998</c:v>
                </c:pt>
                <c:pt idx="7">
                  <c:v>0.14299494069599997</c:v>
                </c:pt>
                <c:pt idx="8">
                  <c:v>0.15712274134439999</c:v>
                </c:pt>
                <c:pt idx="9">
                  <c:v>0.18211939192799997</c:v>
                </c:pt>
                <c:pt idx="10">
                  <c:v>0.21562528822559998</c:v>
                </c:pt>
                <c:pt idx="11">
                  <c:v>0.26312805598319994</c:v>
                </c:pt>
                <c:pt idx="12">
                  <c:v>0.27559419595559997</c:v>
                </c:pt>
                <c:pt idx="13">
                  <c:v>0.29338294713839996</c:v>
                </c:pt>
                <c:pt idx="14">
                  <c:v>0.31479798774239992</c:v>
                </c:pt>
                <c:pt idx="15">
                  <c:v>0.34138237064759991</c:v>
                </c:pt>
                <c:pt idx="16">
                  <c:v>0.38401116406199992</c:v>
                </c:pt>
                <c:pt idx="17">
                  <c:v>0.45353502371519994</c:v>
                </c:pt>
                <c:pt idx="18">
                  <c:v>0.46636884785519994</c:v>
                </c:pt>
                <c:pt idx="19">
                  <c:v>0.48057414660719988</c:v>
                </c:pt>
                <c:pt idx="20">
                  <c:v>0.50512031787239997</c:v>
                </c:pt>
                <c:pt idx="21">
                  <c:v>0.53195446806839985</c:v>
                </c:pt>
                <c:pt idx="22">
                  <c:v>0.57374874624239991</c:v>
                </c:pt>
                <c:pt idx="23">
                  <c:v>0.58543426267199994</c:v>
                </c:pt>
                <c:pt idx="24">
                  <c:v>0.59798193110999986</c:v>
                </c:pt>
                <c:pt idx="25">
                  <c:v>0.60953824564919989</c:v>
                </c:pt>
                <c:pt idx="26">
                  <c:v>0.62793005414039982</c:v>
                </c:pt>
                <c:pt idx="27">
                  <c:v>0.66085868744639986</c:v>
                </c:pt>
                <c:pt idx="28">
                  <c:v>0.70280784667439988</c:v>
                </c:pt>
                <c:pt idx="29">
                  <c:v>0.76647478426919979</c:v>
                </c:pt>
                <c:pt idx="30">
                  <c:v>0.77875598820239988</c:v>
                </c:pt>
                <c:pt idx="31">
                  <c:v>0.79341798454559986</c:v>
                </c:pt>
                <c:pt idx="32">
                  <c:v>0.81253514304359986</c:v>
                </c:pt>
                <c:pt idx="33">
                  <c:v>0.82340606573639985</c:v>
                </c:pt>
                <c:pt idx="34">
                  <c:v>0.84006470341439987</c:v>
                </c:pt>
                <c:pt idx="35">
                  <c:v>0.86433934343399987</c:v>
                </c:pt>
                <c:pt idx="36">
                  <c:v>0.87578580182039989</c:v>
                </c:pt>
                <c:pt idx="37">
                  <c:v>0.89565744408479986</c:v>
                </c:pt>
                <c:pt idx="38">
                  <c:v>0.90846581936759985</c:v>
                </c:pt>
                <c:pt idx="39">
                  <c:v>0.91858582836759983</c:v>
                </c:pt>
                <c:pt idx="40">
                  <c:v>0.93370152831879982</c:v>
                </c:pt>
                <c:pt idx="41">
                  <c:v>0.95559030918759991</c:v>
                </c:pt>
                <c:pt idx="42">
                  <c:v>0.98300771034159995</c:v>
                </c:pt>
                <c:pt idx="43">
                  <c:v>0.99433233664239995</c:v>
                </c:pt>
              </c:numCache>
            </c:numRef>
          </c:val>
          <c:smooth val="0"/>
          <c:extLst>
            <c:ext xmlns:c16="http://schemas.microsoft.com/office/drawing/2014/chart" uri="{C3380CC4-5D6E-409C-BE32-E72D297353CC}">
              <c16:uniqueId val="{00000000-1F29-4069-BD89-D58281643B0D}"/>
            </c:ext>
          </c:extLst>
        </c:ser>
        <c:ser>
          <c:idx val="9"/>
          <c:order val="1"/>
          <c:tx>
            <c:strRef>
              <c:f>'OZL Summary'!$KC$6</c:f>
              <c:strCache>
                <c:ptCount val="1"/>
                <c:pt idx="0">
                  <c:v>50th percentile from 6th May (jackpot = 2m)</c:v>
                </c:pt>
              </c:strCache>
            </c:strRef>
          </c:tx>
          <c:spPr>
            <a:ln w="28575" cap="rnd">
              <a:solidFill>
                <a:schemeClr val="accent1"/>
              </a:solidFill>
              <a:prstDash val="sysDot"/>
              <a:round/>
            </a:ln>
            <a:effectLst/>
          </c:spPr>
          <c:marker>
            <c:symbol val="none"/>
          </c:marker>
          <c:dLbls>
            <c:dLbl>
              <c:idx val="42"/>
              <c:delete val="1"/>
              <c:extLst>
                <c:ext xmlns:c15="http://schemas.microsoft.com/office/drawing/2012/chart" uri="{CE6537A1-D6FC-4f65-9D91-7224C49458BB}"/>
                <c:ext xmlns:c16="http://schemas.microsoft.com/office/drawing/2014/chart" uri="{C3380CC4-5D6E-409C-BE32-E72D297353CC}">
                  <c16:uniqueId val="{00000001-1F29-4069-BD89-D58281643B0D}"/>
                </c:ext>
              </c:extLst>
            </c:dLbl>
            <c:dLbl>
              <c:idx val="43"/>
              <c:delete val="1"/>
              <c:extLst>
                <c:ext xmlns:c15="http://schemas.microsoft.com/office/drawing/2012/chart" uri="{CE6537A1-D6FC-4f65-9D91-7224C49458BB}"/>
                <c:ext xmlns:c16="http://schemas.microsoft.com/office/drawing/2014/chart" uri="{C3380CC4-5D6E-409C-BE32-E72D297353CC}">
                  <c16:uniqueId val="{00000002-1F29-4069-BD89-D58281643B0D}"/>
                </c:ext>
              </c:extLst>
            </c:dLbl>
            <c:dLbl>
              <c:idx val="44"/>
              <c:delete val="1"/>
              <c:extLst>
                <c:ext xmlns:c15="http://schemas.microsoft.com/office/drawing/2012/chart" uri="{CE6537A1-D6FC-4f65-9D91-7224C49458BB}"/>
                <c:ext xmlns:c16="http://schemas.microsoft.com/office/drawing/2014/chart" uri="{C3380CC4-5D6E-409C-BE32-E72D297353CC}">
                  <c16:uniqueId val="{00000003-1F29-4069-BD89-D58281643B0D}"/>
                </c:ext>
              </c:extLst>
            </c:dLbl>
            <c:dLbl>
              <c:idx val="45"/>
              <c:delete val="1"/>
              <c:extLst>
                <c:ext xmlns:c15="http://schemas.microsoft.com/office/drawing/2012/chart" uri="{CE6537A1-D6FC-4f65-9D91-7224C49458BB}"/>
                <c:ext xmlns:c16="http://schemas.microsoft.com/office/drawing/2014/chart" uri="{C3380CC4-5D6E-409C-BE32-E72D297353CC}">
                  <c16:uniqueId val="{00000004-1F29-4069-BD89-D58281643B0D}"/>
                </c:ext>
              </c:extLst>
            </c:dLbl>
            <c:dLbl>
              <c:idx val="46"/>
              <c:layout>
                <c:manualLayout>
                  <c:x val="8.0185230368958454E-3"/>
                  <c:y val="6.6506117608102586E-2"/>
                </c:manualLayout>
              </c:layout>
              <c:tx>
                <c:rich>
                  <a:bodyPr/>
                  <a:lstStyle/>
                  <a:p>
                    <a:r>
                      <a:rPr lang="en-US"/>
                      <a:t> actual prediction</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1F29-4069-BD89-D58281643B0D}"/>
                </c:ext>
              </c:extLst>
            </c:dLbl>
            <c:dLbl>
              <c:idx val="47"/>
              <c:delete val="1"/>
              <c:extLst>
                <c:ext xmlns:c15="http://schemas.microsoft.com/office/drawing/2012/chart" uri="{CE6537A1-D6FC-4f65-9D91-7224C49458BB}"/>
                <c:ext xmlns:c16="http://schemas.microsoft.com/office/drawing/2014/chart" uri="{C3380CC4-5D6E-409C-BE32-E72D297353CC}">
                  <c16:uniqueId val="{00000006-1F29-4069-BD89-D58281643B0D}"/>
                </c:ext>
              </c:extLst>
            </c:dLbl>
            <c:dLbl>
              <c:idx val="48"/>
              <c:delete val="1"/>
              <c:extLst>
                <c:ext xmlns:c15="http://schemas.microsoft.com/office/drawing/2012/chart" uri="{CE6537A1-D6FC-4f65-9D91-7224C49458BB}">
                  <c15:layout>
                    <c:manualLayout>
                      <c:w val="0.22953343477176663"/>
                      <c:h val="6.7879138968673244E-2"/>
                    </c:manualLayout>
                  </c15:layout>
                </c:ext>
                <c:ext xmlns:c16="http://schemas.microsoft.com/office/drawing/2014/chart" uri="{C3380CC4-5D6E-409C-BE32-E72D297353CC}">
                  <c16:uniqueId val="{00000007-1F29-4069-BD89-D58281643B0D}"/>
                </c:ext>
              </c:extLst>
            </c:dLbl>
            <c:dLbl>
              <c:idx val="49"/>
              <c:delete val="1"/>
              <c:extLst>
                <c:ext xmlns:c15="http://schemas.microsoft.com/office/drawing/2012/chart" uri="{CE6537A1-D6FC-4f65-9D91-7224C49458BB}"/>
                <c:ext xmlns:c16="http://schemas.microsoft.com/office/drawing/2014/chart" uri="{C3380CC4-5D6E-409C-BE32-E72D297353CC}">
                  <c16:uniqueId val="{00000008-1F29-4069-BD89-D58281643B0D}"/>
                </c:ext>
              </c:extLst>
            </c:dLbl>
            <c:dLbl>
              <c:idx val="50"/>
              <c:delete val="1"/>
              <c:extLst>
                <c:ext xmlns:c15="http://schemas.microsoft.com/office/drawing/2012/chart" uri="{CE6537A1-D6FC-4f65-9D91-7224C49458BB}"/>
                <c:ext xmlns:c16="http://schemas.microsoft.com/office/drawing/2014/chart" uri="{C3380CC4-5D6E-409C-BE32-E72D297353CC}">
                  <c16:uniqueId val="{00000009-1F29-4069-BD89-D58281643B0D}"/>
                </c:ext>
              </c:extLst>
            </c:dLbl>
            <c:dLbl>
              <c:idx val="51"/>
              <c:layout>
                <c:manualLayout>
                  <c:x val="-2.0709795631415374E-2"/>
                  <c:y val="0.102220139685414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F29-4069-BD89-D58281643B0D}"/>
                </c:ext>
              </c:extLst>
            </c:dLbl>
            <c:dLbl>
              <c:idx val="52"/>
              <c:layout>
                <c:manualLayout>
                  <c:x val="-1.8336471571972081E-2"/>
                  <c:y val="0.1468626672820539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F29-4069-BD89-D58281643B0D}"/>
                </c:ext>
              </c:extLst>
            </c:dLbl>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'OZL Summary'!$JZ$8:$JZ$59</c:f>
              <c:numCache>
                <c:formatCode>d\-mmm\-yy_);\(###0\);"-  ";" "@" "</c:formatCode>
                <c:ptCount val="52"/>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Summary'!$KC$8:$KC$59</c:f>
              <c:numCache>
                <c:formatCode>0.000</c:formatCode>
                <c:ptCount val="52"/>
                <c:pt idx="43">
                  <c:v>0.99433233664239995</c:v>
                </c:pt>
                <c:pt idx="44">
                  <c:v>1.0148530447166499</c:v>
                </c:pt>
                <c:pt idx="45">
                  <c:v>1.0353737527908999</c:v>
                </c:pt>
                <c:pt idx="46">
                  <c:v>1.0558944608651499</c:v>
                </c:pt>
                <c:pt idx="47">
                  <c:v>1.0764151689393999</c:v>
                </c:pt>
                <c:pt idx="48">
                  <c:v>1.0969358770136499</c:v>
                </c:pt>
                <c:pt idx="49">
                  <c:v>1.1174565850878999</c:v>
                </c:pt>
                <c:pt idx="50">
                  <c:v>1.1379772931621499</c:v>
                </c:pt>
                <c:pt idx="51">
                  <c:v>1.1584980012363999</c:v>
                </c:pt>
              </c:numCache>
            </c:numRef>
          </c:val>
          <c:smooth val="0"/>
          <c:extLst xmlns:c15="http://schemas.microsoft.com/office/drawing/2012/chart">
            <c:ext xmlns:c16="http://schemas.microsoft.com/office/drawing/2014/chart" uri="{C3380CC4-5D6E-409C-BE32-E72D297353CC}">
              <c16:uniqueId val="{0000000C-1F29-4069-BD89-D58281643B0D}"/>
            </c:ext>
          </c:extLst>
        </c:ser>
        <c:ser>
          <c:idx val="7"/>
          <c:order val="2"/>
          <c:tx>
            <c:strRef>
              <c:f>'OZL Summary'!$KB$6</c:f>
              <c:strCache>
                <c:ptCount val="1"/>
                <c:pt idx="0">
                  <c:v>50th percentile from 6th May (jackpot = 5m)</c:v>
                </c:pt>
              </c:strCache>
            </c:strRef>
          </c:tx>
          <c:spPr>
            <a:ln w="28575" cap="rnd">
              <a:solidFill>
                <a:schemeClr val="accent6"/>
              </a:solidFill>
              <a:prstDash val="sysDot"/>
              <a:round/>
            </a:ln>
            <a:effectLst/>
          </c:spPr>
          <c:marker>
            <c:symbol val="none"/>
          </c:marker>
          <c:dLbls>
            <c:dLbl>
              <c:idx val="42"/>
              <c:delete val="1"/>
              <c:extLst>
                <c:ext xmlns:c15="http://schemas.microsoft.com/office/drawing/2012/chart" uri="{CE6537A1-D6FC-4f65-9D91-7224C49458BB}"/>
                <c:ext xmlns:c16="http://schemas.microsoft.com/office/drawing/2014/chart" uri="{C3380CC4-5D6E-409C-BE32-E72D297353CC}">
                  <c16:uniqueId val="{0000000D-1F29-4069-BD89-D58281643B0D}"/>
                </c:ext>
              </c:extLst>
            </c:dLbl>
            <c:dLbl>
              <c:idx val="43"/>
              <c:delete val="1"/>
              <c:extLst>
                <c:ext xmlns:c15="http://schemas.microsoft.com/office/drawing/2012/chart" uri="{CE6537A1-D6FC-4f65-9D91-7224C49458BB}"/>
                <c:ext xmlns:c16="http://schemas.microsoft.com/office/drawing/2014/chart" uri="{C3380CC4-5D6E-409C-BE32-E72D297353CC}">
                  <c16:uniqueId val="{0000000E-1F29-4069-BD89-D58281643B0D}"/>
                </c:ext>
              </c:extLst>
            </c:dLbl>
            <c:dLbl>
              <c:idx val="44"/>
              <c:delete val="1"/>
              <c:extLst>
                <c:ext xmlns:c15="http://schemas.microsoft.com/office/drawing/2012/chart" uri="{CE6537A1-D6FC-4f65-9D91-7224C49458BB}"/>
                <c:ext xmlns:c16="http://schemas.microsoft.com/office/drawing/2014/chart" uri="{C3380CC4-5D6E-409C-BE32-E72D297353CC}">
                  <c16:uniqueId val="{0000000F-1F29-4069-BD89-D58281643B0D}"/>
                </c:ext>
              </c:extLst>
            </c:dLbl>
            <c:dLbl>
              <c:idx val="45"/>
              <c:delete val="1"/>
              <c:extLst>
                <c:ext xmlns:c15="http://schemas.microsoft.com/office/drawing/2012/chart" uri="{CE6537A1-D6FC-4f65-9D91-7224C49458BB}"/>
                <c:ext xmlns:c16="http://schemas.microsoft.com/office/drawing/2014/chart" uri="{C3380CC4-5D6E-409C-BE32-E72D297353CC}">
                  <c16:uniqueId val="{00000010-1F29-4069-BD89-D58281643B0D}"/>
                </c:ext>
              </c:extLst>
            </c:dLbl>
            <c:dLbl>
              <c:idx val="46"/>
              <c:layout>
                <c:manualLayout>
                  <c:x val="-0.26120882017150404"/>
                  <c:y val="-7.8582097080976313E-2"/>
                </c:manualLayout>
              </c:layout>
              <c:tx>
                <c:rich>
                  <a:bodyPr wrap="square" lIns="38100" tIns="19050" rIns="38100" bIns="19050" anchor="ctr">
                    <a:noAutofit/>
                  </a:bodyPr>
                  <a:lstStyle/>
                  <a:p>
                    <a:pPr>
                      <a:defRPr/>
                    </a:pPr>
                    <a:r>
                      <a:rPr lang="en-US"/>
                      <a:t>hypothetical</a:t>
                    </a:r>
                    <a:r>
                      <a:rPr lang="en-US" baseline="0"/>
                      <a:t> prediction</a:t>
                    </a:r>
                    <a:endParaRPr lang="en-US"/>
                  </a:p>
                </c:rich>
              </c:tx>
              <c:spPr>
                <a:noFill/>
                <a:ln>
                  <a:noFill/>
                </a:ln>
                <a:effectLst/>
              </c:spPr>
              <c:dLblPos val="r"/>
              <c:showLegendKey val="0"/>
              <c:showVal val="1"/>
              <c:showCatName val="0"/>
              <c:showSerName val="0"/>
              <c:showPercent val="0"/>
              <c:showBubbleSize val="0"/>
              <c:extLst>
                <c:ext xmlns:c15="http://schemas.microsoft.com/office/drawing/2012/chart" uri="{CE6537A1-D6FC-4f65-9D91-7224C49458BB}">
                  <c15:layout>
                    <c:manualLayout>
                      <c:w val="0.26625031008638389"/>
                      <c:h val="9.0200402766993079E-2"/>
                    </c:manualLayout>
                  </c15:layout>
                  <c15:showDataLabelsRange val="0"/>
                </c:ext>
                <c:ext xmlns:c16="http://schemas.microsoft.com/office/drawing/2014/chart" uri="{C3380CC4-5D6E-409C-BE32-E72D297353CC}">
                  <c16:uniqueId val="{00000011-1F29-4069-BD89-D58281643B0D}"/>
                </c:ext>
              </c:extLst>
            </c:dLbl>
            <c:dLbl>
              <c:idx val="47"/>
              <c:delete val="1"/>
              <c:extLst>
                <c:ext xmlns:c15="http://schemas.microsoft.com/office/drawing/2012/chart" uri="{CE6537A1-D6FC-4f65-9D91-7224C49458BB}"/>
                <c:ext xmlns:c16="http://schemas.microsoft.com/office/drawing/2014/chart" uri="{C3380CC4-5D6E-409C-BE32-E72D297353CC}">
                  <c16:uniqueId val="{00000012-1F29-4069-BD89-D58281643B0D}"/>
                </c:ext>
              </c:extLst>
            </c:dLbl>
            <c:dLbl>
              <c:idx val="48"/>
              <c:delete val="1"/>
              <c:extLst>
                <c:ext xmlns:c15="http://schemas.microsoft.com/office/drawing/2012/chart" uri="{CE6537A1-D6FC-4f65-9D91-7224C49458BB}">
                  <c15:layout>
                    <c:manualLayout>
                      <c:w val="0.2380078135232406"/>
                      <c:h val="6.7879138968673244E-2"/>
                    </c:manualLayout>
                  </c15:layout>
                </c:ext>
                <c:ext xmlns:c16="http://schemas.microsoft.com/office/drawing/2014/chart" uri="{C3380CC4-5D6E-409C-BE32-E72D297353CC}">
                  <c16:uniqueId val="{00000013-1F29-4069-BD89-D58281643B0D}"/>
                </c:ext>
              </c:extLst>
            </c:dLbl>
            <c:dLbl>
              <c:idx val="49"/>
              <c:delete val="1"/>
              <c:extLst>
                <c:ext xmlns:c15="http://schemas.microsoft.com/office/drawing/2012/chart" uri="{CE6537A1-D6FC-4f65-9D91-7224C49458BB}"/>
                <c:ext xmlns:c16="http://schemas.microsoft.com/office/drawing/2014/chart" uri="{C3380CC4-5D6E-409C-BE32-E72D297353CC}">
                  <c16:uniqueId val="{00000014-1F29-4069-BD89-D58281643B0D}"/>
                </c:ext>
              </c:extLst>
            </c:dLbl>
            <c:dLbl>
              <c:idx val="50"/>
              <c:delete val="1"/>
              <c:extLst>
                <c:ext xmlns:c15="http://schemas.microsoft.com/office/drawing/2012/chart" uri="{CE6537A1-D6FC-4f65-9D91-7224C49458BB}"/>
                <c:ext xmlns:c16="http://schemas.microsoft.com/office/drawing/2014/chart" uri="{C3380CC4-5D6E-409C-BE32-E72D297353CC}">
                  <c16:uniqueId val="{00000015-1F29-4069-BD89-D58281643B0D}"/>
                </c:ext>
              </c:extLst>
            </c:dLbl>
            <c:dLbl>
              <c:idx val="51"/>
              <c:layout>
                <c:manualLayout>
                  <c:x val="-5.6951937986392281E-2"/>
                  <c:y val="-4.95644541431604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1F29-4069-BD89-D58281643B0D}"/>
                </c:ext>
              </c:extLst>
            </c:dLbl>
            <c:dLbl>
              <c:idx val="52"/>
              <c:layout>
                <c:manualLayout>
                  <c:x val="-5.238991877706254E-2"/>
                  <c:y val="-3.61716958641686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1F29-4069-BD89-D58281643B0D}"/>
                </c:ext>
              </c:extLst>
            </c:dLbl>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'OZL Summary'!$JZ$8:$JZ$59</c:f>
              <c:numCache>
                <c:formatCode>d\-mmm\-yy_);\(###0\);"-  ";" "@" "</c:formatCode>
                <c:ptCount val="52"/>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Summary'!$KB$8:$KB$59</c:f>
              <c:numCache>
                <c:formatCode>0.000</c:formatCode>
                <c:ptCount val="52"/>
                <c:pt idx="43">
                  <c:v>0.99433233664239995</c:v>
                </c:pt>
                <c:pt idx="44">
                  <c:v>1.0121739119566751</c:v>
                </c:pt>
                <c:pt idx="45">
                  <c:v>1.0300154872709502</c:v>
                </c:pt>
                <c:pt idx="46">
                  <c:v>1.0478570625852253</c:v>
                </c:pt>
                <c:pt idx="47">
                  <c:v>1.0656986378995004</c:v>
                </c:pt>
                <c:pt idx="48">
                  <c:v>1.0835402132137755</c:v>
                </c:pt>
                <c:pt idx="49">
                  <c:v>1.1013817885280506</c:v>
                </c:pt>
                <c:pt idx="50">
                  <c:v>1.1192233638423257</c:v>
                </c:pt>
                <c:pt idx="51">
                  <c:v>1.1370649391566008</c:v>
                </c:pt>
              </c:numCache>
            </c:numRef>
          </c:val>
          <c:smooth val="0"/>
          <c:extLst xmlns:c15="http://schemas.microsoft.com/office/drawing/2012/chart">
            <c:ext xmlns:c16="http://schemas.microsoft.com/office/drawing/2014/chart" uri="{C3380CC4-5D6E-409C-BE32-E72D297353CC}">
              <c16:uniqueId val="{00000018-1F29-4069-BD89-D58281643B0D}"/>
            </c:ext>
          </c:extLst>
        </c:ser>
        <c:dLbls>
          <c:showLegendKey val="0"/>
          <c:showVal val="0"/>
          <c:showCatName val="0"/>
          <c:showSerName val="0"/>
          <c:showPercent val="0"/>
          <c:showBubbleSize val="0"/>
        </c:dLbls>
        <c:smooth val="0"/>
        <c:axId val="1388952432"/>
        <c:axId val="1388953088"/>
        <c:extLst/>
      </c:lineChart>
      <c:dateAx>
        <c:axId val="1388952432"/>
        <c:scaling>
          <c:orientation val="minMax"/>
          <c:min val="44652"/>
        </c:scaling>
        <c:delete val="0"/>
        <c:axPos val="b"/>
        <c:numFmt formatCode="mmm\-yy" sourceLinked="0"/>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3088"/>
        <c:crosses val="autoZero"/>
        <c:auto val="1"/>
        <c:lblOffset val="100"/>
        <c:baseTimeUnit val="days"/>
        <c:majorUnit val="1"/>
        <c:majorTimeUnit val="months"/>
      </c:dateAx>
      <c:valAx>
        <c:axId val="1388953088"/>
        <c:scaling>
          <c:orientation val="minMax"/>
          <c:min val="0.9"/>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2432"/>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orientation="portrait"/>
  </c:printSettings>
</c:chartSpace>
</file>

<file path=xl/charts/chart1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'OZL Summary'!$BN$6:$BN$7</c:f>
              <c:strCache>
                <c:ptCount val="2"/>
                <c:pt idx="0">
                  <c:v>Actual</c:v>
                </c:pt>
              </c:strCache>
            </c:strRef>
          </c:tx>
          <c:spPr>
            <a:ln w="28575" cap="rnd">
              <a:solidFill>
                <a:schemeClr val="tx2"/>
              </a:solidFill>
              <a:round/>
            </a:ln>
            <a:effectLst/>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Summary'!$BN$8:$BN$60</c:f>
              <c:numCache>
                <c:formatCode>0.000</c:formatCode>
                <c:ptCount val="53"/>
                <c:pt idx="0">
                  <c:v>3.4282144018799997E-2</c:v>
                </c:pt>
                <c:pt idx="1">
                  <c:v>4.61727482976E-2</c:v>
                </c:pt>
                <c:pt idx="2">
                  <c:v>6.0744925144799997E-2</c:v>
                </c:pt>
                <c:pt idx="3">
                  <c:v>7.9887071887199998E-2</c:v>
                </c:pt>
                <c:pt idx="4">
                  <c:v>9.0591598206000004E-2</c:v>
                </c:pt>
                <c:pt idx="5">
                  <c:v>0.10471594425839999</c:v>
                </c:pt>
                <c:pt idx="6">
                  <c:v>0.13024126318319998</c:v>
                </c:pt>
                <c:pt idx="7">
                  <c:v>0.14299494069599997</c:v>
                </c:pt>
                <c:pt idx="8">
                  <c:v>0.15712274134439999</c:v>
                </c:pt>
                <c:pt idx="9">
                  <c:v>0.18211939192799997</c:v>
                </c:pt>
                <c:pt idx="10">
                  <c:v>0.21562528822559998</c:v>
                </c:pt>
                <c:pt idx="11">
                  <c:v>0.26312805598319994</c:v>
                </c:pt>
                <c:pt idx="12">
                  <c:v>0.27559419595559997</c:v>
                </c:pt>
                <c:pt idx="13">
                  <c:v>0.29338294713839996</c:v>
                </c:pt>
                <c:pt idx="14">
                  <c:v>0.31479798774239992</c:v>
                </c:pt>
                <c:pt idx="15">
                  <c:v>0.34138237064759991</c:v>
                </c:pt>
                <c:pt idx="16">
                  <c:v>0.38401116406199992</c:v>
                </c:pt>
                <c:pt idx="17">
                  <c:v>0.45353502371519994</c:v>
                </c:pt>
                <c:pt idx="18">
                  <c:v>0.46636884785519994</c:v>
                </c:pt>
                <c:pt idx="19">
                  <c:v>0.48057414660719988</c:v>
                </c:pt>
                <c:pt idx="20">
                  <c:v>0.50512031787239997</c:v>
                </c:pt>
                <c:pt idx="21">
                  <c:v>0.53195446806839985</c:v>
                </c:pt>
                <c:pt idx="22">
                  <c:v>0.57374874624239991</c:v>
                </c:pt>
                <c:pt idx="23">
                  <c:v>0.58543426267199994</c:v>
                </c:pt>
                <c:pt idx="24">
                  <c:v>0.59798193110999986</c:v>
                </c:pt>
                <c:pt idx="25">
                  <c:v>0.60953824564919989</c:v>
                </c:pt>
                <c:pt idx="26">
                  <c:v>0.62793005414039982</c:v>
                </c:pt>
                <c:pt idx="27">
                  <c:v>0.66085868744639986</c:v>
                </c:pt>
                <c:pt idx="28">
                  <c:v>0.70280784667439988</c:v>
                </c:pt>
                <c:pt idx="29">
                  <c:v>0.76647478426919979</c:v>
                </c:pt>
                <c:pt idx="30">
                  <c:v>0.77875598820239988</c:v>
                </c:pt>
                <c:pt idx="31">
                  <c:v>0.79341798454559986</c:v>
                </c:pt>
                <c:pt idx="32">
                  <c:v>0.81253514304359986</c:v>
                </c:pt>
                <c:pt idx="33">
                  <c:v>0.82340606573639985</c:v>
                </c:pt>
                <c:pt idx="34">
                  <c:v>0.84006470341439987</c:v>
                </c:pt>
                <c:pt idx="35">
                  <c:v>0.86433934343399987</c:v>
                </c:pt>
                <c:pt idx="36">
                  <c:v>0.87578580182039989</c:v>
                </c:pt>
                <c:pt idx="37">
                  <c:v>0.89565744408479986</c:v>
                </c:pt>
                <c:pt idx="38">
                  <c:v>0.90846581936759985</c:v>
                </c:pt>
                <c:pt idx="39">
                  <c:v>0.91858582836759983</c:v>
                </c:pt>
                <c:pt idx="40">
                  <c:v>0.93370152831879982</c:v>
                </c:pt>
                <c:pt idx="41">
                  <c:v>0.95559030918759991</c:v>
                </c:pt>
                <c:pt idx="42">
                  <c:v>0.98300771034159995</c:v>
                </c:pt>
                <c:pt idx="43">
                  <c:v>0.99330666708999993</c:v>
                </c:pt>
                <c:pt idx="44">
                  <c:v>1.0075762213275998</c:v>
                </c:pt>
                <c:pt idx="45">
                  <c:v>1.0281208537475999</c:v>
                </c:pt>
                <c:pt idx="46">
                  <c:v>1.0382225415931998</c:v>
                </c:pt>
                <c:pt idx="47">
                  <c:v>1.0541579684225999</c:v>
                </c:pt>
                <c:pt idx="48">
                  <c:v>1.0687637971379997</c:v>
                </c:pt>
                <c:pt idx="49">
                  <c:v>1.0815684581785998</c:v>
                </c:pt>
                <c:pt idx="50">
                  <c:v>1.0986668252266998</c:v>
                </c:pt>
                <c:pt idx="51">
                  <c:v>1.1194431701510998</c:v>
                </c:pt>
              </c:numCache>
            </c:numRef>
          </c:val>
          <c:smooth val="0"/>
          <c:extLst>
            <c:ext xmlns:c16="http://schemas.microsoft.com/office/drawing/2014/chart" uri="{C3380CC4-5D6E-409C-BE32-E72D297353CC}">
              <c16:uniqueId val="{00000000-5F3F-497A-9D0B-769483B6EB93}"/>
            </c:ext>
          </c:extLst>
        </c:ser>
        <c:ser>
          <c:idx val="7"/>
          <c:order val="3"/>
          <c:tx>
            <c:strRef>
              <c:f>'OZL Summary'!$BQ$6:$BQ$7</c:f>
              <c:strCache>
                <c:ptCount val="2"/>
                <c:pt idx="0">
                  <c:v>5th Percentile</c:v>
                </c:pt>
              </c:strCache>
            </c:strRef>
          </c:tx>
          <c:spPr>
            <a:ln w="28575" cap="rnd">
              <a:solidFill>
                <a:schemeClr val="bg2"/>
              </a:solidFill>
              <a:prstDash val="sysDot"/>
              <a:round/>
            </a:ln>
            <a:effectLst/>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Summary'!$BQ$8:$BQ$60</c:f>
              <c:numCache>
                <c:formatCode>0.000</c:formatCode>
                <c:ptCount val="53"/>
                <c:pt idx="0">
                  <c:v>1.9443728141978436E-2</c:v>
                </c:pt>
                <c:pt idx="1">
                  <c:v>3.8887456283956873E-2</c:v>
                </c:pt>
                <c:pt idx="2">
                  <c:v>5.8331184425935309E-2</c:v>
                </c:pt>
                <c:pt idx="3">
                  <c:v>7.7774912567913745E-2</c:v>
                </c:pt>
                <c:pt idx="4">
                  <c:v>9.7218640709892182E-2</c:v>
                </c:pt>
                <c:pt idx="5">
                  <c:v>0.11666236885187062</c:v>
                </c:pt>
                <c:pt idx="6">
                  <c:v>0.13610609699384907</c:v>
                </c:pt>
                <c:pt idx="7">
                  <c:v>0.15554982513582749</c:v>
                </c:pt>
                <c:pt idx="8">
                  <c:v>0.17499355327780591</c:v>
                </c:pt>
                <c:pt idx="9">
                  <c:v>0.19443728141978434</c:v>
                </c:pt>
                <c:pt idx="10">
                  <c:v>0.21388100956176276</c:v>
                </c:pt>
                <c:pt idx="11">
                  <c:v>0.23332473770374118</c:v>
                </c:pt>
                <c:pt idx="12">
                  <c:v>0.2527684658457196</c:v>
                </c:pt>
                <c:pt idx="13">
                  <c:v>0.27221219398769803</c:v>
                </c:pt>
                <c:pt idx="14">
                  <c:v>0.29165592212967645</c:v>
                </c:pt>
                <c:pt idx="15">
                  <c:v>0.31109965027165487</c:v>
                </c:pt>
                <c:pt idx="16">
                  <c:v>0.33054337841363329</c:v>
                </c:pt>
                <c:pt idx="17">
                  <c:v>0.34998710655561172</c:v>
                </c:pt>
                <c:pt idx="18">
                  <c:v>0.36943083469759014</c:v>
                </c:pt>
                <c:pt idx="19">
                  <c:v>0.38887456283956856</c:v>
                </c:pt>
                <c:pt idx="20">
                  <c:v>0.40831829098154698</c:v>
                </c:pt>
                <c:pt idx="21">
                  <c:v>0.42776201912352541</c:v>
                </c:pt>
                <c:pt idx="22">
                  <c:v>0.44720574726550383</c:v>
                </c:pt>
                <c:pt idx="23">
                  <c:v>0.46664947540748225</c:v>
                </c:pt>
                <c:pt idx="24">
                  <c:v>0.48609320354946067</c:v>
                </c:pt>
                <c:pt idx="25">
                  <c:v>0.5055369316914391</c:v>
                </c:pt>
                <c:pt idx="26">
                  <c:v>0.52498065983341757</c:v>
                </c:pt>
                <c:pt idx="27">
                  <c:v>0.54442438797539605</c:v>
                </c:pt>
                <c:pt idx="28">
                  <c:v>0.56386811611737453</c:v>
                </c:pt>
                <c:pt idx="29">
                  <c:v>0.58331184425935301</c:v>
                </c:pt>
                <c:pt idx="30">
                  <c:v>0.60275557240133149</c:v>
                </c:pt>
                <c:pt idx="31">
                  <c:v>0.62219930054330996</c:v>
                </c:pt>
                <c:pt idx="32">
                  <c:v>0.64164302868528844</c:v>
                </c:pt>
                <c:pt idx="33">
                  <c:v>0.66108675682726692</c:v>
                </c:pt>
                <c:pt idx="34">
                  <c:v>0.6805304849692454</c:v>
                </c:pt>
                <c:pt idx="35">
                  <c:v>0.69997421311122388</c:v>
                </c:pt>
                <c:pt idx="36">
                  <c:v>0.71941794125320235</c:v>
                </c:pt>
                <c:pt idx="37">
                  <c:v>0.73886166939518083</c:v>
                </c:pt>
                <c:pt idx="38">
                  <c:v>0.75830539753715931</c:v>
                </c:pt>
                <c:pt idx="39">
                  <c:v>0.77774912567913779</c:v>
                </c:pt>
                <c:pt idx="40">
                  <c:v>0.79719285382111627</c:v>
                </c:pt>
                <c:pt idx="41">
                  <c:v>0.81663658196309474</c:v>
                </c:pt>
                <c:pt idx="42">
                  <c:v>0.83608031010507322</c:v>
                </c:pt>
                <c:pt idx="43">
                  <c:v>0.8555240382470517</c:v>
                </c:pt>
                <c:pt idx="44">
                  <c:v>0.87496776638903018</c:v>
                </c:pt>
                <c:pt idx="45">
                  <c:v>0.89441149453100866</c:v>
                </c:pt>
                <c:pt idx="46">
                  <c:v>0.91385522267298713</c:v>
                </c:pt>
                <c:pt idx="47">
                  <c:v>0.93329895081496561</c:v>
                </c:pt>
                <c:pt idx="48">
                  <c:v>0.95274267895694409</c:v>
                </c:pt>
                <c:pt idx="49">
                  <c:v>0.97218640709892257</c:v>
                </c:pt>
                <c:pt idx="50">
                  <c:v>0.99163013524090105</c:v>
                </c:pt>
                <c:pt idx="51">
                  <c:v>1.0110738633828795</c:v>
                </c:pt>
              </c:numCache>
            </c:numRef>
          </c:val>
          <c:smooth val="0"/>
          <c:extLst xmlns:c15="http://schemas.microsoft.com/office/drawing/2012/chart">
            <c:ext xmlns:c16="http://schemas.microsoft.com/office/drawing/2014/chart" uri="{C3380CC4-5D6E-409C-BE32-E72D297353CC}">
              <c16:uniqueId val="{00000001-5F3F-497A-9D0B-769483B6EB93}"/>
            </c:ext>
          </c:extLst>
        </c:ser>
        <c:ser>
          <c:idx val="2"/>
          <c:order val="5"/>
          <c:tx>
            <c:v>25/50/75th percentile</c:v>
          </c:tx>
          <c:spPr>
            <a:ln w="28575">
              <a:solidFill>
                <a:schemeClr val="bg2"/>
              </a:solidFill>
              <a:prstDash val="sysDot"/>
            </a:ln>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Summary'!$BS$8:$BS$60</c:f>
              <c:numCache>
                <c:formatCode>0.000</c:formatCode>
                <c:ptCount val="53"/>
                <c:pt idx="0">
                  <c:v>2.1609953490484776E-2</c:v>
                </c:pt>
                <c:pt idx="1">
                  <c:v>4.3219906980969551E-2</c:v>
                </c:pt>
                <c:pt idx="2">
                  <c:v>6.4829860471454323E-2</c:v>
                </c:pt>
                <c:pt idx="3">
                  <c:v>8.6439813961939102E-2</c:v>
                </c:pt>
                <c:pt idx="4">
                  <c:v>0.10804976745242388</c:v>
                </c:pt>
                <c:pt idx="5">
                  <c:v>0.12965972094290865</c:v>
                </c:pt>
                <c:pt idx="6">
                  <c:v>0.15126967443339343</c:v>
                </c:pt>
                <c:pt idx="7">
                  <c:v>0.1728796279238782</c:v>
                </c:pt>
                <c:pt idx="8">
                  <c:v>0.19448958141436298</c:v>
                </c:pt>
                <c:pt idx="9">
                  <c:v>0.21609953490484776</c:v>
                </c:pt>
                <c:pt idx="10">
                  <c:v>0.23770948839533254</c:v>
                </c:pt>
                <c:pt idx="11">
                  <c:v>0.25931944188581729</c:v>
                </c:pt>
                <c:pt idx="12">
                  <c:v>0.28092939537630207</c:v>
                </c:pt>
                <c:pt idx="13">
                  <c:v>0.30253934886678685</c:v>
                </c:pt>
                <c:pt idx="14">
                  <c:v>0.32414930235727163</c:v>
                </c:pt>
                <c:pt idx="15">
                  <c:v>0.34575925584775641</c:v>
                </c:pt>
                <c:pt idx="16">
                  <c:v>0.36736920933824119</c:v>
                </c:pt>
                <c:pt idx="17">
                  <c:v>0.38897916282872597</c:v>
                </c:pt>
                <c:pt idx="18">
                  <c:v>0.41058911631921075</c:v>
                </c:pt>
                <c:pt idx="19">
                  <c:v>0.43219906980969552</c:v>
                </c:pt>
                <c:pt idx="20">
                  <c:v>0.4538090233001803</c:v>
                </c:pt>
                <c:pt idx="21">
                  <c:v>0.47541897679066508</c:v>
                </c:pt>
                <c:pt idx="22">
                  <c:v>0.49702893028114986</c:v>
                </c:pt>
                <c:pt idx="23">
                  <c:v>0.51863888377163458</c:v>
                </c:pt>
                <c:pt idx="24">
                  <c:v>0.54024883726211936</c:v>
                </c:pt>
                <c:pt idx="25">
                  <c:v>0.56185879075260414</c:v>
                </c:pt>
                <c:pt idx="26">
                  <c:v>0.58346874424308892</c:v>
                </c:pt>
                <c:pt idx="27">
                  <c:v>0.6050786977335737</c:v>
                </c:pt>
                <c:pt idx="28">
                  <c:v>0.62668865122405848</c:v>
                </c:pt>
                <c:pt idx="29">
                  <c:v>0.64829860471454326</c:v>
                </c:pt>
                <c:pt idx="30">
                  <c:v>0.66990855820502804</c:v>
                </c:pt>
                <c:pt idx="31">
                  <c:v>0.69151851169551282</c:v>
                </c:pt>
                <c:pt idx="32">
                  <c:v>0.7131284651859976</c:v>
                </c:pt>
                <c:pt idx="33">
                  <c:v>0.73473841867648237</c:v>
                </c:pt>
                <c:pt idx="34">
                  <c:v>0.75634837216696715</c:v>
                </c:pt>
                <c:pt idx="35">
                  <c:v>0.77795832565745193</c:v>
                </c:pt>
                <c:pt idx="36">
                  <c:v>0.79956827914793671</c:v>
                </c:pt>
                <c:pt idx="37">
                  <c:v>0.82117823263842149</c:v>
                </c:pt>
                <c:pt idx="38">
                  <c:v>0.84278818612890627</c:v>
                </c:pt>
                <c:pt idx="39">
                  <c:v>0.86439813961939105</c:v>
                </c:pt>
                <c:pt idx="40">
                  <c:v>0.88600809310987583</c:v>
                </c:pt>
                <c:pt idx="41">
                  <c:v>0.90761804660036061</c:v>
                </c:pt>
                <c:pt idx="42">
                  <c:v>0.92922800009084539</c:v>
                </c:pt>
                <c:pt idx="43">
                  <c:v>0.95083795358133016</c:v>
                </c:pt>
                <c:pt idx="44">
                  <c:v>0.97244790707181494</c:v>
                </c:pt>
                <c:pt idx="45">
                  <c:v>0.99405786056229972</c:v>
                </c:pt>
                <c:pt idx="46">
                  <c:v>1.0156678140527844</c:v>
                </c:pt>
                <c:pt idx="47">
                  <c:v>1.0372777675432692</c:v>
                </c:pt>
                <c:pt idx="48">
                  <c:v>1.0588877210337539</c:v>
                </c:pt>
                <c:pt idx="49">
                  <c:v>1.0804976745242387</c:v>
                </c:pt>
                <c:pt idx="50">
                  <c:v>1.1021076280147235</c:v>
                </c:pt>
                <c:pt idx="51">
                  <c:v>1.1237175815052083</c:v>
                </c:pt>
              </c:numCache>
            </c:numRef>
          </c:val>
          <c:smooth val="0"/>
          <c:extLst>
            <c:ext xmlns:c16="http://schemas.microsoft.com/office/drawing/2014/chart" uri="{C3380CC4-5D6E-409C-BE32-E72D297353CC}">
              <c16:uniqueId val="{00000002-5F3F-497A-9D0B-769483B6EB93}"/>
            </c:ext>
          </c:extLst>
        </c:ser>
        <c:ser>
          <c:idx val="4"/>
          <c:order val="6"/>
          <c:tx>
            <c:strRef>
              <c:f>'OZL Summary'!$BT$6:$BT$7</c:f>
              <c:strCache>
                <c:ptCount val="2"/>
                <c:pt idx="0">
                  <c:v>50th Percentile</c:v>
                </c:pt>
              </c:strCache>
            </c:strRef>
          </c:tx>
          <c:spPr>
            <a:ln w="28575">
              <a:solidFill>
                <a:schemeClr val="bg2"/>
              </a:solidFill>
              <a:prstDash val="sysDot"/>
            </a:ln>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Summary'!$BT$8:$BT$60</c:f>
              <c:numCache>
                <c:formatCode>0.000</c:formatCode>
                <c:ptCount val="53"/>
                <c:pt idx="0">
                  <c:v>2.3469807538576672E-2</c:v>
                </c:pt>
                <c:pt idx="1">
                  <c:v>4.6939615077153343E-2</c:v>
                </c:pt>
                <c:pt idx="2">
                  <c:v>7.0409422615730022E-2</c:v>
                </c:pt>
                <c:pt idx="3">
                  <c:v>9.3879230154306686E-2</c:v>
                </c:pt>
                <c:pt idx="4">
                  <c:v>0.11734903769288335</c:v>
                </c:pt>
                <c:pt idx="5">
                  <c:v>0.14081884523146002</c:v>
                </c:pt>
                <c:pt idx="6">
                  <c:v>0.16428865277003668</c:v>
                </c:pt>
                <c:pt idx="7">
                  <c:v>0.18775846030861335</c:v>
                </c:pt>
                <c:pt idx="8">
                  <c:v>0.21122826784719001</c:v>
                </c:pt>
                <c:pt idx="9">
                  <c:v>0.23469807538576667</c:v>
                </c:pt>
                <c:pt idx="10">
                  <c:v>0.25816788292434334</c:v>
                </c:pt>
                <c:pt idx="11">
                  <c:v>0.28163769046292003</c:v>
                </c:pt>
                <c:pt idx="12">
                  <c:v>0.30510749800149672</c:v>
                </c:pt>
                <c:pt idx="13">
                  <c:v>0.32857730554007342</c:v>
                </c:pt>
                <c:pt idx="14">
                  <c:v>0.35204711307865011</c:v>
                </c:pt>
                <c:pt idx="15">
                  <c:v>0.3755169206172268</c:v>
                </c:pt>
                <c:pt idx="16">
                  <c:v>0.39898672815580349</c:v>
                </c:pt>
                <c:pt idx="17">
                  <c:v>0.42245653569438019</c:v>
                </c:pt>
                <c:pt idx="18">
                  <c:v>0.44592634323295688</c:v>
                </c:pt>
                <c:pt idx="19">
                  <c:v>0.46939615077153357</c:v>
                </c:pt>
                <c:pt idx="20">
                  <c:v>0.49286595831011026</c:v>
                </c:pt>
                <c:pt idx="21">
                  <c:v>0.5163357658486869</c:v>
                </c:pt>
                <c:pt idx="22">
                  <c:v>0.53980557338726354</c:v>
                </c:pt>
                <c:pt idx="23">
                  <c:v>0.56327538092584017</c:v>
                </c:pt>
                <c:pt idx="24">
                  <c:v>0.58674518846441681</c:v>
                </c:pt>
                <c:pt idx="25">
                  <c:v>0.61021499600299345</c:v>
                </c:pt>
                <c:pt idx="26">
                  <c:v>0.63368480354157009</c:v>
                </c:pt>
                <c:pt idx="27">
                  <c:v>0.65715461108014672</c:v>
                </c:pt>
                <c:pt idx="28">
                  <c:v>0.68062441861872336</c:v>
                </c:pt>
                <c:pt idx="29">
                  <c:v>0.7040942261573</c:v>
                </c:pt>
                <c:pt idx="30">
                  <c:v>0.72756403369587663</c:v>
                </c:pt>
                <c:pt idx="31">
                  <c:v>0.75103384123445327</c:v>
                </c:pt>
                <c:pt idx="32">
                  <c:v>0.77450364877302991</c:v>
                </c:pt>
                <c:pt idx="33">
                  <c:v>0.79797345631160654</c:v>
                </c:pt>
                <c:pt idx="34">
                  <c:v>0.82144326385018318</c:v>
                </c:pt>
                <c:pt idx="35">
                  <c:v>0.84491307138875982</c:v>
                </c:pt>
                <c:pt idx="36">
                  <c:v>0.86838287892733645</c:v>
                </c:pt>
                <c:pt idx="37">
                  <c:v>0.89185268646591309</c:v>
                </c:pt>
                <c:pt idx="38">
                  <c:v>0.91532249400448973</c:v>
                </c:pt>
                <c:pt idx="39">
                  <c:v>0.93879230154306637</c:v>
                </c:pt>
                <c:pt idx="40">
                  <c:v>0.962262109081643</c:v>
                </c:pt>
                <c:pt idx="41">
                  <c:v>0.98573191662021964</c:v>
                </c:pt>
                <c:pt idx="42">
                  <c:v>1.0092017241587963</c:v>
                </c:pt>
                <c:pt idx="43">
                  <c:v>1.0326715316973729</c:v>
                </c:pt>
                <c:pt idx="44">
                  <c:v>1.0561413392359496</c:v>
                </c:pt>
                <c:pt idx="45">
                  <c:v>1.0796111467745262</c:v>
                </c:pt>
                <c:pt idx="46">
                  <c:v>1.1030809543131028</c:v>
                </c:pt>
                <c:pt idx="47">
                  <c:v>1.1265507618516795</c:v>
                </c:pt>
                <c:pt idx="48">
                  <c:v>1.1500205693902561</c:v>
                </c:pt>
                <c:pt idx="49">
                  <c:v>1.1734903769288327</c:v>
                </c:pt>
                <c:pt idx="50">
                  <c:v>1.1969601844674094</c:v>
                </c:pt>
                <c:pt idx="51">
                  <c:v>1.220429992005986</c:v>
                </c:pt>
              </c:numCache>
            </c:numRef>
          </c:val>
          <c:smooth val="0"/>
          <c:extLst>
            <c:ext xmlns:c16="http://schemas.microsoft.com/office/drawing/2014/chart" uri="{C3380CC4-5D6E-409C-BE32-E72D297353CC}">
              <c16:uniqueId val="{00000003-5F3F-497A-9D0B-769483B6EB93}"/>
            </c:ext>
          </c:extLst>
        </c:ser>
        <c:ser>
          <c:idx val="6"/>
          <c:order val="7"/>
          <c:tx>
            <c:strRef>
              <c:f>'OZL Summary'!$BU$6:$BU$7</c:f>
              <c:strCache>
                <c:ptCount val="2"/>
                <c:pt idx="0">
                  <c:v>75th Percentile</c:v>
                </c:pt>
              </c:strCache>
            </c:strRef>
          </c:tx>
          <c:spPr>
            <a:ln w="28575">
              <a:solidFill>
                <a:schemeClr val="bg2"/>
              </a:solidFill>
              <a:prstDash val="sysDot"/>
            </a:ln>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Summary'!$BU$8:$BU$60</c:f>
              <c:numCache>
                <c:formatCode>0.000</c:formatCode>
                <c:ptCount val="53"/>
                <c:pt idx="0">
                  <c:v>2.5540580974329746E-2</c:v>
                </c:pt>
                <c:pt idx="1">
                  <c:v>5.1081161948659491E-2</c:v>
                </c:pt>
                <c:pt idx="2">
                  <c:v>7.6621742922989233E-2</c:v>
                </c:pt>
                <c:pt idx="3">
                  <c:v>0.10216232389731898</c:v>
                </c:pt>
                <c:pt idx="4">
                  <c:v>0.12770290487164873</c:v>
                </c:pt>
                <c:pt idx="5">
                  <c:v>0.15324348584597847</c:v>
                </c:pt>
                <c:pt idx="6">
                  <c:v>0.1787840668203082</c:v>
                </c:pt>
                <c:pt idx="7">
                  <c:v>0.20432464779463794</c:v>
                </c:pt>
                <c:pt idx="8">
                  <c:v>0.22986522876896767</c:v>
                </c:pt>
                <c:pt idx="9">
                  <c:v>0.25540580974329741</c:v>
                </c:pt>
                <c:pt idx="10">
                  <c:v>0.28094639071762717</c:v>
                </c:pt>
                <c:pt idx="11">
                  <c:v>0.30648697169195693</c:v>
                </c:pt>
                <c:pt idx="12">
                  <c:v>0.3320275526662867</c:v>
                </c:pt>
                <c:pt idx="13">
                  <c:v>0.35756813364061646</c:v>
                </c:pt>
                <c:pt idx="14">
                  <c:v>0.38310871461494622</c:v>
                </c:pt>
                <c:pt idx="15">
                  <c:v>0.40864929558927598</c:v>
                </c:pt>
                <c:pt idx="16">
                  <c:v>0.43418987656360575</c:v>
                </c:pt>
                <c:pt idx="17">
                  <c:v>0.45973045753793551</c:v>
                </c:pt>
                <c:pt idx="18">
                  <c:v>0.48527103851226527</c:v>
                </c:pt>
                <c:pt idx="19">
                  <c:v>0.51081161948659504</c:v>
                </c:pt>
                <c:pt idx="20">
                  <c:v>0.5363522004609248</c:v>
                </c:pt>
                <c:pt idx="21">
                  <c:v>0.56189278143525456</c:v>
                </c:pt>
                <c:pt idx="22">
                  <c:v>0.58743336240958433</c:v>
                </c:pt>
                <c:pt idx="23">
                  <c:v>0.61297394338391409</c:v>
                </c:pt>
                <c:pt idx="24">
                  <c:v>0.63851452435824385</c:v>
                </c:pt>
                <c:pt idx="25">
                  <c:v>0.66405510533257361</c:v>
                </c:pt>
                <c:pt idx="26">
                  <c:v>0.68959568630690338</c:v>
                </c:pt>
                <c:pt idx="27">
                  <c:v>0.71513626728123314</c:v>
                </c:pt>
                <c:pt idx="28">
                  <c:v>0.7406768482555629</c:v>
                </c:pt>
                <c:pt idx="29">
                  <c:v>0.76621742922989267</c:v>
                </c:pt>
                <c:pt idx="30">
                  <c:v>0.79175801020422243</c:v>
                </c:pt>
                <c:pt idx="31">
                  <c:v>0.81729859117855219</c:v>
                </c:pt>
                <c:pt idx="32">
                  <c:v>0.84283917215288195</c:v>
                </c:pt>
                <c:pt idx="33">
                  <c:v>0.86837975312721172</c:v>
                </c:pt>
                <c:pt idx="34">
                  <c:v>0.89392033410154148</c:v>
                </c:pt>
                <c:pt idx="35">
                  <c:v>0.91946091507587124</c:v>
                </c:pt>
                <c:pt idx="36">
                  <c:v>0.94500149605020101</c:v>
                </c:pt>
                <c:pt idx="37">
                  <c:v>0.97054207702453077</c:v>
                </c:pt>
                <c:pt idx="38">
                  <c:v>0.99608265799886053</c:v>
                </c:pt>
                <c:pt idx="39">
                  <c:v>1.0216232389731903</c:v>
                </c:pt>
                <c:pt idx="40">
                  <c:v>1.0471638199475199</c:v>
                </c:pt>
                <c:pt idx="41">
                  <c:v>1.0727044009218496</c:v>
                </c:pt>
                <c:pt idx="42">
                  <c:v>1.0982449818961793</c:v>
                </c:pt>
                <c:pt idx="43">
                  <c:v>1.1237855628705089</c:v>
                </c:pt>
                <c:pt idx="44">
                  <c:v>1.1493261438448386</c:v>
                </c:pt>
                <c:pt idx="45">
                  <c:v>1.1748667248191682</c:v>
                </c:pt>
                <c:pt idx="46">
                  <c:v>1.2004073057934979</c:v>
                </c:pt>
                <c:pt idx="47">
                  <c:v>1.2259478867678275</c:v>
                </c:pt>
                <c:pt idx="48">
                  <c:v>1.2514884677421572</c:v>
                </c:pt>
                <c:pt idx="49">
                  <c:v>1.2770290487164868</c:v>
                </c:pt>
                <c:pt idx="50">
                  <c:v>1.3025696296908165</c:v>
                </c:pt>
                <c:pt idx="51">
                  <c:v>1.3281102106651461</c:v>
                </c:pt>
              </c:numCache>
            </c:numRef>
          </c:val>
          <c:smooth val="0"/>
          <c:extLst xmlns:c15="http://schemas.microsoft.com/office/drawing/2012/chart">
            <c:ext xmlns:c16="http://schemas.microsoft.com/office/drawing/2014/chart" uri="{C3380CC4-5D6E-409C-BE32-E72D297353CC}">
              <c16:uniqueId val="{00000004-5F3F-497A-9D0B-769483B6EB93}"/>
            </c:ext>
          </c:extLst>
        </c:ser>
        <c:ser>
          <c:idx val="9"/>
          <c:order val="9"/>
          <c:tx>
            <c:strRef>
              <c:f>'OZL Summary'!$BW$6:$BW$7</c:f>
              <c:strCache>
                <c:ptCount val="2"/>
                <c:pt idx="0">
                  <c:v>95th Percentile</c:v>
                </c:pt>
              </c:strCache>
            </c:strRef>
          </c:tx>
          <c:spPr>
            <a:ln w="28575">
              <a:solidFill>
                <a:schemeClr val="bg2"/>
              </a:solidFill>
              <a:prstDash val="sysDot"/>
            </a:ln>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Summary'!$BW$8:$BW$60</c:f>
              <c:numCache>
                <c:formatCode>0.000</c:formatCode>
                <c:ptCount val="53"/>
                <c:pt idx="0">
                  <c:v>2.9126260596895739E-2</c:v>
                </c:pt>
                <c:pt idx="1">
                  <c:v>5.8252521193791477E-2</c:v>
                </c:pt>
                <c:pt idx="2">
                  <c:v>8.7378781790687213E-2</c:v>
                </c:pt>
                <c:pt idx="3">
                  <c:v>0.11650504238758295</c:v>
                </c:pt>
                <c:pt idx="4">
                  <c:v>0.14563130298447868</c:v>
                </c:pt>
                <c:pt idx="5">
                  <c:v>0.17475756358137443</c:v>
                </c:pt>
                <c:pt idx="6">
                  <c:v>0.20388382417827017</c:v>
                </c:pt>
                <c:pt idx="7">
                  <c:v>0.23301008477516591</c:v>
                </c:pt>
                <c:pt idx="8">
                  <c:v>0.26213634537206165</c:v>
                </c:pt>
                <c:pt idx="9">
                  <c:v>0.29126260596895737</c:v>
                </c:pt>
                <c:pt idx="10">
                  <c:v>0.32038886656585308</c:v>
                </c:pt>
                <c:pt idx="11">
                  <c:v>0.3495151271627488</c:v>
                </c:pt>
                <c:pt idx="12">
                  <c:v>0.37864138775964451</c:v>
                </c:pt>
                <c:pt idx="13">
                  <c:v>0.40776764835654022</c:v>
                </c:pt>
                <c:pt idx="14">
                  <c:v>0.43689390895343594</c:v>
                </c:pt>
                <c:pt idx="15">
                  <c:v>0.46602016955033165</c:v>
                </c:pt>
                <c:pt idx="16">
                  <c:v>0.49514643014722737</c:v>
                </c:pt>
                <c:pt idx="17">
                  <c:v>0.52427269074412308</c:v>
                </c:pt>
                <c:pt idx="18">
                  <c:v>0.5533989513410188</c:v>
                </c:pt>
                <c:pt idx="19">
                  <c:v>0.58252521193791451</c:v>
                </c:pt>
                <c:pt idx="20">
                  <c:v>0.61165147253481023</c:v>
                </c:pt>
                <c:pt idx="21">
                  <c:v>0.64077773313170594</c:v>
                </c:pt>
                <c:pt idx="22">
                  <c:v>0.66990399372860165</c:v>
                </c:pt>
                <c:pt idx="23">
                  <c:v>0.69903025432549737</c:v>
                </c:pt>
                <c:pt idx="24">
                  <c:v>0.72815651492239308</c:v>
                </c:pt>
                <c:pt idx="25">
                  <c:v>0.7572827755192888</c:v>
                </c:pt>
                <c:pt idx="26">
                  <c:v>0.78640903611618451</c:v>
                </c:pt>
                <c:pt idx="27">
                  <c:v>0.81553529671308023</c:v>
                </c:pt>
                <c:pt idx="28">
                  <c:v>0.84466155730997594</c:v>
                </c:pt>
                <c:pt idx="29">
                  <c:v>0.87378781790687166</c:v>
                </c:pt>
                <c:pt idx="30">
                  <c:v>0.90291407850376737</c:v>
                </c:pt>
                <c:pt idx="31">
                  <c:v>0.93204033910066308</c:v>
                </c:pt>
                <c:pt idx="32">
                  <c:v>0.9611665996975588</c:v>
                </c:pt>
                <c:pt idx="33">
                  <c:v>0.99029286029445451</c:v>
                </c:pt>
                <c:pt idx="34">
                  <c:v>1.0194191208913503</c:v>
                </c:pt>
                <c:pt idx="35">
                  <c:v>1.0485453814882462</c:v>
                </c:pt>
                <c:pt idx="36">
                  <c:v>1.077671642085142</c:v>
                </c:pt>
                <c:pt idx="37">
                  <c:v>1.1067979026820378</c:v>
                </c:pt>
                <c:pt idx="38">
                  <c:v>1.1359241632789336</c:v>
                </c:pt>
                <c:pt idx="39">
                  <c:v>1.1650504238758295</c:v>
                </c:pt>
                <c:pt idx="40">
                  <c:v>1.1941766844727253</c:v>
                </c:pt>
                <c:pt idx="41">
                  <c:v>1.2233029450696211</c:v>
                </c:pt>
                <c:pt idx="42">
                  <c:v>1.2524292056665169</c:v>
                </c:pt>
                <c:pt idx="43">
                  <c:v>1.2815554662634128</c:v>
                </c:pt>
                <c:pt idx="44">
                  <c:v>1.3106817268603086</c:v>
                </c:pt>
                <c:pt idx="45">
                  <c:v>1.3398079874572044</c:v>
                </c:pt>
                <c:pt idx="46">
                  <c:v>1.3689342480541002</c:v>
                </c:pt>
                <c:pt idx="47">
                  <c:v>1.3980605086509961</c:v>
                </c:pt>
                <c:pt idx="48">
                  <c:v>1.4271867692478919</c:v>
                </c:pt>
                <c:pt idx="49">
                  <c:v>1.4563130298447877</c:v>
                </c:pt>
                <c:pt idx="50">
                  <c:v>1.4854392904416835</c:v>
                </c:pt>
                <c:pt idx="51">
                  <c:v>1.5145655510385794</c:v>
                </c:pt>
              </c:numCache>
            </c:numRef>
          </c:val>
          <c:smooth val="0"/>
          <c:extLst xmlns:c15="http://schemas.microsoft.com/office/drawing/2012/chart">
            <c:ext xmlns:c16="http://schemas.microsoft.com/office/drawing/2014/chart" uri="{C3380CC4-5D6E-409C-BE32-E72D297353CC}">
              <c16:uniqueId val="{00000005-5F3F-497A-9D0B-769483B6EB93}"/>
            </c:ext>
          </c:extLst>
        </c:ser>
        <c:dLbls>
          <c:showLegendKey val="0"/>
          <c:showVal val="0"/>
          <c:showCatName val="0"/>
          <c:showSerName val="0"/>
          <c:showPercent val="0"/>
          <c:showBubbleSize val="0"/>
        </c:dLbls>
        <c:smooth val="0"/>
        <c:axId val="1388952432"/>
        <c:axId val="1388953088"/>
        <c:extLst>
          <c:ext xmlns:c15="http://schemas.microsoft.com/office/drawing/2012/chart" uri="{02D57815-91ED-43cb-92C2-25804820EDAC}">
            <c15:filteredLineSeries>
              <c15:ser>
                <c:idx val="3"/>
                <c:order val="1"/>
                <c:tx>
                  <c:strRef>
                    <c:extLst>
                      <c:ext uri="{02D57815-91ED-43cb-92C2-25804820EDAC}">
                        <c15:formulaRef>
                          <c15:sqref>'OZL Summary'!$BO$6:$BO$7</c15:sqref>
                        </c15:formulaRef>
                      </c:ext>
                    </c:extLst>
                    <c:strCache>
                      <c:ptCount val="2"/>
                      <c:pt idx="0">
                        <c:v>Min</c:v>
                      </c:pt>
                    </c:strCache>
                  </c:strRef>
                </c:tx>
                <c:marker>
                  <c:symbol val="none"/>
                </c:marker>
                <c:cat>
                  <c:numRef>
                    <c:extLst>
                      <c:ex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c:ext uri="{02D57815-91ED-43cb-92C2-25804820EDAC}">
                        <c15:formulaRef>
                          <c15:sqref>'OZL Summary'!$BO$8:$BO$60</c15:sqref>
                        </c15:formulaRef>
                      </c:ext>
                    </c:extLst>
                    <c:numCache>
                      <c:formatCode>0.000</c:formatCode>
                      <c:ptCount val="53"/>
                      <c:pt idx="0">
                        <c:v>1.6032204874777817E-2</c:v>
                      </c:pt>
                      <c:pt idx="1">
                        <c:v>3.2064409749555635E-2</c:v>
                      </c:pt>
                      <c:pt idx="2">
                        <c:v>4.8096614624333456E-2</c:v>
                      </c:pt>
                      <c:pt idx="3">
                        <c:v>6.412881949911127E-2</c:v>
                      </c:pt>
                      <c:pt idx="4">
                        <c:v>8.0161024373889084E-2</c:v>
                      </c:pt>
                      <c:pt idx="5">
                        <c:v>9.6193229248666898E-2</c:v>
                      </c:pt>
                      <c:pt idx="6">
                        <c:v>0.11222543412344471</c:v>
                      </c:pt>
                      <c:pt idx="7">
                        <c:v>0.12825763899822254</c:v>
                      </c:pt>
                      <c:pt idx="8">
                        <c:v>0.14428984387300037</c:v>
                      </c:pt>
                      <c:pt idx="9">
                        <c:v>0.1603220487477782</c:v>
                      </c:pt>
                      <c:pt idx="10">
                        <c:v>0.17635425362255602</c:v>
                      </c:pt>
                      <c:pt idx="11">
                        <c:v>0.19238645849733385</c:v>
                      </c:pt>
                      <c:pt idx="12">
                        <c:v>0.20841866337211168</c:v>
                      </c:pt>
                      <c:pt idx="13">
                        <c:v>0.22445086824688951</c:v>
                      </c:pt>
                      <c:pt idx="14">
                        <c:v>0.24048307312166733</c:v>
                      </c:pt>
                      <c:pt idx="15">
                        <c:v>0.25651527799644513</c:v>
                      </c:pt>
                      <c:pt idx="16">
                        <c:v>0.27254748287122293</c:v>
                      </c:pt>
                      <c:pt idx="17">
                        <c:v>0.28857968774600073</c:v>
                      </c:pt>
                      <c:pt idx="18">
                        <c:v>0.30461189262077853</c:v>
                      </c:pt>
                      <c:pt idx="19">
                        <c:v>0.32064409749555633</c:v>
                      </c:pt>
                      <c:pt idx="20">
                        <c:v>0.33667630237033414</c:v>
                      </c:pt>
                      <c:pt idx="21">
                        <c:v>0.35270850724511194</c:v>
                      </c:pt>
                      <c:pt idx="22">
                        <c:v>0.36874071211988974</c:v>
                      </c:pt>
                      <c:pt idx="23">
                        <c:v>0.38477291699466754</c:v>
                      </c:pt>
                      <c:pt idx="24">
                        <c:v>0.40080512186944534</c:v>
                      </c:pt>
                      <c:pt idx="25">
                        <c:v>0.41683732674422314</c:v>
                      </c:pt>
                      <c:pt idx="26">
                        <c:v>0.43286953161900094</c:v>
                      </c:pt>
                      <c:pt idx="27">
                        <c:v>0.44890173649377874</c:v>
                      </c:pt>
                      <c:pt idx="28">
                        <c:v>0.46493394136855654</c:v>
                      </c:pt>
                      <c:pt idx="29">
                        <c:v>0.48096614624333434</c:v>
                      </c:pt>
                      <c:pt idx="30">
                        <c:v>0.49699835111811214</c:v>
                      </c:pt>
                      <c:pt idx="31">
                        <c:v>0.51303055599288994</c:v>
                      </c:pt>
                      <c:pt idx="32">
                        <c:v>0.52906276086766779</c:v>
                      </c:pt>
                      <c:pt idx="33">
                        <c:v>0.54509496574244565</c:v>
                      </c:pt>
                      <c:pt idx="34">
                        <c:v>0.5611271706172235</c:v>
                      </c:pt>
                      <c:pt idx="35">
                        <c:v>0.57715937549200136</c:v>
                      </c:pt>
                      <c:pt idx="36">
                        <c:v>0.59319158036677921</c:v>
                      </c:pt>
                      <c:pt idx="37">
                        <c:v>0.60922378524155707</c:v>
                      </c:pt>
                      <c:pt idx="38">
                        <c:v>0.62525599011633493</c:v>
                      </c:pt>
                      <c:pt idx="39">
                        <c:v>0.64128819499111278</c:v>
                      </c:pt>
                      <c:pt idx="40">
                        <c:v>0.65732039986589064</c:v>
                      </c:pt>
                      <c:pt idx="41">
                        <c:v>0.67335260474066849</c:v>
                      </c:pt>
                      <c:pt idx="42">
                        <c:v>0.68938480961544635</c:v>
                      </c:pt>
                      <c:pt idx="43">
                        <c:v>0.7054170144902242</c:v>
                      </c:pt>
                      <c:pt idx="44">
                        <c:v>0.72144921936500206</c:v>
                      </c:pt>
                      <c:pt idx="45">
                        <c:v>0.73748142423977991</c:v>
                      </c:pt>
                      <c:pt idx="46">
                        <c:v>0.75351362911455777</c:v>
                      </c:pt>
                      <c:pt idx="47">
                        <c:v>0.76954583398933563</c:v>
                      </c:pt>
                      <c:pt idx="48">
                        <c:v>0.78557803886411348</c:v>
                      </c:pt>
                      <c:pt idx="49">
                        <c:v>0.80161024373889134</c:v>
                      </c:pt>
                      <c:pt idx="50">
                        <c:v>0.81764244861366919</c:v>
                      </c:pt>
                      <c:pt idx="51">
                        <c:v>0.83367465348844705</c:v>
                      </c:pt>
                    </c:numCache>
                  </c:numRef>
                </c:val>
                <c:smooth val="0"/>
                <c:extLst>
                  <c:ext xmlns:c16="http://schemas.microsoft.com/office/drawing/2014/chart" uri="{C3380CC4-5D6E-409C-BE32-E72D297353CC}">
                    <c16:uniqueId val="{00000006-5F3F-497A-9D0B-769483B6EB93}"/>
                  </c:ext>
                </c:extLst>
              </c15:ser>
            </c15:filteredLineSeries>
            <c15:filteredLineSeries>
              <c15:ser>
                <c:idx val="5"/>
                <c:order val="2"/>
                <c:tx>
                  <c:strRef>
                    <c:extLst xmlns:c15="http://schemas.microsoft.com/office/drawing/2012/chart">
                      <c:ext xmlns:c15="http://schemas.microsoft.com/office/drawing/2012/chart" uri="{02D57815-91ED-43cb-92C2-25804820EDAC}">
                        <c15:formulaRef>
                          <c15:sqref>'OZL Summary'!$BP$6:$BP$7</c15:sqref>
                        </c15:formulaRef>
                      </c:ext>
                    </c:extLst>
                    <c:strCache>
                      <c:ptCount val="2"/>
                      <c:pt idx="0">
                        <c:v>1st Percentile</c:v>
                      </c:pt>
                    </c:strCache>
                  </c:strRef>
                </c:tx>
                <c:spPr>
                  <a:ln w="28575" cap="rnd">
                    <a:solidFill>
                      <a:schemeClr val="accent6"/>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Summary'!$BP$8:$BP$60</c15:sqref>
                        </c15:formulaRef>
                      </c:ext>
                    </c:extLst>
                    <c:numCache>
                      <c:formatCode>0.000</c:formatCode>
                      <c:ptCount val="53"/>
                      <c:pt idx="0">
                        <c:v>1.8223138082807688E-2</c:v>
                      </c:pt>
                      <c:pt idx="1">
                        <c:v>3.6446276165615375E-2</c:v>
                      </c:pt>
                      <c:pt idx="2">
                        <c:v>5.4669414248423059E-2</c:v>
                      </c:pt>
                      <c:pt idx="3">
                        <c:v>7.2892552331230751E-2</c:v>
                      </c:pt>
                      <c:pt idx="4">
                        <c:v>9.1115690414038442E-2</c:v>
                      </c:pt>
                      <c:pt idx="5">
                        <c:v>0.10933882849684613</c:v>
                      </c:pt>
                      <c:pt idx="6">
                        <c:v>0.12756196657965382</c:v>
                      </c:pt>
                      <c:pt idx="7">
                        <c:v>0.1457851046624615</c:v>
                      </c:pt>
                      <c:pt idx="8">
                        <c:v>0.16400824274526918</c:v>
                      </c:pt>
                      <c:pt idx="9">
                        <c:v>0.18223138082807686</c:v>
                      </c:pt>
                      <c:pt idx="10">
                        <c:v>0.20045451891088453</c:v>
                      </c:pt>
                      <c:pt idx="11">
                        <c:v>0.21867765699369221</c:v>
                      </c:pt>
                      <c:pt idx="12">
                        <c:v>0.23690079507649989</c:v>
                      </c:pt>
                      <c:pt idx="13">
                        <c:v>0.25512393315930759</c:v>
                      </c:pt>
                      <c:pt idx="14">
                        <c:v>0.27334707124211527</c:v>
                      </c:pt>
                      <c:pt idx="15">
                        <c:v>0.29157020932492295</c:v>
                      </c:pt>
                      <c:pt idx="16">
                        <c:v>0.30979334740773062</c:v>
                      </c:pt>
                      <c:pt idx="17">
                        <c:v>0.3280164854905383</c:v>
                      </c:pt>
                      <c:pt idx="18">
                        <c:v>0.34623962357334598</c:v>
                      </c:pt>
                      <c:pt idx="19">
                        <c:v>0.36446276165615366</c:v>
                      </c:pt>
                      <c:pt idx="20">
                        <c:v>0.38268589973896133</c:v>
                      </c:pt>
                      <c:pt idx="21">
                        <c:v>0.40090903782176901</c:v>
                      </c:pt>
                      <c:pt idx="22">
                        <c:v>0.41913217590457669</c:v>
                      </c:pt>
                      <c:pt idx="23">
                        <c:v>0.43735531398738436</c:v>
                      </c:pt>
                      <c:pt idx="24">
                        <c:v>0.45557845207019204</c:v>
                      </c:pt>
                      <c:pt idx="25">
                        <c:v>0.47380159015299972</c:v>
                      </c:pt>
                      <c:pt idx="26">
                        <c:v>0.4920247282358074</c:v>
                      </c:pt>
                      <c:pt idx="27">
                        <c:v>0.51024786631861507</c:v>
                      </c:pt>
                      <c:pt idx="28">
                        <c:v>0.52847100440142281</c:v>
                      </c:pt>
                      <c:pt idx="29">
                        <c:v>0.54669414248423054</c:v>
                      </c:pt>
                      <c:pt idx="30">
                        <c:v>0.56491728056703827</c:v>
                      </c:pt>
                      <c:pt idx="31">
                        <c:v>0.583140418649846</c:v>
                      </c:pt>
                      <c:pt idx="32">
                        <c:v>0.60136355673265374</c:v>
                      </c:pt>
                      <c:pt idx="33">
                        <c:v>0.61958669481546147</c:v>
                      </c:pt>
                      <c:pt idx="34">
                        <c:v>0.6378098328982692</c:v>
                      </c:pt>
                      <c:pt idx="35">
                        <c:v>0.65603297098107693</c:v>
                      </c:pt>
                      <c:pt idx="36">
                        <c:v>0.67425610906388467</c:v>
                      </c:pt>
                      <c:pt idx="37">
                        <c:v>0.6924792471466924</c:v>
                      </c:pt>
                      <c:pt idx="38">
                        <c:v>0.71070238522950013</c:v>
                      </c:pt>
                      <c:pt idx="39">
                        <c:v>0.72892552331230787</c:v>
                      </c:pt>
                      <c:pt idx="40">
                        <c:v>0.7471486613951156</c:v>
                      </c:pt>
                      <c:pt idx="41">
                        <c:v>0.76537179947792333</c:v>
                      </c:pt>
                      <c:pt idx="42">
                        <c:v>0.78359493756073106</c:v>
                      </c:pt>
                      <c:pt idx="43">
                        <c:v>0.8018180756435388</c:v>
                      </c:pt>
                      <c:pt idx="44">
                        <c:v>0.82004121372634653</c:v>
                      </c:pt>
                      <c:pt idx="45">
                        <c:v>0.83826435180915426</c:v>
                      </c:pt>
                      <c:pt idx="46">
                        <c:v>0.85648748989196199</c:v>
                      </c:pt>
                      <c:pt idx="47">
                        <c:v>0.87471062797476973</c:v>
                      </c:pt>
                      <c:pt idx="48">
                        <c:v>0.89293376605757746</c:v>
                      </c:pt>
                      <c:pt idx="49">
                        <c:v>0.91115690414038519</c:v>
                      </c:pt>
                      <c:pt idx="50">
                        <c:v>0.92938004222319293</c:v>
                      </c:pt>
                      <c:pt idx="51">
                        <c:v>0.94760318030600066</c:v>
                      </c:pt>
                    </c:numCache>
                  </c:numRef>
                </c:val>
                <c:smooth val="0"/>
                <c:extLst xmlns:c15="http://schemas.microsoft.com/office/drawing/2012/chart">
                  <c:ext xmlns:c16="http://schemas.microsoft.com/office/drawing/2014/chart" uri="{C3380CC4-5D6E-409C-BE32-E72D297353CC}">
                    <c16:uniqueId val="{00000007-5F3F-497A-9D0B-769483B6EB93}"/>
                  </c:ext>
                </c:extLst>
              </c15:ser>
            </c15:filteredLineSeries>
            <c15:filteredLineSeries>
              <c15:ser>
                <c:idx val="1"/>
                <c:order val="4"/>
                <c:tx>
                  <c:strRef>
                    <c:extLst xmlns:c15="http://schemas.microsoft.com/office/drawing/2012/chart">
                      <c:ext xmlns:c15="http://schemas.microsoft.com/office/drawing/2012/chart" uri="{02D57815-91ED-43cb-92C2-25804820EDAC}">
                        <c15:formulaRef>
                          <c15:sqref>'OZL Summary'!$BR$6:$BR$7</c15:sqref>
                        </c15:formulaRef>
                      </c:ext>
                    </c:extLst>
                    <c:strCache>
                      <c:ptCount val="2"/>
                      <c:pt idx="0">
                        <c:v>10th Percentile</c:v>
                      </c:pt>
                    </c:strCache>
                  </c:strRef>
                </c:tx>
                <c:spPr>
                  <a:ln w="28575" cap="rnd" cmpd="sng">
                    <a:solidFill>
                      <a:schemeClr val="accent2"/>
                    </a:solidFill>
                    <a:prstDash val="sysDot"/>
                    <a:round/>
                    <a:headEnd type="none"/>
                  </a:ln>
                  <a:effectLst/>
                </c:spPr>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Summary'!$BR$8:$BR$60</c15:sqref>
                        </c15:formulaRef>
                      </c:ext>
                    </c:extLst>
                    <c:numCache>
                      <c:formatCode>0.000</c:formatCode>
                      <c:ptCount val="53"/>
                      <c:pt idx="0">
                        <c:v>2.0199848897457344E-2</c:v>
                      </c:pt>
                      <c:pt idx="1">
                        <c:v>4.0399697794914688E-2</c:v>
                      </c:pt>
                      <c:pt idx="2">
                        <c:v>6.0599546692372032E-2</c:v>
                      </c:pt>
                      <c:pt idx="3">
                        <c:v>8.0799395589829376E-2</c:v>
                      </c:pt>
                      <c:pt idx="4">
                        <c:v>0.10099924448728673</c:v>
                      </c:pt>
                      <c:pt idx="5">
                        <c:v>0.12119909338474408</c:v>
                      </c:pt>
                      <c:pt idx="6">
                        <c:v>0.14139894228220143</c:v>
                      </c:pt>
                      <c:pt idx="7">
                        <c:v>0.16159879117965878</c:v>
                      </c:pt>
                      <c:pt idx="8">
                        <c:v>0.18179864007711613</c:v>
                      </c:pt>
                      <c:pt idx="9">
                        <c:v>0.20199848897457348</c:v>
                      </c:pt>
                      <c:pt idx="10">
                        <c:v>0.22219833787203083</c:v>
                      </c:pt>
                      <c:pt idx="11">
                        <c:v>0.24239818676948818</c:v>
                      </c:pt>
                      <c:pt idx="12">
                        <c:v>0.26259803566694551</c:v>
                      </c:pt>
                      <c:pt idx="13">
                        <c:v>0.28279788456440286</c:v>
                      </c:pt>
                      <c:pt idx="14">
                        <c:v>0.30299773346186021</c:v>
                      </c:pt>
                      <c:pt idx="15">
                        <c:v>0.32319758235931756</c:v>
                      </c:pt>
                      <c:pt idx="16">
                        <c:v>0.34339743125677491</c:v>
                      </c:pt>
                      <c:pt idx="17">
                        <c:v>0.36359728015423226</c:v>
                      </c:pt>
                      <c:pt idx="18">
                        <c:v>0.38379712905168961</c:v>
                      </c:pt>
                      <c:pt idx="19">
                        <c:v>0.40399697794914696</c:v>
                      </c:pt>
                      <c:pt idx="20">
                        <c:v>0.42419682684660431</c:v>
                      </c:pt>
                      <c:pt idx="21">
                        <c:v>0.44439667574406166</c:v>
                      </c:pt>
                      <c:pt idx="22">
                        <c:v>0.46459652464151902</c:v>
                      </c:pt>
                      <c:pt idx="23">
                        <c:v>0.48479637353897637</c:v>
                      </c:pt>
                      <c:pt idx="24">
                        <c:v>0.50499622243643372</c:v>
                      </c:pt>
                      <c:pt idx="25">
                        <c:v>0.52519607133389101</c:v>
                      </c:pt>
                      <c:pt idx="26">
                        <c:v>0.54539592023134831</c:v>
                      </c:pt>
                      <c:pt idx="27">
                        <c:v>0.5655957691288056</c:v>
                      </c:pt>
                      <c:pt idx="28">
                        <c:v>0.5857956180262629</c:v>
                      </c:pt>
                      <c:pt idx="29">
                        <c:v>0.60599546692372019</c:v>
                      </c:pt>
                      <c:pt idx="30">
                        <c:v>0.62619531582117749</c:v>
                      </c:pt>
                      <c:pt idx="31">
                        <c:v>0.64639516471863478</c:v>
                      </c:pt>
                      <c:pt idx="32">
                        <c:v>0.66659501361609208</c:v>
                      </c:pt>
                      <c:pt idx="33">
                        <c:v>0.68679486251354938</c:v>
                      </c:pt>
                      <c:pt idx="34">
                        <c:v>0.70699471141100667</c:v>
                      </c:pt>
                      <c:pt idx="35">
                        <c:v>0.72719456030846397</c:v>
                      </c:pt>
                      <c:pt idx="36">
                        <c:v>0.74739440920592126</c:v>
                      </c:pt>
                      <c:pt idx="37">
                        <c:v>0.76759425810337856</c:v>
                      </c:pt>
                      <c:pt idx="38">
                        <c:v>0.78779410700083585</c:v>
                      </c:pt>
                      <c:pt idx="39">
                        <c:v>0.80799395589829315</c:v>
                      </c:pt>
                      <c:pt idx="40">
                        <c:v>0.82819380479575044</c:v>
                      </c:pt>
                      <c:pt idx="41">
                        <c:v>0.84839365369320774</c:v>
                      </c:pt>
                      <c:pt idx="42">
                        <c:v>0.86859350259066503</c:v>
                      </c:pt>
                      <c:pt idx="43">
                        <c:v>0.88879335148812233</c:v>
                      </c:pt>
                      <c:pt idx="44">
                        <c:v>0.90899320038557962</c:v>
                      </c:pt>
                      <c:pt idx="45">
                        <c:v>0.92919304928303692</c:v>
                      </c:pt>
                      <c:pt idx="46">
                        <c:v>0.94939289818049422</c:v>
                      </c:pt>
                      <c:pt idx="47">
                        <c:v>0.96959274707795151</c:v>
                      </c:pt>
                      <c:pt idx="48">
                        <c:v>0.98979259597540881</c:v>
                      </c:pt>
                      <c:pt idx="49">
                        <c:v>1.0099924448728661</c:v>
                      </c:pt>
                      <c:pt idx="50">
                        <c:v>1.0301922937703234</c:v>
                      </c:pt>
                      <c:pt idx="51">
                        <c:v>1.0503921426677807</c:v>
                      </c:pt>
                    </c:numCache>
                  </c:numRef>
                </c:val>
                <c:smooth val="0"/>
                <c:extLst xmlns:c15="http://schemas.microsoft.com/office/drawing/2012/chart">
                  <c:ext xmlns:c16="http://schemas.microsoft.com/office/drawing/2014/chart" uri="{C3380CC4-5D6E-409C-BE32-E72D297353CC}">
                    <c16:uniqueId val="{00000008-5F3F-497A-9D0B-769483B6EB93}"/>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'OZL Summary'!$BV$6:$BV$7</c15:sqref>
                        </c15:formulaRef>
                      </c:ext>
                    </c:extLst>
                    <c:strCache>
                      <c:ptCount val="2"/>
                      <c:pt idx="0">
                        <c:v>90th Percentile</c:v>
                      </c:pt>
                    </c:strCache>
                  </c:strRef>
                </c:tx>
                <c:spPr>
                  <a:ln w="28575">
                    <a:solidFill>
                      <a:schemeClr val="accent1"/>
                    </a:solidFill>
                    <a:prstDash val="sysDot"/>
                  </a:ln>
                </c:spPr>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Summary'!$BV$8:$BV$60</c15:sqref>
                        </c15:formulaRef>
                      </c:ext>
                    </c:extLst>
                    <c:numCache>
                      <c:formatCode>0.000</c:formatCode>
                      <c:ptCount val="53"/>
                      <c:pt idx="0">
                        <c:v>2.7720420236719803E-2</c:v>
                      </c:pt>
                      <c:pt idx="1">
                        <c:v>5.5440840473439605E-2</c:v>
                      </c:pt>
                      <c:pt idx="2">
                        <c:v>8.3161260710159404E-2</c:v>
                      </c:pt>
                      <c:pt idx="3">
                        <c:v>0.11088168094687921</c:v>
                      </c:pt>
                      <c:pt idx="4">
                        <c:v>0.138602101183599</c:v>
                      </c:pt>
                      <c:pt idx="5">
                        <c:v>0.16632252142031881</c:v>
                      </c:pt>
                      <c:pt idx="6">
                        <c:v>0.19404294165703861</c:v>
                      </c:pt>
                      <c:pt idx="7">
                        <c:v>0.22176336189375842</c:v>
                      </c:pt>
                      <c:pt idx="8">
                        <c:v>0.24948378213047823</c:v>
                      </c:pt>
                      <c:pt idx="9">
                        <c:v>0.277204202367198</c:v>
                      </c:pt>
                      <c:pt idx="10">
                        <c:v>0.30492462260391778</c:v>
                      </c:pt>
                      <c:pt idx="11">
                        <c:v>0.33264504284063756</c:v>
                      </c:pt>
                      <c:pt idx="12">
                        <c:v>0.36036546307735734</c:v>
                      </c:pt>
                      <c:pt idx="13">
                        <c:v>0.38808588331407712</c:v>
                      </c:pt>
                      <c:pt idx="14">
                        <c:v>0.4158063035507969</c:v>
                      </c:pt>
                      <c:pt idx="15">
                        <c:v>0.44352672378751667</c:v>
                      </c:pt>
                      <c:pt idx="16">
                        <c:v>0.47124714402423645</c:v>
                      </c:pt>
                      <c:pt idx="17">
                        <c:v>0.49896756426095623</c:v>
                      </c:pt>
                      <c:pt idx="18">
                        <c:v>0.52668798449767606</c:v>
                      </c:pt>
                      <c:pt idx="19">
                        <c:v>0.5544084047343959</c:v>
                      </c:pt>
                      <c:pt idx="20">
                        <c:v>0.58212882497111573</c:v>
                      </c:pt>
                      <c:pt idx="21">
                        <c:v>0.60984924520783557</c:v>
                      </c:pt>
                      <c:pt idx="22">
                        <c:v>0.6375696654445554</c:v>
                      </c:pt>
                      <c:pt idx="23">
                        <c:v>0.66529008568127523</c:v>
                      </c:pt>
                      <c:pt idx="24">
                        <c:v>0.69301050591799507</c:v>
                      </c:pt>
                      <c:pt idx="25">
                        <c:v>0.7207309261547149</c:v>
                      </c:pt>
                      <c:pt idx="26">
                        <c:v>0.74845134639143474</c:v>
                      </c:pt>
                      <c:pt idx="27">
                        <c:v>0.77617176662815457</c:v>
                      </c:pt>
                      <c:pt idx="28">
                        <c:v>0.8038921868648744</c:v>
                      </c:pt>
                      <c:pt idx="29">
                        <c:v>0.83161260710159424</c:v>
                      </c:pt>
                      <c:pt idx="30">
                        <c:v>0.85933302733831407</c:v>
                      </c:pt>
                      <c:pt idx="31">
                        <c:v>0.8870534475750339</c:v>
                      </c:pt>
                      <c:pt idx="32">
                        <c:v>0.91477386781175374</c:v>
                      </c:pt>
                      <c:pt idx="33">
                        <c:v>0.94249428804847357</c:v>
                      </c:pt>
                      <c:pt idx="34">
                        <c:v>0.97021470828519341</c:v>
                      </c:pt>
                      <c:pt idx="35">
                        <c:v>0.99793512852191324</c:v>
                      </c:pt>
                      <c:pt idx="36">
                        <c:v>1.025655548758633</c:v>
                      </c:pt>
                      <c:pt idx="37">
                        <c:v>1.0533759689953528</c:v>
                      </c:pt>
                      <c:pt idx="38">
                        <c:v>1.0810963892320726</c:v>
                      </c:pt>
                      <c:pt idx="39">
                        <c:v>1.1088168094687925</c:v>
                      </c:pt>
                      <c:pt idx="40">
                        <c:v>1.1365372297055123</c:v>
                      </c:pt>
                      <c:pt idx="41">
                        <c:v>1.1642576499422321</c:v>
                      </c:pt>
                      <c:pt idx="42">
                        <c:v>1.191978070178952</c:v>
                      </c:pt>
                      <c:pt idx="43">
                        <c:v>1.2196984904156718</c:v>
                      </c:pt>
                      <c:pt idx="44">
                        <c:v>1.2474189106523916</c:v>
                      </c:pt>
                      <c:pt idx="45">
                        <c:v>1.2751393308891115</c:v>
                      </c:pt>
                      <c:pt idx="46">
                        <c:v>1.3028597511258313</c:v>
                      </c:pt>
                      <c:pt idx="47">
                        <c:v>1.3305801713625511</c:v>
                      </c:pt>
                      <c:pt idx="48">
                        <c:v>1.358300591599271</c:v>
                      </c:pt>
                      <c:pt idx="49">
                        <c:v>1.3860210118359908</c:v>
                      </c:pt>
                      <c:pt idx="50">
                        <c:v>1.4137414320727106</c:v>
                      </c:pt>
                      <c:pt idx="51">
                        <c:v>1.4414618523094305</c:v>
                      </c:pt>
                    </c:numCache>
                  </c:numRef>
                </c:val>
                <c:smooth val="0"/>
                <c:extLst xmlns:c15="http://schemas.microsoft.com/office/drawing/2012/chart">
                  <c:ext xmlns:c16="http://schemas.microsoft.com/office/drawing/2014/chart" uri="{C3380CC4-5D6E-409C-BE32-E72D297353CC}">
                    <c16:uniqueId val="{00000009-5F3F-497A-9D0B-769483B6EB93}"/>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'OZL Summary'!$BX$6:$BX$7</c15:sqref>
                        </c15:formulaRef>
                      </c:ext>
                    </c:extLst>
                    <c:strCache>
                      <c:ptCount val="2"/>
                      <c:pt idx="0">
                        <c:v>99th Percentile</c:v>
                      </c:pt>
                    </c:strCache>
                  </c:strRef>
                </c:tx>
                <c:spPr>
                  <a:ln w="28575">
                    <a:solidFill>
                      <a:schemeClr val="accent1"/>
                    </a:solidFill>
                    <a:prstDash val="sysDot"/>
                  </a:ln>
                </c:spPr>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Summary'!$BX$8:$BX$60</c15:sqref>
                        </c15:formulaRef>
                      </c:ext>
                    </c:extLst>
                    <c:numCache>
                      <c:formatCode>0.000</c:formatCode>
                      <c:ptCount val="53"/>
                      <c:pt idx="0">
                        <c:v>3.2006943607976859E-2</c:v>
                      </c:pt>
                      <c:pt idx="1">
                        <c:v>6.4013887215953719E-2</c:v>
                      </c:pt>
                      <c:pt idx="2">
                        <c:v>9.6020830823930578E-2</c:v>
                      </c:pt>
                      <c:pt idx="3">
                        <c:v>0.12802777443190744</c:v>
                      </c:pt>
                      <c:pt idx="4">
                        <c:v>0.16003471803988428</c:v>
                      </c:pt>
                      <c:pt idx="5">
                        <c:v>0.19204166164786113</c:v>
                      </c:pt>
                      <c:pt idx="6">
                        <c:v>0.22404860525583797</c:v>
                      </c:pt>
                      <c:pt idx="7">
                        <c:v>0.25605554886381482</c:v>
                      </c:pt>
                      <c:pt idx="8">
                        <c:v>0.28806249247179166</c:v>
                      </c:pt>
                      <c:pt idx="9">
                        <c:v>0.32006943607976851</c:v>
                      </c:pt>
                      <c:pt idx="10">
                        <c:v>0.35207637968774536</c:v>
                      </c:pt>
                      <c:pt idx="11">
                        <c:v>0.3840833232957222</c:v>
                      </c:pt>
                      <c:pt idx="12">
                        <c:v>0.41609026690369905</c:v>
                      </c:pt>
                      <c:pt idx="13">
                        <c:v>0.44809721051167589</c:v>
                      </c:pt>
                      <c:pt idx="14">
                        <c:v>0.48010415411965274</c:v>
                      </c:pt>
                      <c:pt idx="15">
                        <c:v>0.51211109772762964</c:v>
                      </c:pt>
                      <c:pt idx="16">
                        <c:v>0.54411804133560648</c:v>
                      </c:pt>
                      <c:pt idx="17">
                        <c:v>0.57612498494358333</c:v>
                      </c:pt>
                      <c:pt idx="18">
                        <c:v>0.60813192855156017</c:v>
                      </c:pt>
                      <c:pt idx="19">
                        <c:v>0.64013887215953702</c:v>
                      </c:pt>
                      <c:pt idx="20">
                        <c:v>0.67214581576751387</c:v>
                      </c:pt>
                      <c:pt idx="21">
                        <c:v>0.70415275937549071</c:v>
                      </c:pt>
                      <c:pt idx="22">
                        <c:v>0.73615970298346756</c:v>
                      </c:pt>
                      <c:pt idx="23">
                        <c:v>0.7681666465914444</c:v>
                      </c:pt>
                      <c:pt idx="24">
                        <c:v>0.80017359019942125</c:v>
                      </c:pt>
                      <c:pt idx="25">
                        <c:v>0.83218053380739809</c:v>
                      </c:pt>
                      <c:pt idx="26">
                        <c:v>0.86418747741537494</c:v>
                      </c:pt>
                      <c:pt idx="27">
                        <c:v>0.89619442102335178</c:v>
                      </c:pt>
                      <c:pt idx="28">
                        <c:v>0.92820136463132863</c:v>
                      </c:pt>
                      <c:pt idx="29">
                        <c:v>0.96020830823930547</c:v>
                      </c:pt>
                      <c:pt idx="30">
                        <c:v>0.99221525184728232</c:v>
                      </c:pt>
                      <c:pt idx="31">
                        <c:v>1.0242221954552593</c:v>
                      </c:pt>
                      <c:pt idx="32">
                        <c:v>1.0562291390632361</c:v>
                      </c:pt>
                      <c:pt idx="33">
                        <c:v>1.088236082671213</c:v>
                      </c:pt>
                      <c:pt idx="34">
                        <c:v>1.1202430262791898</c:v>
                      </c:pt>
                      <c:pt idx="35">
                        <c:v>1.1522499698871667</c:v>
                      </c:pt>
                      <c:pt idx="36">
                        <c:v>1.1842569134951435</c:v>
                      </c:pt>
                      <c:pt idx="37">
                        <c:v>1.2162638571031203</c:v>
                      </c:pt>
                      <c:pt idx="38">
                        <c:v>1.2482708007110972</c:v>
                      </c:pt>
                      <c:pt idx="39">
                        <c:v>1.280277744319074</c:v>
                      </c:pt>
                      <c:pt idx="40">
                        <c:v>1.3122846879270509</c:v>
                      </c:pt>
                      <c:pt idx="41">
                        <c:v>1.3442916315350277</c:v>
                      </c:pt>
                      <c:pt idx="42">
                        <c:v>1.3762985751430046</c:v>
                      </c:pt>
                      <c:pt idx="43">
                        <c:v>1.4083055187509814</c:v>
                      </c:pt>
                      <c:pt idx="44">
                        <c:v>1.4403124623589583</c:v>
                      </c:pt>
                      <c:pt idx="45">
                        <c:v>1.4723194059669351</c:v>
                      </c:pt>
                      <c:pt idx="46">
                        <c:v>1.504326349574912</c:v>
                      </c:pt>
                      <c:pt idx="47">
                        <c:v>1.5363332931828888</c:v>
                      </c:pt>
                      <c:pt idx="48">
                        <c:v>1.5683402367908656</c:v>
                      </c:pt>
                      <c:pt idx="49">
                        <c:v>1.6003471803988425</c:v>
                      </c:pt>
                      <c:pt idx="50">
                        <c:v>1.6323541240068193</c:v>
                      </c:pt>
                      <c:pt idx="51">
                        <c:v>1.6643610676147962</c:v>
                      </c:pt>
                    </c:numCache>
                  </c:numRef>
                </c:val>
                <c:smooth val="0"/>
                <c:extLst xmlns:c15="http://schemas.microsoft.com/office/drawing/2012/chart">
                  <c:ext xmlns:c16="http://schemas.microsoft.com/office/drawing/2014/chart" uri="{C3380CC4-5D6E-409C-BE32-E72D297353CC}">
                    <c16:uniqueId val="{0000000A-5F3F-497A-9D0B-769483B6EB93}"/>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'OZL Summary'!$BY$6:$BY$7</c15:sqref>
                        </c15:formulaRef>
                      </c:ext>
                    </c:extLst>
                    <c:strCache>
                      <c:ptCount val="2"/>
                      <c:pt idx="0">
                        <c:v>Max</c:v>
                      </c:pt>
                    </c:strCache>
                  </c:strRef>
                </c:tx>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Summary'!$BY$8:$BY$60</c15:sqref>
                        </c15:formulaRef>
                      </c:ext>
                    </c:extLst>
                    <c:numCache>
                      <c:formatCode>0.000</c:formatCode>
                      <c:ptCount val="53"/>
                      <c:pt idx="0">
                        <c:v>3.9503586953510528E-2</c:v>
                      </c:pt>
                      <c:pt idx="1">
                        <c:v>7.9007173907021055E-2</c:v>
                      </c:pt>
                      <c:pt idx="2">
                        <c:v>0.11851076086053158</c:v>
                      </c:pt>
                      <c:pt idx="3">
                        <c:v>0.15801434781404211</c:v>
                      </c:pt>
                      <c:pt idx="4">
                        <c:v>0.19751793476755264</c:v>
                      </c:pt>
                      <c:pt idx="5">
                        <c:v>0.23702152172106317</c:v>
                      </c:pt>
                      <c:pt idx="6">
                        <c:v>0.27652510867457369</c:v>
                      </c:pt>
                      <c:pt idx="7">
                        <c:v>0.31602869562808422</c:v>
                      </c:pt>
                      <c:pt idx="8">
                        <c:v>0.35553228258159475</c:v>
                      </c:pt>
                      <c:pt idx="9">
                        <c:v>0.39503586953510528</c:v>
                      </c:pt>
                      <c:pt idx="10">
                        <c:v>0.43453945648861581</c:v>
                      </c:pt>
                      <c:pt idx="11">
                        <c:v>0.47404304344212633</c:v>
                      </c:pt>
                      <c:pt idx="12">
                        <c:v>0.51354663039563686</c:v>
                      </c:pt>
                      <c:pt idx="13">
                        <c:v>0.55305021734914739</c:v>
                      </c:pt>
                      <c:pt idx="14">
                        <c:v>0.59255380430265792</c:v>
                      </c:pt>
                      <c:pt idx="15">
                        <c:v>0.63205739125616844</c:v>
                      </c:pt>
                      <c:pt idx="16">
                        <c:v>0.67156097820967897</c:v>
                      </c:pt>
                      <c:pt idx="17">
                        <c:v>0.7110645651631895</c:v>
                      </c:pt>
                      <c:pt idx="18">
                        <c:v>0.75056815211670003</c:v>
                      </c:pt>
                      <c:pt idx="19">
                        <c:v>0.79007173907021055</c:v>
                      </c:pt>
                      <c:pt idx="20">
                        <c:v>0.82957532602372108</c:v>
                      </c:pt>
                      <c:pt idx="21">
                        <c:v>0.86907891297723161</c:v>
                      </c:pt>
                      <c:pt idx="22">
                        <c:v>0.90858249993074214</c:v>
                      </c:pt>
                      <c:pt idx="23">
                        <c:v>0.94808608688425267</c:v>
                      </c:pt>
                      <c:pt idx="24">
                        <c:v>0.98758967383776319</c:v>
                      </c:pt>
                      <c:pt idx="25">
                        <c:v>1.0270932607912737</c:v>
                      </c:pt>
                      <c:pt idx="26">
                        <c:v>1.0665968477447842</c:v>
                      </c:pt>
                      <c:pt idx="27">
                        <c:v>1.1061004346982948</c:v>
                      </c:pt>
                      <c:pt idx="28">
                        <c:v>1.1456040216518053</c:v>
                      </c:pt>
                      <c:pt idx="29">
                        <c:v>1.1851076086053158</c:v>
                      </c:pt>
                      <c:pt idx="30">
                        <c:v>1.2246111955588264</c:v>
                      </c:pt>
                      <c:pt idx="31">
                        <c:v>1.2641147825123369</c:v>
                      </c:pt>
                      <c:pt idx="32">
                        <c:v>1.3036183694658474</c:v>
                      </c:pt>
                      <c:pt idx="33">
                        <c:v>1.3431219564193579</c:v>
                      </c:pt>
                      <c:pt idx="34">
                        <c:v>1.3826255433728685</c:v>
                      </c:pt>
                      <c:pt idx="35">
                        <c:v>1.422129130326379</c:v>
                      </c:pt>
                      <c:pt idx="36">
                        <c:v>1.4616327172798895</c:v>
                      </c:pt>
                      <c:pt idx="37">
                        <c:v>1.5011363042334001</c:v>
                      </c:pt>
                      <c:pt idx="38">
                        <c:v>1.5406398911869106</c:v>
                      </c:pt>
                      <c:pt idx="39">
                        <c:v>1.5801434781404211</c:v>
                      </c:pt>
                      <c:pt idx="40">
                        <c:v>1.6196470650939316</c:v>
                      </c:pt>
                      <c:pt idx="41">
                        <c:v>1.6591506520474422</c:v>
                      </c:pt>
                      <c:pt idx="42">
                        <c:v>1.6986542390009527</c:v>
                      </c:pt>
                      <c:pt idx="43">
                        <c:v>1.7381578259544632</c:v>
                      </c:pt>
                      <c:pt idx="44">
                        <c:v>1.7776614129079737</c:v>
                      </c:pt>
                      <c:pt idx="45">
                        <c:v>1.8171649998614843</c:v>
                      </c:pt>
                      <c:pt idx="46">
                        <c:v>1.8566685868149948</c:v>
                      </c:pt>
                      <c:pt idx="47">
                        <c:v>1.8961721737685053</c:v>
                      </c:pt>
                      <c:pt idx="48">
                        <c:v>1.9356757607220159</c:v>
                      </c:pt>
                      <c:pt idx="49">
                        <c:v>1.9751793476755264</c:v>
                      </c:pt>
                      <c:pt idx="50">
                        <c:v>2.0146829346290369</c:v>
                      </c:pt>
                      <c:pt idx="51">
                        <c:v>2.0541865215825474</c:v>
                      </c:pt>
                    </c:numCache>
                  </c:numRef>
                </c:val>
                <c:smooth val="0"/>
                <c:extLst xmlns:c15="http://schemas.microsoft.com/office/drawing/2012/chart">
                  <c:ext xmlns:c16="http://schemas.microsoft.com/office/drawing/2014/chart" uri="{C3380CC4-5D6E-409C-BE32-E72D297353CC}">
                    <c16:uniqueId val="{0000000B-5F3F-497A-9D0B-769483B6EB93}"/>
                  </c:ext>
                </c:extLst>
              </c15:ser>
            </c15:filteredLineSeries>
          </c:ext>
        </c:extLst>
      </c:lineChart>
      <c:dateAx>
        <c:axId val="1388952432"/>
        <c:scaling>
          <c:orientation val="minMax"/>
        </c:scaling>
        <c:delete val="0"/>
        <c:axPos val="b"/>
        <c:numFmt formatCode="mmm\-yy" sourceLinked="0"/>
        <c:majorTickMark val="none"/>
        <c:minorTickMark val="none"/>
        <c:tickLblPos val="nextTo"/>
        <c:spPr>
          <a:noFill/>
          <a:ln w="9525" cap="flat" cmpd="sng" algn="ctr">
            <a:noFill/>
            <a:round/>
          </a:ln>
          <a:effectLst/>
        </c:spPr>
        <c:txPr>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3088"/>
        <c:crosses val="autoZero"/>
        <c:auto val="1"/>
        <c:lblOffset val="100"/>
        <c:baseTimeUnit val="days"/>
        <c:majorUnit val="1"/>
        <c:majorTimeUnit val="months"/>
      </c:dateAx>
      <c:valAx>
        <c:axId val="13889530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2432"/>
        <c:crosses val="autoZero"/>
        <c:crossBetween val="between"/>
      </c:valAx>
    </c:plotArea>
    <c:legend>
      <c:legendPos val="b"/>
      <c:legendEntry>
        <c:idx val="3"/>
        <c:delete val="1"/>
      </c:legendEntry>
      <c:legendEntry>
        <c:idx val="4"/>
        <c:delete val="1"/>
      </c:legendEntry>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orientation="portrait"/>
  </c:printSettings>
</c:chartSpace>
</file>

<file path=xl/charts/chart1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'OZL Summary'!$NU$6:$NU$7</c:f>
              <c:strCache>
                <c:ptCount val="2"/>
                <c:pt idx="0">
                  <c:v>Actual</c:v>
                </c:pt>
              </c:strCache>
            </c:strRef>
          </c:tx>
          <c:spPr>
            <a:ln w="28575" cap="rnd">
              <a:solidFill>
                <a:schemeClr val="tx2"/>
              </a:solidFill>
              <a:round/>
            </a:ln>
            <a:effectLst/>
          </c:spPr>
          <c:marker>
            <c:symbol val="none"/>
          </c:marker>
          <c:cat>
            <c:numRef>
              <c:f>'OZL Summary'!$NT$8:$NT$33</c:f>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f>'OZL Summary'!$NU$8:$NU$33</c:f>
              <c:numCache>
                <c:formatCode>0.000</c:formatCode>
                <c:ptCount val="26"/>
                <c:pt idx="0">
                  <c:v>1.83918084912E-2</c:v>
                </c:pt>
                <c:pt idx="1">
                  <c:v>5.1320441797199995E-2</c:v>
                </c:pt>
                <c:pt idx="2">
                  <c:v>9.3269601025199989E-2</c:v>
                </c:pt>
                <c:pt idx="3">
                  <c:v>0.15693653862000001</c:v>
                </c:pt>
                <c:pt idx="4">
                  <c:v>0.16921774255320002</c:v>
                </c:pt>
                <c:pt idx="5">
                  <c:v>0.1838797388964</c:v>
                </c:pt>
                <c:pt idx="6">
                  <c:v>0.20299689739439999</c:v>
                </c:pt>
                <c:pt idx="7">
                  <c:v>0.21386782008719998</c:v>
                </c:pt>
                <c:pt idx="8">
                  <c:v>0.23052645776519998</c:v>
                </c:pt>
                <c:pt idx="9">
                  <c:v>0.25480109778479998</c:v>
                </c:pt>
                <c:pt idx="10">
                  <c:v>0.26624755617119999</c:v>
                </c:pt>
                <c:pt idx="11">
                  <c:v>0.28611919843559996</c:v>
                </c:pt>
                <c:pt idx="12">
                  <c:v>0.29892757371840001</c:v>
                </c:pt>
                <c:pt idx="13">
                  <c:v>0.30904758271839999</c:v>
                </c:pt>
                <c:pt idx="14">
                  <c:v>0.32416328266959998</c:v>
                </c:pt>
                <c:pt idx="15">
                  <c:v>0.34605206353840001</c:v>
                </c:pt>
                <c:pt idx="16">
                  <c:v>0.3734694646924</c:v>
                </c:pt>
              </c:numCache>
            </c:numRef>
          </c:val>
          <c:smooth val="0"/>
          <c:extLst>
            <c:ext xmlns:c16="http://schemas.microsoft.com/office/drawing/2014/chart" uri="{C3380CC4-5D6E-409C-BE32-E72D297353CC}">
              <c16:uniqueId val="{00000000-EAFA-4E95-BB90-127EB5C0ABF3}"/>
            </c:ext>
          </c:extLst>
        </c:ser>
        <c:ser>
          <c:idx val="4"/>
          <c:order val="3"/>
          <c:tx>
            <c:v>5/25/50/75/95th percentile</c:v>
          </c:tx>
          <c:spPr>
            <a:ln w="28575">
              <a:solidFill>
                <a:schemeClr val="bg2">
                  <a:lumMod val="40000"/>
                  <a:lumOff val="60000"/>
                </a:schemeClr>
              </a:solidFill>
              <a:prstDash val="sysDot"/>
            </a:ln>
          </c:spPr>
          <c:marker>
            <c:symbol val="none"/>
          </c:marker>
          <c:cat>
            <c:numRef>
              <c:f>'OZL Summary'!$NT$8:$NT$33</c:f>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f>'OZL Summary'!$NX$8:$NX$33</c:f>
              <c:numCache>
                <c:formatCode>0.000</c:formatCode>
                <c:ptCount val="26"/>
                <c:pt idx="0">
                  <c:v>1.7917404360820382E-2</c:v>
                </c:pt>
                <c:pt idx="1">
                  <c:v>3.5834808721640764E-2</c:v>
                </c:pt>
                <c:pt idx="2">
                  <c:v>5.3752213082461142E-2</c:v>
                </c:pt>
                <c:pt idx="3">
                  <c:v>7.1669617443281528E-2</c:v>
                </c:pt>
                <c:pt idx="4">
                  <c:v>8.9587021804101913E-2</c:v>
                </c:pt>
                <c:pt idx="5">
                  <c:v>0.1075044261649223</c:v>
                </c:pt>
                <c:pt idx="6">
                  <c:v>0.12542183052574268</c:v>
                </c:pt>
                <c:pt idx="7">
                  <c:v>0.14333923488656306</c:v>
                </c:pt>
                <c:pt idx="8">
                  <c:v>0.16125663924738343</c:v>
                </c:pt>
                <c:pt idx="9">
                  <c:v>0.1791740436082038</c:v>
                </c:pt>
                <c:pt idx="10">
                  <c:v>0.19709144796902417</c:v>
                </c:pt>
                <c:pt idx="11">
                  <c:v>0.21500885232984454</c:v>
                </c:pt>
                <c:pt idx="12">
                  <c:v>0.23292625669066491</c:v>
                </c:pt>
                <c:pt idx="13">
                  <c:v>0.25084366105148531</c:v>
                </c:pt>
                <c:pt idx="14">
                  <c:v>0.26876106541230571</c:v>
                </c:pt>
                <c:pt idx="15">
                  <c:v>0.28667846977312611</c:v>
                </c:pt>
                <c:pt idx="16">
                  <c:v>0.30459587413394651</c:v>
                </c:pt>
                <c:pt idx="17">
                  <c:v>0.32251327849476691</c:v>
                </c:pt>
                <c:pt idx="18">
                  <c:v>0.34043068285558731</c:v>
                </c:pt>
                <c:pt idx="19">
                  <c:v>0.35834808721640771</c:v>
                </c:pt>
                <c:pt idx="20">
                  <c:v>0.37626549157722811</c:v>
                </c:pt>
                <c:pt idx="21">
                  <c:v>0.39418289593804851</c:v>
                </c:pt>
                <c:pt idx="22">
                  <c:v>0.4121003002988689</c:v>
                </c:pt>
                <c:pt idx="23">
                  <c:v>0.4300177046596893</c:v>
                </c:pt>
                <c:pt idx="24">
                  <c:v>0.4479351090205097</c:v>
                </c:pt>
                <c:pt idx="25">
                  <c:v>0.4658525133813301</c:v>
                </c:pt>
              </c:numCache>
            </c:numRef>
          </c:val>
          <c:smooth val="0"/>
          <c:extLst>
            <c:ext xmlns:c16="http://schemas.microsoft.com/office/drawing/2014/chart" uri="{C3380CC4-5D6E-409C-BE32-E72D297353CC}">
              <c16:uniqueId val="{00000001-EAFA-4E95-BB90-127EB5C0ABF3}"/>
            </c:ext>
          </c:extLst>
        </c:ser>
        <c:ser>
          <c:idx val="9"/>
          <c:order val="5"/>
          <c:tx>
            <c:strRef>
              <c:f>'OZL Summary'!$NZ$6:$NZ$7</c:f>
              <c:strCache>
                <c:ptCount val="2"/>
                <c:pt idx="0">
                  <c:v>25th Percentile</c:v>
                </c:pt>
              </c:strCache>
            </c:strRef>
          </c:tx>
          <c:spPr>
            <a:ln w="28575">
              <a:solidFill>
                <a:schemeClr val="bg2">
                  <a:lumMod val="40000"/>
                  <a:lumOff val="60000"/>
                </a:schemeClr>
              </a:solidFill>
              <a:prstDash val="sysDot"/>
            </a:ln>
          </c:spPr>
          <c:marker>
            <c:symbol val="none"/>
          </c:marker>
          <c:cat>
            <c:numRef>
              <c:f>'OZL Summary'!$NT$8:$NT$33</c:f>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f>'OZL Summary'!$NZ$8:$NZ$33</c:f>
              <c:numCache>
                <c:formatCode>0.000</c:formatCode>
                <c:ptCount val="26"/>
                <c:pt idx="0">
                  <c:v>2.0395517722730773E-2</c:v>
                </c:pt>
                <c:pt idx="1">
                  <c:v>4.0791035445461546E-2</c:v>
                </c:pt>
                <c:pt idx="2">
                  <c:v>6.1186553168192319E-2</c:v>
                </c:pt>
                <c:pt idx="3">
                  <c:v>8.1582070890923092E-2</c:v>
                </c:pt>
                <c:pt idx="4">
                  <c:v>0.10197758861365386</c:v>
                </c:pt>
                <c:pt idx="5">
                  <c:v>0.12237310633638462</c:v>
                </c:pt>
                <c:pt idx="6">
                  <c:v>0.14276862405911539</c:v>
                </c:pt>
                <c:pt idx="7">
                  <c:v>0.16316414178184616</c:v>
                </c:pt>
                <c:pt idx="8">
                  <c:v>0.18355965950457692</c:v>
                </c:pt>
                <c:pt idx="9">
                  <c:v>0.20395517722730769</c:v>
                </c:pt>
                <c:pt idx="10">
                  <c:v>0.22435069495003845</c:v>
                </c:pt>
                <c:pt idx="11">
                  <c:v>0.24474621267276922</c:v>
                </c:pt>
                <c:pt idx="12">
                  <c:v>0.26514173039549999</c:v>
                </c:pt>
                <c:pt idx="13">
                  <c:v>0.28553724811823078</c:v>
                </c:pt>
                <c:pt idx="14">
                  <c:v>0.30593276584096157</c:v>
                </c:pt>
                <c:pt idx="15">
                  <c:v>0.32632828356369237</c:v>
                </c:pt>
                <c:pt idx="16">
                  <c:v>0.34672380128642316</c:v>
                </c:pt>
                <c:pt idx="17">
                  <c:v>0.36711931900915395</c:v>
                </c:pt>
                <c:pt idx="18">
                  <c:v>0.38751483673188475</c:v>
                </c:pt>
                <c:pt idx="19">
                  <c:v>0.40791035445461554</c:v>
                </c:pt>
                <c:pt idx="20">
                  <c:v>0.42830587217734634</c:v>
                </c:pt>
                <c:pt idx="21">
                  <c:v>0.44870138990007713</c:v>
                </c:pt>
                <c:pt idx="22">
                  <c:v>0.46909690762280792</c:v>
                </c:pt>
                <c:pt idx="23">
                  <c:v>0.48949242534553872</c:v>
                </c:pt>
                <c:pt idx="24">
                  <c:v>0.50988794306826946</c:v>
                </c:pt>
                <c:pt idx="25">
                  <c:v>0.53028346079100019</c:v>
                </c:pt>
              </c:numCache>
            </c:numRef>
          </c:val>
          <c:smooth val="0"/>
          <c:extLst>
            <c:ext xmlns:c16="http://schemas.microsoft.com/office/drawing/2014/chart" uri="{C3380CC4-5D6E-409C-BE32-E72D297353CC}">
              <c16:uniqueId val="{00000002-EAFA-4E95-BB90-127EB5C0ABF3}"/>
            </c:ext>
          </c:extLst>
        </c:ser>
        <c:ser>
          <c:idx val="1"/>
          <c:order val="6"/>
          <c:tx>
            <c:strRef>
              <c:f>'OZL Summary'!$OA$6:$OA$7</c:f>
              <c:strCache>
                <c:ptCount val="2"/>
                <c:pt idx="0">
                  <c:v>50th Percentile</c:v>
                </c:pt>
              </c:strCache>
            </c:strRef>
          </c:tx>
          <c:spPr>
            <a:ln w="28575" cap="rnd">
              <a:solidFill>
                <a:schemeClr val="bg2">
                  <a:lumMod val="40000"/>
                  <a:lumOff val="60000"/>
                </a:schemeClr>
              </a:solidFill>
              <a:prstDash val="sysDot"/>
              <a:round/>
            </a:ln>
            <a:effectLst/>
          </c:spPr>
          <c:marker>
            <c:symbol val="none"/>
          </c:marker>
          <c:cat>
            <c:numRef>
              <c:f>'OZL Summary'!$NT$8:$NT$33</c:f>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f>'OZL Summary'!$OA$8:$OA$33</c:f>
              <c:numCache>
                <c:formatCode>0.000</c:formatCode>
                <c:ptCount val="26"/>
                <c:pt idx="0">
                  <c:v>2.2526944401807695E-2</c:v>
                </c:pt>
                <c:pt idx="1">
                  <c:v>4.505388880361539E-2</c:v>
                </c:pt>
                <c:pt idx="2">
                  <c:v>6.7580833205423088E-2</c:v>
                </c:pt>
                <c:pt idx="3">
                  <c:v>9.010777760723078E-2</c:v>
                </c:pt>
                <c:pt idx="4">
                  <c:v>0.11263472200903847</c:v>
                </c:pt>
                <c:pt idx="5">
                  <c:v>0.13516166641084618</c:v>
                </c:pt>
                <c:pt idx="6">
                  <c:v>0.15768861081265387</c:v>
                </c:pt>
                <c:pt idx="7">
                  <c:v>0.18021555521446156</c:v>
                </c:pt>
                <c:pt idx="8">
                  <c:v>0.20274249961626925</c:v>
                </c:pt>
                <c:pt idx="9">
                  <c:v>0.22526944401807694</c:v>
                </c:pt>
                <c:pt idx="10">
                  <c:v>0.24779638841988463</c:v>
                </c:pt>
                <c:pt idx="11">
                  <c:v>0.27032333282169235</c:v>
                </c:pt>
                <c:pt idx="12">
                  <c:v>0.29285027722350004</c:v>
                </c:pt>
                <c:pt idx="13">
                  <c:v>0.31537722162530774</c:v>
                </c:pt>
                <c:pt idx="14">
                  <c:v>0.33790416602711543</c:v>
                </c:pt>
                <c:pt idx="15">
                  <c:v>0.36043111042892312</c:v>
                </c:pt>
                <c:pt idx="16">
                  <c:v>0.38295805483073081</c:v>
                </c:pt>
                <c:pt idx="17">
                  <c:v>0.4054849992325385</c:v>
                </c:pt>
                <c:pt idx="18">
                  <c:v>0.42801194363434619</c:v>
                </c:pt>
                <c:pt idx="19">
                  <c:v>0.45053888803615388</c:v>
                </c:pt>
                <c:pt idx="20">
                  <c:v>0.47306583243796158</c:v>
                </c:pt>
                <c:pt idx="21">
                  <c:v>0.49559277683976927</c:v>
                </c:pt>
                <c:pt idx="22">
                  <c:v>0.51811972124157701</c:v>
                </c:pt>
                <c:pt idx="23">
                  <c:v>0.54064666564338471</c:v>
                </c:pt>
                <c:pt idx="24">
                  <c:v>0.5631736100451924</c:v>
                </c:pt>
                <c:pt idx="25">
                  <c:v>0.58570055444700009</c:v>
                </c:pt>
              </c:numCache>
            </c:numRef>
          </c:val>
          <c:smooth val="0"/>
          <c:extLst>
            <c:ext xmlns:c16="http://schemas.microsoft.com/office/drawing/2014/chart" uri="{C3380CC4-5D6E-409C-BE32-E72D297353CC}">
              <c16:uniqueId val="{00000003-EAFA-4E95-BB90-127EB5C0ABF3}"/>
            </c:ext>
          </c:extLst>
        </c:ser>
        <c:ser>
          <c:idx val="2"/>
          <c:order val="7"/>
          <c:tx>
            <c:strRef>
              <c:f>'OZL Summary'!$OB$6:$OB$7</c:f>
              <c:strCache>
                <c:ptCount val="2"/>
                <c:pt idx="0">
                  <c:v>75th Percentile</c:v>
                </c:pt>
              </c:strCache>
            </c:strRef>
          </c:tx>
          <c:spPr>
            <a:ln w="28575" cap="rnd" cmpd="sng">
              <a:solidFill>
                <a:schemeClr val="bg2">
                  <a:lumMod val="40000"/>
                  <a:lumOff val="60000"/>
                </a:schemeClr>
              </a:solidFill>
              <a:prstDash val="sysDot"/>
              <a:round/>
              <a:headEnd type="none"/>
            </a:ln>
            <a:effectLst/>
          </c:spPr>
          <c:marker>
            <c:symbol val="none"/>
          </c:marker>
          <c:cat>
            <c:numRef>
              <c:f>'OZL Summary'!$NT$8:$NT$33</c:f>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f>'OZL Summary'!$OB$8:$OB$33</c:f>
              <c:numCache>
                <c:formatCode>0.000</c:formatCode>
                <c:ptCount val="26"/>
                <c:pt idx="0">
                  <c:v>2.5291991662338458E-2</c:v>
                </c:pt>
                <c:pt idx="1">
                  <c:v>5.0583983324676916E-2</c:v>
                </c:pt>
                <c:pt idx="2">
                  <c:v>7.5875974987015371E-2</c:v>
                </c:pt>
                <c:pt idx="3">
                  <c:v>0.10116796664935383</c:v>
                </c:pt>
                <c:pt idx="4">
                  <c:v>0.12645995831169229</c:v>
                </c:pt>
                <c:pt idx="5">
                  <c:v>0.15175194997403074</c:v>
                </c:pt>
                <c:pt idx="6">
                  <c:v>0.17704394163636919</c:v>
                </c:pt>
                <c:pt idx="7">
                  <c:v>0.20233593329870764</c:v>
                </c:pt>
                <c:pt idx="8">
                  <c:v>0.22762792496104609</c:v>
                </c:pt>
                <c:pt idx="9">
                  <c:v>0.25291991662338453</c:v>
                </c:pt>
                <c:pt idx="10">
                  <c:v>0.27821190828572301</c:v>
                </c:pt>
                <c:pt idx="11">
                  <c:v>0.30350389994806148</c:v>
                </c:pt>
                <c:pt idx="12">
                  <c:v>0.32879589161039996</c:v>
                </c:pt>
                <c:pt idx="13">
                  <c:v>0.35408788327273844</c:v>
                </c:pt>
                <c:pt idx="14">
                  <c:v>0.37937987493507691</c:v>
                </c:pt>
                <c:pt idx="15">
                  <c:v>0.40467186659741539</c:v>
                </c:pt>
                <c:pt idx="16">
                  <c:v>0.42996385825975386</c:v>
                </c:pt>
                <c:pt idx="17">
                  <c:v>0.45525584992209234</c:v>
                </c:pt>
                <c:pt idx="18">
                  <c:v>0.48054784158443081</c:v>
                </c:pt>
                <c:pt idx="19">
                  <c:v>0.50583983324676929</c:v>
                </c:pt>
                <c:pt idx="20">
                  <c:v>0.53113182490910771</c:v>
                </c:pt>
                <c:pt idx="21">
                  <c:v>0.55642381657144613</c:v>
                </c:pt>
                <c:pt idx="22">
                  <c:v>0.58171580823378455</c:v>
                </c:pt>
                <c:pt idx="23">
                  <c:v>0.60700779989612297</c:v>
                </c:pt>
                <c:pt idx="24">
                  <c:v>0.63229979155846139</c:v>
                </c:pt>
                <c:pt idx="25">
                  <c:v>0.65759178322079981</c:v>
                </c:pt>
              </c:numCache>
            </c:numRef>
          </c:val>
          <c:smooth val="0"/>
          <c:extLst>
            <c:ext xmlns:c16="http://schemas.microsoft.com/office/drawing/2014/chart" uri="{C3380CC4-5D6E-409C-BE32-E72D297353CC}">
              <c16:uniqueId val="{00000004-EAFA-4E95-BB90-127EB5C0ABF3}"/>
            </c:ext>
          </c:extLst>
        </c:ser>
        <c:ser>
          <c:idx val="8"/>
          <c:order val="9"/>
          <c:tx>
            <c:strRef>
              <c:f>'OZL Summary'!$OD$6:$OD$7</c:f>
              <c:strCache>
                <c:ptCount val="2"/>
                <c:pt idx="0">
                  <c:v>95th Percentile</c:v>
                </c:pt>
              </c:strCache>
            </c:strRef>
          </c:tx>
          <c:spPr>
            <a:ln w="28575">
              <a:solidFill>
                <a:schemeClr val="bg2">
                  <a:lumMod val="40000"/>
                  <a:lumOff val="60000"/>
                </a:schemeClr>
              </a:solidFill>
              <a:prstDash val="sysDot"/>
            </a:ln>
          </c:spPr>
          <c:marker>
            <c:symbol val="none"/>
          </c:marker>
          <c:cat>
            <c:numRef>
              <c:f>'OZL Summary'!$NT$8:$NT$33</c:f>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f>'OZL Summary'!$OD$8:$OD$33</c:f>
              <c:numCache>
                <c:formatCode>0.000</c:formatCode>
                <c:ptCount val="26"/>
                <c:pt idx="0">
                  <c:v>3.0517649732723071E-2</c:v>
                </c:pt>
                <c:pt idx="1">
                  <c:v>6.1035299465446141E-2</c:v>
                </c:pt>
                <c:pt idx="2">
                  <c:v>9.1552949198169212E-2</c:v>
                </c:pt>
                <c:pt idx="3">
                  <c:v>0.12207059893089228</c:v>
                </c:pt>
                <c:pt idx="4">
                  <c:v>0.15258824866361537</c:v>
                </c:pt>
                <c:pt idx="5">
                  <c:v>0.18310589839633845</c:v>
                </c:pt>
                <c:pt idx="6">
                  <c:v>0.21362354812906154</c:v>
                </c:pt>
                <c:pt idx="7">
                  <c:v>0.24414119786178462</c:v>
                </c:pt>
                <c:pt idx="8">
                  <c:v>0.2746588475945077</c:v>
                </c:pt>
                <c:pt idx="9">
                  <c:v>0.30517649732723079</c:v>
                </c:pt>
                <c:pt idx="10">
                  <c:v>0.33569414705995387</c:v>
                </c:pt>
                <c:pt idx="11">
                  <c:v>0.36621179679267696</c:v>
                </c:pt>
                <c:pt idx="12">
                  <c:v>0.39672944652540004</c:v>
                </c:pt>
                <c:pt idx="13">
                  <c:v>0.42724709625812313</c:v>
                </c:pt>
                <c:pt idx="14">
                  <c:v>0.45776474599084621</c:v>
                </c:pt>
                <c:pt idx="15">
                  <c:v>0.4882823957235693</c:v>
                </c:pt>
                <c:pt idx="16">
                  <c:v>0.51880004545629232</c:v>
                </c:pt>
                <c:pt idx="17">
                  <c:v>0.54931769518901541</c:v>
                </c:pt>
                <c:pt idx="18">
                  <c:v>0.57983534492173849</c:v>
                </c:pt>
                <c:pt idx="19">
                  <c:v>0.61035299465446158</c:v>
                </c:pt>
                <c:pt idx="20">
                  <c:v>0.64087064438718466</c:v>
                </c:pt>
                <c:pt idx="21">
                  <c:v>0.67138829411990775</c:v>
                </c:pt>
                <c:pt idx="22">
                  <c:v>0.70190594385263083</c:v>
                </c:pt>
                <c:pt idx="23">
                  <c:v>0.73242359358535392</c:v>
                </c:pt>
                <c:pt idx="24">
                  <c:v>0.762941243318077</c:v>
                </c:pt>
                <c:pt idx="25">
                  <c:v>0.79345889305080008</c:v>
                </c:pt>
              </c:numCache>
            </c:numRef>
          </c:val>
          <c:smooth val="0"/>
          <c:extLst>
            <c:ext xmlns:c16="http://schemas.microsoft.com/office/drawing/2014/chart" uri="{C3380CC4-5D6E-409C-BE32-E72D297353CC}">
              <c16:uniqueId val="{00000005-EAFA-4E95-BB90-127EB5C0ABF3}"/>
            </c:ext>
          </c:extLst>
        </c:ser>
        <c:dLbls>
          <c:showLegendKey val="0"/>
          <c:showVal val="0"/>
          <c:showCatName val="0"/>
          <c:showSerName val="0"/>
          <c:showPercent val="0"/>
          <c:showBubbleSize val="0"/>
        </c:dLbls>
        <c:smooth val="0"/>
        <c:axId val="1388952432"/>
        <c:axId val="1388953088"/>
        <c:extLst>
          <c:ext xmlns:c15="http://schemas.microsoft.com/office/drawing/2012/chart" uri="{02D57815-91ED-43cb-92C2-25804820EDAC}">
            <c15:filteredLineSeries>
              <c15:ser>
                <c:idx val="6"/>
                <c:order val="1"/>
                <c:tx>
                  <c:strRef>
                    <c:extLst>
                      <c:ext uri="{02D57815-91ED-43cb-92C2-25804820EDAC}">
                        <c15:formulaRef>
                          <c15:sqref>'OZL Summary'!$NV$6:$NV$7</c15:sqref>
                        </c15:formulaRef>
                      </c:ext>
                    </c:extLst>
                    <c:strCache>
                      <c:ptCount val="2"/>
                      <c:pt idx="0">
                        <c:v>Min</c:v>
                      </c:pt>
                    </c:strCache>
                  </c:strRef>
                </c:tx>
                <c:spPr>
                  <a:ln w="28575">
                    <a:solidFill>
                      <a:schemeClr val="bg2">
                        <a:lumMod val="40000"/>
                        <a:lumOff val="60000"/>
                      </a:schemeClr>
                    </a:solidFill>
                    <a:prstDash val="sysDot"/>
                  </a:ln>
                </c:spPr>
                <c:marker>
                  <c:symbol val="none"/>
                </c:marker>
                <c:cat>
                  <c:numRef>
                    <c:extLst>
                      <c:ext uri="{02D57815-91ED-43cb-92C2-25804820EDAC}">
                        <c15:formulaRef>
                          <c15:sqref>'OZL Summary'!$NT$8:$NT$33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c:ext uri="{02D57815-91ED-43cb-92C2-25804820EDAC}">
                        <c15:formulaRef>
                          <c15:sqref>'OZL Summary'!$NV$8:$NV$33</c15:sqref>
                        </c15:formulaRef>
                      </c:ext>
                    </c:extLst>
                    <c:numCache>
                      <c:formatCode>0.000</c:formatCode>
                      <c:ptCount val="26"/>
                      <c:pt idx="0">
                        <c:v>1.5433151487946153E-2</c:v>
                      </c:pt>
                      <c:pt idx="1">
                        <c:v>3.0866302975892306E-2</c:v>
                      </c:pt>
                      <c:pt idx="2">
                        <c:v>4.6299454463838458E-2</c:v>
                      </c:pt>
                      <c:pt idx="3">
                        <c:v>6.1732605951784612E-2</c:v>
                      </c:pt>
                      <c:pt idx="4">
                        <c:v>7.7165757439730767E-2</c:v>
                      </c:pt>
                      <c:pt idx="5">
                        <c:v>9.2598908927676915E-2</c:v>
                      </c:pt>
                      <c:pt idx="6">
                        <c:v>0.10803206041562306</c:v>
                      </c:pt>
                      <c:pt idx="7">
                        <c:v>0.12346521190356921</c:v>
                      </c:pt>
                      <c:pt idx="8">
                        <c:v>0.13889836339151537</c:v>
                      </c:pt>
                      <c:pt idx="9">
                        <c:v>0.15433151487946153</c:v>
                      </c:pt>
                      <c:pt idx="10">
                        <c:v>0.1697646663674077</c:v>
                      </c:pt>
                      <c:pt idx="11">
                        <c:v>0.18519781785535386</c:v>
                      </c:pt>
                      <c:pt idx="12">
                        <c:v>0.20063096934330002</c:v>
                      </c:pt>
                      <c:pt idx="13">
                        <c:v>0.21606412083124618</c:v>
                      </c:pt>
                      <c:pt idx="14">
                        <c:v>0.23149727231919234</c:v>
                      </c:pt>
                      <c:pt idx="15">
                        <c:v>0.2469304238071385</c:v>
                      </c:pt>
                      <c:pt idx="16">
                        <c:v>0.26236357529508464</c:v>
                      </c:pt>
                      <c:pt idx="17">
                        <c:v>0.2777967267830308</c:v>
                      </c:pt>
                      <c:pt idx="18">
                        <c:v>0.29322987827097696</c:v>
                      </c:pt>
                      <c:pt idx="19">
                        <c:v>0.30866302975892312</c:v>
                      </c:pt>
                      <c:pt idx="20">
                        <c:v>0.32409618124686929</c:v>
                      </c:pt>
                      <c:pt idx="21">
                        <c:v>0.33952933273481545</c:v>
                      </c:pt>
                      <c:pt idx="22">
                        <c:v>0.35496248422276161</c:v>
                      </c:pt>
                      <c:pt idx="23">
                        <c:v>0.37039563571070777</c:v>
                      </c:pt>
                      <c:pt idx="24">
                        <c:v>0.38582878719865393</c:v>
                      </c:pt>
                      <c:pt idx="25">
                        <c:v>0.40126193868660009</c:v>
                      </c:pt>
                    </c:numCache>
                  </c:numRef>
                </c:val>
                <c:smooth val="0"/>
                <c:extLst>
                  <c:ext xmlns:c16="http://schemas.microsoft.com/office/drawing/2014/chart" uri="{C3380CC4-5D6E-409C-BE32-E72D297353CC}">
                    <c16:uniqueId val="{00000006-EAFA-4E95-BB90-127EB5C0ABF3}"/>
                  </c:ext>
                </c:extLst>
              </c15:ser>
            </c15:filteredLineSeries>
            <c15:filteredLineSeries>
              <c15:ser>
                <c:idx val="3"/>
                <c:order val="2"/>
                <c:tx>
                  <c:strRef>
                    <c:extLst xmlns:c15="http://schemas.microsoft.com/office/drawing/2012/chart">
                      <c:ext xmlns:c15="http://schemas.microsoft.com/office/drawing/2012/chart" uri="{02D57815-91ED-43cb-92C2-25804820EDAC}">
                        <c15:formulaRef>
                          <c15:sqref>'OZL Summary'!$NW$6:$NW$7</c15:sqref>
                        </c15:formulaRef>
                      </c:ext>
                    </c:extLst>
                    <c:strCache>
                      <c:ptCount val="2"/>
                      <c:pt idx="0">
                        <c:v>1st Percentile</c:v>
                      </c:pt>
                    </c:strCache>
                  </c:strRef>
                </c:tx>
                <c:spPr>
                  <a:ln w="28575" cap="rnd" cmpd="sng">
                    <a:solidFill>
                      <a:schemeClr val="bg2">
                        <a:lumMod val="40000"/>
                        <a:lumOff val="60000"/>
                      </a:schemeClr>
                    </a:solidFill>
                    <a:prstDash val="sysDot"/>
                    <a:round/>
                    <a:headEnd type="none"/>
                  </a:ln>
                  <a:effectLst/>
                </c:spPr>
                <c:marker>
                  <c:symbol val="none"/>
                </c:marker>
                <c:cat>
                  <c:numRef>
                    <c:extLst xmlns:c15="http://schemas.microsoft.com/office/drawing/2012/chart">
                      <c:ext xmlns:c15="http://schemas.microsoft.com/office/drawing/2012/chart" uri="{02D57815-91ED-43cb-92C2-25804820EDAC}">
                        <c15:formulaRef>
                          <c15:sqref>'OZL Summary'!$NT$8:$NT$33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xmlns:c15="http://schemas.microsoft.com/office/drawing/2012/chart">
                      <c:ext xmlns:c15="http://schemas.microsoft.com/office/drawing/2012/chart" uri="{02D57815-91ED-43cb-92C2-25804820EDAC}">
                        <c15:formulaRef>
                          <c15:sqref>'OZL Summary'!$NW$8:$NW$33</c15:sqref>
                        </c15:formulaRef>
                      </c:ext>
                    </c:extLst>
                    <c:numCache>
                      <c:formatCode>0.000</c:formatCode>
                      <c:ptCount val="26"/>
                      <c:pt idx="0">
                        <c:v>1.6867674691430769E-2</c:v>
                      </c:pt>
                      <c:pt idx="1">
                        <c:v>3.3735349382861539E-2</c:v>
                      </c:pt>
                      <c:pt idx="2">
                        <c:v>5.0603024074292305E-2</c:v>
                      </c:pt>
                      <c:pt idx="3">
                        <c:v>6.7470698765723078E-2</c:v>
                      </c:pt>
                      <c:pt idx="4">
                        <c:v>8.4338373457153851E-2</c:v>
                      </c:pt>
                      <c:pt idx="5">
                        <c:v>0.10120604814858462</c:v>
                      </c:pt>
                      <c:pt idx="6">
                        <c:v>0.1180737228400154</c:v>
                      </c:pt>
                      <c:pt idx="7">
                        <c:v>0.13494139753144616</c:v>
                      </c:pt>
                      <c:pt idx="8">
                        <c:v>0.15180907222287693</c:v>
                      </c:pt>
                      <c:pt idx="9">
                        <c:v>0.1686767469143077</c:v>
                      </c:pt>
                      <c:pt idx="10">
                        <c:v>0.18554442160573847</c:v>
                      </c:pt>
                      <c:pt idx="11">
                        <c:v>0.20241209629716925</c:v>
                      </c:pt>
                      <c:pt idx="12">
                        <c:v>0.21927977098860002</c:v>
                      </c:pt>
                      <c:pt idx="13">
                        <c:v>0.23614744568003079</c:v>
                      </c:pt>
                      <c:pt idx="14">
                        <c:v>0.25301512037146157</c:v>
                      </c:pt>
                      <c:pt idx="15">
                        <c:v>0.26988279506289231</c:v>
                      </c:pt>
                      <c:pt idx="16">
                        <c:v>0.28675046975432306</c:v>
                      </c:pt>
                      <c:pt idx="17">
                        <c:v>0.3036181444457538</c:v>
                      </c:pt>
                      <c:pt idx="18">
                        <c:v>0.32048581913718455</c:v>
                      </c:pt>
                      <c:pt idx="19">
                        <c:v>0.33735349382861529</c:v>
                      </c:pt>
                      <c:pt idx="20">
                        <c:v>0.35422116852004604</c:v>
                      </c:pt>
                      <c:pt idx="21">
                        <c:v>0.37108884321147678</c:v>
                      </c:pt>
                      <c:pt idx="22">
                        <c:v>0.38795651790290753</c:v>
                      </c:pt>
                      <c:pt idx="23">
                        <c:v>0.40482419259433827</c:v>
                      </c:pt>
                      <c:pt idx="24">
                        <c:v>0.42169186728576902</c:v>
                      </c:pt>
                      <c:pt idx="25">
                        <c:v>0.43855954197719976</c:v>
                      </c:pt>
                    </c:numCache>
                  </c:numRef>
                </c:val>
                <c:smooth val="0"/>
                <c:extLst xmlns:c15="http://schemas.microsoft.com/office/drawing/2012/chart">
                  <c:ext xmlns:c16="http://schemas.microsoft.com/office/drawing/2014/chart" uri="{C3380CC4-5D6E-409C-BE32-E72D297353CC}">
                    <c16:uniqueId val="{00000007-EAFA-4E95-BB90-127EB5C0ABF3}"/>
                  </c:ext>
                </c:extLst>
              </c15:ser>
            </c15:filteredLineSeries>
            <c15:filteredLineSeries>
              <c15:ser>
                <c:idx val="5"/>
                <c:order val="4"/>
                <c:tx>
                  <c:strRef>
                    <c:extLst xmlns:c15="http://schemas.microsoft.com/office/drawing/2012/chart">
                      <c:ext xmlns:c15="http://schemas.microsoft.com/office/drawing/2012/chart" uri="{02D57815-91ED-43cb-92C2-25804820EDAC}">
                        <c15:formulaRef>
                          <c15:sqref>'OZL Summary'!$NY$6:$NY$7</c15:sqref>
                        </c15:formulaRef>
                      </c:ext>
                    </c:extLst>
                    <c:strCache>
                      <c:ptCount val="2"/>
                      <c:pt idx="0">
                        <c:v>10th Percentile</c:v>
                      </c:pt>
                    </c:strCache>
                  </c:strRef>
                </c:tx>
                <c:spPr>
                  <a:ln w="28575">
                    <a:solidFill>
                      <a:schemeClr val="bg2">
                        <a:lumMod val="40000"/>
                        <a:lumOff val="60000"/>
                      </a:schemeClr>
                    </a:solidFill>
                    <a:prstDash val="sysDot"/>
                  </a:ln>
                </c:spPr>
                <c:marker>
                  <c:symbol val="none"/>
                </c:marker>
                <c:cat>
                  <c:numRef>
                    <c:extLst xmlns:c15="http://schemas.microsoft.com/office/drawing/2012/chart">
                      <c:ext xmlns:c15="http://schemas.microsoft.com/office/drawing/2012/chart" uri="{02D57815-91ED-43cb-92C2-25804820EDAC}">
                        <c15:formulaRef>
                          <c15:sqref>'OZL Summary'!$NT$8:$NT$33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xmlns:c15="http://schemas.microsoft.com/office/drawing/2012/chart">
                      <c:ext xmlns:c15="http://schemas.microsoft.com/office/drawing/2012/chart" uri="{02D57815-91ED-43cb-92C2-25804820EDAC}">
                        <c15:formulaRef>
                          <c15:sqref>'OZL Summary'!$NY$8:$NY$33</c15:sqref>
                        </c15:formulaRef>
                      </c:ext>
                    </c:extLst>
                    <c:numCache>
                      <c:formatCode>0.000</c:formatCode>
                      <c:ptCount val="26"/>
                      <c:pt idx="0">
                        <c:v>1.8738886879453846E-2</c:v>
                      </c:pt>
                      <c:pt idx="1">
                        <c:v>3.7477773758907693E-2</c:v>
                      </c:pt>
                      <c:pt idx="2">
                        <c:v>5.6216660638361539E-2</c:v>
                      </c:pt>
                      <c:pt idx="3">
                        <c:v>7.4955547517815385E-2</c:v>
                      </c:pt>
                      <c:pt idx="4">
                        <c:v>9.3694434397269238E-2</c:v>
                      </c:pt>
                      <c:pt idx="5">
                        <c:v>0.11243332127672309</c:v>
                      </c:pt>
                      <c:pt idx="6">
                        <c:v>0.13117220815617694</c:v>
                      </c:pt>
                      <c:pt idx="7">
                        <c:v>0.1499110950356308</c:v>
                      </c:pt>
                      <c:pt idx="8">
                        <c:v>0.16864998191508465</c:v>
                      </c:pt>
                      <c:pt idx="9">
                        <c:v>0.1873888687945385</c:v>
                      </c:pt>
                      <c:pt idx="10">
                        <c:v>0.20612775567399236</c:v>
                      </c:pt>
                      <c:pt idx="11">
                        <c:v>0.22486664255344621</c:v>
                      </c:pt>
                      <c:pt idx="12">
                        <c:v>0.24360552943290006</c:v>
                      </c:pt>
                      <c:pt idx="13">
                        <c:v>0.26234441631235389</c:v>
                      </c:pt>
                      <c:pt idx="14">
                        <c:v>0.28108330319180774</c:v>
                      </c:pt>
                      <c:pt idx="15">
                        <c:v>0.2998221900712616</c:v>
                      </c:pt>
                      <c:pt idx="16">
                        <c:v>0.31856107695071545</c:v>
                      </c:pt>
                      <c:pt idx="17">
                        <c:v>0.3372999638301693</c:v>
                      </c:pt>
                      <c:pt idx="18">
                        <c:v>0.35603885070962316</c:v>
                      </c:pt>
                      <c:pt idx="19">
                        <c:v>0.37477773758907701</c:v>
                      </c:pt>
                      <c:pt idx="20">
                        <c:v>0.39351662446853086</c:v>
                      </c:pt>
                      <c:pt idx="21">
                        <c:v>0.41225551134798472</c:v>
                      </c:pt>
                      <c:pt idx="22">
                        <c:v>0.43099439822743857</c:v>
                      </c:pt>
                      <c:pt idx="23">
                        <c:v>0.44973328510689242</c:v>
                      </c:pt>
                      <c:pt idx="24">
                        <c:v>0.46847217198634628</c:v>
                      </c:pt>
                      <c:pt idx="25">
                        <c:v>0.48721105886580013</c:v>
                      </c:pt>
                    </c:numCache>
                  </c:numRef>
                </c:val>
                <c:smooth val="0"/>
                <c:extLst xmlns:c15="http://schemas.microsoft.com/office/drawing/2012/chart">
                  <c:ext xmlns:c16="http://schemas.microsoft.com/office/drawing/2014/chart" uri="{C3380CC4-5D6E-409C-BE32-E72D297353CC}">
                    <c16:uniqueId val="{00000008-EAFA-4E95-BB90-127EB5C0ABF3}"/>
                  </c:ext>
                </c:extLst>
              </c15:ser>
            </c15:filteredLineSeries>
            <c15:filteredLineSeries>
              <c15:ser>
                <c:idx val="7"/>
                <c:order val="8"/>
                <c:tx>
                  <c:strRef>
                    <c:extLst xmlns:c15="http://schemas.microsoft.com/office/drawing/2012/chart">
                      <c:ext xmlns:c15="http://schemas.microsoft.com/office/drawing/2012/chart" uri="{02D57815-91ED-43cb-92C2-25804820EDAC}">
                        <c15:formulaRef>
                          <c15:sqref>'OZL Summary'!$OC$6:$OC$7</c15:sqref>
                        </c15:formulaRef>
                      </c:ext>
                    </c:extLst>
                    <c:strCache>
                      <c:ptCount val="2"/>
                      <c:pt idx="0">
                        <c:v>90th Percentile</c:v>
                      </c:pt>
                    </c:strCache>
                  </c:strRef>
                </c:tx>
                <c:spPr>
                  <a:ln w="28575">
                    <a:solidFill>
                      <a:schemeClr val="bg2"/>
                    </a:solidFill>
                    <a:prstDash val="sysDot"/>
                  </a:ln>
                </c:spPr>
                <c:marker>
                  <c:symbol val="none"/>
                </c:marker>
                <c:cat>
                  <c:numRef>
                    <c:extLst xmlns:c15="http://schemas.microsoft.com/office/drawing/2012/chart">
                      <c:ext xmlns:c15="http://schemas.microsoft.com/office/drawing/2012/chart" uri="{02D57815-91ED-43cb-92C2-25804820EDAC}">
                        <c15:formulaRef>
                          <c15:sqref>'OZL Summary'!$NT$8:$NT$33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xmlns:c15="http://schemas.microsoft.com/office/drawing/2012/chart">
                      <c:ext xmlns:c15="http://schemas.microsoft.com/office/drawing/2012/chart" uri="{02D57815-91ED-43cb-92C2-25804820EDAC}">
                        <c15:formulaRef>
                          <c15:sqref>'OZL Summary'!$OC$8:$OC$33</c15:sqref>
                        </c15:formulaRef>
                      </c:ext>
                    </c:extLst>
                    <c:numCache>
                      <c:formatCode>0.000</c:formatCode>
                      <c:ptCount val="26"/>
                      <c:pt idx="0">
                        <c:v>2.8508343538959226E-2</c:v>
                      </c:pt>
                      <c:pt idx="1">
                        <c:v>5.7016687077918453E-2</c:v>
                      </c:pt>
                      <c:pt idx="2">
                        <c:v>8.5525030616877676E-2</c:v>
                      </c:pt>
                      <c:pt idx="3">
                        <c:v>0.11403337415583691</c:v>
                      </c:pt>
                      <c:pt idx="4">
                        <c:v>0.14254171769479612</c:v>
                      </c:pt>
                      <c:pt idx="5">
                        <c:v>0.17105006123375535</c:v>
                      </c:pt>
                      <c:pt idx="6">
                        <c:v>0.19955840477271458</c:v>
                      </c:pt>
                      <c:pt idx="7">
                        <c:v>0.22806674831167381</c:v>
                      </c:pt>
                      <c:pt idx="8">
                        <c:v>0.25657509185063304</c:v>
                      </c:pt>
                      <c:pt idx="9">
                        <c:v>0.28508343538959224</c:v>
                      </c:pt>
                      <c:pt idx="10">
                        <c:v>0.31359177892855145</c:v>
                      </c:pt>
                      <c:pt idx="11">
                        <c:v>0.34210012246751065</c:v>
                      </c:pt>
                      <c:pt idx="12">
                        <c:v>0.37060846600646985</c:v>
                      </c:pt>
                      <c:pt idx="13">
                        <c:v>0.39911680954542905</c:v>
                      </c:pt>
                      <c:pt idx="14">
                        <c:v>0.42762515308438825</c:v>
                      </c:pt>
                      <c:pt idx="15">
                        <c:v>0.45613349662334746</c:v>
                      </c:pt>
                      <c:pt idx="16">
                        <c:v>0.48464184016230666</c:v>
                      </c:pt>
                      <c:pt idx="17">
                        <c:v>0.51315018370126586</c:v>
                      </c:pt>
                      <c:pt idx="18">
                        <c:v>0.54165852724022512</c:v>
                      </c:pt>
                      <c:pt idx="19">
                        <c:v>0.57016687077918438</c:v>
                      </c:pt>
                      <c:pt idx="20">
                        <c:v>0.59867521431814363</c:v>
                      </c:pt>
                      <c:pt idx="21">
                        <c:v>0.62718355785710289</c:v>
                      </c:pt>
                      <c:pt idx="22">
                        <c:v>0.65569190139606215</c:v>
                      </c:pt>
                      <c:pt idx="23">
                        <c:v>0.68420024493502141</c:v>
                      </c:pt>
                      <c:pt idx="24">
                        <c:v>0.71270858847398066</c:v>
                      </c:pt>
                      <c:pt idx="25">
                        <c:v>0.74121693201293992</c:v>
                      </c:pt>
                    </c:numCache>
                  </c:numRef>
                </c:val>
                <c:smooth val="0"/>
                <c:extLst xmlns:c15="http://schemas.microsoft.com/office/drawing/2012/chart">
                  <c:ext xmlns:c16="http://schemas.microsoft.com/office/drawing/2014/chart" uri="{C3380CC4-5D6E-409C-BE32-E72D297353CC}">
                    <c16:uniqueId val="{00000009-EAFA-4E95-BB90-127EB5C0ABF3}"/>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'OZL Summary'!$OE$6:$OE$7</c15:sqref>
                        </c15:formulaRef>
                      </c:ext>
                    </c:extLst>
                    <c:strCache>
                      <c:ptCount val="2"/>
                      <c:pt idx="0">
                        <c:v>99th Percentile</c:v>
                      </c:pt>
                    </c:strCache>
                  </c:strRef>
                </c:tx>
                <c:spPr>
                  <a:ln w="28575" cap="rnd">
                    <a:solidFill>
                      <a:schemeClr val="accent6"/>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'OZL Summary'!$NT$8:$NT$33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xmlns:c15="http://schemas.microsoft.com/office/drawing/2012/chart">
                      <c:ext xmlns:c15="http://schemas.microsoft.com/office/drawing/2012/chart" uri="{02D57815-91ED-43cb-92C2-25804820EDAC}">
                        <c15:formulaRef>
                          <c15:sqref>'OZL Summary'!$OE$8:$OE$33</c15:sqref>
                        </c15:formulaRef>
                      </c:ext>
                    </c:extLst>
                    <c:numCache>
                      <c:formatCode>0.000</c:formatCode>
                      <c:ptCount val="26"/>
                      <c:pt idx="0">
                        <c:v>3.4534613209915382E-2</c:v>
                      </c:pt>
                      <c:pt idx="1">
                        <c:v>6.9069226419830765E-2</c:v>
                      </c:pt>
                      <c:pt idx="2">
                        <c:v>0.10360383962974615</c:v>
                      </c:pt>
                      <c:pt idx="3">
                        <c:v>0.13813845283966153</c:v>
                      </c:pt>
                      <c:pt idx="4">
                        <c:v>0.17267306604957691</c:v>
                      </c:pt>
                      <c:pt idx="5">
                        <c:v>0.20720767925949229</c:v>
                      </c:pt>
                      <c:pt idx="6">
                        <c:v>0.24174229246940768</c:v>
                      </c:pt>
                      <c:pt idx="7">
                        <c:v>0.27627690567932306</c:v>
                      </c:pt>
                      <c:pt idx="8">
                        <c:v>0.31081151888923841</c:v>
                      </c:pt>
                      <c:pt idx="9">
                        <c:v>0.34534613209915377</c:v>
                      </c:pt>
                      <c:pt idx="10">
                        <c:v>0.37988074530906912</c:v>
                      </c:pt>
                      <c:pt idx="11">
                        <c:v>0.41441535851898448</c:v>
                      </c:pt>
                      <c:pt idx="12">
                        <c:v>0.44894997172889983</c:v>
                      </c:pt>
                      <c:pt idx="13">
                        <c:v>0.48348458493881519</c:v>
                      </c:pt>
                      <c:pt idx="14">
                        <c:v>0.51801919814873054</c:v>
                      </c:pt>
                      <c:pt idx="15">
                        <c:v>0.5525538113586459</c:v>
                      </c:pt>
                      <c:pt idx="16">
                        <c:v>0.58708842456856125</c:v>
                      </c:pt>
                      <c:pt idx="17">
                        <c:v>0.62162303777847661</c:v>
                      </c:pt>
                      <c:pt idx="18">
                        <c:v>0.65615765098839196</c:v>
                      </c:pt>
                      <c:pt idx="19">
                        <c:v>0.69069226419830732</c:v>
                      </c:pt>
                      <c:pt idx="20">
                        <c:v>0.72522687740822267</c:v>
                      </c:pt>
                      <c:pt idx="21">
                        <c:v>0.75976149061813802</c:v>
                      </c:pt>
                      <c:pt idx="22">
                        <c:v>0.79429610382805338</c:v>
                      </c:pt>
                      <c:pt idx="23">
                        <c:v>0.82883071703796873</c:v>
                      </c:pt>
                      <c:pt idx="24">
                        <c:v>0.86336533024788409</c:v>
                      </c:pt>
                      <c:pt idx="25">
                        <c:v>0.89789994345779944</c:v>
                      </c:pt>
                    </c:numCache>
                  </c:numRef>
                </c:val>
                <c:smooth val="0"/>
                <c:extLst xmlns:c15="http://schemas.microsoft.com/office/drawing/2012/chart">
                  <c:ext xmlns:c16="http://schemas.microsoft.com/office/drawing/2014/chart" uri="{C3380CC4-5D6E-409C-BE32-E72D297353CC}">
                    <c16:uniqueId val="{0000000A-EAFA-4E95-BB90-127EB5C0ABF3}"/>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'OZL Summary'!$OF$6:$OF$7</c15:sqref>
                        </c15:formulaRef>
                      </c:ext>
                    </c:extLst>
                    <c:strCache>
                      <c:ptCount val="2"/>
                      <c:pt idx="0">
                        <c:v>Max</c:v>
                      </c:pt>
                    </c:strCache>
                  </c:strRef>
                </c:tx>
                <c:spPr>
                  <a:ln w="28575" cap="rnd" cmpd="sng">
                    <a:solidFill>
                      <a:schemeClr val="accent5"/>
                    </a:solidFill>
                    <a:prstDash val="sysDot"/>
                    <a:round/>
                    <a:headEnd type="none"/>
                  </a:ln>
                  <a:effectLst/>
                </c:spPr>
                <c:marker>
                  <c:symbol val="none"/>
                </c:marker>
                <c:cat>
                  <c:numRef>
                    <c:extLst xmlns:c15="http://schemas.microsoft.com/office/drawing/2012/chart">
                      <c:ext xmlns:c15="http://schemas.microsoft.com/office/drawing/2012/chart" uri="{02D57815-91ED-43cb-92C2-25804820EDAC}">
                        <c15:formulaRef>
                          <c15:sqref>'OZL Summary'!$NT$8:$NT$33</c15:sqref>
                        </c15:formulaRef>
                      </c:ext>
                    </c:extLst>
                    <c:numCache>
                      <c:formatCode>d\-mmm\-yy_);\(###0\);"-  ";" "@" "</c:formatCode>
                      <c:ptCount val="26"/>
                      <c:pt idx="0">
                        <c:v>44567</c:v>
                      </c:pt>
                      <c:pt idx="1">
                        <c:v>44574</c:v>
                      </c:pt>
                      <c:pt idx="2">
                        <c:v>44581</c:v>
                      </c:pt>
                      <c:pt idx="3">
                        <c:v>44588</c:v>
                      </c:pt>
                      <c:pt idx="4">
                        <c:v>44595</c:v>
                      </c:pt>
                      <c:pt idx="5">
                        <c:v>44602</c:v>
                      </c:pt>
                      <c:pt idx="6">
                        <c:v>44609</c:v>
                      </c:pt>
                      <c:pt idx="7">
                        <c:v>44616</c:v>
                      </c:pt>
                      <c:pt idx="8">
                        <c:v>44623</c:v>
                      </c:pt>
                      <c:pt idx="9">
                        <c:v>44630</c:v>
                      </c:pt>
                      <c:pt idx="10">
                        <c:v>44637</c:v>
                      </c:pt>
                      <c:pt idx="11">
                        <c:v>44644</c:v>
                      </c:pt>
                      <c:pt idx="12">
                        <c:v>44651</c:v>
                      </c:pt>
                      <c:pt idx="13">
                        <c:v>44658</c:v>
                      </c:pt>
                      <c:pt idx="14">
                        <c:v>44665</c:v>
                      </c:pt>
                      <c:pt idx="15">
                        <c:v>44672</c:v>
                      </c:pt>
                      <c:pt idx="16">
                        <c:v>44679</c:v>
                      </c:pt>
                      <c:pt idx="17">
                        <c:v>44686</c:v>
                      </c:pt>
                      <c:pt idx="18">
                        <c:v>44693</c:v>
                      </c:pt>
                      <c:pt idx="19">
                        <c:v>44700</c:v>
                      </c:pt>
                      <c:pt idx="20">
                        <c:v>44707</c:v>
                      </c:pt>
                      <c:pt idx="21">
                        <c:v>44714</c:v>
                      </c:pt>
                      <c:pt idx="22">
                        <c:v>44721</c:v>
                      </c:pt>
                      <c:pt idx="23">
                        <c:v>44728</c:v>
                      </c:pt>
                      <c:pt idx="24">
                        <c:v>44735</c:v>
                      </c:pt>
                      <c:pt idx="25">
                        <c:v>44742</c:v>
                      </c:pt>
                    </c:numCache>
                  </c:numRef>
                </c:cat>
                <c:val>
                  <c:numRef>
                    <c:extLst xmlns:c15="http://schemas.microsoft.com/office/drawing/2012/chart">
                      <c:ext xmlns:c15="http://schemas.microsoft.com/office/drawing/2012/chart" uri="{02D57815-91ED-43cb-92C2-25804820EDAC}">
                        <c15:formulaRef>
                          <c15:sqref>'OZL Summary'!$OF$8:$OF$33</c15:sqref>
                        </c15:formulaRef>
                      </c:ext>
                    </c:extLst>
                    <c:numCache>
                      <c:formatCode>0.000</c:formatCode>
                      <c:ptCount val="26"/>
                      <c:pt idx="0">
                        <c:v>4.264335589068461E-2</c:v>
                      </c:pt>
                      <c:pt idx="1">
                        <c:v>8.528671178136922E-2</c:v>
                      </c:pt>
                      <c:pt idx="2">
                        <c:v>0.12793006767205384</c:v>
                      </c:pt>
                      <c:pt idx="3">
                        <c:v>0.17057342356273844</c:v>
                      </c:pt>
                      <c:pt idx="4">
                        <c:v>0.21321677945342304</c:v>
                      </c:pt>
                      <c:pt idx="5">
                        <c:v>0.25586013534410768</c:v>
                      </c:pt>
                      <c:pt idx="6">
                        <c:v>0.29850349123479231</c:v>
                      </c:pt>
                      <c:pt idx="7">
                        <c:v>0.34114684712547694</c:v>
                      </c:pt>
                      <c:pt idx="8">
                        <c:v>0.38379020301616157</c:v>
                      </c:pt>
                      <c:pt idx="9">
                        <c:v>0.4264335589068462</c:v>
                      </c:pt>
                      <c:pt idx="10">
                        <c:v>0.46907691479753083</c:v>
                      </c:pt>
                      <c:pt idx="11">
                        <c:v>0.51172027068821546</c:v>
                      </c:pt>
                      <c:pt idx="12">
                        <c:v>0.55436362657890004</c:v>
                      </c:pt>
                      <c:pt idx="13">
                        <c:v>0.59700698246958461</c:v>
                      </c:pt>
                      <c:pt idx="14">
                        <c:v>0.63965033836026919</c:v>
                      </c:pt>
                      <c:pt idx="15">
                        <c:v>0.68229369425095376</c:v>
                      </c:pt>
                      <c:pt idx="16">
                        <c:v>0.72493705014163834</c:v>
                      </c:pt>
                      <c:pt idx="17">
                        <c:v>0.76758040603232291</c:v>
                      </c:pt>
                      <c:pt idx="18">
                        <c:v>0.81022376192300749</c:v>
                      </c:pt>
                      <c:pt idx="19">
                        <c:v>0.85286711781369207</c:v>
                      </c:pt>
                      <c:pt idx="20">
                        <c:v>0.89551047370437664</c:v>
                      </c:pt>
                      <c:pt idx="21">
                        <c:v>0.93815382959506122</c:v>
                      </c:pt>
                      <c:pt idx="22">
                        <c:v>0.98079718548574579</c:v>
                      </c:pt>
                      <c:pt idx="23">
                        <c:v>1.0234405413764305</c:v>
                      </c:pt>
                      <c:pt idx="24">
                        <c:v>1.0660838972671152</c:v>
                      </c:pt>
                      <c:pt idx="25">
                        <c:v>1.1087272531577999</c:v>
                      </c:pt>
                    </c:numCache>
                  </c:numRef>
                </c:val>
                <c:smooth val="0"/>
                <c:extLst xmlns:c15="http://schemas.microsoft.com/office/drawing/2012/chart">
                  <c:ext xmlns:c16="http://schemas.microsoft.com/office/drawing/2014/chart" uri="{C3380CC4-5D6E-409C-BE32-E72D297353CC}">
                    <c16:uniqueId val="{0000000B-EAFA-4E95-BB90-127EB5C0ABF3}"/>
                  </c:ext>
                </c:extLst>
              </c15:ser>
            </c15:filteredLineSeries>
          </c:ext>
        </c:extLst>
      </c:lineChart>
      <c:dateAx>
        <c:axId val="1388952432"/>
        <c:scaling>
          <c:orientation val="minMax"/>
        </c:scaling>
        <c:delete val="0"/>
        <c:axPos val="b"/>
        <c:numFmt formatCode="mmm\-yy" sourceLinked="0"/>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3088"/>
        <c:crosses val="autoZero"/>
        <c:auto val="1"/>
        <c:lblOffset val="100"/>
        <c:baseTimeUnit val="days"/>
        <c:majorUnit val="1"/>
        <c:majorTimeUnit val="months"/>
      </c:dateAx>
      <c:valAx>
        <c:axId val="1388953088"/>
        <c:scaling>
          <c:orientation val="minMax"/>
          <c:max val="0.8"/>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2432"/>
        <c:crosses val="autoZero"/>
        <c:crossBetween val="between"/>
        <c:majorUnit val="0.2"/>
      </c:valAx>
    </c:plotArea>
    <c:legend>
      <c:legendPos val="b"/>
      <c:legendEntry>
        <c:idx val="2"/>
        <c:delete val="1"/>
      </c:legendEntry>
      <c:legendEntry>
        <c:idx val="3"/>
        <c:delete val="1"/>
      </c:legendEntry>
      <c:legendEntry>
        <c:idx val="4"/>
        <c:delete val="1"/>
      </c:legendEntry>
      <c:legendEntry>
        <c:idx val="5"/>
        <c:delete val="1"/>
      </c:legendEntry>
      <c:overlay val="0"/>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orientation="portrait"/>
  </c:printSettings>
</c:chartSpace>
</file>

<file path=xl/charts/chart1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'OZL Summary'!$JC$6</c:f>
              <c:strCache>
                <c:ptCount val="1"/>
                <c:pt idx="0">
                  <c:v>Actual</c:v>
                </c:pt>
              </c:strCache>
            </c:strRef>
          </c:tx>
          <c:spPr>
            <a:ln w="28575" cap="rnd">
              <a:solidFill>
                <a:schemeClr val="tx2"/>
              </a:solidFill>
              <a:round/>
            </a:ln>
            <a:effectLst/>
          </c:spPr>
          <c:marker>
            <c:symbol val="none"/>
          </c:marker>
          <c:cat>
            <c:numRef>
              <c:extLst>
                <c:ext xmlns:c15="http://schemas.microsoft.com/office/drawing/2012/chart" uri="{02D57815-91ED-43cb-92C2-25804820EDAC}">
                  <c15:fullRef>
                    <c15:sqref>'OZL Summary'!$JB$7:$JB$60</c15:sqref>
                  </c15:fullRef>
                </c:ext>
              </c:extLst>
              <c:f>'OZL Summary'!$JB$8:$JB$60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c:ext xmlns:c15="http://schemas.microsoft.com/office/drawing/2012/chart" uri="{02D57815-91ED-43cb-92C2-25804820EDAC}">
                  <c15:fullRef>
                    <c15:sqref>'OZL Summary'!$JC$7:$JC$60</c15:sqref>
                  </c15:fullRef>
                </c:ext>
              </c:extLst>
              <c:f>'OZL Summary'!$JC$8:$JC$60</c:f>
              <c:numCache>
                <c:formatCode>0.000</c:formatCode>
                <c:ptCount val="53"/>
                <c:pt idx="0">
                  <c:v>3.4282144018799997E-2</c:v>
                </c:pt>
                <c:pt idx="1">
                  <c:v>4.61727482976E-2</c:v>
                </c:pt>
                <c:pt idx="2">
                  <c:v>6.0744925144799997E-2</c:v>
                </c:pt>
                <c:pt idx="3">
                  <c:v>7.9887071887199998E-2</c:v>
                </c:pt>
                <c:pt idx="4">
                  <c:v>9.0591598206000004E-2</c:v>
                </c:pt>
                <c:pt idx="5">
                  <c:v>0.10471594425839999</c:v>
                </c:pt>
                <c:pt idx="6">
                  <c:v>0.13024126318319998</c:v>
                </c:pt>
                <c:pt idx="7">
                  <c:v>0.14299494069599997</c:v>
                </c:pt>
                <c:pt idx="8">
                  <c:v>0.15712274134439999</c:v>
                </c:pt>
                <c:pt idx="9">
                  <c:v>0.18211939192799997</c:v>
                </c:pt>
                <c:pt idx="10">
                  <c:v>0.21562528822559998</c:v>
                </c:pt>
                <c:pt idx="11">
                  <c:v>0.26312805598319994</c:v>
                </c:pt>
                <c:pt idx="12">
                  <c:v>0.27559419595559997</c:v>
                </c:pt>
                <c:pt idx="13">
                  <c:v>0.29338294713839996</c:v>
                </c:pt>
                <c:pt idx="14">
                  <c:v>0.31479798774239992</c:v>
                </c:pt>
                <c:pt idx="15">
                  <c:v>0.34138237064759991</c:v>
                </c:pt>
                <c:pt idx="16">
                  <c:v>0.38401116406199992</c:v>
                </c:pt>
                <c:pt idx="17">
                  <c:v>0.45353502371519994</c:v>
                </c:pt>
                <c:pt idx="18">
                  <c:v>0.46636884785519994</c:v>
                </c:pt>
                <c:pt idx="19">
                  <c:v>0.48057414660719988</c:v>
                </c:pt>
                <c:pt idx="20">
                  <c:v>0.50512031787239997</c:v>
                </c:pt>
                <c:pt idx="21">
                  <c:v>0.53195446806839985</c:v>
                </c:pt>
                <c:pt idx="22">
                  <c:v>0.57374874624239991</c:v>
                </c:pt>
                <c:pt idx="23">
                  <c:v>0.58543426267199994</c:v>
                </c:pt>
                <c:pt idx="24">
                  <c:v>0.59798193110999986</c:v>
                </c:pt>
                <c:pt idx="25">
                  <c:v>0.60953824564919989</c:v>
                </c:pt>
                <c:pt idx="26">
                  <c:v>0.62793005414039982</c:v>
                </c:pt>
                <c:pt idx="27">
                  <c:v>0.66085868744639986</c:v>
                </c:pt>
                <c:pt idx="28">
                  <c:v>0.70280784667439988</c:v>
                </c:pt>
                <c:pt idx="29">
                  <c:v>0.76647478426919979</c:v>
                </c:pt>
                <c:pt idx="30">
                  <c:v>0.77875598820239988</c:v>
                </c:pt>
                <c:pt idx="31">
                  <c:v>0.79341798454559986</c:v>
                </c:pt>
                <c:pt idx="32">
                  <c:v>0.81253514304359986</c:v>
                </c:pt>
                <c:pt idx="33">
                  <c:v>0.82340606573639985</c:v>
                </c:pt>
                <c:pt idx="34">
                  <c:v>0.84006470341439987</c:v>
                </c:pt>
                <c:pt idx="35">
                  <c:v>0.86433934343399987</c:v>
                </c:pt>
                <c:pt idx="36">
                  <c:v>0.87578580182039989</c:v>
                </c:pt>
                <c:pt idx="37">
                  <c:v>0.89565744408479986</c:v>
                </c:pt>
                <c:pt idx="38">
                  <c:v>0.90846581936759985</c:v>
                </c:pt>
                <c:pt idx="39">
                  <c:v>0.91858582836759983</c:v>
                </c:pt>
                <c:pt idx="40">
                  <c:v>0.93370152831879982</c:v>
                </c:pt>
                <c:pt idx="41">
                  <c:v>0.95559030918759991</c:v>
                </c:pt>
                <c:pt idx="42">
                  <c:v>0.98300771034159995</c:v>
                </c:pt>
              </c:numCache>
            </c:numRef>
          </c:val>
          <c:smooth val="0"/>
          <c:extLst>
            <c:ext xmlns:c16="http://schemas.microsoft.com/office/drawing/2014/chart" uri="{C3380CC4-5D6E-409C-BE32-E72D297353CC}">
              <c16:uniqueId val="{00000000-10AB-4CB9-8D19-E02620BB0666}"/>
            </c:ext>
          </c:extLst>
        </c:ser>
        <c:ser>
          <c:idx val="3"/>
          <c:order val="5"/>
          <c:tx>
            <c:v>25/75th percentiles</c:v>
          </c:tx>
          <c:spPr>
            <a:ln w="28575" cap="rnd">
              <a:solidFill>
                <a:schemeClr val="bg2">
                  <a:lumMod val="60000"/>
                  <a:lumOff val="40000"/>
                </a:schemeClr>
              </a:solidFill>
              <a:prstDash val="sysDot"/>
              <a:round/>
            </a:ln>
            <a:effectLst/>
          </c:spPr>
          <c:marker>
            <c:symbol val="none"/>
          </c:marker>
          <c:cat>
            <c:numRef>
              <c:extLst>
                <c:ext xmlns:c15="http://schemas.microsoft.com/office/drawing/2012/chart" uri="{02D57815-91ED-43cb-92C2-25804820EDAC}">
                  <c15:fullRef>
                    <c15:sqref>'OZL Summary'!$JB$7:$JB$60</c15:sqref>
                  </c15:fullRef>
                </c:ext>
              </c:extLst>
              <c:f>'OZL Summary'!$JB$8:$JB$60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c:ext xmlns:c15="http://schemas.microsoft.com/office/drawing/2012/chart" uri="{02D57815-91ED-43cb-92C2-25804820EDAC}">
                  <c15:fullRef>
                    <c15:sqref>'OZL Summary'!$JH$7:$JH$60</c15:sqref>
                  </c15:fullRef>
                </c:ext>
              </c:extLst>
              <c:f>'OZL Summary'!$JH$8:$JH$60</c:f>
              <c:numCache>
                <c:formatCode>0.000</c:formatCode>
                <c:ptCount val="53"/>
                <c:pt idx="42">
                  <c:v>0.98300771034159995</c:v>
                </c:pt>
                <c:pt idx="43">
                  <c:v>0.99975190258226665</c:v>
                </c:pt>
                <c:pt idx="44">
                  <c:v>1.0164960948229333</c:v>
                </c:pt>
                <c:pt idx="45">
                  <c:v>1.0332402870635999</c:v>
                </c:pt>
                <c:pt idx="46">
                  <c:v>1.0499844793042665</c:v>
                </c:pt>
                <c:pt idx="47">
                  <c:v>1.0667286715449331</c:v>
                </c:pt>
                <c:pt idx="48">
                  <c:v>1.0834728637855997</c:v>
                </c:pt>
                <c:pt idx="49">
                  <c:v>1.1002170560262663</c:v>
                </c:pt>
                <c:pt idx="50">
                  <c:v>1.1169612482669329</c:v>
                </c:pt>
                <c:pt idx="51">
                  <c:v>1.1337054405075995</c:v>
                </c:pt>
              </c:numCache>
            </c:numRef>
          </c:val>
          <c:smooth val="0"/>
          <c:extLst>
            <c:ext xmlns:c16="http://schemas.microsoft.com/office/drawing/2014/chart" uri="{C3380CC4-5D6E-409C-BE32-E72D297353CC}">
              <c16:uniqueId val="{00000001-10AB-4CB9-8D19-E02620BB0666}"/>
            </c:ext>
          </c:extLst>
        </c:ser>
        <c:ser>
          <c:idx val="4"/>
          <c:order val="6"/>
          <c:tx>
            <c:strRef>
              <c:f>'OZL Summary'!$JI$6</c:f>
              <c:strCache>
                <c:ptCount val="1"/>
                <c:pt idx="0">
                  <c:v>50th Percentile</c:v>
                </c:pt>
              </c:strCache>
            </c:strRef>
          </c:tx>
          <c:spPr>
            <a:ln w="28575" cap="rnd">
              <a:solidFill>
                <a:schemeClr val="tx2">
                  <a:lumMod val="40000"/>
                  <a:lumOff val="60000"/>
                </a:schemeClr>
              </a:solidFill>
              <a:prstDash val="sysDot"/>
              <a:round/>
            </a:ln>
            <a:effectLst/>
          </c:spPr>
          <c:marker>
            <c:symbol val="none"/>
          </c:marker>
          <c:cat>
            <c:numRef>
              <c:extLst>
                <c:ext xmlns:c15="http://schemas.microsoft.com/office/drawing/2012/chart" uri="{02D57815-91ED-43cb-92C2-25804820EDAC}">
                  <c15:fullRef>
                    <c15:sqref>'OZL Summary'!$JB$7:$JB$60</c15:sqref>
                  </c15:fullRef>
                </c:ext>
              </c:extLst>
              <c:f>'OZL Summary'!$JB$8:$JB$60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c:ext xmlns:c15="http://schemas.microsoft.com/office/drawing/2012/chart" uri="{02D57815-91ED-43cb-92C2-25804820EDAC}">
                  <c15:fullRef>
                    <c15:sqref>'OZL Summary'!$JI$7:$JI$60</c15:sqref>
                  </c15:fullRef>
                </c:ext>
              </c:extLst>
              <c:f>'OZL Summary'!$JI$8:$JI$60</c:f>
              <c:numCache>
                <c:formatCode>0.000</c:formatCode>
                <c:ptCount val="53"/>
                <c:pt idx="42">
                  <c:v>0.98300771034159995</c:v>
                </c:pt>
                <c:pt idx="43">
                  <c:v>1.0025256254327333</c:v>
                </c:pt>
                <c:pt idx="44">
                  <c:v>1.0220435405238666</c:v>
                </c:pt>
                <c:pt idx="45">
                  <c:v>1.0415614556149999</c:v>
                </c:pt>
                <c:pt idx="46">
                  <c:v>1.0610793707061332</c:v>
                </c:pt>
                <c:pt idx="47">
                  <c:v>1.0805972857972665</c:v>
                </c:pt>
                <c:pt idx="48">
                  <c:v>1.1001152008883999</c:v>
                </c:pt>
                <c:pt idx="49">
                  <c:v>1.1196331159795332</c:v>
                </c:pt>
                <c:pt idx="50">
                  <c:v>1.1391510310706665</c:v>
                </c:pt>
                <c:pt idx="51">
                  <c:v>1.1586689461617998</c:v>
                </c:pt>
              </c:numCache>
            </c:numRef>
          </c:val>
          <c:smooth val="0"/>
          <c:extLst>
            <c:ext xmlns:c16="http://schemas.microsoft.com/office/drawing/2014/chart" uri="{C3380CC4-5D6E-409C-BE32-E72D297353CC}">
              <c16:uniqueId val="{00000002-10AB-4CB9-8D19-E02620BB0666}"/>
            </c:ext>
          </c:extLst>
        </c:ser>
        <c:ser>
          <c:idx val="5"/>
          <c:order val="7"/>
          <c:tx>
            <c:strRef>
              <c:f>'OZL Summary'!$JJ$6</c:f>
              <c:strCache>
                <c:ptCount val="1"/>
                <c:pt idx="0">
                  <c:v>75th Percentile</c:v>
                </c:pt>
              </c:strCache>
            </c:strRef>
          </c:tx>
          <c:spPr>
            <a:ln w="28575">
              <a:solidFill>
                <a:schemeClr val="bg2">
                  <a:lumMod val="40000"/>
                  <a:lumOff val="60000"/>
                </a:schemeClr>
              </a:solidFill>
              <a:prstDash val="sysDot"/>
            </a:ln>
          </c:spPr>
          <c:marker>
            <c:symbol val="none"/>
          </c:marker>
          <c:cat>
            <c:numRef>
              <c:extLst>
                <c:ext xmlns:c15="http://schemas.microsoft.com/office/drawing/2012/chart" uri="{02D57815-91ED-43cb-92C2-25804820EDAC}">
                  <c15:fullRef>
                    <c15:sqref>'OZL Summary'!$JB$7:$JB$60</c15:sqref>
                  </c15:fullRef>
                </c:ext>
              </c:extLst>
              <c:f>'OZL Summary'!$JB$8:$JB$60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c:ext xmlns:c15="http://schemas.microsoft.com/office/drawing/2012/chart" uri="{02D57815-91ED-43cb-92C2-25804820EDAC}">
                  <c15:fullRef>
                    <c15:sqref>'OZL Summary'!$JJ$7:$JJ$60</c15:sqref>
                  </c15:fullRef>
                </c:ext>
              </c:extLst>
              <c:f>'OZL Summary'!$JJ$8:$JJ$60</c:f>
              <c:numCache>
                <c:formatCode>0.000</c:formatCode>
                <c:ptCount val="53"/>
                <c:pt idx="42">
                  <c:v>0.98300771034159995</c:v>
                </c:pt>
                <c:pt idx="43">
                  <c:v>1.0059093574329332</c:v>
                </c:pt>
                <c:pt idx="44">
                  <c:v>1.0288110045242664</c:v>
                </c:pt>
                <c:pt idx="45">
                  <c:v>1.0517126516155997</c:v>
                </c:pt>
                <c:pt idx="46">
                  <c:v>1.0746142987069329</c:v>
                </c:pt>
                <c:pt idx="47">
                  <c:v>1.0975159457982662</c:v>
                </c:pt>
                <c:pt idx="48">
                  <c:v>1.1204175928895994</c:v>
                </c:pt>
                <c:pt idx="49">
                  <c:v>1.1433192399809327</c:v>
                </c:pt>
                <c:pt idx="50">
                  <c:v>1.1662208870722659</c:v>
                </c:pt>
                <c:pt idx="51">
                  <c:v>1.1891225341635991</c:v>
                </c:pt>
              </c:numCache>
            </c:numRef>
          </c:val>
          <c:smooth val="0"/>
          <c:extLst>
            <c:ext xmlns:c16="http://schemas.microsoft.com/office/drawing/2014/chart" uri="{C3380CC4-5D6E-409C-BE32-E72D297353CC}">
              <c16:uniqueId val="{00000003-10AB-4CB9-8D19-E02620BB0666}"/>
            </c:ext>
          </c:extLst>
        </c:ser>
        <c:ser>
          <c:idx val="11"/>
          <c:order val="12"/>
          <c:tx>
            <c:strRef>
              <c:f>'OZL Summary'!$JO$6</c:f>
              <c:strCache>
                <c:ptCount val="1"/>
                <c:pt idx="0">
                  <c:v>Yearly Average</c:v>
                </c:pt>
              </c:strCache>
            </c:strRef>
          </c:tx>
          <c:spPr>
            <a:ln w="28575">
              <a:solidFill>
                <a:schemeClr val="accent1">
                  <a:lumMod val="40000"/>
                  <a:lumOff val="60000"/>
                </a:schemeClr>
              </a:solidFill>
              <a:prstDash val="dash"/>
            </a:ln>
          </c:spPr>
          <c:marker>
            <c:symbol val="none"/>
          </c:marker>
          <c:cat>
            <c:numRef>
              <c:extLst>
                <c:ext xmlns:c15="http://schemas.microsoft.com/office/drawing/2012/chart" uri="{02D57815-91ED-43cb-92C2-25804820EDAC}">
                  <c15:fullRef>
                    <c15:sqref>'OZL Summary'!$JB$7:$JB$60</c15:sqref>
                  </c15:fullRef>
                </c:ext>
              </c:extLst>
              <c:f>'OZL Summary'!$JB$8:$JB$60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c:ext xmlns:c15="http://schemas.microsoft.com/office/drawing/2012/chart" uri="{02D57815-91ED-43cb-92C2-25804820EDAC}">
                  <c15:fullRef>
                    <c15:sqref>'OZL Summary'!$JO$7:$JO$60</c15:sqref>
                  </c15:fullRef>
                </c:ext>
              </c:extLst>
              <c:f>'OZL Summary'!$JO$8:$JO$60</c:f>
              <c:numCache>
                <c:formatCode>0.000</c:formatCode>
                <c:ptCount val="53"/>
                <c:pt idx="42">
                  <c:v>0.98300771034159995</c:v>
                </c:pt>
                <c:pt idx="43">
                  <c:v>0.98300771034159995</c:v>
                </c:pt>
                <c:pt idx="44">
                  <c:v>0.98300771034159995</c:v>
                </c:pt>
                <c:pt idx="45">
                  <c:v>0.98300771034159995</c:v>
                </c:pt>
                <c:pt idx="46">
                  <c:v>0.98300771034159995</c:v>
                </c:pt>
                <c:pt idx="47">
                  <c:v>0.98300771034159995</c:v>
                </c:pt>
                <c:pt idx="48">
                  <c:v>0.98300771034159995</c:v>
                </c:pt>
                <c:pt idx="49">
                  <c:v>0.98300771034159995</c:v>
                </c:pt>
                <c:pt idx="50">
                  <c:v>0.98300771034159995</c:v>
                </c:pt>
                <c:pt idx="51">
                  <c:v>0.98300771034159995</c:v>
                </c:pt>
              </c:numCache>
            </c:numRef>
          </c:val>
          <c:smooth val="0"/>
          <c:extLst>
            <c:ext xmlns:c16="http://schemas.microsoft.com/office/drawing/2014/chart" uri="{C3380CC4-5D6E-409C-BE32-E72D297353CC}">
              <c16:uniqueId val="{00000004-10AB-4CB9-8D19-E02620BB0666}"/>
            </c:ext>
          </c:extLst>
        </c:ser>
        <c:dLbls>
          <c:showLegendKey val="0"/>
          <c:showVal val="0"/>
          <c:showCatName val="0"/>
          <c:showSerName val="0"/>
          <c:showPercent val="0"/>
          <c:showBubbleSize val="0"/>
        </c:dLbls>
        <c:smooth val="0"/>
        <c:axId val="1388952432"/>
        <c:axId val="1388953088"/>
        <c:extLst>
          <c:ext xmlns:c15="http://schemas.microsoft.com/office/drawing/2012/chart" uri="{02D57815-91ED-43cb-92C2-25804820EDAC}">
            <c15:filteredLineSeries>
              <c15:ser>
                <c:idx val="9"/>
                <c:order val="1"/>
                <c:tx>
                  <c:strRef>
                    <c:extLst>
                      <c:ext uri="{02D57815-91ED-43cb-92C2-25804820EDAC}">
                        <c15:formulaRef>
                          <c15:sqref>'OZL Summary'!$JD$6</c15:sqref>
                        </c15:formulaRef>
                      </c:ext>
                    </c:extLst>
                    <c:strCache>
                      <c:ptCount val="1"/>
                      <c:pt idx="0">
                        <c:v>Min</c:v>
                      </c:pt>
                    </c:strCache>
                  </c:strRef>
                </c:tx>
                <c:spPr>
                  <a:ln w="28575" cap="rnd">
                    <a:solidFill>
                      <a:schemeClr val="bg2">
                        <a:lumMod val="40000"/>
                        <a:lumOff val="60000"/>
                      </a:schemeClr>
                    </a:solidFill>
                    <a:prstDash val="sysDot"/>
                    <a:round/>
                  </a:ln>
                  <a:effectLst/>
                </c:spPr>
                <c:marker>
                  <c:symbol val="none"/>
                </c:marker>
                <c:cat>
                  <c:numRef>
                    <c:extLst>
                      <c:ext uri="{02D57815-91ED-43cb-92C2-25804820EDAC}">
                        <c15:fullRef>
                          <c15:sqref>'OZL Summary'!$JB$7:$JB$60</c15:sqref>
                        </c15:fullRef>
                        <c15:formulaRef>
                          <c15:sqref>'OZL Summary'!$JB$8:$JB$60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c:ext uri="{02D57815-91ED-43cb-92C2-25804820EDAC}">
                        <c15:fullRef>
                          <c15:sqref>'OZL Summary'!$JD$7:$JD$60</c15:sqref>
                        </c15:fullRef>
                        <c15:formulaRef>
                          <c15:sqref>'OZL Summary'!$JD$8:$JD$60</c15:sqref>
                        </c15:formulaRef>
                      </c:ext>
                    </c:extLst>
                    <c:numCache>
                      <c:formatCode>0.000</c:formatCode>
                      <c:ptCount val="53"/>
                      <c:pt idx="42">
                        <c:v>0.98300771034159995</c:v>
                      </c:pt>
                      <c:pt idx="43">
                        <c:v>0.99574073064979995</c:v>
                      </c:pt>
                      <c:pt idx="44">
                        <c:v>1.008473750958</c:v>
                      </c:pt>
                      <c:pt idx="45">
                        <c:v>1.0212067712661999</c:v>
                      </c:pt>
                      <c:pt idx="46">
                        <c:v>1.0339397915743997</c:v>
                      </c:pt>
                      <c:pt idx="47">
                        <c:v>1.0466728118825996</c:v>
                      </c:pt>
                      <c:pt idx="48">
                        <c:v>1.0594058321907995</c:v>
                      </c:pt>
                      <c:pt idx="49">
                        <c:v>1.0721388524989994</c:v>
                      </c:pt>
                      <c:pt idx="50">
                        <c:v>1.0848718728071993</c:v>
                      </c:pt>
                      <c:pt idx="51">
                        <c:v>1.0976048931153992</c:v>
                      </c:pt>
                    </c:numCache>
                  </c:numRef>
                </c:val>
                <c:smooth val="0"/>
                <c:extLst>
                  <c:ext xmlns:c16="http://schemas.microsoft.com/office/drawing/2014/chart" uri="{C3380CC4-5D6E-409C-BE32-E72D297353CC}">
                    <c16:uniqueId val="{00000005-10AB-4CB9-8D19-E02620BB0666}"/>
                  </c:ext>
                </c:extLst>
              </c15:ser>
            </c15:filteredLineSeries>
            <c15:filteredLineSeries>
              <c15:ser>
                <c:idx val="1"/>
                <c:order val="2"/>
                <c:tx>
                  <c:strRef>
                    <c:extLst xmlns:c15="http://schemas.microsoft.com/office/drawing/2012/chart">
                      <c:ext xmlns:c15="http://schemas.microsoft.com/office/drawing/2012/chart" uri="{02D57815-91ED-43cb-92C2-25804820EDAC}">
                        <c15:formulaRef>
                          <c15:sqref>'OZL Summary'!$JE$6</c15:sqref>
                        </c15:formulaRef>
                      </c:ext>
                    </c:extLst>
                    <c:strCache>
                      <c:ptCount val="1"/>
                      <c:pt idx="0">
                        <c:v>1st Percentile</c:v>
                      </c:pt>
                    </c:strCache>
                  </c:strRef>
                </c:tx>
                <c:spPr>
                  <a:ln w="28575">
                    <a:solidFill>
                      <a:schemeClr val="tx2">
                        <a:lumMod val="20000"/>
                        <a:lumOff val="80000"/>
                      </a:schemeClr>
                    </a:solidFill>
                    <a:prstDash val="sysDot"/>
                  </a:ln>
                </c:spPr>
                <c:marker>
                  <c:symbol val="none"/>
                </c:marker>
                <c:cat>
                  <c:numRef>
                    <c:extLst>
                      <c:ext xmlns:c15="http://schemas.microsoft.com/office/drawing/2012/chart" uri="{02D57815-91ED-43cb-92C2-25804820EDAC}">
                        <c15:fullRef>
                          <c15:sqref>'OZL Summary'!$JB$7:$JB$60</c15:sqref>
                        </c15:fullRef>
                        <c15:formulaRef>
                          <c15:sqref>'OZL Summary'!$JB$8:$JB$60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c:ext xmlns:c15="http://schemas.microsoft.com/office/drawing/2012/chart" uri="{02D57815-91ED-43cb-92C2-25804820EDAC}">
                        <c15:fullRef>
                          <c15:sqref>'OZL Summary'!$JE$7:$JE$60</c15:sqref>
                        </c15:fullRef>
                        <c15:formulaRef>
                          <c15:sqref>'OZL Summary'!$JE$8:$JE$60</c15:sqref>
                        </c15:formulaRef>
                      </c:ext>
                    </c:extLst>
                    <c:numCache>
                      <c:formatCode>0.000</c:formatCode>
                      <c:ptCount val="53"/>
                      <c:pt idx="42">
                        <c:v>0.98300771034159995</c:v>
                      </c:pt>
                      <c:pt idx="43">
                        <c:v>0.99675172669906664</c:v>
                      </c:pt>
                      <c:pt idx="44">
                        <c:v>1.0104957430565333</c:v>
                      </c:pt>
                      <c:pt idx="45">
                        <c:v>1.024239759414</c:v>
                      </c:pt>
                      <c:pt idx="46">
                        <c:v>1.0379837757714667</c:v>
                      </c:pt>
                      <c:pt idx="47">
                        <c:v>1.0517277921289334</c:v>
                      </c:pt>
                      <c:pt idx="48">
                        <c:v>1.0654718084864001</c:v>
                      </c:pt>
                      <c:pt idx="49">
                        <c:v>1.0792158248438668</c:v>
                      </c:pt>
                      <c:pt idx="50">
                        <c:v>1.0929598412013335</c:v>
                      </c:pt>
                      <c:pt idx="51">
                        <c:v>1.1067038575588002</c:v>
                      </c:pt>
                    </c:numCache>
                  </c:numRef>
                </c:val>
                <c:smooth val="0"/>
                <c:extLst xmlns:c15="http://schemas.microsoft.com/office/drawing/2012/chart">
                  <c:ext xmlns:c16="http://schemas.microsoft.com/office/drawing/2014/chart" uri="{C3380CC4-5D6E-409C-BE32-E72D297353CC}">
                    <c16:uniqueId val="{00000006-10AB-4CB9-8D19-E02620BB0666}"/>
                  </c:ext>
                </c:extLst>
              </c15:ser>
            </c15:filteredLineSeries>
            <c15:filteredLineSeries>
              <c15:ser>
                <c:idx val="2"/>
                <c:order val="3"/>
                <c:tx>
                  <c:strRef>
                    <c:extLst xmlns:c15="http://schemas.microsoft.com/office/drawing/2012/chart">
                      <c:ext xmlns:c15="http://schemas.microsoft.com/office/drawing/2012/chart" uri="{02D57815-91ED-43cb-92C2-25804820EDAC}">
                        <c15:formulaRef>
                          <c15:sqref>'OZL Summary'!$JF$6</c15:sqref>
                        </c15:formulaRef>
                      </c:ext>
                    </c:extLst>
                    <c:strCache>
                      <c:ptCount val="1"/>
                      <c:pt idx="0">
                        <c:v>5th Percentile</c:v>
                      </c:pt>
                    </c:strCache>
                  </c:strRef>
                </c:tx>
                <c:spPr>
                  <a:ln w="28575">
                    <a:solidFill>
                      <a:schemeClr val="bg2">
                        <a:lumMod val="40000"/>
                        <a:lumOff val="60000"/>
                      </a:schemeClr>
                    </a:solidFill>
                    <a:prstDash val="sysDot"/>
                  </a:ln>
                </c:spPr>
                <c:marker>
                  <c:symbol val="none"/>
                </c:marker>
                <c:cat>
                  <c:numRef>
                    <c:extLst>
                      <c:ext xmlns:c15="http://schemas.microsoft.com/office/drawing/2012/chart" uri="{02D57815-91ED-43cb-92C2-25804820EDAC}">
                        <c15:fullRef>
                          <c15:sqref>'OZL Summary'!$JB$7:$JB$60</c15:sqref>
                        </c15:fullRef>
                        <c15:formulaRef>
                          <c15:sqref>'OZL Summary'!$JB$8:$JB$60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c:ext xmlns:c15="http://schemas.microsoft.com/office/drawing/2012/chart" uri="{02D57815-91ED-43cb-92C2-25804820EDAC}">
                        <c15:fullRef>
                          <c15:sqref>'OZL Summary'!$JF$7:$JF$60</c15:sqref>
                        </c15:fullRef>
                        <c15:formulaRef>
                          <c15:sqref>'OZL Summary'!$JF$8:$JF$60</c15:sqref>
                        </c15:formulaRef>
                      </c:ext>
                    </c:extLst>
                    <c:numCache>
                      <c:formatCode>0.000</c:formatCode>
                      <c:ptCount val="53"/>
                      <c:pt idx="42">
                        <c:v>0.98300771034159995</c:v>
                      </c:pt>
                      <c:pt idx="43">
                        <c:v>0.99737045124006662</c:v>
                      </c:pt>
                      <c:pt idx="44">
                        <c:v>1.0117331921385333</c:v>
                      </c:pt>
                      <c:pt idx="45">
                        <c:v>1.0260959330369999</c:v>
                      </c:pt>
                      <c:pt idx="46">
                        <c:v>1.0404586739354664</c:v>
                      </c:pt>
                      <c:pt idx="47">
                        <c:v>1.054821414833933</c:v>
                      </c:pt>
                      <c:pt idx="48">
                        <c:v>1.0691841557323996</c:v>
                      </c:pt>
                      <c:pt idx="49">
                        <c:v>1.0835468966308661</c:v>
                      </c:pt>
                      <c:pt idx="50">
                        <c:v>1.0979096375293327</c:v>
                      </c:pt>
                      <c:pt idx="51">
                        <c:v>1.1122723784277992</c:v>
                      </c:pt>
                    </c:numCache>
                  </c:numRef>
                </c:val>
                <c:smooth val="0"/>
                <c:extLst xmlns:c15="http://schemas.microsoft.com/office/drawing/2012/chart">
                  <c:ext xmlns:c16="http://schemas.microsoft.com/office/drawing/2014/chart" uri="{C3380CC4-5D6E-409C-BE32-E72D297353CC}">
                    <c16:uniqueId val="{00000007-10AB-4CB9-8D19-E02620BB0666}"/>
                  </c:ext>
                </c:extLst>
              </c15:ser>
            </c15:filteredLineSeries>
            <c15:filteredLineSeries>
              <c15:ser>
                <c:idx val="12"/>
                <c:order val="4"/>
                <c:tx>
                  <c:strRef>
                    <c:extLst xmlns:c15="http://schemas.microsoft.com/office/drawing/2012/chart">
                      <c:ext xmlns:c15="http://schemas.microsoft.com/office/drawing/2012/chart" uri="{02D57815-91ED-43cb-92C2-25804820EDAC}">
                        <c15:formulaRef>
                          <c15:sqref>'OZL Summary'!$JG$6</c15:sqref>
                        </c15:formulaRef>
                      </c:ext>
                    </c:extLst>
                    <c:strCache>
                      <c:ptCount val="1"/>
                      <c:pt idx="0">
                        <c:v>10th Percentile</c:v>
                      </c:pt>
                    </c:strCache>
                  </c:strRef>
                </c:tx>
                <c:spPr>
                  <a:ln>
                    <a:solidFill>
                      <a:schemeClr val="accent1">
                        <a:lumMod val="40000"/>
                        <a:lumOff val="60000"/>
                      </a:schemeClr>
                    </a:solidFill>
                    <a:prstDash val="dash"/>
                  </a:ln>
                </c:spPr>
                <c:marker>
                  <c:symbol val="none"/>
                </c:marker>
                <c:cat>
                  <c:numRef>
                    <c:extLst>
                      <c:ext xmlns:c15="http://schemas.microsoft.com/office/drawing/2012/chart" uri="{02D57815-91ED-43cb-92C2-25804820EDAC}">
                        <c15:fullRef>
                          <c15:sqref>'OZL Summary'!$JB$7:$JB$60</c15:sqref>
                        </c15:fullRef>
                        <c15:formulaRef>
                          <c15:sqref>'OZL Summary'!$JB$8:$JB$60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c:ext xmlns:c15="http://schemas.microsoft.com/office/drawing/2012/chart" uri="{02D57815-91ED-43cb-92C2-25804820EDAC}">
                        <c15:fullRef>
                          <c15:sqref>'OZL Summary'!$JG$7:$JG$60</c15:sqref>
                        </c15:fullRef>
                        <c15:formulaRef>
                          <c15:sqref>'OZL Summary'!$JG$8:$JG$60</c15:sqref>
                        </c15:formulaRef>
                      </c:ext>
                    </c:extLst>
                    <c:numCache>
                      <c:formatCode>0.000</c:formatCode>
                      <c:ptCount val="53"/>
                      <c:pt idx="42">
                        <c:v>0.98300771034159995</c:v>
                      </c:pt>
                      <c:pt idx="43">
                        <c:v>0.99838144728933331</c:v>
                      </c:pt>
                      <c:pt idx="44">
                        <c:v>1.0137551842370667</c:v>
                      </c:pt>
                      <c:pt idx="45">
                        <c:v>1.0291289211848</c:v>
                      </c:pt>
                      <c:pt idx="46">
                        <c:v>1.0445026581325334</c:v>
                      </c:pt>
                      <c:pt idx="47">
                        <c:v>1.0598763950802668</c:v>
                      </c:pt>
                      <c:pt idx="48">
                        <c:v>1.0752501320280001</c:v>
                      </c:pt>
                      <c:pt idx="49">
                        <c:v>1.0906238689757335</c:v>
                      </c:pt>
                      <c:pt idx="50">
                        <c:v>1.1059976059234669</c:v>
                      </c:pt>
                      <c:pt idx="51">
                        <c:v>1.1213713428712002</c:v>
                      </c:pt>
                    </c:numCache>
                  </c:numRef>
                </c:val>
                <c:smooth val="0"/>
                <c:extLst xmlns:c15="http://schemas.microsoft.com/office/drawing/2012/chart">
                  <c:ext xmlns:c16="http://schemas.microsoft.com/office/drawing/2014/chart" uri="{C3380CC4-5D6E-409C-BE32-E72D297353CC}">
                    <c16:uniqueId val="{00000008-10AB-4CB9-8D19-E02620BB0666}"/>
                  </c:ext>
                </c:extLst>
              </c15:ser>
            </c15:filteredLineSeries>
            <c15:filteredLineSeries>
              <c15:ser>
                <c:idx val="6"/>
                <c:order val="8"/>
                <c:tx>
                  <c:strRef>
                    <c:extLst xmlns:c15="http://schemas.microsoft.com/office/drawing/2012/chart">
                      <c:ext xmlns:c15="http://schemas.microsoft.com/office/drawing/2012/chart" uri="{02D57815-91ED-43cb-92C2-25804820EDAC}">
                        <c15:formulaRef>
                          <c15:sqref>'OZL Summary'!$JK$6</c15:sqref>
                        </c15:formulaRef>
                      </c:ext>
                    </c:extLst>
                    <c:strCache>
                      <c:ptCount val="1"/>
                      <c:pt idx="0">
                        <c:v>90th Percentile</c:v>
                      </c:pt>
                    </c:strCache>
                  </c:strRef>
                </c:tx>
                <c:spPr>
                  <a:ln w="28575">
                    <a:solidFill>
                      <a:schemeClr val="bg2">
                        <a:lumMod val="40000"/>
                        <a:lumOff val="60000"/>
                      </a:schemeClr>
                    </a:solidFill>
                    <a:prstDash val="sysDot"/>
                  </a:ln>
                </c:spPr>
                <c:marker>
                  <c:symbol val="none"/>
                </c:marker>
                <c:cat>
                  <c:numRef>
                    <c:extLst>
                      <c:ext xmlns:c15="http://schemas.microsoft.com/office/drawing/2012/chart" uri="{02D57815-91ED-43cb-92C2-25804820EDAC}">
                        <c15:fullRef>
                          <c15:sqref>'OZL Summary'!$JB$7:$JB$60</c15:sqref>
                        </c15:fullRef>
                        <c15:formulaRef>
                          <c15:sqref>'OZL Summary'!$JB$8:$JB$60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c:ext xmlns:c15="http://schemas.microsoft.com/office/drawing/2012/chart" uri="{02D57815-91ED-43cb-92C2-25804820EDAC}">
                        <c15:fullRef>
                          <c15:sqref>'OZL Summary'!$JK$7:$JK$60</c15:sqref>
                        </c15:fullRef>
                        <c15:formulaRef>
                          <c15:sqref>'OZL Summary'!$JK$8:$JK$60</c15:sqref>
                        </c15:formulaRef>
                      </c:ext>
                    </c:extLst>
                    <c:numCache>
                      <c:formatCode>0.000</c:formatCode>
                      <c:ptCount val="53"/>
                      <c:pt idx="42">
                        <c:v>0.98300771034159995</c:v>
                      </c:pt>
                      <c:pt idx="43">
                        <c:v>1.0093247245761332</c:v>
                      </c:pt>
                      <c:pt idx="44">
                        <c:v>1.0356417388106665</c:v>
                      </c:pt>
                      <c:pt idx="45">
                        <c:v>1.0619587530451997</c:v>
                      </c:pt>
                      <c:pt idx="46">
                        <c:v>1.088275767279733</c:v>
                      </c:pt>
                      <c:pt idx="47">
                        <c:v>1.1145927815142662</c:v>
                      </c:pt>
                      <c:pt idx="48">
                        <c:v>1.1409097957487995</c:v>
                      </c:pt>
                      <c:pt idx="49">
                        <c:v>1.1672268099833327</c:v>
                      </c:pt>
                      <c:pt idx="50">
                        <c:v>1.193543824217866</c:v>
                      </c:pt>
                      <c:pt idx="51">
                        <c:v>1.2198608384523992</c:v>
                      </c:pt>
                    </c:numCache>
                  </c:numRef>
                </c:val>
                <c:smooth val="0"/>
                <c:extLst xmlns:c15="http://schemas.microsoft.com/office/drawing/2012/chart">
                  <c:ext xmlns:c16="http://schemas.microsoft.com/office/drawing/2014/chart" uri="{C3380CC4-5D6E-409C-BE32-E72D297353CC}">
                    <c16:uniqueId val="{00000009-10AB-4CB9-8D19-E02620BB0666}"/>
                  </c:ext>
                </c:extLst>
              </c15:ser>
            </c15:filteredLineSeries>
            <c15:filteredLineSeries>
              <c15:ser>
                <c:idx val="7"/>
                <c:order val="9"/>
                <c:tx>
                  <c:strRef>
                    <c:extLst xmlns:c15="http://schemas.microsoft.com/office/drawing/2012/chart">
                      <c:ext xmlns:c15="http://schemas.microsoft.com/office/drawing/2012/chart" uri="{02D57815-91ED-43cb-92C2-25804820EDAC}">
                        <c15:formulaRef>
                          <c15:sqref>'OZL Summary'!$JL$6</c15:sqref>
                        </c15:formulaRef>
                      </c:ext>
                    </c:extLst>
                    <c:strCache>
                      <c:ptCount val="1"/>
                      <c:pt idx="0">
                        <c:v>95th Percentile</c:v>
                      </c:pt>
                    </c:strCache>
                  </c:strRef>
                </c:tx>
                <c:spPr>
                  <a:ln>
                    <a:solidFill>
                      <a:schemeClr val="accent1">
                        <a:lumMod val="40000"/>
                        <a:lumOff val="60000"/>
                      </a:schemeClr>
                    </a:solidFill>
                    <a:prstDash val="dash"/>
                  </a:ln>
                </c:spPr>
                <c:marker>
                  <c:symbol val="none"/>
                </c:marker>
                <c:cat>
                  <c:numRef>
                    <c:extLst>
                      <c:ext xmlns:c15="http://schemas.microsoft.com/office/drawing/2012/chart" uri="{02D57815-91ED-43cb-92C2-25804820EDAC}">
                        <c15:fullRef>
                          <c15:sqref>'OZL Summary'!$JB$7:$JB$60</c15:sqref>
                        </c15:fullRef>
                        <c15:formulaRef>
                          <c15:sqref>'OZL Summary'!$JB$8:$JB$60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c:ext xmlns:c15="http://schemas.microsoft.com/office/drawing/2012/chart" uri="{02D57815-91ED-43cb-92C2-25804820EDAC}">
                        <c15:fullRef>
                          <c15:sqref>'OZL Summary'!$JL$7:$JL$60</c15:sqref>
                        </c15:fullRef>
                        <c15:formulaRef>
                          <c15:sqref>'OZL Summary'!$JL$8:$JL$60</c15:sqref>
                        </c15:formulaRef>
                      </c:ext>
                    </c:extLst>
                    <c:numCache>
                      <c:formatCode>0.000</c:formatCode>
                      <c:ptCount val="53"/>
                      <c:pt idx="42">
                        <c:v>0.98300771034159995</c:v>
                      </c:pt>
                      <c:pt idx="43">
                        <c:v>1.0156829182940665</c:v>
                      </c:pt>
                      <c:pt idx="44">
                        <c:v>1.0483581262465331</c:v>
                      </c:pt>
                      <c:pt idx="45">
                        <c:v>1.0810333341989997</c:v>
                      </c:pt>
                      <c:pt idx="46">
                        <c:v>1.1137085421514663</c:v>
                      </c:pt>
                      <c:pt idx="47">
                        <c:v>1.1463837501039329</c:v>
                      </c:pt>
                      <c:pt idx="48">
                        <c:v>1.1790589580563995</c:v>
                      </c:pt>
                      <c:pt idx="49">
                        <c:v>1.2117341660088661</c:v>
                      </c:pt>
                      <c:pt idx="50">
                        <c:v>1.2444093739613327</c:v>
                      </c:pt>
                      <c:pt idx="51">
                        <c:v>1.2770845819137993</c:v>
                      </c:pt>
                    </c:numCache>
                  </c:numRef>
                </c:val>
                <c:smooth val="0"/>
                <c:extLst xmlns:c15="http://schemas.microsoft.com/office/drawing/2012/chart">
                  <c:ext xmlns:c16="http://schemas.microsoft.com/office/drawing/2014/chart" uri="{C3380CC4-5D6E-409C-BE32-E72D297353CC}">
                    <c16:uniqueId val="{0000000A-10AB-4CB9-8D19-E02620BB0666}"/>
                  </c:ext>
                </c:extLst>
              </c15:ser>
            </c15:filteredLineSeries>
            <c15:filteredLineSeries>
              <c15:ser>
                <c:idx val="8"/>
                <c:order val="10"/>
                <c:tx>
                  <c:strRef>
                    <c:extLst xmlns:c15="http://schemas.microsoft.com/office/drawing/2012/chart">
                      <c:ext xmlns:c15="http://schemas.microsoft.com/office/drawing/2012/chart" uri="{02D57815-91ED-43cb-92C2-25804820EDAC}">
                        <c15:formulaRef>
                          <c15:sqref>'OZL Summary'!$JM$6</c15:sqref>
                        </c15:formulaRef>
                      </c:ext>
                    </c:extLst>
                    <c:strCache>
                      <c:ptCount val="1"/>
                      <c:pt idx="0">
                        <c:v>99th Percentile</c:v>
                      </c:pt>
                    </c:strCache>
                  </c:strRef>
                </c:tx>
                <c:spPr>
                  <a:ln w="28575" cap="rnd">
                    <a:solidFill>
                      <a:schemeClr val="bg2">
                        <a:lumMod val="40000"/>
                        <a:lumOff val="60000"/>
                      </a:schemeClr>
                    </a:solidFill>
                    <a:prstDash val="sysDot"/>
                    <a:round/>
                  </a:ln>
                  <a:effectLst/>
                </c:spPr>
                <c:marker>
                  <c:symbol val="none"/>
                </c:marker>
                <c:cat>
                  <c:numRef>
                    <c:extLst>
                      <c:ext xmlns:c15="http://schemas.microsoft.com/office/drawing/2012/chart" uri="{02D57815-91ED-43cb-92C2-25804820EDAC}">
                        <c15:fullRef>
                          <c15:sqref>'OZL Summary'!$JB$7:$JB$60</c15:sqref>
                        </c15:fullRef>
                        <c15:formulaRef>
                          <c15:sqref>'OZL Summary'!$JB$8:$JB$60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c:ext xmlns:c15="http://schemas.microsoft.com/office/drawing/2012/chart" uri="{02D57815-91ED-43cb-92C2-25804820EDAC}">
                        <c15:fullRef>
                          <c15:sqref>'OZL Summary'!$JM$7:$JM$60</c15:sqref>
                        </c15:fullRef>
                        <c15:formulaRef>
                          <c15:sqref>'OZL Summary'!$JM$8:$JM$60</c15:sqref>
                        </c15:formulaRef>
                      </c:ext>
                    </c:extLst>
                    <c:numCache>
                      <c:formatCode>0.000</c:formatCode>
                      <c:ptCount val="53"/>
                      <c:pt idx="42">
                        <c:v>0.98300771034159995</c:v>
                      </c:pt>
                      <c:pt idx="43">
                        <c:v>1.0266121659356</c:v>
                      </c:pt>
                      <c:pt idx="44">
                        <c:v>1.0702166215296001</c:v>
                      </c:pt>
                      <c:pt idx="45">
                        <c:v>1.1138210771236001</c:v>
                      </c:pt>
                      <c:pt idx="46">
                        <c:v>1.1574255327176002</c:v>
                      </c:pt>
                      <c:pt idx="47">
                        <c:v>1.2010299883116002</c:v>
                      </c:pt>
                      <c:pt idx="48">
                        <c:v>1.2446344439056003</c:v>
                      </c:pt>
                      <c:pt idx="49">
                        <c:v>1.2882388994996004</c:v>
                      </c:pt>
                      <c:pt idx="50">
                        <c:v>1.3318433550936004</c:v>
                      </c:pt>
                      <c:pt idx="51">
                        <c:v>1.3754478106876005</c:v>
                      </c:pt>
                    </c:numCache>
                  </c:numRef>
                </c:val>
                <c:smooth val="0"/>
                <c:extLst xmlns:c15="http://schemas.microsoft.com/office/drawing/2012/chart">
                  <c:ext xmlns:c16="http://schemas.microsoft.com/office/drawing/2014/chart" uri="{C3380CC4-5D6E-409C-BE32-E72D297353CC}">
                    <c16:uniqueId val="{0000000B-10AB-4CB9-8D19-E02620BB0666}"/>
                  </c:ext>
                </c:extLst>
              </c15:ser>
            </c15:filteredLineSeries>
            <c15:filteredLineSeries>
              <c15:ser>
                <c:idx val="10"/>
                <c:order val="11"/>
                <c:tx>
                  <c:strRef>
                    <c:extLst xmlns:c15="http://schemas.microsoft.com/office/drawing/2012/chart">
                      <c:ext xmlns:c15="http://schemas.microsoft.com/office/drawing/2012/chart" uri="{02D57815-91ED-43cb-92C2-25804820EDAC}">
                        <c15:formulaRef>
                          <c15:sqref>'OZL Summary'!$JN$6</c15:sqref>
                        </c15:formulaRef>
                      </c:ext>
                    </c:extLst>
                    <c:strCache>
                      <c:ptCount val="1"/>
                      <c:pt idx="0">
                        <c:v>Max</c:v>
                      </c:pt>
                    </c:strCache>
                  </c:strRef>
                </c:tx>
                <c:spPr>
                  <a:ln w="28575" cap="rnd">
                    <a:solidFill>
                      <a:schemeClr val="tx2">
                        <a:lumMod val="40000"/>
                        <a:lumOff val="60000"/>
                      </a:schemeClr>
                    </a:solidFill>
                    <a:prstDash val="sysDot"/>
                    <a:round/>
                  </a:ln>
                  <a:effectLst/>
                </c:spPr>
                <c:marker>
                  <c:symbol val="none"/>
                </c:marker>
                <c:cat>
                  <c:numRef>
                    <c:extLst>
                      <c:ext xmlns:c15="http://schemas.microsoft.com/office/drawing/2012/chart" uri="{02D57815-91ED-43cb-92C2-25804820EDAC}">
                        <c15:fullRef>
                          <c15:sqref>'OZL Summary'!$JB$7:$JB$60</c15:sqref>
                        </c15:fullRef>
                        <c15:formulaRef>
                          <c15:sqref>'OZL Summary'!$JB$8:$JB$60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c:ext xmlns:c15="http://schemas.microsoft.com/office/drawing/2012/chart" uri="{02D57815-91ED-43cb-92C2-25804820EDAC}">
                        <c15:fullRef>
                          <c15:sqref>'OZL Summary'!$JN$7:$JN$60</c15:sqref>
                        </c15:fullRef>
                        <c15:formulaRef>
                          <c15:sqref>'OZL Summary'!$JN$8:$JN$60</c15:sqref>
                        </c15:formulaRef>
                      </c:ext>
                    </c:extLst>
                    <c:numCache>
                      <c:formatCode>0.000</c:formatCode>
                      <c:ptCount val="53"/>
                      <c:pt idx="42">
                        <c:v>0.98300771034159995</c:v>
                      </c:pt>
                      <c:pt idx="43">
                        <c:v>1.0406298135771332</c:v>
                      </c:pt>
                      <c:pt idx="44">
                        <c:v>1.0982519168126665</c:v>
                      </c:pt>
                      <c:pt idx="45">
                        <c:v>1.1558740200481998</c:v>
                      </c:pt>
                      <c:pt idx="46">
                        <c:v>1.2134961232837331</c:v>
                      </c:pt>
                      <c:pt idx="47">
                        <c:v>1.2711182265192664</c:v>
                      </c:pt>
                      <c:pt idx="48">
                        <c:v>1.3287403297547997</c:v>
                      </c:pt>
                      <c:pt idx="49">
                        <c:v>1.386362432990333</c:v>
                      </c:pt>
                      <c:pt idx="50">
                        <c:v>1.4439845362258663</c:v>
                      </c:pt>
                      <c:pt idx="51">
                        <c:v>1.5016066394613996</c:v>
                      </c:pt>
                    </c:numCache>
                  </c:numRef>
                </c:val>
                <c:smooth val="0"/>
                <c:extLst xmlns:c15="http://schemas.microsoft.com/office/drawing/2012/chart">
                  <c:ext xmlns:c16="http://schemas.microsoft.com/office/drawing/2014/chart" uri="{C3380CC4-5D6E-409C-BE32-E72D297353CC}">
                    <c16:uniqueId val="{0000000C-10AB-4CB9-8D19-E02620BB0666}"/>
                  </c:ext>
                </c:extLst>
              </c15:ser>
            </c15:filteredLineSeries>
          </c:ext>
        </c:extLst>
      </c:lineChart>
      <c:dateAx>
        <c:axId val="1388952432"/>
        <c:scaling>
          <c:orientation val="minMax"/>
          <c:min val="44562"/>
        </c:scaling>
        <c:delete val="0"/>
        <c:axPos val="b"/>
        <c:numFmt formatCode="mmm\-yy" sourceLinked="0"/>
        <c:majorTickMark val="none"/>
        <c:minorTickMark val="none"/>
        <c:tickLblPos val="nextTo"/>
        <c:spPr>
          <a:noFill/>
          <a:ln w="9525" cap="flat" cmpd="sng" algn="ctr">
            <a:noFill/>
            <a:round/>
          </a:ln>
          <a:effectLst/>
        </c:spPr>
        <c:txPr>
          <a:bodyPr rot="-60000000" vert="horz"/>
          <a:lstStyle/>
          <a:p>
            <a:pPr>
              <a:defRPr/>
            </a:pPr>
            <a:endParaRPr lang="en-US"/>
          </a:p>
        </c:txPr>
        <c:crossAx val="1388953088"/>
        <c:crosses val="autoZero"/>
        <c:auto val="1"/>
        <c:lblOffset val="100"/>
        <c:baseTimeUnit val="days"/>
        <c:majorUnit val="1"/>
        <c:majorTimeUnit val="months"/>
      </c:dateAx>
      <c:valAx>
        <c:axId val="1388953088"/>
        <c:scaling>
          <c:orientation val="minMax"/>
          <c:min val="0.60000000000000009"/>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vert="horz"/>
          <a:lstStyle/>
          <a:p>
            <a:pPr>
              <a:defRPr/>
            </a:pPr>
            <a:endParaRPr lang="en-US"/>
          </a:p>
        </c:txPr>
        <c:crossAx val="1388952432"/>
        <c:crosses val="autoZero"/>
        <c:crossBetween val="between"/>
      </c:valAx>
    </c:plotArea>
    <c:legend>
      <c:legendPos val="b"/>
      <c:legendEntry>
        <c:idx val="3"/>
        <c:delete val="1"/>
      </c:legendEntry>
      <c:overlay val="0"/>
      <c:spPr>
        <a:noFill/>
        <a:ln>
          <a:noFill/>
        </a:ln>
        <a:effectLst/>
      </c:spPr>
      <c:txPr>
        <a:bodyPr rot="0" vert="horz"/>
        <a:lstStyle/>
        <a:p>
          <a:pPr>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orientation="portrait"/>
  </c:printSettings>
</c:chartSpace>
</file>

<file path=xl/charts/chart1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'OZL Summary'!$BN$6:$BN$7</c:f>
              <c:strCache>
                <c:ptCount val="2"/>
                <c:pt idx="0">
                  <c:v>Actual</c:v>
                </c:pt>
              </c:strCache>
            </c:strRef>
          </c:tx>
          <c:spPr>
            <a:ln w="28575" cap="rnd">
              <a:solidFill>
                <a:schemeClr val="tx2"/>
              </a:solidFill>
              <a:round/>
            </a:ln>
            <a:effectLst/>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Summary'!$BN$8:$BN$60</c:f>
              <c:numCache>
                <c:formatCode>0.000</c:formatCode>
                <c:ptCount val="53"/>
                <c:pt idx="0">
                  <c:v>3.4282144018799997E-2</c:v>
                </c:pt>
                <c:pt idx="1">
                  <c:v>4.61727482976E-2</c:v>
                </c:pt>
                <c:pt idx="2">
                  <c:v>6.0744925144799997E-2</c:v>
                </c:pt>
                <c:pt idx="3">
                  <c:v>7.9887071887199998E-2</c:v>
                </c:pt>
                <c:pt idx="4">
                  <c:v>9.0591598206000004E-2</c:v>
                </c:pt>
                <c:pt idx="5">
                  <c:v>0.10471594425839999</c:v>
                </c:pt>
                <c:pt idx="6">
                  <c:v>0.13024126318319998</c:v>
                </c:pt>
                <c:pt idx="7">
                  <c:v>0.14299494069599997</c:v>
                </c:pt>
                <c:pt idx="8">
                  <c:v>0.15712274134439999</c:v>
                </c:pt>
                <c:pt idx="9">
                  <c:v>0.18211939192799997</c:v>
                </c:pt>
                <c:pt idx="10">
                  <c:v>0.21562528822559998</c:v>
                </c:pt>
                <c:pt idx="11">
                  <c:v>0.26312805598319994</c:v>
                </c:pt>
                <c:pt idx="12">
                  <c:v>0.27559419595559997</c:v>
                </c:pt>
                <c:pt idx="13">
                  <c:v>0.29338294713839996</c:v>
                </c:pt>
                <c:pt idx="14">
                  <c:v>0.31479798774239992</c:v>
                </c:pt>
                <c:pt idx="15">
                  <c:v>0.34138237064759991</c:v>
                </c:pt>
                <c:pt idx="16">
                  <c:v>0.38401116406199992</c:v>
                </c:pt>
                <c:pt idx="17">
                  <c:v>0.45353502371519994</c:v>
                </c:pt>
                <c:pt idx="18">
                  <c:v>0.46636884785519994</c:v>
                </c:pt>
                <c:pt idx="19">
                  <c:v>0.48057414660719988</c:v>
                </c:pt>
                <c:pt idx="20">
                  <c:v>0.50512031787239997</c:v>
                </c:pt>
                <c:pt idx="21">
                  <c:v>0.53195446806839985</c:v>
                </c:pt>
                <c:pt idx="22">
                  <c:v>0.57374874624239991</c:v>
                </c:pt>
                <c:pt idx="23">
                  <c:v>0.58543426267199994</c:v>
                </c:pt>
                <c:pt idx="24">
                  <c:v>0.59798193110999986</c:v>
                </c:pt>
                <c:pt idx="25">
                  <c:v>0.60953824564919989</c:v>
                </c:pt>
                <c:pt idx="26">
                  <c:v>0.62793005414039982</c:v>
                </c:pt>
                <c:pt idx="27">
                  <c:v>0.66085868744639986</c:v>
                </c:pt>
                <c:pt idx="28">
                  <c:v>0.70280784667439988</c:v>
                </c:pt>
                <c:pt idx="29">
                  <c:v>0.76647478426919979</c:v>
                </c:pt>
                <c:pt idx="30">
                  <c:v>0.77875598820239988</c:v>
                </c:pt>
                <c:pt idx="31">
                  <c:v>0.79341798454559986</c:v>
                </c:pt>
                <c:pt idx="32">
                  <c:v>0.81253514304359986</c:v>
                </c:pt>
                <c:pt idx="33">
                  <c:v>0.82340606573639985</c:v>
                </c:pt>
                <c:pt idx="34">
                  <c:v>0.84006470341439987</c:v>
                </c:pt>
                <c:pt idx="35">
                  <c:v>0.86433934343399987</c:v>
                </c:pt>
                <c:pt idx="36">
                  <c:v>0.87578580182039989</c:v>
                </c:pt>
                <c:pt idx="37">
                  <c:v>0.89565744408479986</c:v>
                </c:pt>
                <c:pt idx="38">
                  <c:v>0.90846581936759985</c:v>
                </c:pt>
                <c:pt idx="39">
                  <c:v>0.91858582836759983</c:v>
                </c:pt>
                <c:pt idx="40">
                  <c:v>0.93370152831879982</c:v>
                </c:pt>
                <c:pt idx="41">
                  <c:v>0.95559030918759991</c:v>
                </c:pt>
                <c:pt idx="42">
                  <c:v>0.98300771034159995</c:v>
                </c:pt>
                <c:pt idx="43">
                  <c:v>0.99330666708999993</c:v>
                </c:pt>
                <c:pt idx="44">
                  <c:v>1.0075762213275998</c:v>
                </c:pt>
                <c:pt idx="45">
                  <c:v>1.0281208537475999</c:v>
                </c:pt>
                <c:pt idx="46">
                  <c:v>1.0382225415931998</c:v>
                </c:pt>
                <c:pt idx="47">
                  <c:v>1.0541579684225999</c:v>
                </c:pt>
                <c:pt idx="48">
                  <c:v>1.0687637971379997</c:v>
                </c:pt>
                <c:pt idx="49">
                  <c:v>1.0815684581785998</c:v>
                </c:pt>
                <c:pt idx="50">
                  <c:v>1.0986668252266998</c:v>
                </c:pt>
                <c:pt idx="51">
                  <c:v>1.1194431701510998</c:v>
                </c:pt>
              </c:numCache>
            </c:numRef>
          </c:val>
          <c:smooth val="0"/>
          <c:extLst>
            <c:ext xmlns:c16="http://schemas.microsoft.com/office/drawing/2014/chart" uri="{C3380CC4-5D6E-409C-BE32-E72D297353CC}">
              <c16:uniqueId val="{00000000-3694-4BEF-8555-D9C952F931B5}"/>
            </c:ext>
          </c:extLst>
        </c:ser>
        <c:ser>
          <c:idx val="7"/>
          <c:order val="3"/>
          <c:tx>
            <c:strRef>
              <c:f>'OZL Summary'!$BQ$6:$BQ$7</c:f>
              <c:strCache>
                <c:ptCount val="2"/>
                <c:pt idx="0">
                  <c:v>5th Percentile</c:v>
                </c:pt>
              </c:strCache>
            </c:strRef>
          </c:tx>
          <c:spPr>
            <a:ln w="28575" cap="rnd">
              <a:solidFill>
                <a:schemeClr val="bg2"/>
              </a:solidFill>
              <a:prstDash val="sysDot"/>
              <a:round/>
            </a:ln>
            <a:effectLst/>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Summary'!$BQ$8:$BQ$60</c:f>
              <c:numCache>
                <c:formatCode>0.000</c:formatCode>
                <c:ptCount val="53"/>
                <c:pt idx="0">
                  <c:v>1.9443728141978436E-2</c:v>
                </c:pt>
                <c:pt idx="1">
                  <c:v>3.8887456283956873E-2</c:v>
                </c:pt>
                <c:pt idx="2">
                  <c:v>5.8331184425935309E-2</c:v>
                </c:pt>
                <c:pt idx="3">
                  <c:v>7.7774912567913745E-2</c:v>
                </c:pt>
                <c:pt idx="4">
                  <c:v>9.7218640709892182E-2</c:v>
                </c:pt>
                <c:pt idx="5">
                  <c:v>0.11666236885187062</c:v>
                </c:pt>
                <c:pt idx="6">
                  <c:v>0.13610609699384907</c:v>
                </c:pt>
                <c:pt idx="7">
                  <c:v>0.15554982513582749</c:v>
                </c:pt>
                <c:pt idx="8">
                  <c:v>0.17499355327780591</c:v>
                </c:pt>
                <c:pt idx="9">
                  <c:v>0.19443728141978434</c:v>
                </c:pt>
                <c:pt idx="10">
                  <c:v>0.21388100956176276</c:v>
                </c:pt>
                <c:pt idx="11">
                  <c:v>0.23332473770374118</c:v>
                </c:pt>
                <c:pt idx="12">
                  <c:v>0.2527684658457196</c:v>
                </c:pt>
                <c:pt idx="13">
                  <c:v>0.27221219398769803</c:v>
                </c:pt>
                <c:pt idx="14">
                  <c:v>0.29165592212967645</c:v>
                </c:pt>
                <c:pt idx="15">
                  <c:v>0.31109965027165487</c:v>
                </c:pt>
                <c:pt idx="16">
                  <c:v>0.33054337841363329</c:v>
                </c:pt>
                <c:pt idx="17">
                  <c:v>0.34998710655561172</c:v>
                </c:pt>
                <c:pt idx="18">
                  <c:v>0.36943083469759014</c:v>
                </c:pt>
                <c:pt idx="19">
                  <c:v>0.38887456283956856</c:v>
                </c:pt>
                <c:pt idx="20">
                  <c:v>0.40831829098154698</c:v>
                </c:pt>
                <c:pt idx="21">
                  <c:v>0.42776201912352541</c:v>
                </c:pt>
                <c:pt idx="22">
                  <c:v>0.44720574726550383</c:v>
                </c:pt>
                <c:pt idx="23">
                  <c:v>0.46664947540748225</c:v>
                </c:pt>
                <c:pt idx="24">
                  <c:v>0.48609320354946067</c:v>
                </c:pt>
                <c:pt idx="25">
                  <c:v>0.5055369316914391</c:v>
                </c:pt>
                <c:pt idx="26">
                  <c:v>0.52498065983341757</c:v>
                </c:pt>
                <c:pt idx="27">
                  <c:v>0.54442438797539605</c:v>
                </c:pt>
                <c:pt idx="28">
                  <c:v>0.56386811611737453</c:v>
                </c:pt>
                <c:pt idx="29">
                  <c:v>0.58331184425935301</c:v>
                </c:pt>
                <c:pt idx="30">
                  <c:v>0.60275557240133149</c:v>
                </c:pt>
                <c:pt idx="31">
                  <c:v>0.62219930054330996</c:v>
                </c:pt>
                <c:pt idx="32">
                  <c:v>0.64164302868528844</c:v>
                </c:pt>
                <c:pt idx="33">
                  <c:v>0.66108675682726692</c:v>
                </c:pt>
                <c:pt idx="34">
                  <c:v>0.6805304849692454</c:v>
                </c:pt>
                <c:pt idx="35">
                  <c:v>0.69997421311122388</c:v>
                </c:pt>
                <c:pt idx="36">
                  <c:v>0.71941794125320235</c:v>
                </c:pt>
                <c:pt idx="37">
                  <c:v>0.73886166939518083</c:v>
                </c:pt>
                <c:pt idx="38">
                  <c:v>0.75830539753715931</c:v>
                </c:pt>
                <c:pt idx="39">
                  <c:v>0.77774912567913779</c:v>
                </c:pt>
                <c:pt idx="40">
                  <c:v>0.79719285382111627</c:v>
                </c:pt>
                <c:pt idx="41">
                  <c:v>0.81663658196309474</c:v>
                </c:pt>
                <c:pt idx="42">
                  <c:v>0.83608031010507322</c:v>
                </c:pt>
                <c:pt idx="43">
                  <c:v>0.8555240382470517</c:v>
                </c:pt>
                <c:pt idx="44">
                  <c:v>0.87496776638903018</c:v>
                </c:pt>
                <c:pt idx="45">
                  <c:v>0.89441149453100866</c:v>
                </c:pt>
                <c:pt idx="46">
                  <c:v>0.91385522267298713</c:v>
                </c:pt>
                <c:pt idx="47">
                  <c:v>0.93329895081496561</c:v>
                </c:pt>
                <c:pt idx="48">
                  <c:v>0.95274267895694409</c:v>
                </c:pt>
                <c:pt idx="49">
                  <c:v>0.97218640709892257</c:v>
                </c:pt>
                <c:pt idx="50">
                  <c:v>0.99163013524090105</c:v>
                </c:pt>
                <c:pt idx="51">
                  <c:v>1.0110738633828795</c:v>
                </c:pt>
              </c:numCache>
            </c:numRef>
          </c:val>
          <c:smooth val="0"/>
          <c:extLst xmlns:c15="http://schemas.microsoft.com/office/drawing/2012/chart">
            <c:ext xmlns:c16="http://schemas.microsoft.com/office/drawing/2014/chart" uri="{C3380CC4-5D6E-409C-BE32-E72D297353CC}">
              <c16:uniqueId val="{00000001-3694-4BEF-8555-D9C952F931B5}"/>
            </c:ext>
          </c:extLst>
        </c:ser>
        <c:ser>
          <c:idx val="2"/>
          <c:order val="5"/>
          <c:tx>
            <c:v>5/25/50/75/95th percentile</c:v>
          </c:tx>
          <c:spPr>
            <a:ln w="28575">
              <a:solidFill>
                <a:schemeClr val="bg2"/>
              </a:solidFill>
              <a:prstDash val="sysDot"/>
            </a:ln>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Summary'!$BS$8:$BS$60</c:f>
              <c:numCache>
                <c:formatCode>0.000</c:formatCode>
                <c:ptCount val="53"/>
                <c:pt idx="0">
                  <c:v>2.1609953490484776E-2</c:v>
                </c:pt>
                <c:pt idx="1">
                  <c:v>4.3219906980969551E-2</c:v>
                </c:pt>
                <c:pt idx="2">
                  <c:v>6.4829860471454323E-2</c:v>
                </c:pt>
                <c:pt idx="3">
                  <c:v>8.6439813961939102E-2</c:v>
                </c:pt>
                <c:pt idx="4">
                  <c:v>0.10804976745242388</c:v>
                </c:pt>
                <c:pt idx="5">
                  <c:v>0.12965972094290865</c:v>
                </c:pt>
                <c:pt idx="6">
                  <c:v>0.15126967443339343</c:v>
                </c:pt>
                <c:pt idx="7">
                  <c:v>0.1728796279238782</c:v>
                </c:pt>
                <c:pt idx="8">
                  <c:v>0.19448958141436298</c:v>
                </c:pt>
                <c:pt idx="9">
                  <c:v>0.21609953490484776</c:v>
                </c:pt>
                <c:pt idx="10">
                  <c:v>0.23770948839533254</c:v>
                </c:pt>
                <c:pt idx="11">
                  <c:v>0.25931944188581729</c:v>
                </c:pt>
                <c:pt idx="12">
                  <c:v>0.28092939537630207</c:v>
                </c:pt>
                <c:pt idx="13">
                  <c:v>0.30253934886678685</c:v>
                </c:pt>
                <c:pt idx="14">
                  <c:v>0.32414930235727163</c:v>
                </c:pt>
                <c:pt idx="15">
                  <c:v>0.34575925584775641</c:v>
                </c:pt>
                <c:pt idx="16">
                  <c:v>0.36736920933824119</c:v>
                </c:pt>
                <c:pt idx="17">
                  <c:v>0.38897916282872597</c:v>
                </c:pt>
                <c:pt idx="18">
                  <c:v>0.41058911631921075</c:v>
                </c:pt>
                <c:pt idx="19">
                  <c:v>0.43219906980969552</c:v>
                </c:pt>
                <c:pt idx="20">
                  <c:v>0.4538090233001803</c:v>
                </c:pt>
                <c:pt idx="21">
                  <c:v>0.47541897679066508</c:v>
                </c:pt>
                <c:pt idx="22">
                  <c:v>0.49702893028114986</c:v>
                </c:pt>
                <c:pt idx="23">
                  <c:v>0.51863888377163458</c:v>
                </c:pt>
                <c:pt idx="24">
                  <c:v>0.54024883726211936</c:v>
                </c:pt>
                <c:pt idx="25">
                  <c:v>0.56185879075260414</c:v>
                </c:pt>
                <c:pt idx="26">
                  <c:v>0.58346874424308892</c:v>
                </c:pt>
                <c:pt idx="27">
                  <c:v>0.6050786977335737</c:v>
                </c:pt>
                <c:pt idx="28">
                  <c:v>0.62668865122405848</c:v>
                </c:pt>
                <c:pt idx="29">
                  <c:v>0.64829860471454326</c:v>
                </c:pt>
                <c:pt idx="30">
                  <c:v>0.66990855820502804</c:v>
                </c:pt>
                <c:pt idx="31">
                  <c:v>0.69151851169551282</c:v>
                </c:pt>
                <c:pt idx="32">
                  <c:v>0.7131284651859976</c:v>
                </c:pt>
                <c:pt idx="33">
                  <c:v>0.73473841867648237</c:v>
                </c:pt>
                <c:pt idx="34">
                  <c:v>0.75634837216696715</c:v>
                </c:pt>
                <c:pt idx="35">
                  <c:v>0.77795832565745193</c:v>
                </c:pt>
                <c:pt idx="36">
                  <c:v>0.79956827914793671</c:v>
                </c:pt>
                <c:pt idx="37">
                  <c:v>0.82117823263842149</c:v>
                </c:pt>
                <c:pt idx="38">
                  <c:v>0.84278818612890627</c:v>
                </c:pt>
                <c:pt idx="39">
                  <c:v>0.86439813961939105</c:v>
                </c:pt>
                <c:pt idx="40">
                  <c:v>0.88600809310987583</c:v>
                </c:pt>
                <c:pt idx="41">
                  <c:v>0.90761804660036061</c:v>
                </c:pt>
                <c:pt idx="42">
                  <c:v>0.92922800009084539</c:v>
                </c:pt>
                <c:pt idx="43">
                  <c:v>0.95083795358133016</c:v>
                </c:pt>
                <c:pt idx="44">
                  <c:v>0.97244790707181494</c:v>
                </c:pt>
                <c:pt idx="45">
                  <c:v>0.99405786056229972</c:v>
                </c:pt>
                <c:pt idx="46">
                  <c:v>1.0156678140527844</c:v>
                </c:pt>
                <c:pt idx="47">
                  <c:v>1.0372777675432692</c:v>
                </c:pt>
                <c:pt idx="48">
                  <c:v>1.0588877210337539</c:v>
                </c:pt>
                <c:pt idx="49">
                  <c:v>1.0804976745242387</c:v>
                </c:pt>
                <c:pt idx="50">
                  <c:v>1.1021076280147235</c:v>
                </c:pt>
                <c:pt idx="51">
                  <c:v>1.1237175815052083</c:v>
                </c:pt>
              </c:numCache>
            </c:numRef>
          </c:val>
          <c:smooth val="0"/>
          <c:extLst>
            <c:ext xmlns:c16="http://schemas.microsoft.com/office/drawing/2014/chart" uri="{C3380CC4-5D6E-409C-BE32-E72D297353CC}">
              <c16:uniqueId val="{00000002-3694-4BEF-8555-D9C952F931B5}"/>
            </c:ext>
          </c:extLst>
        </c:ser>
        <c:ser>
          <c:idx val="4"/>
          <c:order val="6"/>
          <c:tx>
            <c:strRef>
              <c:f>'OZL Summary'!$BT$6:$BT$7</c:f>
              <c:strCache>
                <c:ptCount val="2"/>
                <c:pt idx="0">
                  <c:v>50th Percentile</c:v>
                </c:pt>
              </c:strCache>
            </c:strRef>
          </c:tx>
          <c:spPr>
            <a:ln w="28575">
              <a:solidFill>
                <a:schemeClr val="bg2"/>
              </a:solidFill>
              <a:prstDash val="sysDot"/>
            </a:ln>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Summary'!$BT$8:$BT$60</c:f>
              <c:numCache>
                <c:formatCode>0.000</c:formatCode>
                <c:ptCount val="53"/>
                <c:pt idx="0">
                  <c:v>2.3469807538576672E-2</c:v>
                </c:pt>
                <c:pt idx="1">
                  <c:v>4.6939615077153343E-2</c:v>
                </c:pt>
                <c:pt idx="2">
                  <c:v>7.0409422615730022E-2</c:v>
                </c:pt>
                <c:pt idx="3">
                  <c:v>9.3879230154306686E-2</c:v>
                </c:pt>
                <c:pt idx="4">
                  <c:v>0.11734903769288335</c:v>
                </c:pt>
                <c:pt idx="5">
                  <c:v>0.14081884523146002</c:v>
                </c:pt>
                <c:pt idx="6">
                  <c:v>0.16428865277003668</c:v>
                </c:pt>
                <c:pt idx="7">
                  <c:v>0.18775846030861335</c:v>
                </c:pt>
                <c:pt idx="8">
                  <c:v>0.21122826784719001</c:v>
                </c:pt>
                <c:pt idx="9">
                  <c:v>0.23469807538576667</c:v>
                </c:pt>
                <c:pt idx="10">
                  <c:v>0.25816788292434334</c:v>
                </c:pt>
                <c:pt idx="11">
                  <c:v>0.28163769046292003</c:v>
                </c:pt>
                <c:pt idx="12">
                  <c:v>0.30510749800149672</c:v>
                </c:pt>
                <c:pt idx="13">
                  <c:v>0.32857730554007342</c:v>
                </c:pt>
                <c:pt idx="14">
                  <c:v>0.35204711307865011</c:v>
                </c:pt>
                <c:pt idx="15">
                  <c:v>0.3755169206172268</c:v>
                </c:pt>
                <c:pt idx="16">
                  <c:v>0.39898672815580349</c:v>
                </c:pt>
                <c:pt idx="17">
                  <c:v>0.42245653569438019</c:v>
                </c:pt>
                <c:pt idx="18">
                  <c:v>0.44592634323295688</c:v>
                </c:pt>
                <c:pt idx="19">
                  <c:v>0.46939615077153357</c:v>
                </c:pt>
                <c:pt idx="20">
                  <c:v>0.49286595831011026</c:v>
                </c:pt>
                <c:pt idx="21">
                  <c:v>0.5163357658486869</c:v>
                </c:pt>
                <c:pt idx="22">
                  <c:v>0.53980557338726354</c:v>
                </c:pt>
                <c:pt idx="23">
                  <c:v>0.56327538092584017</c:v>
                </c:pt>
                <c:pt idx="24">
                  <c:v>0.58674518846441681</c:v>
                </c:pt>
                <c:pt idx="25">
                  <c:v>0.61021499600299345</c:v>
                </c:pt>
                <c:pt idx="26">
                  <c:v>0.63368480354157009</c:v>
                </c:pt>
                <c:pt idx="27">
                  <c:v>0.65715461108014672</c:v>
                </c:pt>
                <c:pt idx="28">
                  <c:v>0.68062441861872336</c:v>
                </c:pt>
                <c:pt idx="29">
                  <c:v>0.7040942261573</c:v>
                </c:pt>
                <c:pt idx="30">
                  <c:v>0.72756403369587663</c:v>
                </c:pt>
                <c:pt idx="31">
                  <c:v>0.75103384123445327</c:v>
                </c:pt>
                <c:pt idx="32">
                  <c:v>0.77450364877302991</c:v>
                </c:pt>
                <c:pt idx="33">
                  <c:v>0.79797345631160654</c:v>
                </c:pt>
                <c:pt idx="34">
                  <c:v>0.82144326385018318</c:v>
                </c:pt>
                <c:pt idx="35">
                  <c:v>0.84491307138875982</c:v>
                </c:pt>
                <c:pt idx="36">
                  <c:v>0.86838287892733645</c:v>
                </c:pt>
                <c:pt idx="37">
                  <c:v>0.89185268646591309</c:v>
                </c:pt>
                <c:pt idx="38">
                  <c:v>0.91532249400448973</c:v>
                </c:pt>
                <c:pt idx="39">
                  <c:v>0.93879230154306637</c:v>
                </c:pt>
                <c:pt idx="40">
                  <c:v>0.962262109081643</c:v>
                </c:pt>
                <c:pt idx="41">
                  <c:v>0.98573191662021964</c:v>
                </c:pt>
                <c:pt idx="42">
                  <c:v>1.0092017241587963</c:v>
                </c:pt>
                <c:pt idx="43">
                  <c:v>1.0326715316973729</c:v>
                </c:pt>
                <c:pt idx="44">
                  <c:v>1.0561413392359496</c:v>
                </c:pt>
                <c:pt idx="45">
                  <c:v>1.0796111467745262</c:v>
                </c:pt>
                <c:pt idx="46">
                  <c:v>1.1030809543131028</c:v>
                </c:pt>
                <c:pt idx="47">
                  <c:v>1.1265507618516795</c:v>
                </c:pt>
                <c:pt idx="48">
                  <c:v>1.1500205693902561</c:v>
                </c:pt>
                <c:pt idx="49">
                  <c:v>1.1734903769288327</c:v>
                </c:pt>
                <c:pt idx="50">
                  <c:v>1.1969601844674094</c:v>
                </c:pt>
                <c:pt idx="51">
                  <c:v>1.220429992005986</c:v>
                </c:pt>
              </c:numCache>
            </c:numRef>
          </c:val>
          <c:smooth val="0"/>
          <c:extLst>
            <c:ext xmlns:c16="http://schemas.microsoft.com/office/drawing/2014/chart" uri="{C3380CC4-5D6E-409C-BE32-E72D297353CC}">
              <c16:uniqueId val="{00000003-3694-4BEF-8555-D9C952F931B5}"/>
            </c:ext>
          </c:extLst>
        </c:ser>
        <c:ser>
          <c:idx val="6"/>
          <c:order val="7"/>
          <c:tx>
            <c:strRef>
              <c:f>'OZL Summary'!$BU$6:$BU$7</c:f>
              <c:strCache>
                <c:ptCount val="2"/>
                <c:pt idx="0">
                  <c:v>75th Percentile</c:v>
                </c:pt>
              </c:strCache>
            </c:strRef>
          </c:tx>
          <c:spPr>
            <a:ln w="28575">
              <a:solidFill>
                <a:schemeClr val="bg2"/>
              </a:solidFill>
              <a:prstDash val="sysDot"/>
            </a:ln>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Summary'!$BU$8:$BU$60</c:f>
              <c:numCache>
                <c:formatCode>0.000</c:formatCode>
                <c:ptCount val="53"/>
                <c:pt idx="0">
                  <c:v>2.5540580974329746E-2</c:v>
                </c:pt>
                <c:pt idx="1">
                  <c:v>5.1081161948659491E-2</c:v>
                </c:pt>
                <c:pt idx="2">
                  <c:v>7.6621742922989233E-2</c:v>
                </c:pt>
                <c:pt idx="3">
                  <c:v>0.10216232389731898</c:v>
                </c:pt>
                <c:pt idx="4">
                  <c:v>0.12770290487164873</c:v>
                </c:pt>
                <c:pt idx="5">
                  <c:v>0.15324348584597847</c:v>
                </c:pt>
                <c:pt idx="6">
                  <c:v>0.1787840668203082</c:v>
                </c:pt>
                <c:pt idx="7">
                  <c:v>0.20432464779463794</c:v>
                </c:pt>
                <c:pt idx="8">
                  <c:v>0.22986522876896767</c:v>
                </c:pt>
                <c:pt idx="9">
                  <c:v>0.25540580974329741</c:v>
                </c:pt>
                <c:pt idx="10">
                  <c:v>0.28094639071762717</c:v>
                </c:pt>
                <c:pt idx="11">
                  <c:v>0.30648697169195693</c:v>
                </c:pt>
                <c:pt idx="12">
                  <c:v>0.3320275526662867</c:v>
                </c:pt>
                <c:pt idx="13">
                  <c:v>0.35756813364061646</c:v>
                </c:pt>
                <c:pt idx="14">
                  <c:v>0.38310871461494622</c:v>
                </c:pt>
                <c:pt idx="15">
                  <c:v>0.40864929558927598</c:v>
                </c:pt>
                <c:pt idx="16">
                  <c:v>0.43418987656360575</c:v>
                </c:pt>
                <c:pt idx="17">
                  <c:v>0.45973045753793551</c:v>
                </c:pt>
                <c:pt idx="18">
                  <c:v>0.48527103851226527</c:v>
                </c:pt>
                <c:pt idx="19">
                  <c:v>0.51081161948659504</c:v>
                </c:pt>
                <c:pt idx="20">
                  <c:v>0.5363522004609248</c:v>
                </c:pt>
                <c:pt idx="21">
                  <c:v>0.56189278143525456</c:v>
                </c:pt>
                <c:pt idx="22">
                  <c:v>0.58743336240958433</c:v>
                </c:pt>
                <c:pt idx="23">
                  <c:v>0.61297394338391409</c:v>
                </c:pt>
                <c:pt idx="24">
                  <c:v>0.63851452435824385</c:v>
                </c:pt>
                <c:pt idx="25">
                  <c:v>0.66405510533257361</c:v>
                </c:pt>
                <c:pt idx="26">
                  <c:v>0.68959568630690338</c:v>
                </c:pt>
                <c:pt idx="27">
                  <c:v>0.71513626728123314</c:v>
                </c:pt>
                <c:pt idx="28">
                  <c:v>0.7406768482555629</c:v>
                </c:pt>
                <c:pt idx="29">
                  <c:v>0.76621742922989267</c:v>
                </c:pt>
                <c:pt idx="30">
                  <c:v>0.79175801020422243</c:v>
                </c:pt>
                <c:pt idx="31">
                  <c:v>0.81729859117855219</c:v>
                </c:pt>
                <c:pt idx="32">
                  <c:v>0.84283917215288195</c:v>
                </c:pt>
                <c:pt idx="33">
                  <c:v>0.86837975312721172</c:v>
                </c:pt>
                <c:pt idx="34">
                  <c:v>0.89392033410154148</c:v>
                </c:pt>
                <c:pt idx="35">
                  <c:v>0.91946091507587124</c:v>
                </c:pt>
                <c:pt idx="36">
                  <c:v>0.94500149605020101</c:v>
                </c:pt>
                <c:pt idx="37">
                  <c:v>0.97054207702453077</c:v>
                </c:pt>
                <c:pt idx="38">
                  <c:v>0.99608265799886053</c:v>
                </c:pt>
                <c:pt idx="39">
                  <c:v>1.0216232389731903</c:v>
                </c:pt>
                <c:pt idx="40">
                  <c:v>1.0471638199475199</c:v>
                </c:pt>
                <c:pt idx="41">
                  <c:v>1.0727044009218496</c:v>
                </c:pt>
                <c:pt idx="42">
                  <c:v>1.0982449818961793</c:v>
                </c:pt>
                <c:pt idx="43">
                  <c:v>1.1237855628705089</c:v>
                </c:pt>
                <c:pt idx="44">
                  <c:v>1.1493261438448386</c:v>
                </c:pt>
                <c:pt idx="45">
                  <c:v>1.1748667248191682</c:v>
                </c:pt>
                <c:pt idx="46">
                  <c:v>1.2004073057934979</c:v>
                </c:pt>
                <c:pt idx="47">
                  <c:v>1.2259478867678275</c:v>
                </c:pt>
                <c:pt idx="48">
                  <c:v>1.2514884677421572</c:v>
                </c:pt>
                <c:pt idx="49">
                  <c:v>1.2770290487164868</c:v>
                </c:pt>
                <c:pt idx="50">
                  <c:v>1.3025696296908165</c:v>
                </c:pt>
                <c:pt idx="51">
                  <c:v>1.3281102106651461</c:v>
                </c:pt>
              </c:numCache>
            </c:numRef>
          </c:val>
          <c:smooth val="0"/>
          <c:extLst xmlns:c15="http://schemas.microsoft.com/office/drawing/2012/chart">
            <c:ext xmlns:c16="http://schemas.microsoft.com/office/drawing/2014/chart" uri="{C3380CC4-5D6E-409C-BE32-E72D297353CC}">
              <c16:uniqueId val="{00000004-3694-4BEF-8555-D9C952F931B5}"/>
            </c:ext>
          </c:extLst>
        </c:ser>
        <c:ser>
          <c:idx val="9"/>
          <c:order val="9"/>
          <c:tx>
            <c:strRef>
              <c:f>'OZL Summary'!$BW$6:$BW$7</c:f>
              <c:strCache>
                <c:ptCount val="2"/>
                <c:pt idx="0">
                  <c:v>95th Percentile</c:v>
                </c:pt>
              </c:strCache>
            </c:strRef>
          </c:tx>
          <c:spPr>
            <a:ln w="28575">
              <a:solidFill>
                <a:schemeClr val="bg2"/>
              </a:solidFill>
              <a:prstDash val="sysDot"/>
            </a:ln>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Summary'!$BW$8:$BW$60</c:f>
              <c:numCache>
                <c:formatCode>0.000</c:formatCode>
                <c:ptCount val="53"/>
                <c:pt idx="0">
                  <c:v>2.9126260596895739E-2</c:v>
                </c:pt>
                <c:pt idx="1">
                  <c:v>5.8252521193791477E-2</c:v>
                </c:pt>
                <c:pt idx="2">
                  <c:v>8.7378781790687213E-2</c:v>
                </c:pt>
                <c:pt idx="3">
                  <c:v>0.11650504238758295</c:v>
                </c:pt>
                <c:pt idx="4">
                  <c:v>0.14563130298447868</c:v>
                </c:pt>
                <c:pt idx="5">
                  <c:v>0.17475756358137443</c:v>
                </c:pt>
                <c:pt idx="6">
                  <c:v>0.20388382417827017</c:v>
                </c:pt>
                <c:pt idx="7">
                  <c:v>0.23301008477516591</c:v>
                </c:pt>
                <c:pt idx="8">
                  <c:v>0.26213634537206165</c:v>
                </c:pt>
                <c:pt idx="9">
                  <c:v>0.29126260596895737</c:v>
                </c:pt>
                <c:pt idx="10">
                  <c:v>0.32038886656585308</c:v>
                </c:pt>
                <c:pt idx="11">
                  <c:v>0.3495151271627488</c:v>
                </c:pt>
                <c:pt idx="12">
                  <c:v>0.37864138775964451</c:v>
                </c:pt>
                <c:pt idx="13">
                  <c:v>0.40776764835654022</c:v>
                </c:pt>
                <c:pt idx="14">
                  <c:v>0.43689390895343594</c:v>
                </c:pt>
                <c:pt idx="15">
                  <c:v>0.46602016955033165</c:v>
                </c:pt>
                <c:pt idx="16">
                  <c:v>0.49514643014722737</c:v>
                </c:pt>
                <c:pt idx="17">
                  <c:v>0.52427269074412308</c:v>
                </c:pt>
                <c:pt idx="18">
                  <c:v>0.5533989513410188</c:v>
                </c:pt>
                <c:pt idx="19">
                  <c:v>0.58252521193791451</c:v>
                </c:pt>
                <c:pt idx="20">
                  <c:v>0.61165147253481023</c:v>
                </c:pt>
                <c:pt idx="21">
                  <c:v>0.64077773313170594</c:v>
                </c:pt>
                <c:pt idx="22">
                  <c:v>0.66990399372860165</c:v>
                </c:pt>
                <c:pt idx="23">
                  <c:v>0.69903025432549737</c:v>
                </c:pt>
                <c:pt idx="24">
                  <c:v>0.72815651492239308</c:v>
                </c:pt>
                <c:pt idx="25">
                  <c:v>0.7572827755192888</c:v>
                </c:pt>
                <c:pt idx="26">
                  <c:v>0.78640903611618451</c:v>
                </c:pt>
                <c:pt idx="27">
                  <c:v>0.81553529671308023</c:v>
                </c:pt>
                <c:pt idx="28">
                  <c:v>0.84466155730997594</c:v>
                </c:pt>
                <c:pt idx="29">
                  <c:v>0.87378781790687166</c:v>
                </c:pt>
                <c:pt idx="30">
                  <c:v>0.90291407850376737</c:v>
                </c:pt>
                <c:pt idx="31">
                  <c:v>0.93204033910066308</c:v>
                </c:pt>
                <c:pt idx="32">
                  <c:v>0.9611665996975588</c:v>
                </c:pt>
                <c:pt idx="33">
                  <c:v>0.99029286029445451</c:v>
                </c:pt>
                <c:pt idx="34">
                  <c:v>1.0194191208913503</c:v>
                </c:pt>
                <c:pt idx="35">
                  <c:v>1.0485453814882462</c:v>
                </c:pt>
                <c:pt idx="36">
                  <c:v>1.077671642085142</c:v>
                </c:pt>
                <c:pt idx="37">
                  <c:v>1.1067979026820378</c:v>
                </c:pt>
                <c:pt idx="38">
                  <c:v>1.1359241632789336</c:v>
                </c:pt>
                <c:pt idx="39">
                  <c:v>1.1650504238758295</c:v>
                </c:pt>
                <c:pt idx="40">
                  <c:v>1.1941766844727253</c:v>
                </c:pt>
                <c:pt idx="41">
                  <c:v>1.2233029450696211</c:v>
                </c:pt>
                <c:pt idx="42">
                  <c:v>1.2524292056665169</c:v>
                </c:pt>
                <c:pt idx="43">
                  <c:v>1.2815554662634128</c:v>
                </c:pt>
                <c:pt idx="44">
                  <c:v>1.3106817268603086</c:v>
                </c:pt>
                <c:pt idx="45">
                  <c:v>1.3398079874572044</c:v>
                </c:pt>
                <c:pt idx="46">
                  <c:v>1.3689342480541002</c:v>
                </c:pt>
                <c:pt idx="47">
                  <c:v>1.3980605086509961</c:v>
                </c:pt>
                <c:pt idx="48">
                  <c:v>1.4271867692478919</c:v>
                </c:pt>
                <c:pt idx="49">
                  <c:v>1.4563130298447877</c:v>
                </c:pt>
                <c:pt idx="50">
                  <c:v>1.4854392904416835</c:v>
                </c:pt>
                <c:pt idx="51">
                  <c:v>1.5145655510385794</c:v>
                </c:pt>
              </c:numCache>
            </c:numRef>
          </c:val>
          <c:smooth val="0"/>
          <c:extLst xmlns:c15="http://schemas.microsoft.com/office/drawing/2012/chart">
            <c:ext xmlns:c16="http://schemas.microsoft.com/office/drawing/2014/chart" uri="{C3380CC4-5D6E-409C-BE32-E72D297353CC}">
              <c16:uniqueId val="{00000005-3694-4BEF-8555-D9C952F931B5}"/>
            </c:ext>
          </c:extLst>
        </c:ser>
        <c:dLbls>
          <c:showLegendKey val="0"/>
          <c:showVal val="0"/>
          <c:showCatName val="0"/>
          <c:showSerName val="0"/>
          <c:showPercent val="0"/>
          <c:showBubbleSize val="0"/>
        </c:dLbls>
        <c:smooth val="0"/>
        <c:axId val="1388952432"/>
        <c:axId val="1388953088"/>
        <c:extLst>
          <c:ext xmlns:c15="http://schemas.microsoft.com/office/drawing/2012/chart" uri="{02D57815-91ED-43cb-92C2-25804820EDAC}">
            <c15:filteredLineSeries>
              <c15:ser>
                <c:idx val="3"/>
                <c:order val="1"/>
                <c:tx>
                  <c:strRef>
                    <c:extLst>
                      <c:ext uri="{02D57815-91ED-43cb-92C2-25804820EDAC}">
                        <c15:formulaRef>
                          <c15:sqref>'OZL Summary'!$BO$6:$BO$7</c15:sqref>
                        </c15:formulaRef>
                      </c:ext>
                    </c:extLst>
                    <c:strCache>
                      <c:ptCount val="2"/>
                      <c:pt idx="0">
                        <c:v>Min</c:v>
                      </c:pt>
                    </c:strCache>
                  </c:strRef>
                </c:tx>
                <c:marker>
                  <c:symbol val="none"/>
                </c:marker>
                <c:cat>
                  <c:numRef>
                    <c:extLst>
                      <c:ex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c:ext uri="{02D57815-91ED-43cb-92C2-25804820EDAC}">
                        <c15:formulaRef>
                          <c15:sqref>'OZL Summary'!$BO$8:$BO$60</c15:sqref>
                        </c15:formulaRef>
                      </c:ext>
                    </c:extLst>
                    <c:numCache>
                      <c:formatCode>0.000</c:formatCode>
                      <c:ptCount val="53"/>
                      <c:pt idx="0">
                        <c:v>1.6032204874777817E-2</c:v>
                      </c:pt>
                      <c:pt idx="1">
                        <c:v>3.2064409749555635E-2</c:v>
                      </c:pt>
                      <c:pt idx="2">
                        <c:v>4.8096614624333456E-2</c:v>
                      </c:pt>
                      <c:pt idx="3">
                        <c:v>6.412881949911127E-2</c:v>
                      </c:pt>
                      <c:pt idx="4">
                        <c:v>8.0161024373889084E-2</c:v>
                      </c:pt>
                      <c:pt idx="5">
                        <c:v>9.6193229248666898E-2</c:v>
                      </c:pt>
                      <c:pt idx="6">
                        <c:v>0.11222543412344471</c:v>
                      </c:pt>
                      <c:pt idx="7">
                        <c:v>0.12825763899822254</c:v>
                      </c:pt>
                      <c:pt idx="8">
                        <c:v>0.14428984387300037</c:v>
                      </c:pt>
                      <c:pt idx="9">
                        <c:v>0.1603220487477782</c:v>
                      </c:pt>
                      <c:pt idx="10">
                        <c:v>0.17635425362255602</c:v>
                      </c:pt>
                      <c:pt idx="11">
                        <c:v>0.19238645849733385</c:v>
                      </c:pt>
                      <c:pt idx="12">
                        <c:v>0.20841866337211168</c:v>
                      </c:pt>
                      <c:pt idx="13">
                        <c:v>0.22445086824688951</c:v>
                      </c:pt>
                      <c:pt idx="14">
                        <c:v>0.24048307312166733</c:v>
                      </c:pt>
                      <c:pt idx="15">
                        <c:v>0.25651527799644513</c:v>
                      </c:pt>
                      <c:pt idx="16">
                        <c:v>0.27254748287122293</c:v>
                      </c:pt>
                      <c:pt idx="17">
                        <c:v>0.28857968774600073</c:v>
                      </c:pt>
                      <c:pt idx="18">
                        <c:v>0.30461189262077853</c:v>
                      </c:pt>
                      <c:pt idx="19">
                        <c:v>0.32064409749555633</c:v>
                      </c:pt>
                      <c:pt idx="20">
                        <c:v>0.33667630237033414</c:v>
                      </c:pt>
                      <c:pt idx="21">
                        <c:v>0.35270850724511194</c:v>
                      </c:pt>
                      <c:pt idx="22">
                        <c:v>0.36874071211988974</c:v>
                      </c:pt>
                      <c:pt idx="23">
                        <c:v>0.38477291699466754</c:v>
                      </c:pt>
                      <c:pt idx="24">
                        <c:v>0.40080512186944534</c:v>
                      </c:pt>
                      <c:pt idx="25">
                        <c:v>0.41683732674422314</c:v>
                      </c:pt>
                      <c:pt idx="26">
                        <c:v>0.43286953161900094</c:v>
                      </c:pt>
                      <c:pt idx="27">
                        <c:v>0.44890173649377874</c:v>
                      </c:pt>
                      <c:pt idx="28">
                        <c:v>0.46493394136855654</c:v>
                      </c:pt>
                      <c:pt idx="29">
                        <c:v>0.48096614624333434</c:v>
                      </c:pt>
                      <c:pt idx="30">
                        <c:v>0.49699835111811214</c:v>
                      </c:pt>
                      <c:pt idx="31">
                        <c:v>0.51303055599288994</c:v>
                      </c:pt>
                      <c:pt idx="32">
                        <c:v>0.52906276086766779</c:v>
                      </c:pt>
                      <c:pt idx="33">
                        <c:v>0.54509496574244565</c:v>
                      </c:pt>
                      <c:pt idx="34">
                        <c:v>0.5611271706172235</c:v>
                      </c:pt>
                      <c:pt idx="35">
                        <c:v>0.57715937549200136</c:v>
                      </c:pt>
                      <c:pt idx="36">
                        <c:v>0.59319158036677921</c:v>
                      </c:pt>
                      <c:pt idx="37">
                        <c:v>0.60922378524155707</c:v>
                      </c:pt>
                      <c:pt idx="38">
                        <c:v>0.62525599011633493</c:v>
                      </c:pt>
                      <c:pt idx="39">
                        <c:v>0.64128819499111278</c:v>
                      </c:pt>
                      <c:pt idx="40">
                        <c:v>0.65732039986589064</c:v>
                      </c:pt>
                      <c:pt idx="41">
                        <c:v>0.67335260474066849</c:v>
                      </c:pt>
                      <c:pt idx="42">
                        <c:v>0.68938480961544635</c:v>
                      </c:pt>
                      <c:pt idx="43">
                        <c:v>0.7054170144902242</c:v>
                      </c:pt>
                      <c:pt idx="44">
                        <c:v>0.72144921936500206</c:v>
                      </c:pt>
                      <c:pt idx="45">
                        <c:v>0.73748142423977991</c:v>
                      </c:pt>
                      <c:pt idx="46">
                        <c:v>0.75351362911455777</c:v>
                      </c:pt>
                      <c:pt idx="47">
                        <c:v>0.76954583398933563</c:v>
                      </c:pt>
                      <c:pt idx="48">
                        <c:v>0.78557803886411348</c:v>
                      </c:pt>
                      <c:pt idx="49">
                        <c:v>0.80161024373889134</c:v>
                      </c:pt>
                      <c:pt idx="50">
                        <c:v>0.81764244861366919</c:v>
                      </c:pt>
                      <c:pt idx="51">
                        <c:v>0.83367465348844705</c:v>
                      </c:pt>
                    </c:numCache>
                  </c:numRef>
                </c:val>
                <c:smooth val="0"/>
                <c:extLst>
                  <c:ext xmlns:c16="http://schemas.microsoft.com/office/drawing/2014/chart" uri="{C3380CC4-5D6E-409C-BE32-E72D297353CC}">
                    <c16:uniqueId val="{00000006-3694-4BEF-8555-D9C952F931B5}"/>
                  </c:ext>
                </c:extLst>
              </c15:ser>
            </c15:filteredLineSeries>
            <c15:filteredLineSeries>
              <c15:ser>
                <c:idx val="5"/>
                <c:order val="2"/>
                <c:tx>
                  <c:strRef>
                    <c:extLst xmlns:c15="http://schemas.microsoft.com/office/drawing/2012/chart">
                      <c:ext xmlns:c15="http://schemas.microsoft.com/office/drawing/2012/chart" uri="{02D57815-91ED-43cb-92C2-25804820EDAC}">
                        <c15:formulaRef>
                          <c15:sqref>'OZL Summary'!$BP$6:$BP$7</c15:sqref>
                        </c15:formulaRef>
                      </c:ext>
                    </c:extLst>
                    <c:strCache>
                      <c:ptCount val="2"/>
                      <c:pt idx="0">
                        <c:v>1st Percentile</c:v>
                      </c:pt>
                    </c:strCache>
                  </c:strRef>
                </c:tx>
                <c:spPr>
                  <a:ln w="28575" cap="rnd">
                    <a:solidFill>
                      <a:schemeClr val="accent6"/>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Summary'!$BP$8:$BP$60</c15:sqref>
                        </c15:formulaRef>
                      </c:ext>
                    </c:extLst>
                    <c:numCache>
                      <c:formatCode>0.000</c:formatCode>
                      <c:ptCount val="53"/>
                      <c:pt idx="0">
                        <c:v>1.8223138082807688E-2</c:v>
                      </c:pt>
                      <c:pt idx="1">
                        <c:v>3.6446276165615375E-2</c:v>
                      </c:pt>
                      <c:pt idx="2">
                        <c:v>5.4669414248423059E-2</c:v>
                      </c:pt>
                      <c:pt idx="3">
                        <c:v>7.2892552331230751E-2</c:v>
                      </c:pt>
                      <c:pt idx="4">
                        <c:v>9.1115690414038442E-2</c:v>
                      </c:pt>
                      <c:pt idx="5">
                        <c:v>0.10933882849684613</c:v>
                      </c:pt>
                      <c:pt idx="6">
                        <c:v>0.12756196657965382</c:v>
                      </c:pt>
                      <c:pt idx="7">
                        <c:v>0.1457851046624615</c:v>
                      </c:pt>
                      <c:pt idx="8">
                        <c:v>0.16400824274526918</c:v>
                      </c:pt>
                      <c:pt idx="9">
                        <c:v>0.18223138082807686</c:v>
                      </c:pt>
                      <c:pt idx="10">
                        <c:v>0.20045451891088453</c:v>
                      </c:pt>
                      <c:pt idx="11">
                        <c:v>0.21867765699369221</c:v>
                      </c:pt>
                      <c:pt idx="12">
                        <c:v>0.23690079507649989</c:v>
                      </c:pt>
                      <c:pt idx="13">
                        <c:v>0.25512393315930759</c:v>
                      </c:pt>
                      <c:pt idx="14">
                        <c:v>0.27334707124211527</c:v>
                      </c:pt>
                      <c:pt idx="15">
                        <c:v>0.29157020932492295</c:v>
                      </c:pt>
                      <c:pt idx="16">
                        <c:v>0.30979334740773062</c:v>
                      </c:pt>
                      <c:pt idx="17">
                        <c:v>0.3280164854905383</c:v>
                      </c:pt>
                      <c:pt idx="18">
                        <c:v>0.34623962357334598</c:v>
                      </c:pt>
                      <c:pt idx="19">
                        <c:v>0.36446276165615366</c:v>
                      </c:pt>
                      <c:pt idx="20">
                        <c:v>0.38268589973896133</c:v>
                      </c:pt>
                      <c:pt idx="21">
                        <c:v>0.40090903782176901</c:v>
                      </c:pt>
                      <c:pt idx="22">
                        <c:v>0.41913217590457669</c:v>
                      </c:pt>
                      <c:pt idx="23">
                        <c:v>0.43735531398738436</c:v>
                      </c:pt>
                      <c:pt idx="24">
                        <c:v>0.45557845207019204</c:v>
                      </c:pt>
                      <c:pt idx="25">
                        <c:v>0.47380159015299972</c:v>
                      </c:pt>
                      <c:pt idx="26">
                        <c:v>0.4920247282358074</c:v>
                      </c:pt>
                      <c:pt idx="27">
                        <c:v>0.51024786631861507</c:v>
                      </c:pt>
                      <c:pt idx="28">
                        <c:v>0.52847100440142281</c:v>
                      </c:pt>
                      <c:pt idx="29">
                        <c:v>0.54669414248423054</c:v>
                      </c:pt>
                      <c:pt idx="30">
                        <c:v>0.56491728056703827</c:v>
                      </c:pt>
                      <c:pt idx="31">
                        <c:v>0.583140418649846</c:v>
                      </c:pt>
                      <c:pt idx="32">
                        <c:v>0.60136355673265374</c:v>
                      </c:pt>
                      <c:pt idx="33">
                        <c:v>0.61958669481546147</c:v>
                      </c:pt>
                      <c:pt idx="34">
                        <c:v>0.6378098328982692</c:v>
                      </c:pt>
                      <c:pt idx="35">
                        <c:v>0.65603297098107693</c:v>
                      </c:pt>
                      <c:pt idx="36">
                        <c:v>0.67425610906388467</c:v>
                      </c:pt>
                      <c:pt idx="37">
                        <c:v>0.6924792471466924</c:v>
                      </c:pt>
                      <c:pt idx="38">
                        <c:v>0.71070238522950013</c:v>
                      </c:pt>
                      <c:pt idx="39">
                        <c:v>0.72892552331230787</c:v>
                      </c:pt>
                      <c:pt idx="40">
                        <c:v>0.7471486613951156</c:v>
                      </c:pt>
                      <c:pt idx="41">
                        <c:v>0.76537179947792333</c:v>
                      </c:pt>
                      <c:pt idx="42">
                        <c:v>0.78359493756073106</c:v>
                      </c:pt>
                      <c:pt idx="43">
                        <c:v>0.8018180756435388</c:v>
                      </c:pt>
                      <c:pt idx="44">
                        <c:v>0.82004121372634653</c:v>
                      </c:pt>
                      <c:pt idx="45">
                        <c:v>0.83826435180915426</c:v>
                      </c:pt>
                      <c:pt idx="46">
                        <c:v>0.85648748989196199</c:v>
                      </c:pt>
                      <c:pt idx="47">
                        <c:v>0.87471062797476973</c:v>
                      </c:pt>
                      <c:pt idx="48">
                        <c:v>0.89293376605757746</c:v>
                      </c:pt>
                      <c:pt idx="49">
                        <c:v>0.91115690414038519</c:v>
                      </c:pt>
                      <c:pt idx="50">
                        <c:v>0.92938004222319293</c:v>
                      </c:pt>
                      <c:pt idx="51">
                        <c:v>0.94760318030600066</c:v>
                      </c:pt>
                    </c:numCache>
                  </c:numRef>
                </c:val>
                <c:smooth val="0"/>
                <c:extLst xmlns:c15="http://schemas.microsoft.com/office/drawing/2012/chart">
                  <c:ext xmlns:c16="http://schemas.microsoft.com/office/drawing/2014/chart" uri="{C3380CC4-5D6E-409C-BE32-E72D297353CC}">
                    <c16:uniqueId val="{00000007-3694-4BEF-8555-D9C952F931B5}"/>
                  </c:ext>
                </c:extLst>
              </c15:ser>
            </c15:filteredLineSeries>
            <c15:filteredLineSeries>
              <c15:ser>
                <c:idx val="1"/>
                <c:order val="4"/>
                <c:tx>
                  <c:strRef>
                    <c:extLst xmlns:c15="http://schemas.microsoft.com/office/drawing/2012/chart">
                      <c:ext xmlns:c15="http://schemas.microsoft.com/office/drawing/2012/chart" uri="{02D57815-91ED-43cb-92C2-25804820EDAC}">
                        <c15:formulaRef>
                          <c15:sqref>'OZL Summary'!$BR$6:$BR$7</c15:sqref>
                        </c15:formulaRef>
                      </c:ext>
                    </c:extLst>
                    <c:strCache>
                      <c:ptCount val="2"/>
                      <c:pt idx="0">
                        <c:v>10th Percentile</c:v>
                      </c:pt>
                    </c:strCache>
                  </c:strRef>
                </c:tx>
                <c:spPr>
                  <a:ln w="28575" cap="rnd" cmpd="sng">
                    <a:solidFill>
                      <a:schemeClr val="accent2"/>
                    </a:solidFill>
                    <a:prstDash val="sysDot"/>
                    <a:round/>
                    <a:headEnd type="none"/>
                  </a:ln>
                  <a:effectLst/>
                </c:spPr>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Summary'!$BR$8:$BR$60</c15:sqref>
                        </c15:formulaRef>
                      </c:ext>
                    </c:extLst>
                    <c:numCache>
                      <c:formatCode>0.000</c:formatCode>
                      <c:ptCount val="53"/>
                      <c:pt idx="0">
                        <c:v>2.0199848897457344E-2</c:v>
                      </c:pt>
                      <c:pt idx="1">
                        <c:v>4.0399697794914688E-2</c:v>
                      </c:pt>
                      <c:pt idx="2">
                        <c:v>6.0599546692372032E-2</c:v>
                      </c:pt>
                      <c:pt idx="3">
                        <c:v>8.0799395589829376E-2</c:v>
                      </c:pt>
                      <c:pt idx="4">
                        <c:v>0.10099924448728673</c:v>
                      </c:pt>
                      <c:pt idx="5">
                        <c:v>0.12119909338474408</c:v>
                      </c:pt>
                      <c:pt idx="6">
                        <c:v>0.14139894228220143</c:v>
                      </c:pt>
                      <c:pt idx="7">
                        <c:v>0.16159879117965878</c:v>
                      </c:pt>
                      <c:pt idx="8">
                        <c:v>0.18179864007711613</c:v>
                      </c:pt>
                      <c:pt idx="9">
                        <c:v>0.20199848897457348</c:v>
                      </c:pt>
                      <c:pt idx="10">
                        <c:v>0.22219833787203083</c:v>
                      </c:pt>
                      <c:pt idx="11">
                        <c:v>0.24239818676948818</c:v>
                      </c:pt>
                      <c:pt idx="12">
                        <c:v>0.26259803566694551</c:v>
                      </c:pt>
                      <c:pt idx="13">
                        <c:v>0.28279788456440286</c:v>
                      </c:pt>
                      <c:pt idx="14">
                        <c:v>0.30299773346186021</c:v>
                      </c:pt>
                      <c:pt idx="15">
                        <c:v>0.32319758235931756</c:v>
                      </c:pt>
                      <c:pt idx="16">
                        <c:v>0.34339743125677491</c:v>
                      </c:pt>
                      <c:pt idx="17">
                        <c:v>0.36359728015423226</c:v>
                      </c:pt>
                      <c:pt idx="18">
                        <c:v>0.38379712905168961</c:v>
                      </c:pt>
                      <c:pt idx="19">
                        <c:v>0.40399697794914696</c:v>
                      </c:pt>
                      <c:pt idx="20">
                        <c:v>0.42419682684660431</c:v>
                      </c:pt>
                      <c:pt idx="21">
                        <c:v>0.44439667574406166</c:v>
                      </c:pt>
                      <c:pt idx="22">
                        <c:v>0.46459652464151902</c:v>
                      </c:pt>
                      <c:pt idx="23">
                        <c:v>0.48479637353897637</c:v>
                      </c:pt>
                      <c:pt idx="24">
                        <c:v>0.50499622243643372</c:v>
                      </c:pt>
                      <c:pt idx="25">
                        <c:v>0.52519607133389101</c:v>
                      </c:pt>
                      <c:pt idx="26">
                        <c:v>0.54539592023134831</c:v>
                      </c:pt>
                      <c:pt idx="27">
                        <c:v>0.5655957691288056</c:v>
                      </c:pt>
                      <c:pt idx="28">
                        <c:v>0.5857956180262629</c:v>
                      </c:pt>
                      <c:pt idx="29">
                        <c:v>0.60599546692372019</c:v>
                      </c:pt>
                      <c:pt idx="30">
                        <c:v>0.62619531582117749</c:v>
                      </c:pt>
                      <c:pt idx="31">
                        <c:v>0.64639516471863478</c:v>
                      </c:pt>
                      <c:pt idx="32">
                        <c:v>0.66659501361609208</c:v>
                      </c:pt>
                      <c:pt idx="33">
                        <c:v>0.68679486251354938</c:v>
                      </c:pt>
                      <c:pt idx="34">
                        <c:v>0.70699471141100667</c:v>
                      </c:pt>
                      <c:pt idx="35">
                        <c:v>0.72719456030846397</c:v>
                      </c:pt>
                      <c:pt idx="36">
                        <c:v>0.74739440920592126</c:v>
                      </c:pt>
                      <c:pt idx="37">
                        <c:v>0.76759425810337856</c:v>
                      </c:pt>
                      <c:pt idx="38">
                        <c:v>0.78779410700083585</c:v>
                      </c:pt>
                      <c:pt idx="39">
                        <c:v>0.80799395589829315</c:v>
                      </c:pt>
                      <c:pt idx="40">
                        <c:v>0.82819380479575044</c:v>
                      </c:pt>
                      <c:pt idx="41">
                        <c:v>0.84839365369320774</c:v>
                      </c:pt>
                      <c:pt idx="42">
                        <c:v>0.86859350259066503</c:v>
                      </c:pt>
                      <c:pt idx="43">
                        <c:v>0.88879335148812233</c:v>
                      </c:pt>
                      <c:pt idx="44">
                        <c:v>0.90899320038557962</c:v>
                      </c:pt>
                      <c:pt idx="45">
                        <c:v>0.92919304928303692</c:v>
                      </c:pt>
                      <c:pt idx="46">
                        <c:v>0.94939289818049422</c:v>
                      </c:pt>
                      <c:pt idx="47">
                        <c:v>0.96959274707795151</c:v>
                      </c:pt>
                      <c:pt idx="48">
                        <c:v>0.98979259597540881</c:v>
                      </c:pt>
                      <c:pt idx="49">
                        <c:v>1.0099924448728661</c:v>
                      </c:pt>
                      <c:pt idx="50">
                        <c:v>1.0301922937703234</c:v>
                      </c:pt>
                      <c:pt idx="51">
                        <c:v>1.0503921426677807</c:v>
                      </c:pt>
                    </c:numCache>
                  </c:numRef>
                </c:val>
                <c:smooth val="0"/>
                <c:extLst xmlns:c15="http://schemas.microsoft.com/office/drawing/2012/chart">
                  <c:ext xmlns:c16="http://schemas.microsoft.com/office/drawing/2014/chart" uri="{C3380CC4-5D6E-409C-BE32-E72D297353CC}">
                    <c16:uniqueId val="{00000008-3694-4BEF-8555-D9C952F931B5}"/>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'OZL Summary'!$BV$6:$BV$7</c15:sqref>
                        </c15:formulaRef>
                      </c:ext>
                    </c:extLst>
                    <c:strCache>
                      <c:ptCount val="2"/>
                      <c:pt idx="0">
                        <c:v>90th Percentile</c:v>
                      </c:pt>
                    </c:strCache>
                  </c:strRef>
                </c:tx>
                <c:spPr>
                  <a:ln w="28575">
                    <a:solidFill>
                      <a:schemeClr val="accent1"/>
                    </a:solidFill>
                    <a:prstDash val="sysDot"/>
                  </a:ln>
                </c:spPr>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Summary'!$BV$8:$BV$60</c15:sqref>
                        </c15:formulaRef>
                      </c:ext>
                    </c:extLst>
                    <c:numCache>
                      <c:formatCode>0.000</c:formatCode>
                      <c:ptCount val="53"/>
                      <c:pt idx="0">
                        <c:v>2.7720420236719803E-2</c:v>
                      </c:pt>
                      <c:pt idx="1">
                        <c:v>5.5440840473439605E-2</c:v>
                      </c:pt>
                      <c:pt idx="2">
                        <c:v>8.3161260710159404E-2</c:v>
                      </c:pt>
                      <c:pt idx="3">
                        <c:v>0.11088168094687921</c:v>
                      </c:pt>
                      <c:pt idx="4">
                        <c:v>0.138602101183599</c:v>
                      </c:pt>
                      <c:pt idx="5">
                        <c:v>0.16632252142031881</c:v>
                      </c:pt>
                      <c:pt idx="6">
                        <c:v>0.19404294165703861</c:v>
                      </c:pt>
                      <c:pt idx="7">
                        <c:v>0.22176336189375842</c:v>
                      </c:pt>
                      <c:pt idx="8">
                        <c:v>0.24948378213047823</c:v>
                      </c:pt>
                      <c:pt idx="9">
                        <c:v>0.277204202367198</c:v>
                      </c:pt>
                      <c:pt idx="10">
                        <c:v>0.30492462260391778</c:v>
                      </c:pt>
                      <c:pt idx="11">
                        <c:v>0.33264504284063756</c:v>
                      </c:pt>
                      <c:pt idx="12">
                        <c:v>0.36036546307735734</c:v>
                      </c:pt>
                      <c:pt idx="13">
                        <c:v>0.38808588331407712</c:v>
                      </c:pt>
                      <c:pt idx="14">
                        <c:v>0.4158063035507969</c:v>
                      </c:pt>
                      <c:pt idx="15">
                        <c:v>0.44352672378751667</c:v>
                      </c:pt>
                      <c:pt idx="16">
                        <c:v>0.47124714402423645</c:v>
                      </c:pt>
                      <c:pt idx="17">
                        <c:v>0.49896756426095623</c:v>
                      </c:pt>
                      <c:pt idx="18">
                        <c:v>0.52668798449767606</c:v>
                      </c:pt>
                      <c:pt idx="19">
                        <c:v>0.5544084047343959</c:v>
                      </c:pt>
                      <c:pt idx="20">
                        <c:v>0.58212882497111573</c:v>
                      </c:pt>
                      <c:pt idx="21">
                        <c:v>0.60984924520783557</c:v>
                      </c:pt>
                      <c:pt idx="22">
                        <c:v>0.6375696654445554</c:v>
                      </c:pt>
                      <c:pt idx="23">
                        <c:v>0.66529008568127523</c:v>
                      </c:pt>
                      <c:pt idx="24">
                        <c:v>0.69301050591799507</c:v>
                      </c:pt>
                      <c:pt idx="25">
                        <c:v>0.7207309261547149</c:v>
                      </c:pt>
                      <c:pt idx="26">
                        <c:v>0.74845134639143474</c:v>
                      </c:pt>
                      <c:pt idx="27">
                        <c:v>0.77617176662815457</c:v>
                      </c:pt>
                      <c:pt idx="28">
                        <c:v>0.8038921868648744</c:v>
                      </c:pt>
                      <c:pt idx="29">
                        <c:v>0.83161260710159424</c:v>
                      </c:pt>
                      <c:pt idx="30">
                        <c:v>0.85933302733831407</c:v>
                      </c:pt>
                      <c:pt idx="31">
                        <c:v>0.8870534475750339</c:v>
                      </c:pt>
                      <c:pt idx="32">
                        <c:v>0.91477386781175374</c:v>
                      </c:pt>
                      <c:pt idx="33">
                        <c:v>0.94249428804847357</c:v>
                      </c:pt>
                      <c:pt idx="34">
                        <c:v>0.97021470828519341</c:v>
                      </c:pt>
                      <c:pt idx="35">
                        <c:v>0.99793512852191324</c:v>
                      </c:pt>
                      <c:pt idx="36">
                        <c:v>1.025655548758633</c:v>
                      </c:pt>
                      <c:pt idx="37">
                        <c:v>1.0533759689953528</c:v>
                      </c:pt>
                      <c:pt idx="38">
                        <c:v>1.0810963892320726</c:v>
                      </c:pt>
                      <c:pt idx="39">
                        <c:v>1.1088168094687925</c:v>
                      </c:pt>
                      <c:pt idx="40">
                        <c:v>1.1365372297055123</c:v>
                      </c:pt>
                      <c:pt idx="41">
                        <c:v>1.1642576499422321</c:v>
                      </c:pt>
                      <c:pt idx="42">
                        <c:v>1.191978070178952</c:v>
                      </c:pt>
                      <c:pt idx="43">
                        <c:v>1.2196984904156718</c:v>
                      </c:pt>
                      <c:pt idx="44">
                        <c:v>1.2474189106523916</c:v>
                      </c:pt>
                      <c:pt idx="45">
                        <c:v>1.2751393308891115</c:v>
                      </c:pt>
                      <c:pt idx="46">
                        <c:v>1.3028597511258313</c:v>
                      </c:pt>
                      <c:pt idx="47">
                        <c:v>1.3305801713625511</c:v>
                      </c:pt>
                      <c:pt idx="48">
                        <c:v>1.358300591599271</c:v>
                      </c:pt>
                      <c:pt idx="49">
                        <c:v>1.3860210118359908</c:v>
                      </c:pt>
                      <c:pt idx="50">
                        <c:v>1.4137414320727106</c:v>
                      </c:pt>
                      <c:pt idx="51">
                        <c:v>1.4414618523094305</c:v>
                      </c:pt>
                    </c:numCache>
                  </c:numRef>
                </c:val>
                <c:smooth val="0"/>
                <c:extLst xmlns:c15="http://schemas.microsoft.com/office/drawing/2012/chart">
                  <c:ext xmlns:c16="http://schemas.microsoft.com/office/drawing/2014/chart" uri="{C3380CC4-5D6E-409C-BE32-E72D297353CC}">
                    <c16:uniqueId val="{00000009-3694-4BEF-8555-D9C952F931B5}"/>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'OZL Summary'!$BX$6:$BX$7</c15:sqref>
                        </c15:formulaRef>
                      </c:ext>
                    </c:extLst>
                    <c:strCache>
                      <c:ptCount val="2"/>
                      <c:pt idx="0">
                        <c:v>99th Percentile</c:v>
                      </c:pt>
                    </c:strCache>
                  </c:strRef>
                </c:tx>
                <c:spPr>
                  <a:ln w="28575">
                    <a:solidFill>
                      <a:schemeClr val="accent1"/>
                    </a:solidFill>
                    <a:prstDash val="sysDot"/>
                  </a:ln>
                </c:spPr>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Summary'!$BX$8:$BX$60</c15:sqref>
                        </c15:formulaRef>
                      </c:ext>
                    </c:extLst>
                    <c:numCache>
                      <c:formatCode>0.000</c:formatCode>
                      <c:ptCount val="53"/>
                      <c:pt idx="0">
                        <c:v>3.2006943607976859E-2</c:v>
                      </c:pt>
                      <c:pt idx="1">
                        <c:v>6.4013887215953719E-2</c:v>
                      </c:pt>
                      <c:pt idx="2">
                        <c:v>9.6020830823930578E-2</c:v>
                      </c:pt>
                      <c:pt idx="3">
                        <c:v>0.12802777443190744</c:v>
                      </c:pt>
                      <c:pt idx="4">
                        <c:v>0.16003471803988428</c:v>
                      </c:pt>
                      <c:pt idx="5">
                        <c:v>0.19204166164786113</c:v>
                      </c:pt>
                      <c:pt idx="6">
                        <c:v>0.22404860525583797</c:v>
                      </c:pt>
                      <c:pt idx="7">
                        <c:v>0.25605554886381482</c:v>
                      </c:pt>
                      <c:pt idx="8">
                        <c:v>0.28806249247179166</c:v>
                      </c:pt>
                      <c:pt idx="9">
                        <c:v>0.32006943607976851</c:v>
                      </c:pt>
                      <c:pt idx="10">
                        <c:v>0.35207637968774536</c:v>
                      </c:pt>
                      <c:pt idx="11">
                        <c:v>0.3840833232957222</c:v>
                      </c:pt>
                      <c:pt idx="12">
                        <c:v>0.41609026690369905</c:v>
                      </c:pt>
                      <c:pt idx="13">
                        <c:v>0.44809721051167589</c:v>
                      </c:pt>
                      <c:pt idx="14">
                        <c:v>0.48010415411965274</c:v>
                      </c:pt>
                      <c:pt idx="15">
                        <c:v>0.51211109772762964</c:v>
                      </c:pt>
                      <c:pt idx="16">
                        <c:v>0.54411804133560648</c:v>
                      </c:pt>
                      <c:pt idx="17">
                        <c:v>0.57612498494358333</c:v>
                      </c:pt>
                      <c:pt idx="18">
                        <c:v>0.60813192855156017</c:v>
                      </c:pt>
                      <c:pt idx="19">
                        <c:v>0.64013887215953702</c:v>
                      </c:pt>
                      <c:pt idx="20">
                        <c:v>0.67214581576751387</c:v>
                      </c:pt>
                      <c:pt idx="21">
                        <c:v>0.70415275937549071</c:v>
                      </c:pt>
                      <c:pt idx="22">
                        <c:v>0.73615970298346756</c:v>
                      </c:pt>
                      <c:pt idx="23">
                        <c:v>0.7681666465914444</c:v>
                      </c:pt>
                      <c:pt idx="24">
                        <c:v>0.80017359019942125</c:v>
                      </c:pt>
                      <c:pt idx="25">
                        <c:v>0.83218053380739809</c:v>
                      </c:pt>
                      <c:pt idx="26">
                        <c:v>0.86418747741537494</c:v>
                      </c:pt>
                      <c:pt idx="27">
                        <c:v>0.89619442102335178</c:v>
                      </c:pt>
                      <c:pt idx="28">
                        <c:v>0.92820136463132863</c:v>
                      </c:pt>
                      <c:pt idx="29">
                        <c:v>0.96020830823930547</c:v>
                      </c:pt>
                      <c:pt idx="30">
                        <c:v>0.99221525184728232</c:v>
                      </c:pt>
                      <c:pt idx="31">
                        <c:v>1.0242221954552593</c:v>
                      </c:pt>
                      <c:pt idx="32">
                        <c:v>1.0562291390632361</c:v>
                      </c:pt>
                      <c:pt idx="33">
                        <c:v>1.088236082671213</c:v>
                      </c:pt>
                      <c:pt idx="34">
                        <c:v>1.1202430262791898</c:v>
                      </c:pt>
                      <c:pt idx="35">
                        <c:v>1.1522499698871667</c:v>
                      </c:pt>
                      <c:pt idx="36">
                        <c:v>1.1842569134951435</c:v>
                      </c:pt>
                      <c:pt idx="37">
                        <c:v>1.2162638571031203</c:v>
                      </c:pt>
                      <c:pt idx="38">
                        <c:v>1.2482708007110972</c:v>
                      </c:pt>
                      <c:pt idx="39">
                        <c:v>1.280277744319074</c:v>
                      </c:pt>
                      <c:pt idx="40">
                        <c:v>1.3122846879270509</c:v>
                      </c:pt>
                      <c:pt idx="41">
                        <c:v>1.3442916315350277</c:v>
                      </c:pt>
                      <c:pt idx="42">
                        <c:v>1.3762985751430046</c:v>
                      </c:pt>
                      <c:pt idx="43">
                        <c:v>1.4083055187509814</c:v>
                      </c:pt>
                      <c:pt idx="44">
                        <c:v>1.4403124623589583</c:v>
                      </c:pt>
                      <c:pt idx="45">
                        <c:v>1.4723194059669351</c:v>
                      </c:pt>
                      <c:pt idx="46">
                        <c:v>1.504326349574912</c:v>
                      </c:pt>
                      <c:pt idx="47">
                        <c:v>1.5363332931828888</c:v>
                      </c:pt>
                      <c:pt idx="48">
                        <c:v>1.5683402367908656</c:v>
                      </c:pt>
                      <c:pt idx="49">
                        <c:v>1.6003471803988425</c:v>
                      </c:pt>
                      <c:pt idx="50">
                        <c:v>1.6323541240068193</c:v>
                      </c:pt>
                      <c:pt idx="51">
                        <c:v>1.6643610676147962</c:v>
                      </c:pt>
                    </c:numCache>
                  </c:numRef>
                </c:val>
                <c:smooth val="0"/>
                <c:extLst xmlns:c15="http://schemas.microsoft.com/office/drawing/2012/chart">
                  <c:ext xmlns:c16="http://schemas.microsoft.com/office/drawing/2014/chart" uri="{C3380CC4-5D6E-409C-BE32-E72D297353CC}">
                    <c16:uniqueId val="{0000000A-3694-4BEF-8555-D9C952F931B5}"/>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'OZL Summary'!$BY$6:$BY$7</c15:sqref>
                        </c15:formulaRef>
                      </c:ext>
                    </c:extLst>
                    <c:strCache>
                      <c:ptCount val="2"/>
                      <c:pt idx="0">
                        <c:v>Max</c:v>
                      </c:pt>
                    </c:strCache>
                  </c:strRef>
                </c:tx>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Summary'!$BY$8:$BY$60</c15:sqref>
                        </c15:formulaRef>
                      </c:ext>
                    </c:extLst>
                    <c:numCache>
                      <c:formatCode>0.000</c:formatCode>
                      <c:ptCount val="53"/>
                      <c:pt idx="0">
                        <c:v>3.9503586953510528E-2</c:v>
                      </c:pt>
                      <c:pt idx="1">
                        <c:v>7.9007173907021055E-2</c:v>
                      </c:pt>
                      <c:pt idx="2">
                        <c:v>0.11851076086053158</c:v>
                      </c:pt>
                      <c:pt idx="3">
                        <c:v>0.15801434781404211</c:v>
                      </c:pt>
                      <c:pt idx="4">
                        <c:v>0.19751793476755264</c:v>
                      </c:pt>
                      <c:pt idx="5">
                        <c:v>0.23702152172106317</c:v>
                      </c:pt>
                      <c:pt idx="6">
                        <c:v>0.27652510867457369</c:v>
                      </c:pt>
                      <c:pt idx="7">
                        <c:v>0.31602869562808422</c:v>
                      </c:pt>
                      <c:pt idx="8">
                        <c:v>0.35553228258159475</c:v>
                      </c:pt>
                      <c:pt idx="9">
                        <c:v>0.39503586953510528</c:v>
                      </c:pt>
                      <c:pt idx="10">
                        <c:v>0.43453945648861581</c:v>
                      </c:pt>
                      <c:pt idx="11">
                        <c:v>0.47404304344212633</c:v>
                      </c:pt>
                      <c:pt idx="12">
                        <c:v>0.51354663039563686</c:v>
                      </c:pt>
                      <c:pt idx="13">
                        <c:v>0.55305021734914739</c:v>
                      </c:pt>
                      <c:pt idx="14">
                        <c:v>0.59255380430265792</c:v>
                      </c:pt>
                      <c:pt idx="15">
                        <c:v>0.63205739125616844</c:v>
                      </c:pt>
                      <c:pt idx="16">
                        <c:v>0.67156097820967897</c:v>
                      </c:pt>
                      <c:pt idx="17">
                        <c:v>0.7110645651631895</c:v>
                      </c:pt>
                      <c:pt idx="18">
                        <c:v>0.75056815211670003</c:v>
                      </c:pt>
                      <c:pt idx="19">
                        <c:v>0.79007173907021055</c:v>
                      </c:pt>
                      <c:pt idx="20">
                        <c:v>0.82957532602372108</c:v>
                      </c:pt>
                      <c:pt idx="21">
                        <c:v>0.86907891297723161</c:v>
                      </c:pt>
                      <c:pt idx="22">
                        <c:v>0.90858249993074214</c:v>
                      </c:pt>
                      <c:pt idx="23">
                        <c:v>0.94808608688425267</c:v>
                      </c:pt>
                      <c:pt idx="24">
                        <c:v>0.98758967383776319</c:v>
                      </c:pt>
                      <c:pt idx="25">
                        <c:v>1.0270932607912737</c:v>
                      </c:pt>
                      <c:pt idx="26">
                        <c:v>1.0665968477447842</c:v>
                      </c:pt>
                      <c:pt idx="27">
                        <c:v>1.1061004346982948</c:v>
                      </c:pt>
                      <c:pt idx="28">
                        <c:v>1.1456040216518053</c:v>
                      </c:pt>
                      <c:pt idx="29">
                        <c:v>1.1851076086053158</c:v>
                      </c:pt>
                      <c:pt idx="30">
                        <c:v>1.2246111955588264</c:v>
                      </c:pt>
                      <c:pt idx="31">
                        <c:v>1.2641147825123369</c:v>
                      </c:pt>
                      <c:pt idx="32">
                        <c:v>1.3036183694658474</c:v>
                      </c:pt>
                      <c:pt idx="33">
                        <c:v>1.3431219564193579</c:v>
                      </c:pt>
                      <c:pt idx="34">
                        <c:v>1.3826255433728685</c:v>
                      </c:pt>
                      <c:pt idx="35">
                        <c:v>1.422129130326379</c:v>
                      </c:pt>
                      <c:pt idx="36">
                        <c:v>1.4616327172798895</c:v>
                      </c:pt>
                      <c:pt idx="37">
                        <c:v>1.5011363042334001</c:v>
                      </c:pt>
                      <c:pt idx="38">
                        <c:v>1.5406398911869106</c:v>
                      </c:pt>
                      <c:pt idx="39">
                        <c:v>1.5801434781404211</c:v>
                      </c:pt>
                      <c:pt idx="40">
                        <c:v>1.6196470650939316</c:v>
                      </c:pt>
                      <c:pt idx="41">
                        <c:v>1.6591506520474422</c:v>
                      </c:pt>
                      <c:pt idx="42">
                        <c:v>1.6986542390009527</c:v>
                      </c:pt>
                      <c:pt idx="43">
                        <c:v>1.7381578259544632</c:v>
                      </c:pt>
                      <c:pt idx="44">
                        <c:v>1.7776614129079737</c:v>
                      </c:pt>
                      <c:pt idx="45">
                        <c:v>1.8171649998614843</c:v>
                      </c:pt>
                      <c:pt idx="46">
                        <c:v>1.8566685868149948</c:v>
                      </c:pt>
                      <c:pt idx="47">
                        <c:v>1.8961721737685053</c:v>
                      </c:pt>
                      <c:pt idx="48">
                        <c:v>1.9356757607220159</c:v>
                      </c:pt>
                      <c:pt idx="49">
                        <c:v>1.9751793476755264</c:v>
                      </c:pt>
                      <c:pt idx="50">
                        <c:v>2.0146829346290369</c:v>
                      </c:pt>
                      <c:pt idx="51">
                        <c:v>2.0541865215825474</c:v>
                      </c:pt>
                    </c:numCache>
                  </c:numRef>
                </c:val>
                <c:smooth val="0"/>
                <c:extLst xmlns:c15="http://schemas.microsoft.com/office/drawing/2012/chart">
                  <c:ext xmlns:c16="http://schemas.microsoft.com/office/drawing/2014/chart" uri="{C3380CC4-5D6E-409C-BE32-E72D297353CC}">
                    <c16:uniqueId val="{0000000B-3694-4BEF-8555-D9C952F931B5}"/>
                  </c:ext>
                </c:extLst>
              </c15:ser>
            </c15:filteredLineSeries>
          </c:ext>
        </c:extLst>
      </c:lineChart>
      <c:dateAx>
        <c:axId val="1388952432"/>
        <c:scaling>
          <c:orientation val="minMax"/>
        </c:scaling>
        <c:delete val="0"/>
        <c:axPos val="b"/>
        <c:numFmt formatCode="mmm\-yy" sourceLinked="0"/>
        <c:majorTickMark val="none"/>
        <c:minorTickMark val="none"/>
        <c:tickLblPos val="nextTo"/>
        <c:spPr>
          <a:noFill/>
          <a:ln w="9525" cap="flat" cmpd="sng" algn="ctr">
            <a:noFill/>
            <a:round/>
          </a:ln>
          <a:effectLst/>
        </c:spPr>
        <c:txPr>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3088"/>
        <c:crosses val="autoZero"/>
        <c:auto val="1"/>
        <c:lblOffset val="100"/>
        <c:baseTimeUnit val="days"/>
        <c:majorUnit val="1"/>
        <c:majorTimeUnit val="months"/>
      </c:dateAx>
      <c:valAx>
        <c:axId val="13889530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2432"/>
        <c:crosses val="autoZero"/>
        <c:crossBetween val="between"/>
      </c:valAx>
    </c:plotArea>
    <c:legend>
      <c:legendPos val="b"/>
      <c:legendEntry>
        <c:idx val="1"/>
        <c:delete val="1"/>
      </c:legendEntry>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orientation="portrait"/>
  </c:printSettings>
</c:chartSpace>
</file>

<file path=xl/charts/chart1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'OZL Summary'!$AU$35</c:f>
              <c:strCache>
                <c:ptCount val="1"/>
                <c:pt idx="0">
                  <c:v>Delete</c:v>
                </c:pt>
              </c:strCache>
            </c:strRef>
          </c:tx>
          <c:spPr>
            <a:noFill/>
          </c:spPr>
          <c:invertIfNegative val="0"/>
          <c:cat>
            <c:strRef>
              <c:extLst>
                <c:ext xmlns:c15="http://schemas.microsoft.com/office/drawing/2012/chart" uri="{02D57815-91ED-43cb-92C2-25804820EDAC}">
                  <c15:fullRef>
                    <c15:sqref>'OZL Summary'!$AV$9:$BB$9</c15:sqref>
                  </c15:fullRef>
                </c:ext>
              </c:extLst>
              <c:f>'OZL Summary'!$AV$9:$BA$9</c:f>
              <c:strCache>
                <c:ptCount val="6"/>
                <c:pt idx="0">
                  <c:v>FY18</c:v>
                </c:pt>
                <c:pt idx="1">
                  <c:v>FY19</c:v>
                </c:pt>
                <c:pt idx="2">
                  <c:v>FY20</c:v>
                </c:pt>
                <c:pt idx="3">
                  <c:v>FY21</c:v>
                </c:pt>
                <c:pt idx="4">
                  <c:v>FY22</c:v>
                </c:pt>
                <c:pt idx="5">
                  <c:v>FY23e</c:v>
                </c:pt>
              </c:strCache>
            </c:strRef>
          </c:cat>
          <c:val>
            <c:numRef>
              <c:extLst>
                <c:ext xmlns:c15="http://schemas.microsoft.com/office/drawing/2012/chart" uri="{02D57815-91ED-43cb-92C2-25804820EDAC}">
                  <c15:fullRef>
                    <c15:sqref>'OZL Summary'!$AV$35:$BB$35</c15:sqref>
                  </c15:fullRef>
                </c:ext>
              </c:extLst>
              <c:f>'OZL Summary'!$AV$35:$BA$35</c:f>
              <c:numCache>
                <c:formatCode>0.0000</c:formatCode>
                <c:ptCount val="6"/>
                <c:pt idx="0">
                  <c:v>0.76174137554958854</c:v>
                </c:pt>
                <c:pt idx="1">
                  <c:v>0.71872871646197445</c:v>
                </c:pt>
                <c:pt idx="2">
                  <c:v>0.76805370043418086</c:v>
                </c:pt>
                <c:pt idx="3">
                  <c:v>0.90189161627526415</c:v>
                </c:pt>
                <c:pt idx="4">
                  <c:v>0.83367465348844649</c:v>
                </c:pt>
                <c:pt idx="5">
                  <c:v>0.97380588396585999</c:v>
                </c:pt>
              </c:numCache>
            </c:numRef>
          </c:val>
          <c:extLst>
            <c:ext xmlns:c16="http://schemas.microsoft.com/office/drawing/2014/chart" uri="{C3380CC4-5D6E-409C-BE32-E72D297353CC}">
              <c16:uniqueId val="{00000000-CDEF-451A-A94C-9B6286C0E200}"/>
            </c:ext>
          </c:extLst>
        </c:ser>
        <c:ser>
          <c:idx val="6"/>
          <c:order val="1"/>
          <c:tx>
            <c:strRef>
              <c:f>'OZL Summary'!$AU$36</c:f>
              <c:strCache>
                <c:ptCount val="1"/>
                <c:pt idx="0">
                  <c:v>Min to 5th Percentile</c:v>
                </c:pt>
              </c:strCache>
            </c:strRef>
          </c:tx>
          <c:spPr>
            <a:noFill/>
          </c:spPr>
          <c:invertIfNegative val="0"/>
          <c:cat>
            <c:strRef>
              <c:extLst>
                <c:ext xmlns:c15="http://schemas.microsoft.com/office/drawing/2012/chart" uri="{02D57815-91ED-43cb-92C2-25804820EDAC}">
                  <c15:fullRef>
                    <c15:sqref>'OZL Summary'!$AV$9:$BB$9</c15:sqref>
                  </c15:fullRef>
                </c:ext>
              </c:extLst>
              <c:f>'OZL Summary'!$AV$9:$BA$9</c:f>
              <c:strCache>
                <c:ptCount val="6"/>
                <c:pt idx="0">
                  <c:v>FY18</c:v>
                </c:pt>
                <c:pt idx="1">
                  <c:v>FY19</c:v>
                </c:pt>
                <c:pt idx="2">
                  <c:v>FY20</c:v>
                </c:pt>
                <c:pt idx="3">
                  <c:v>FY21</c:v>
                </c:pt>
                <c:pt idx="4">
                  <c:v>FY22</c:v>
                </c:pt>
                <c:pt idx="5">
                  <c:v>FY23e</c:v>
                </c:pt>
              </c:strCache>
            </c:strRef>
          </c:cat>
          <c:val>
            <c:numRef>
              <c:extLst>
                <c:ext xmlns:c15="http://schemas.microsoft.com/office/drawing/2012/chart" uri="{02D57815-91ED-43cb-92C2-25804820EDAC}">
                  <c15:fullRef>
                    <c15:sqref>'OZL Summary'!$AV$36:$BB$36</c15:sqref>
                  </c15:fullRef>
                </c:ext>
              </c:extLst>
              <c:f>'OZL Summary'!$AV$36:$BA$36</c:f>
              <c:numCache>
                <c:formatCode>0.0000</c:formatCode>
                <c:ptCount val="6"/>
                <c:pt idx="0">
                  <c:v>0.15948032521748401</c:v>
                </c:pt>
                <c:pt idx="1">
                  <c:v>0.14077698804332384</c:v>
                </c:pt>
                <c:pt idx="2">
                  <c:v>0.14639246001383122</c:v>
                </c:pt>
                <c:pt idx="3">
                  <c:v>0.15367455947218311</c:v>
                </c:pt>
                <c:pt idx="4">
                  <c:v>0.17739920989443214</c:v>
                </c:pt>
                <c:pt idx="5">
                  <c:v>0.19244025299021927</c:v>
                </c:pt>
              </c:numCache>
            </c:numRef>
          </c:val>
          <c:extLst>
            <c:ext xmlns:c16="http://schemas.microsoft.com/office/drawing/2014/chart" uri="{C3380CC4-5D6E-409C-BE32-E72D297353CC}">
              <c16:uniqueId val="{00000001-CDEF-451A-A94C-9B6286C0E200}"/>
            </c:ext>
          </c:extLst>
        </c:ser>
        <c:ser>
          <c:idx val="8"/>
          <c:order val="2"/>
          <c:tx>
            <c:v>5th to 95th percentile</c:v>
          </c:tx>
          <c:spPr>
            <a:solidFill>
              <a:schemeClr val="bg1">
                <a:lumMod val="85000"/>
              </a:schemeClr>
            </a:solidFill>
          </c:spPr>
          <c:invertIfNegative val="0"/>
          <c:cat>
            <c:strRef>
              <c:extLst>
                <c:ext xmlns:c15="http://schemas.microsoft.com/office/drawing/2012/chart" uri="{02D57815-91ED-43cb-92C2-25804820EDAC}">
                  <c15:fullRef>
                    <c15:sqref>'OZL Summary'!$AV$9:$BB$9</c15:sqref>
                  </c15:fullRef>
                </c:ext>
              </c:extLst>
              <c:f>'OZL Summary'!$AV$9:$BA$9</c:f>
              <c:strCache>
                <c:ptCount val="6"/>
                <c:pt idx="0">
                  <c:v>FY18</c:v>
                </c:pt>
                <c:pt idx="1">
                  <c:v>FY19</c:v>
                </c:pt>
                <c:pt idx="2">
                  <c:v>FY20</c:v>
                </c:pt>
                <c:pt idx="3">
                  <c:v>FY21</c:v>
                </c:pt>
                <c:pt idx="4">
                  <c:v>FY22</c:v>
                </c:pt>
                <c:pt idx="5">
                  <c:v>FY23e</c:v>
                </c:pt>
              </c:strCache>
            </c:strRef>
          </c:cat>
          <c:val>
            <c:numRef>
              <c:extLst>
                <c:ext xmlns:c15="http://schemas.microsoft.com/office/drawing/2012/chart" uri="{02D57815-91ED-43cb-92C2-25804820EDAC}">
                  <c15:fullRef>
                    <c15:sqref>'OZL Summary'!$AV$37:$BB$37</c15:sqref>
                  </c15:fullRef>
                </c:ext>
              </c:extLst>
              <c:f>'OZL Summary'!$AV$37:$BA$37</c:f>
              <c:numCache>
                <c:formatCode>0.0000</c:formatCode>
                <c:ptCount val="6"/>
                <c:pt idx="0">
                  <c:v>9.9903886222913907E-2</c:v>
                </c:pt>
                <c:pt idx="1">
                  <c:v>9.1422518042371226E-2</c:v>
                </c:pt>
                <c:pt idx="2">
                  <c:v>8.558899365793593E-2</c:v>
                </c:pt>
                <c:pt idx="3">
                  <c:v>9.9761151835173756E-2</c:v>
                </c:pt>
                <c:pt idx="4">
                  <c:v>0.11264371812232965</c:v>
                </c:pt>
                <c:pt idx="5">
                  <c:v>0.15366082768637801</c:v>
                </c:pt>
              </c:numCache>
            </c:numRef>
          </c:val>
          <c:extLst>
            <c:ext xmlns:c16="http://schemas.microsoft.com/office/drawing/2014/chart" uri="{C3380CC4-5D6E-409C-BE32-E72D297353CC}">
              <c16:uniqueId val="{00000002-CDEF-451A-A94C-9B6286C0E200}"/>
            </c:ext>
          </c:extLst>
        </c:ser>
        <c:ser>
          <c:idx val="1"/>
          <c:order val="3"/>
          <c:tx>
            <c:strRef>
              <c:f>'OZL Summary'!$AU$38</c:f>
              <c:strCache>
                <c:ptCount val="1"/>
                <c:pt idx="0">
                  <c:v>25th to 75th Percentile</c:v>
                </c:pt>
              </c:strCache>
            </c:strRef>
          </c:tx>
          <c:spPr>
            <a:solidFill>
              <a:schemeClr val="bg2">
                <a:lumMod val="40000"/>
                <a:lumOff val="60000"/>
              </a:schemeClr>
            </a:solidFill>
          </c:spPr>
          <c:invertIfNegative val="0"/>
          <c:cat>
            <c:strRef>
              <c:extLst>
                <c:ext xmlns:c15="http://schemas.microsoft.com/office/drawing/2012/chart" uri="{02D57815-91ED-43cb-92C2-25804820EDAC}">
                  <c15:fullRef>
                    <c15:sqref>'OZL Summary'!$AV$9:$BB$9</c15:sqref>
                  </c15:fullRef>
                </c:ext>
              </c:extLst>
              <c:f>'OZL Summary'!$AV$9:$BA$9</c:f>
              <c:strCache>
                <c:ptCount val="6"/>
                <c:pt idx="0">
                  <c:v>FY18</c:v>
                </c:pt>
                <c:pt idx="1">
                  <c:v>FY19</c:v>
                </c:pt>
                <c:pt idx="2">
                  <c:v>FY20</c:v>
                </c:pt>
                <c:pt idx="3">
                  <c:v>FY21</c:v>
                </c:pt>
                <c:pt idx="4">
                  <c:v>FY22</c:v>
                </c:pt>
                <c:pt idx="5">
                  <c:v>FY23e</c:v>
                </c:pt>
              </c:strCache>
            </c:strRef>
          </c:cat>
          <c:val>
            <c:numRef>
              <c:extLst>
                <c:ext xmlns:c15="http://schemas.microsoft.com/office/drawing/2012/chart" uri="{02D57815-91ED-43cb-92C2-25804820EDAC}">
                  <c15:fullRef>
                    <c15:sqref>'OZL Summary'!$AV$38:$BB$38</c15:sqref>
                  </c15:fullRef>
                </c:ext>
              </c:extLst>
              <c:f>'OZL Summary'!$AV$38:$BA$38</c:f>
              <c:numCache>
                <c:formatCode>0.0000</c:formatCode>
                <c:ptCount val="6"/>
                <c:pt idx="0">
                  <c:v>0.19267649666427378</c:v>
                </c:pt>
                <c:pt idx="1">
                  <c:v>0.16283776369781211</c:v>
                </c:pt>
                <c:pt idx="2">
                  <c:v>0.16245939450841829</c:v>
                </c:pt>
                <c:pt idx="3">
                  <c:v>0.18268252175515731</c:v>
                </c:pt>
                <c:pt idx="4">
                  <c:v>0.2043926291599385</c:v>
                </c:pt>
                <c:pt idx="5">
                  <c:v>0.27707676534095316</c:v>
                </c:pt>
              </c:numCache>
            </c:numRef>
          </c:val>
          <c:extLst>
            <c:ext xmlns:c16="http://schemas.microsoft.com/office/drawing/2014/chart" uri="{C3380CC4-5D6E-409C-BE32-E72D297353CC}">
              <c16:uniqueId val="{00000003-CDEF-451A-A94C-9B6286C0E200}"/>
            </c:ext>
          </c:extLst>
        </c:ser>
        <c:ser>
          <c:idx val="2"/>
          <c:order val="4"/>
          <c:tx>
            <c:strRef>
              <c:f>'OZL Summary'!$AU$39</c:f>
              <c:strCache>
                <c:ptCount val="1"/>
                <c:pt idx="0">
                  <c:v>75th to 95th Percentile</c:v>
                </c:pt>
              </c:strCache>
            </c:strRef>
          </c:tx>
          <c:spPr>
            <a:solidFill>
              <a:schemeClr val="bg1">
                <a:lumMod val="85000"/>
              </a:schemeClr>
            </a:solidFill>
            <a:ln w="19050">
              <a:noFill/>
            </a:ln>
          </c:spPr>
          <c:invertIfNegative val="0"/>
          <c:cat>
            <c:strRef>
              <c:extLst>
                <c:ext xmlns:c15="http://schemas.microsoft.com/office/drawing/2012/chart" uri="{02D57815-91ED-43cb-92C2-25804820EDAC}">
                  <c15:fullRef>
                    <c15:sqref>'OZL Summary'!$AV$9:$BB$9</c15:sqref>
                  </c15:fullRef>
                </c:ext>
              </c:extLst>
              <c:f>'OZL Summary'!$AV$9:$BA$9</c:f>
              <c:strCache>
                <c:ptCount val="6"/>
                <c:pt idx="0">
                  <c:v>FY18</c:v>
                </c:pt>
                <c:pt idx="1">
                  <c:v>FY19</c:v>
                </c:pt>
                <c:pt idx="2">
                  <c:v>FY20</c:v>
                </c:pt>
                <c:pt idx="3">
                  <c:v>FY21</c:v>
                </c:pt>
                <c:pt idx="4">
                  <c:v>FY22</c:v>
                </c:pt>
                <c:pt idx="5">
                  <c:v>FY23e</c:v>
                </c:pt>
              </c:strCache>
            </c:strRef>
          </c:cat>
          <c:val>
            <c:numRef>
              <c:extLst>
                <c:ext xmlns:c15="http://schemas.microsoft.com/office/drawing/2012/chart" uri="{02D57815-91ED-43cb-92C2-25804820EDAC}">
                  <c15:fullRef>
                    <c15:sqref>'OZL Summary'!$AV$39:$BB$39</c15:sqref>
                  </c15:fullRef>
                </c:ext>
              </c:extLst>
              <c:f>'OZL Summary'!$AV$39:$BA$39</c:f>
              <c:numCache>
                <c:formatCode>0.0000</c:formatCode>
                <c:ptCount val="6"/>
                <c:pt idx="0">
                  <c:v>0.17901908097471653</c:v>
                </c:pt>
                <c:pt idx="1">
                  <c:v>0.1599011797819252</c:v>
                </c:pt>
                <c:pt idx="2">
                  <c:v>0.14349100196326336</c:v>
                </c:pt>
                <c:pt idx="3">
                  <c:v>0.17120772999244105</c:v>
                </c:pt>
                <c:pt idx="4">
                  <c:v>0.1864553403734317</c:v>
                </c:pt>
                <c:pt idx="5">
                  <c:v>0.2538507008590476</c:v>
                </c:pt>
              </c:numCache>
            </c:numRef>
          </c:val>
          <c:extLst>
            <c:ext xmlns:c16="http://schemas.microsoft.com/office/drawing/2014/chart" uri="{C3380CC4-5D6E-409C-BE32-E72D297353CC}">
              <c16:uniqueId val="{00000004-CDEF-451A-A94C-9B6286C0E200}"/>
            </c:ext>
          </c:extLst>
        </c:ser>
        <c:ser>
          <c:idx val="4"/>
          <c:order val="5"/>
          <c:tx>
            <c:strRef>
              <c:f>'OZL Summary'!$AU$40</c:f>
              <c:strCache>
                <c:ptCount val="1"/>
                <c:pt idx="0">
                  <c:v>95th Percentile to Max</c:v>
                </c:pt>
              </c:strCache>
            </c:strRef>
          </c:tx>
          <c:spPr>
            <a:noFill/>
            <a:ln w="19050">
              <a:noFill/>
            </a:ln>
          </c:spPr>
          <c:invertIfNegative val="0"/>
          <c:cat>
            <c:strRef>
              <c:extLst>
                <c:ext xmlns:c15="http://schemas.microsoft.com/office/drawing/2012/chart" uri="{02D57815-91ED-43cb-92C2-25804820EDAC}">
                  <c15:fullRef>
                    <c15:sqref>'OZL Summary'!$AV$9:$BB$9</c15:sqref>
                  </c15:fullRef>
                </c:ext>
              </c:extLst>
              <c:f>'OZL Summary'!$AV$9:$BA$9</c:f>
              <c:strCache>
                <c:ptCount val="6"/>
                <c:pt idx="0">
                  <c:v>FY18</c:v>
                </c:pt>
                <c:pt idx="1">
                  <c:v>FY19</c:v>
                </c:pt>
                <c:pt idx="2">
                  <c:v>FY20</c:v>
                </c:pt>
                <c:pt idx="3">
                  <c:v>FY21</c:v>
                </c:pt>
                <c:pt idx="4">
                  <c:v>FY22</c:v>
                </c:pt>
                <c:pt idx="5">
                  <c:v>FY23e</c:v>
                </c:pt>
              </c:strCache>
            </c:strRef>
          </c:cat>
          <c:val>
            <c:numRef>
              <c:extLst>
                <c:ext xmlns:c15="http://schemas.microsoft.com/office/drawing/2012/chart" uri="{02D57815-91ED-43cb-92C2-25804820EDAC}">
                  <c15:fullRef>
                    <c15:sqref>'OZL Summary'!$AV$40:$BB$40</c15:sqref>
                  </c15:fullRef>
                </c:ext>
              </c:extLst>
              <c:f>'OZL Summary'!$AV$40:$BA$40</c:f>
              <c:numCache>
                <c:formatCode>0.0000</c:formatCode>
                <c:ptCount val="6"/>
                <c:pt idx="0">
                  <c:v>0.43596418486710631</c:v>
                </c:pt>
                <c:pt idx="1">
                  <c:v>0.48858819941143383</c:v>
                </c:pt>
                <c:pt idx="2">
                  <c:v>0.34072685698909888</c:v>
                </c:pt>
                <c:pt idx="3">
                  <c:v>0.4013026160746942</c:v>
                </c:pt>
                <c:pt idx="4">
                  <c:v>0.53962097054396896</c:v>
                </c:pt>
                <c:pt idx="5">
                  <c:v>0.69941576722402576</c:v>
                </c:pt>
              </c:numCache>
            </c:numRef>
          </c:val>
          <c:extLst>
            <c:ext xmlns:c16="http://schemas.microsoft.com/office/drawing/2014/chart" uri="{C3380CC4-5D6E-409C-BE32-E72D297353CC}">
              <c16:uniqueId val="{00000005-CDEF-451A-A94C-9B6286C0E200}"/>
            </c:ext>
          </c:extLst>
        </c:ser>
        <c:dLbls>
          <c:showLegendKey val="0"/>
          <c:showVal val="0"/>
          <c:showCatName val="0"/>
          <c:showSerName val="0"/>
          <c:showPercent val="0"/>
          <c:showBubbleSize val="0"/>
        </c:dLbls>
        <c:gapWidth val="150"/>
        <c:overlap val="100"/>
        <c:axId val="1019316528"/>
        <c:axId val="1019315544"/>
      </c:barChart>
      <c:lineChart>
        <c:grouping val="standard"/>
        <c:varyColors val="0"/>
        <c:ser>
          <c:idx val="3"/>
          <c:order val="6"/>
          <c:tx>
            <c:strRef>
              <c:f>'OZL Summary'!$AU$12</c:f>
              <c:strCache>
                <c:ptCount val="1"/>
                <c:pt idx="0">
                  <c:v>Actual</c:v>
                </c:pt>
              </c:strCache>
            </c:strRef>
          </c:tx>
          <c:spPr>
            <a:ln>
              <a:noFill/>
            </a:ln>
          </c:spPr>
          <c:marker>
            <c:symbol val="circle"/>
            <c:size val="12"/>
            <c:spPr>
              <a:solidFill>
                <a:schemeClr val="tx2"/>
              </a:solidFill>
              <a:ln w="19050">
                <a:solidFill>
                  <a:schemeClr val="bg1"/>
                </a:solidFill>
              </a:ln>
            </c:spPr>
          </c:marker>
          <c:dPt>
            <c:idx val="4"/>
            <c:bubble3D val="0"/>
            <c:extLst>
              <c:ext xmlns:c16="http://schemas.microsoft.com/office/drawing/2014/chart" uri="{C3380CC4-5D6E-409C-BE32-E72D297353CC}">
                <c16:uniqueId val="{00000006-CDEF-451A-A94C-9B6286C0E200}"/>
              </c:ext>
            </c:extLst>
          </c:dPt>
          <c:cat>
            <c:strRef>
              <c:extLst>
                <c:ext xmlns:c15="http://schemas.microsoft.com/office/drawing/2012/chart" uri="{02D57815-91ED-43cb-92C2-25804820EDAC}">
                  <c15:fullRef>
                    <c15:sqref>'OZL Summary'!$AV$9:$BB$9</c15:sqref>
                  </c15:fullRef>
                </c:ext>
              </c:extLst>
              <c:f>'OZL Summary'!$AV$9:$BA$9</c:f>
              <c:strCache>
                <c:ptCount val="6"/>
                <c:pt idx="0">
                  <c:v>FY18</c:v>
                </c:pt>
                <c:pt idx="1">
                  <c:v>FY19</c:v>
                </c:pt>
                <c:pt idx="2">
                  <c:v>FY20</c:v>
                </c:pt>
                <c:pt idx="3">
                  <c:v>FY21</c:v>
                </c:pt>
                <c:pt idx="4">
                  <c:v>FY22</c:v>
                </c:pt>
                <c:pt idx="5">
                  <c:v>FY23e</c:v>
                </c:pt>
              </c:strCache>
            </c:strRef>
          </c:cat>
          <c:val>
            <c:numRef>
              <c:extLst>
                <c:ext xmlns:c15="http://schemas.microsoft.com/office/drawing/2012/chart" uri="{02D57815-91ED-43cb-92C2-25804820EDAC}">
                  <c15:fullRef>
                    <c15:sqref>'OZL Summary'!$AV$12:$BB$12</c15:sqref>
                  </c15:fullRef>
                </c:ext>
              </c:extLst>
              <c:f>'OZL Summary'!$AV$12:$BA$12</c:f>
              <c:numCache>
                <c:formatCode>_(* #,##0.00_);_(* \(#,##0.00\);_(* "-"??_);_(@_)</c:formatCode>
                <c:ptCount val="6"/>
                <c:pt idx="0">
                  <c:v>1.1195470419479998</c:v>
                </c:pt>
                <c:pt idx="1">
                  <c:v>1.3802681923667999</c:v>
                </c:pt>
                <c:pt idx="2">
                  <c:v>1.0467730088028</c:v>
                </c:pt>
                <c:pt idx="3">
                  <c:v>1.1024372392524002</c:v>
                </c:pt>
                <c:pt idx="4">
                  <c:v>1.1194431701510998</c:v>
                </c:pt>
              </c:numCache>
            </c:numRef>
          </c:val>
          <c:smooth val="0"/>
          <c:extLst>
            <c:ext xmlns:c16="http://schemas.microsoft.com/office/drawing/2014/chart" uri="{C3380CC4-5D6E-409C-BE32-E72D297353CC}">
              <c16:uniqueId val="{00000007-CDEF-451A-A94C-9B6286C0E200}"/>
            </c:ext>
          </c:extLst>
        </c:ser>
        <c:ser>
          <c:idx val="9"/>
          <c:order val="9"/>
          <c:tx>
            <c:v>E&amp;Pe</c:v>
          </c:tx>
          <c:spPr>
            <a:ln w="19050">
              <a:noFill/>
            </a:ln>
          </c:spPr>
          <c:marker>
            <c:symbol val="diamond"/>
            <c:size val="12"/>
            <c:spPr>
              <a:solidFill>
                <a:schemeClr val="accent1"/>
              </a:solidFill>
              <a:ln w="19050">
                <a:solidFill>
                  <a:schemeClr val="bg1"/>
                </a:solidFill>
              </a:ln>
            </c:spPr>
          </c:marker>
          <c:cat>
            <c:strLit>
              <c:ptCount val="6"/>
              <c:pt idx="0">
                <c:v>FY18</c:v>
              </c:pt>
              <c:pt idx="1">
                <c:v>FY19</c:v>
              </c:pt>
              <c:pt idx="2">
                <c:v>FY20</c:v>
              </c:pt>
              <c:pt idx="3">
                <c:v>FY21</c:v>
              </c:pt>
              <c:pt idx="4">
                <c:v>FY22</c:v>
              </c:pt>
              <c:pt idx="5">
                <c:v>FY23e</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'OZL Summary'!$AV$15:$BB$15</c15:sqref>
                  </c15:fullRef>
                </c:ext>
              </c:extLst>
              <c:f>'OZL Summary'!$AV$15:$BA$15</c:f>
              <c:numCache>
                <c:formatCode>General</c:formatCode>
                <c:ptCount val="6"/>
                <c:pt idx="5" formatCode="0.0000">
                  <c:v>1.4468290112147775</c:v>
                </c:pt>
              </c:numCache>
            </c:numRef>
          </c:val>
          <c:smooth val="0"/>
          <c:extLst>
            <c:ext xmlns:c16="http://schemas.microsoft.com/office/drawing/2014/chart" uri="{C3380CC4-5D6E-409C-BE32-E72D297353CC}">
              <c16:uniqueId val="{00000008-CDEF-451A-A94C-9B6286C0E200}"/>
            </c:ext>
          </c:extLst>
        </c:ser>
        <c:dLbls>
          <c:showLegendKey val="0"/>
          <c:showVal val="0"/>
          <c:showCatName val="0"/>
          <c:showSerName val="0"/>
          <c:showPercent val="0"/>
          <c:showBubbleSize val="0"/>
        </c:dLbls>
        <c:marker val="1"/>
        <c:smooth val="0"/>
        <c:axId val="1019316528"/>
        <c:axId val="1019315544"/>
        <c:extLst>
          <c:ext xmlns:c15="http://schemas.microsoft.com/office/drawing/2012/chart" uri="{02D57815-91ED-43cb-92C2-25804820EDAC}">
            <c15:filteredLineSeries>
              <c15:ser>
                <c:idx val="5"/>
                <c:order val="7"/>
                <c:tx>
                  <c:strRef>
                    <c:extLst>
                      <c:ext uri="{02D57815-91ED-43cb-92C2-25804820EDAC}">
                        <c15:formulaRef>
                          <c15:sqref>'OZL Summary'!$AU$13</c15:sqref>
                        </c15:formulaRef>
                      </c:ext>
                    </c:extLst>
                    <c:strCache>
                      <c:ptCount val="1"/>
                      <c:pt idx="0">
                        <c:v>Actual ytd Standardised</c:v>
                      </c:pt>
                    </c:strCache>
                  </c:strRef>
                </c:tx>
                <c:marker>
                  <c:symbol val="none"/>
                </c:marker>
                <c:cat>
                  <c:strRef>
                    <c:extLst>
                      <c:ext uri="{02D57815-91ED-43cb-92C2-25804820EDAC}">
                        <c15:fullRef>
                          <c15:sqref>'OZL Summary'!$AV$9:$BB$9</c15:sqref>
                        </c15:fullRef>
                        <c15:formulaRef>
                          <c15:sqref>'OZL Summary'!$AV$9:$BA$9</c15:sqref>
                        </c15:formulaRef>
                      </c:ext>
                    </c:extLst>
                    <c:strCache>
                      <c:ptCount val="6"/>
                      <c:pt idx="0">
                        <c:v>FY18</c:v>
                      </c:pt>
                      <c:pt idx="1">
                        <c:v>FY19</c:v>
                      </c:pt>
                      <c:pt idx="2">
                        <c:v>FY20</c:v>
                      </c:pt>
                      <c:pt idx="3">
                        <c:v>FY21</c:v>
                      </c:pt>
                      <c:pt idx="4">
                        <c:v>FY22</c:v>
                      </c:pt>
                      <c:pt idx="5">
                        <c:v>FY23e</c:v>
                      </c:pt>
                      <c:pt idx="6">
                        <c:v>FY22 ytd</c:v>
                      </c:pt>
                    </c:strCache>
                  </c:strRef>
                </c:cat>
                <c:val>
                  <c:numRef>
                    <c:extLst>
                      <c:ext uri="{02D57815-91ED-43cb-92C2-25804820EDAC}">
                        <c15:fullRef>
                          <c15:sqref>'OZL Summary'!$AV$13:$AZ$13</c15:sqref>
                        </c15:fullRef>
                        <c15:formulaRef>
                          <c15:sqref>'OZL Summary'!$AV$13:$AZ$13</c15:sqref>
                        </c15:formulaRef>
                      </c:ext>
                    </c:extLst>
                    <c:numCache>
                      <c:formatCode>_(* #,##0.00_);_(* \(#,##0.00\);_(* "-"??_);_(@_)</c:formatCode>
                      <c:ptCount val="5"/>
                      <c:pt idx="4">
                        <c:v>1.1194431701510998</c:v>
                      </c:pt>
                    </c:numCache>
                  </c:numRef>
                </c:val>
                <c:smooth val="0"/>
                <c:extLst>
                  <c:ext xmlns:c16="http://schemas.microsoft.com/office/drawing/2014/chart" uri="{C3380CC4-5D6E-409C-BE32-E72D297353CC}">
                    <c16:uniqueId val="{00000009-CDEF-451A-A94C-9B6286C0E200}"/>
                  </c:ext>
                </c:extLst>
              </c15:ser>
            </c15:filteredLineSeries>
            <c15:filteredLineSeries>
              <c15:ser>
                <c:idx val="7"/>
                <c:order val="8"/>
                <c:tx>
                  <c:strRef>
                    <c:extLst xmlns:c15="http://schemas.microsoft.com/office/drawing/2012/chart">
                      <c:ext xmlns:c15="http://schemas.microsoft.com/office/drawing/2012/chart" uri="{02D57815-91ED-43cb-92C2-25804820EDAC}">
                        <c15:formulaRef>
                          <c15:sqref>'OZL Summary'!$AU$14</c15:sqref>
                        </c15:formulaRef>
                      </c:ext>
                    </c:extLst>
                    <c:strCache>
                      <c:ptCount val="1"/>
                      <c:pt idx="0">
                        <c:v>Actual ytd + 50th percentile</c:v>
                      </c:pt>
                    </c:strCache>
                  </c:strRef>
                </c:tx>
                <c:marker>
                  <c:symbol val="none"/>
                </c:marker>
                <c:cat>
                  <c:strRef>
                    <c:extLst>
                      <c:ext xmlns:c15="http://schemas.microsoft.com/office/drawing/2012/chart" uri="{02D57815-91ED-43cb-92C2-25804820EDAC}">
                        <c15:fullRef>
                          <c15:sqref>'OZL Summary'!$AV$9:$BB$9</c15:sqref>
                        </c15:fullRef>
                        <c15:formulaRef>
                          <c15:sqref>'OZL Summary'!$AV$9:$BA$9</c15:sqref>
                        </c15:formulaRef>
                      </c:ext>
                    </c:extLst>
                    <c:strCache>
                      <c:ptCount val="6"/>
                      <c:pt idx="0">
                        <c:v>FY18</c:v>
                      </c:pt>
                      <c:pt idx="1">
                        <c:v>FY19</c:v>
                      </c:pt>
                      <c:pt idx="2">
                        <c:v>FY20</c:v>
                      </c:pt>
                      <c:pt idx="3">
                        <c:v>FY21</c:v>
                      </c:pt>
                      <c:pt idx="4">
                        <c:v>FY22</c:v>
                      </c:pt>
                      <c:pt idx="5">
                        <c:v>FY23e</c:v>
                      </c:pt>
                      <c:pt idx="6">
                        <c:v>FY22 ytd</c:v>
                      </c:pt>
                    </c:strCache>
                  </c:strRef>
                </c:cat>
                <c:val>
                  <c:numRef>
                    <c:extLst>
                      <c:ext xmlns:c15="http://schemas.microsoft.com/office/drawing/2012/chart" uri="{02D57815-91ED-43cb-92C2-25804820EDAC}">
                        <c15:fullRef>
                          <c15:sqref>'OZL Summary'!$AV$14:$AZ$14</c15:sqref>
                        </c15:fullRef>
                        <c15:formulaRef>
                          <c15:sqref>'OZL Summary'!$AV$14:$AZ$14</c15:sqref>
                        </c15:formulaRef>
                      </c:ext>
                    </c:extLst>
                    <c:numCache>
                      <c:formatCode>General</c:formatCode>
                      <c:ptCount val="5"/>
                      <c:pt idx="4" formatCode="_(* #,##0.00_);_(* \(#,##0.00\);_(* &quot;-&quot;??_);_(@_)">
                        <c:v>1.2951044059712997</c:v>
                      </c:pt>
                    </c:numCache>
                  </c:numRef>
                </c:val>
                <c:smooth val="0"/>
                <c:extLst xmlns:c15="http://schemas.microsoft.com/office/drawing/2012/chart">
                  <c:ext xmlns:c16="http://schemas.microsoft.com/office/drawing/2014/chart" uri="{C3380CC4-5D6E-409C-BE32-E72D297353CC}">
                    <c16:uniqueId val="{0000000A-CDEF-451A-A94C-9B6286C0E200}"/>
                  </c:ext>
                </c:extLst>
              </c15:ser>
            </c15:filteredLineSeries>
          </c:ext>
        </c:extLst>
      </c:lineChart>
      <c:catAx>
        <c:axId val="101931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1019315544"/>
        <c:crosses val="autoZero"/>
        <c:auto val="1"/>
        <c:lblAlgn val="ctr"/>
        <c:lblOffset val="100"/>
        <c:noMultiLvlLbl val="0"/>
      </c:catAx>
      <c:valAx>
        <c:axId val="1019315544"/>
        <c:scaling>
          <c:orientation val="minMax"/>
          <c:max val="2"/>
          <c:min val="0.5"/>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vert="horz"/>
          <a:lstStyle/>
          <a:p>
            <a:pPr>
              <a:defRPr/>
            </a:pPr>
            <a:endParaRPr lang="en-US"/>
          </a:p>
        </c:txPr>
        <c:crossAx val="1019316528"/>
        <c:crosses val="autoZero"/>
        <c:crossBetween val="between"/>
      </c:valAx>
    </c:plotArea>
    <c:legend>
      <c:legendPos val="b"/>
      <c:legendEntry>
        <c:idx val="0"/>
        <c:delete val="1"/>
      </c:legendEntry>
      <c:legendEntry>
        <c:idx val="1"/>
        <c:delete val="1"/>
      </c:legendEntry>
      <c:legendEntry>
        <c:idx val="4"/>
        <c:delete val="1"/>
      </c:legendEntry>
      <c:legendEntry>
        <c:idx val="5"/>
        <c:delete val="1"/>
      </c:legendEntry>
      <c:overlay val="0"/>
    </c:legend>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orientation="portrait"/>
  </c:printSettings>
</c:chartSpace>
</file>

<file path=xl/charts/chart1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'OZL Summary'!$AD$6</c:f>
              <c:strCache>
                <c:ptCount val="1"/>
                <c:pt idx="0">
                  <c:v>FY18</c:v>
                </c:pt>
              </c:strCache>
            </c:strRef>
          </c:tx>
          <c:spPr>
            <a:ln w="28575" cap="rnd">
              <a:solidFill>
                <a:schemeClr val="bg1">
                  <a:lumMod val="75000"/>
                </a:schemeClr>
              </a:solidFill>
              <a:round/>
            </a:ln>
            <a:effectLst/>
          </c:spPr>
          <c:marker>
            <c:symbol val="none"/>
          </c:marker>
          <c:cat>
            <c:numRef>
              <c:f>'OZL Summary'!$AC$7:$AC$60</c:f>
              <c:numCache>
                <c:formatCode>General</c:formatCode>
                <c:ptCount val="5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numCache>
            </c:numRef>
          </c:cat>
          <c:val>
            <c:numRef>
              <c:f>'OZL Summary'!$AD$7:$AD$60</c:f>
              <c:numCache>
                <c:formatCode>_-* #,##0.000_-;\-* #,##0.000_-;_-* "-"??_-;_-@_-</c:formatCode>
                <c:ptCount val="54"/>
                <c:pt idx="0" formatCode="0.000">
                  <c:v>0</c:v>
                </c:pt>
                <c:pt idx="1">
                  <c:v>4.1865866715599998E-2</c:v>
                </c:pt>
                <c:pt idx="2">
                  <c:v>9.2468276110799996E-2</c:v>
                </c:pt>
                <c:pt idx="3">
                  <c:v>0.17050162431239999</c:v>
                </c:pt>
                <c:pt idx="4">
                  <c:v>0.18218560762799998</c:v>
                </c:pt>
                <c:pt idx="5">
                  <c:v>0.19622206621079999</c:v>
                </c:pt>
                <c:pt idx="6">
                  <c:v>0.206705392524</c:v>
                </c:pt>
                <c:pt idx="7">
                  <c:v>0.22251225534479999</c:v>
                </c:pt>
                <c:pt idx="8">
                  <c:v>0.24197346529559999</c:v>
                </c:pt>
                <c:pt idx="9">
                  <c:v>0.26554203590039999</c:v>
                </c:pt>
                <c:pt idx="10">
                  <c:v>0.30560372205479996</c:v>
                </c:pt>
                <c:pt idx="11">
                  <c:v>0.31474615115879995</c:v>
                </c:pt>
                <c:pt idx="12">
                  <c:v>0.32586301175039994</c:v>
                </c:pt>
                <c:pt idx="13">
                  <c:v>0.34525005072119991</c:v>
                </c:pt>
                <c:pt idx="14">
                  <c:v>0.36818554348439991</c:v>
                </c:pt>
                <c:pt idx="15">
                  <c:v>0.37907703840599988</c:v>
                </c:pt>
                <c:pt idx="16">
                  <c:v>0.39079274407919989</c:v>
                </c:pt>
                <c:pt idx="17">
                  <c:v>0.4074880611311999</c:v>
                </c:pt>
                <c:pt idx="18">
                  <c:v>0.42965856581759987</c:v>
                </c:pt>
                <c:pt idx="19">
                  <c:v>0.4716976502987999</c:v>
                </c:pt>
                <c:pt idx="20">
                  <c:v>0.52751667588119988</c:v>
                </c:pt>
                <c:pt idx="21">
                  <c:v>0.53745775527599982</c:v>
                </c:pt>
                <c:pt idx="22">
                  <c:v>0.5541113083607998</c:v>
                </c:pt>
                <c:pt idx="23">
                  <c:v>0.57557684640959983</c:v>
                </c:pt>
                <c:pt idx="24">
                  <c:v>0.60107546002319978</c:v>
                </c:pt>
                <c:pt idx="25">
                  <c:v>0.62906359405319978</c:v>
                </c:pt>
                <c:pt idx="26">
                  <c:v>0.6607169155871998</c:v>
                </c:pt>
                <c:pt idx="27">
                  <c:v>0.71433089498879976</c:v>
                </c:pt>
                <c:pt idx="28">
                  <c:v>0.72382888835999981</c:v>
                </c:pt>
                <c:pt idx="29">
                  <c:v>0.73498682826359973</c:v>
                </c:pt>
                <c:pt idx="30">
                  <c:v>0.74900423060999977</c:v>
                </c:pt>
                <c:pt idx="31">
                  <c:v>0.77073724062359972</c:v>
                </c:pt>
                <c:pt idx="32">
                  <c:v>0.78072316493399974</c:v>
                </c:pt>
                <c:pt idx="33">
                  <c:v>0.79333816521239975</c:v>
                </c:pt>
                <c:pt idx="34">
                  <c:v>0.8178297651359997</c:v>
                </c:pt>
                <c:pt idx="35">
                  <c:v>0.8417582361575997</c:v>
                </c:pt>
                <c:pt idx="36">
                  <c:v>0.87944485342319967</c:v>
                </c:pt>
                <c:pt idx="37">
                  <c:v>0.89012752850879973</c:v>
                </c:pt>
                <c:pt idx="38">
                  <c:v>0.90302380796519965</c:v>
                </c:pt>
                <c:pt idx="39">
                  <c:v>0.92330192567879976</c:v>
                </c:pt>
                <c:pt idx="40">
                  <c:v>0.93214002554639974</c:v>
                </c:pt>
                <c:pt idx="41">
                  <c:v>0.94608108883799968</c:v>
                </c:pt>
                <c:pt idx="42">
                  <c:v>0.96821918651159966</c:v>
                </c:pt>
                <c:pt idx="43">
                  <c:v>0.97848524890799959</c:v>
                </c:pt>
                <c:pt idx="44">
                  <c:v>0.99548797614479956</c:v>
                </c:pt>
                <c:pt idx="45">
                  <c:v>1.0121927642603996</c:v>
                </c:pt>
                <c:pt idx="46">
                  <c:v>1.0332556109423996</c:v>
                </c:pt>
                <c:pt idx="47">
                  <c:v>1.0422277891199996</c:v>
                </c:pt>
                <c:pt idx="48">
                  <c:v>1.0548498641687996</c:v>
                </c:pt>
                <c:pt idx="49">
                  <c:v>1.0721666199239996</c:v>
                </c:pt>
                <c:pt idx="50">
                  <c:v>1.0970216576495995</c:v>
                </c:pt>
                <c:pt idx="51">
                  <c:v>1.1065877742131995</c:v>
                </c:pt>
                <c:pt idx="52">
                  <c:v>1.1195470419479998</c:v>
                </c:pt>
              </c:numCache>
            </c:numRef>
          </c:val>
          <c:smooth val="0"/>
          <c:extLst>
            <c:ext xmlns:c16="http://schemas.microsoft.com/office/drawing/2014/chart" uri="{C3380CC4-5D6E-409C-BE32-E72D297353CC}">
              <c16:uniqueId val="{00000000-2A86-48C0-A1FD-8B4C9CD8E4B4}"/>
            </c:ext>
          </c:extLst>
        </c:ser>
        <c:ser>
          <c:idx val="1"/>
          <c:order val="1"/>
          <c:tx>
            <c:strRef>
              <c:f>'OZL Summary'!$AE$6</c:f>
              <c:strCache>
                <c:ptCount val="1"/>
                <c:pt idx="0">
                  <c:v>FY19</c:v>
                </c:pt>
              </c:strCache>
            </c:strRef>
          </c:tx>
          <c:spPr>
            <a:ln w="28575" cap="rnd">
              <a:solidFill>
                <a:schemeClr val="bg1">
                  <a:lumMod val="50000"/>
                </a:schemeClr>
              </a:solidFill>
              <a:round/>
            </a:ln>
            <a:effectLst/>
          </c:spPr>
          <c:marker>
            <c:symbol val="none"/>
          </c:marker>
          <c:cat>
            <c:numRef>
              <c:f>'OZL Summary'!$AC$7:$AC$60</c:f>
              <c:numCache>
                <c:formatCode>General</c:formatCode>
                <c:ptCount val="5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numCache>
            </c:numRef>
          </c:cat>
          <c:val>
            <c:numRef>
              <c:f>'OZL Summary'!$AE$7:$AE$60</c:f>
              <c:numCache>
                <c:formatCode>_-* #,##0.000_-;\-* #,##0.000_-;_-* "-"??_-;_-@_-</c:formatCode>
                <c:ptCount val="54"/>
                <c:pt idx="0" formatCode="0.000">
                  <c:v>0</c:v>
                </c:pt>
                <c:pt idx="1">
                  <c:v>1.8046255870799999E-2</c:v>
                </c:pt>
                <c:pt idx="2">
                  <c:v>3.9156686089199998E-2</c:v>
                </c:pt>
                <c:pt idx="3">
                  <c:v>7.2989607452400004E-2</c:v>
                </c:pt>
                <c:pt idx="4">
                  <c:v>0.1138105762236</c:v>
                </c:pt>
                <c:pt idx="5">
                  <c:v>0.16491871759320001</c:v>
                </c:pt>
                <c:pt idx="6">
                  <c:v>0.249567660774</c:v>
                </c:pt>
                <c:pt idx="7">
                  <c:v>0.26071304866560002</c:v>
                </c:pt>
                <c:pt idx="8">
                  <c:v>0.27667806683759999</c:v>
                </c:pt>
                <c:pt idx="9">
                  <c:v>0.30000940441559998</c:v>
                </c:pt>
                <c:pt idx="10">
                  <c:v>0.32356736286479998</c:v>
                </c:pt>
                <c:pt idx="11">
                  <c:v>0.36099198540719996</c:v>
                </c:pt>
                <c:pt idx="12">
                  <c:v>0.37042881624719998</c:v>
                </c:pt>
                <c:pt idx="13">
                  <c:v>0.38485838102399994</c:v>
                </c:pt>
                <c:pt idx="14">
                  <c:v>0.40465450147679993</c:v>
                </c:pt>
                <c:pt idx="15">
                  <c:v>0.41403827153879991</c:v>
                </c:pt>
                <c:pt idx="16">
                  <c:v>0.42646533396479991</c:v>
                </c:pt>
                <c:pt idx="17">
                  <c:v>0.44495273600279989</c:v>
                </c:pt>
                <c:pt idx="18">
                  <c:v>0.46498209566039983</c:v>
                </c:pt>
                <c:pt idx="19">
                  <c:v>0.47493766692359984</c:v>
                </c:pt>
                <c:pt idx="20">
                  <c:v>0.48971070039239983</c:v>
                </c:pt>
                <c:pt idx="21">
                  <c:v>0.51235361716679984</c:v>
                </c:pt>
                <c:pt idx="22">
                  <c:v>0.52414805818799981</c:v>
                </c:pt>
                <c:pt idx="23">
                  <c:v>0.53353764781919988</c:v>
                </c:pt>
                <c:pt idx="24">
                  <c:v>0.54216430333919985</c:v>
                </c:pt>
                <c:pt idx="25">
                  <c:v>0.55393443910079987</c:v>
                </c:pt>
                <c:pt idx="26">
                  <c:v>0.56990379342239983</c:v>
                </c:pt>
                <c:pt idx="27">
                  <c:v>0.5783201456867999</c:v>
                </c:pt>
                <c:pt idx="28">
                  <c:v>0.58951585573559984</c:v>
                </c:pt>
                <c:pt idx="29">
                  <c:v>0.6051757459067999</c:v>
                </c:pt>
                <c:pt idx="30">
                  <c:v>0.63210083862959998</c:v>
                </c:pt>
                <c:pt idx="31">
                  <c:v>0.66280351641839996</c:v>
                </c:pt>
                <c:pt idx="32">
                  <c:v>0.67393794982679989</c:v>
                </c:pt>
                <c:pt idx="33">
                  <c:v>0.68737647620159981</c:v>
                </c:pt>
                <c:pt idx="34">
                  <c:v>0.70257011618159981</c:v>
                </c:pt>
                <c:pt idx="35">
                  <c:v>0.7218676935395999</c:v>
                </c:pt>
                <c:pt idx="36">
                  <c:v>0.75228361490879991</c:v>
                </c:pt>
                <c:pt idx="37">
                  <c:v>0.79527402779039991</c:v>
                </c:pt>
                <c:pt idx="38">
                  <c:v>0.85210303390199993</c:v>
                </c:pt>
                <c:pt idx="39">
                  <c:v>0.93403697688719989</c:v>
                </c:pt>
                <c:pt idx="40">
                  <c:v>0.94515908650199987</c:v>
                </c:pt>
                <c:pt idx="41">
                  <c:v>0.95825950731719978</c:v>
                </c:pt>
                <c:pt idx="42">
                  <c:v>0.98010605598479983</c:v>
                </c:pt>
                <c:pt idx="43">
                  <c:v>1.0045153831751998</c:v>
                </c:pt>
                <c:pt idx="44">
                  <c:v>1.0132552350216</c:v>
                </c:pt>
                <c:pt idx="45">
                  <c:v>1.0250197794323999</c:v>
                </c:pt>
                <c:pt idx="46">
                  <c:v>1.0428277752935999</c:v>
                </c:pt>
                <c:pt idx="47">
                  <c:v>1.0656557771903998</c:v>
                </c:pt>
                <c:pt idx="48">
                  <c:v>1.1026852395732001</c:v>
                </c:pt>
                <c:pt idx="49">
                  <c:v>1.1475832159512001</c:v>
                </c:pt>
                <c:pt idx="50">
                  <c:v>1.1994928603416</c:v>
                </c:pt>
                <c:pt idx="51">
                  <c:v>1.276863119982</c:v>
                </c:pt>
                <c:pt idx="52">
                  <c:v>1.3802681923667999</c:v>
                </c:pt>
              </c:numCache>
            </c:numRef>
          </c:val>
          <c:smooth val="0"/>
          <c:extLst>
            <c:ext xmlns:c16="http://schemas.microsoft.com/office/drawing/2014/chart" uri="{C3380CC4-5D6E-409C-BE32-E72D297353CC}">
              <c16:uniqueId val="{00000001-2A86-48C0-A1FD-8B4C9CD8E4B4}"/>
            </c:ext>
          </c:extLst>
        </c:ser>
        <c:ser>
          <c:idx val="2"/>
          <c:order val="2"/>
          <c:tx>
            <c:strRef>
              <c:f>'OZL Summary'!$AF$6</c:f>
              <c:strCache>
                <c:ptCount val="1"/>
                <c:pt idx="0">
                  <c:v>FY20</c:v>
                </c:pt>
              </c:strCache>
            </c:strRef>
          </c:tx>
          <c:spPr>
            <a:ln w="28575" cap="rnd">
              <a:solidFill>
                <a:schemeClr val="tx2">
                  <a:lumMod val="20000"/>
                  <a:lumOff val="80000"/>
                </a:schemeClr>
              </a:solidFill>
              <a:round/>
            </a:ln>
            <a:effectLst/>
          </c:spPr>
          <c:marker>
            <c:symbol val="none"/>
          </c:marker>
          <c:cat>
            <c:numRef>
              <c:f>'OZL Summary'!$AC$7:$AC$60</c:f>
              <c:numCache>
                <c:formatCode>General</c:formatCode>
                <c:ptCount val="5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numCache>
            </c:numRef>
          </c:cat>
          <c:val>
            <c:numRef>
              <c:f>'OZL Summary'!$AF$7:$AF$60</c:f>
              <c:numCache>
                <c:formatCode>_-* #,##0.000_-;\-* #,##0.000_-;_-* "-"??_-;_-@_-</c:formatCode>
                <c:ptCount val="54"/>
                <c:pt idx="0" formatCode="0.000">
                  <c:v>0</c:v>
                </c:pt>
                <c:pt idx="1">
                  <c:v>9.8744396219999989E-3</c:v>
                </c:pt>
                <c:pt idx="2">
                  <c:v>2.2080700746E-2</c:v>
                </c:pt>
                <c:pt idx="3">
                  <c:v>4.0729453192799997E-2</c:v>
                </c:pt>
                <c:pt idx="4">
                  <c:v>6.8186180678400002E-2</c:v>
                </c:pt>
                <c:pt idx="5">
                  <c:v>0.10528102763279998</c:v>
                </c:pt>
                <c:pt idx="6">
                  <c:v>0.15115338246959997</c:v>
                </c:pt>
                <c:pt idx="7">
                  <c:v>0.16385544806759994</c:v>
                </c:pt>
                <c:pt idx="8">
                  <c:v>0.17701223882759995</c:v>
                </c:pt>
                <c:pt idx="9">
                  <c:v>0.19517808113999993</c:v>
                </c:pt>
                <c:pt idx="10">
                  <c:v>0.20624678764919993</c:v>
                </c:pt>
                <c:pt idx="11">
                  <c:v>0.21933796561919994</c:v>
                </c:pt>
                <c:pt idx="12">
                  <c:v>0.23574207599279995</c:v>
                </c:pt>
                <c:pt idx="13">
                  <c:v>0.26336494647359993</c:v>
                </c:pt>
                <c:pt idx="14">
                  <c:v>0.30404454167159994</c:v>
                </c:pt>
                <c:pt idx="15">
                  <c:v>0.34759087578359993</c:v>
                </c:pt>
                <c:pt idx="16">
                  <c:v>0.40667310387359989</c:v>
                </c:pt>
                <c:pt idx="17">
                  <c:v>0.41804425206719986</c:v>
                </c:pt>
                <c:pt idx="18">
                  <c:v>0.43163578426319987</c:v>
                </c:pt>
                <c:pt idx="19">
                  <c:v>0.44924121155159985</c:v>
                </c:pt>
                <c:pt idx="20">
                  <c:v>0.45865648264319986</c:v>
                </c:pt>
                <c:pt idx="21">
                  <c:v>0.47142939074039986</c:v>
                </c:pt>
                <c:pt idx="22">
                  <c:v>0.48320691457679982</c:v>
                </c:pt>
                <c:pt idx="23">
                  <c:v>0.4970837964023998</c:v>
                </c:pt>
                <c:pt idx="24">
                  <c:v>0.51712425325799982</c:v>
                </c:pt>
                <c:pt idx="25">
                  <c:v>0.53876061831239974</c:v>
                </c:pt>
                <c:pt idx="26">
                  <c:v>0.56593493106119974</c:v>
                </c:pt>
                <c:pt idx="27">
                  <c:v>0.57956100921719977</c:v>
                </c:pt>
                <c:pt idx="28">
                  <c:v>0.59448624577559983</c:v>
                </c:pt>
                <c:pt idx="29">
                  <c:v>0.61592489278559981</c:v>
                </c:pt>
                <c:pt idx="30">
                  <c:v>0.62652152055599986</c:v>
                </c:pt>
                <c:pt idx="31">
                  <c:v>0.63901737005399994</c:v>
                </c:pt>
                <c:pt idx="32">
                  <c:v>0.65936689809839988</c:v>
                </c:pt>
                <c:pt idx="33">
                  <c:v>0.67157958587759981</c:v>
                </c:pt>
                <c:pt idx="34">
                  <c:v>0.68545612224359986</c:v>
                </c:pt>
                <c:pt idx="35">
                  <c:v>0.69467736019319992</c:v>
                </c:pt>
                <c:pt idx="36">
                  <c:v>0.70884995543639984</c:v>
                </c:pt>
                <c:pt idx="37">
                  <c:v>0.72478750377599976</c:v>
                </c:pt>
                <c:pt idx="38">
                  <c:v>0.74574964684439982</c:v>
                </c:pt>
                <c:pt idx="39">
                  <c:v>0.75705227888399984</c:v>
                </c:pt>
                <c:pt idx="40">
                  <c:v>0.77033289743999978</c:v>
                </c:pt>
                <c:pt idx="41">
                  <c:v>0.79173342874079977</c:v>
                </c:pt>
                <c:pt idx="42">
                  <c:v>0.81594208597679974</c:v>
                </c:pt>
                <c:pt idx="43">
                  <c:v>0.82818471358799972</c:v>
                </c:pt>
                <c:pt idx="44">
                  <c:v>0.83860838125199977</c:v>
                </c:pt>
                <c:pt idx="45">
                  <c:v>0.85320047960279977</c:v>
                </c:pt>
                <c:pt idx="46">
                  <c:v>0.87936305633639977</c:v>
                </c:pt>
                <c:pt idx="47">
                  <c:v>0.91026902368439988</c:v>
                </c:pt>
                <c:pt idx="48">
                  <c:v>0.92313750893759994</c:v>
                </c:pt>
                <c:pt idx="49">
                  <c:v>0.9347243390747999</c:v>
                </c:pt>
                <c:pt idx="50">
                  <c:v>0.9509455097459999</c:v>
                </c:pt>
                <c:pt idx="51">
                  <c:v>0.97466937201000003</c:v>
                </c:pt>
                <c:pt idx="52">
                  <c:v>1.0078410937211999</c:v>
                </c:pt>
                <c:pt idx="53">
                  <c:v>1.0467730088028</c:v>
                </c:pt>
              </c:numCache>
            </c:numRef>
          </c:val>
          <c:smooth val="0"/>
          <c:extLst>
            <c:ext xmlns:c16="http://schemas.microsoft.com/office/drawing/2014/chart" uri="{C3380CC4-5D6E-409C-BE32-E72D297353CC}">
              <c16:uniqueId val="{00000002-2A86-48C0-A1FD-8B4C9CD8E4B4}"/>
            </c:ext>
          </c:extLst>
        </c:ser>
        <c:ser>
          <c:idx val="3"/>
          <c:order val="3"/>
          <c:tx>
            <c:strRef>
              <c:f>'OZL Summary'!$AG$6</c:f>
              <c:strCache>
                <c:ptCount val="1"/>
                <c:pt idx="0">
                  <c:v>FY21</c:v>
                </c:pt>
              </c:strCache>
            </c:strRef>
          </c:tx>
          <c:spPr>
            <a:ln w="28575" cap="rnd">
              <a:solidFill>
                <a:schemeClr val="tx2">
                  <a:lumMod val="40000"/>
                  <a:lumOff val="60000"/>
                </a:schemeClr>
              </a:solidFill>
              <a:round/>
            </a:ln>
            <a:effectLst/>
          </c:spPr>
          <c:marker>
            <c:symbol val="none"/>
          </c:marker>
          <c:cat>
            <c:numRef>
              <c:f>'OZL Summary'!$AC$7:$AC$60</c:f>
              <c:numCache>
                <c:formatCode>General</c:formatCode>
                <c:ptCount val="5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numCache>
            </c:numRef>
          </c:cat>
          <c:val>
            <c:numRef>
              <c:f>'OZL Summary'!$AG$7:$AG$60</c:f>
              <c:numCache>
                <c:formatCode>_-* #,##0.000_-;\-* #,##0.000_-;_-* "-"??_-;_-@_-</c:formatCode>
                <c:ptCount val="54"/>
                <c:pt idx="0" formatCode="0.000">
                  <c:v>0</c:v>
                </c:pt>
                <c:pt idx="1">
                  <c:v>6.577873212959999E-2</c:v>
                </c:pt>
                <c:pt idx="2">
                  <c:v>7.9237838145599995E-2</c:v>
                </c:pt>
                <c:pt idx="3">
                  <c:v>9.5214653726399992E-2</c:v>
                </c:pt>
                <c:pt idx="4">
                  <c:v>0.12221692759439999</c:v>
                </c:pt>
                <c:pt idx="5">
                  <c:v>0.134362481058</c:v>
                </c:pt>
                <c:pt idx="6">
                  <c:v>0.15302904508439999</c:v>
                </c:pt>
                <c:pt idx="7">
                  <c:v>0.18299536232040001</c:v>
                </c:pt>
                <c:pt idx="8">
                  <c:v>0.19685485601280001</c:v>
                </c:pt>
                <c:pt idx="9">
                  <c:v>0.21172470388199999</c:v>
                </c:pt>
                <c:pt idx="10">
                  <c:v>0.23446999425239998</c:v>
                </c:pt>
                <c:pt idx="11">
                  <c:v>0.26403845718239999</c:v>
                </c:pt>
                <c:pt idx="12">
                  <c:v>0.27659061659520001</c:v>
                </c:pt>
                <c:pt idx="13">
                  <c:v>0.29648494404000003</c:v>
                </c:pt>
                <c:pt idx="14">
                  <c:v>0.32108040087480005</c:v>
                </c:pt>
                <c:pt idx="15">
                  <c:v>0.3340215477972</c:v>
                </c:pt>
                <c:pt idx="16">
                  <c:v>0.34666306609320002</c:v>
                </c:pt>
                <c:pt idx="17">
                  <c:v>0.36126311001479999</c:v>
                </c:pt>
                <c:pt idx="18">
                  <c:v>0.38231484227280005</c:v>
                </c:pt>
                <c:pt idx="19">
                  <c:v>0.41671306071720005</c:v>
                </c:pt>
                <c:pt idx="20">
                  <c:v>0.46322643218039999</c:v>
                </c:pt>
                <c:pt idx="21">
                  <c:v>0.47600486763120003</c:v>
                </c:pt>
                <c:pt idx="22">
                  <c:v>0.48888763188119999</c:v>
                </c:pt>
                <c:pt idx="23">
                  <c:v>0.5056046522316</c:v>
                </c:pt>
                <c:pt idx="24">
                  <c:v>0.5170673472192</c:v>
                </c:pt>
                <c:pt idx="25">
                  <c:v>0.53222450232240004</c:v>
                </c:pt>
                <c:pt idx="26">
                  <c:v>0.55445528819520007</c:v>
                </c:pt>
                <c:pt idx="27">
                  <c:v>0.56700641122920015</c:v>
                </c:pt>
                <c:pt idx="28">
                  <c:v>0.58385010009960003</c:v>
                </c:pt>
                <c:pt idx="29">
                  <c:v>0.60753342843720004</c:v>
                </c:pt>
                <c:pt idx="30">
                  <c:v>0.64174797752760004</c:v>
                </c:pt>
                <c:pt idx="31">
                  <c:v>0.68425355701800006</c:v>
                </c:pt>
                <c:pt idx="32">
                  <c:v>0.69658646473800001</c:v>
                </c:pt>
                <c:pt idx="33">
                  <c:v>0.710723823102</c:v>
                </c:pt>
                <c:pt idx="34">
                  <c:v>0.73618914720959994</c:v>
                </c:pt>
                <c:pt idx="35">
                  <c:v>0.76795680595319993</c:v>
                </c:pt>
                <c:pt idx="36">
                  <c:v>0.80888628359519998</c:v>
                </c:pt>
                <c:pt idx="37">
                  <c:v>0.82083342809519999</c:v>
                </c:pt>
                <c:pt idx="38">
                  <c:v>0.83646754775279997</c:v>
                </c:pt>
                <c:pt idx="39">
                  <c:v>0.86199862433759999</c:v>
                </c:pt>
                <c:pt idx="40">
                  <c:v>0.89119260906120001</c:v>
                </c:pt>
                <c:pt idx="41">
                  <c:v>0.92705050946880008</c:v>
                </c:pt>
                <c:pt idx="42">
                  <c:v>0.93862075754520014</c:v>
                </c:pt>
                <c:pt idx="43">
                  <c:v>0.95423898606120017</c:v>
                </c:pt>
                <c:pt idx="44">
                  <c:v>0.97812095366880014</c:v>
                </c:pt>
                <c:pt idx="45">
                  <c:v>0.98951939317080007</c:v>
                </c:pt>
                <c:pt idx="46">
                  <c:v>1.0056603020616002</c:v>
                </c:pt>
                <c:pt idx="47">
                  <c:v>1.0166076864792002</c:v>
                </c:pt>
                <c:pt idx="48">
                  <c:v>1.0320049360044001</c:v>
                </c:pt>
                <c:pt idx="49">
                  <c:v>1.0555580260728001</c:v>
                </c:pt>
                <c:pt idx="50">
                  <c:v>1.0676514151368002</c:v>
                </c:pt>
                <c:pt idx="51">
                  <c:v>1.0827075808836002</c:v>
                </c:pt>
                <c:pt idx="52">
                  <c:v>1.1024372392524002</c:v>
                </c:pt>
              </c:numCache>
            </c:numRef>
          </c:val>
          <c:smooth val="0"/>
          <c:extLst xmlns:c15="http://schemas.microsoft.com/office/drawing/2012/chart">
            <c:ext xmlns:c16="http://schemas.microsoft.com/office/drawing/2014/chart" uri="{C3380CC4-5D6E-409C-BE32-E72D297353CC}">
              <c16:uniqueId val="{00000003-2A86-48C0-A1FD-8B4C9CD8E4B4}"/>
            </c:ext>
          </c:extLst>
        </c:ser>
        <c:ser>
          <c:idx val="4"/>
          <c:order val="4"/>
          <c:tx>
            <c:strRef>
              <c:f>'OZL Summary'!$AH$6</c:f>
              <c:strCache>
                <c:ptCount val="1"/>
                <c:pt idx="0">
                  <c:v>FY22</c:v>
                </c:pt>
              </c:strCache>
            </c:strRef>
          </c:tx>
          <c:spPr>
            <a:ln w="28575" cap="rnd">
              <a:solidFill>
                <a:schemeClr val="tx2"/>
              </a:solidFill>
              <a:round/>
            </a:ln>
            <a:effectLst/>
          </c:spPr>
          <c:marker>
            <c:symbol val="none"/>
          </c:marker>
          <c:cat>
            <c:numRef>
              <c:f>'OZL Summary'!$AC$7:$AC$60</c:f>
              <c:numCache>
                <c:formatCode>General</c:formatCode>
                <c:ptCount val="5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numCache>
            </c:numRef>
          </c:cat>
          <c:val>
            <c:numRef>
              <c:f>'OZL Summary'!$AH$7:$AH$60</c:f>
              <c:numCache>
                <c:formatCode>_-* #,##0.000_-;\-* #,##0.000_-;_-* "-"??_-;_-@_-</c:formatCode>
                <c:ptCount val="54"/>
                <c:pt idx="0" formatCode="0.000">
                  <c:v>0</c:v>
                </c:pt>
                <c:pt idx="1">
                  <c:v>3.4282144018799997E-2</c:v>
                </c:pt>
                <c:pt idx="2">
                  <c:v>4.61727482976E-2</c:v>
                </c:pt>
                <c:pt idx="3">
                  <c:v>6.0744925144799997E-2</c:v>
                </c:pt>
                <c:pt idx="4">
                  <c:v>7.9887071887199998E-2</c:v>
                </c:pt>
                <c:pt idx="5">
                  <c:v>9.0591598206000004E-2</c:v>
                </c:pt>
                <c:pt idx="6">
                  <c:v>0.10471594425839999</c:v>
                </c:pt>
                <c:pt idx="7">
                  <c:v>0.13024126318319998</c:v>
                </c:pt>
                <c:pt idx="8">
                  <c:v>0.14299494069599997</c:v>
                </c:pt>
                <c:pt idx="9">
                  <c:v>0.15712274134439999</c:v>
                </c:pt>
                <c:pt idx="10">
                  <c:v>0.18211939192799997</c:v>
                </c:pt>
                <c:pt idx="11">
                  <c:v>0.21562528822559998</c:v>
                </c:pt>
                <c:pt idx="12">
                  <c:v>0.26312805598319994</c:v>
                </c:pt>
                <c:pt idx="13">
                  <c:v>0.27559419595559997</c:v>
                </c:pt>
                <c:pt idx="14">
                  <c:v>0.29338294713839996</c:v>
                </c:pt>
                <c:pt idx="15">
                  <c:v>0.31479798774239992</c:v>
                </c:pt>
                <c:pt idx="16">
                  <c:v>0.34138237064759991</c:v>
                </c:pt>
                <c:pt idx="17">
                  <c:v>0.38401116406199992</c:v>
                </c:pt>
                <c:pt idx="18">
                  <c:v>0.45353502371519994</c:v>
                </c:pt>
                <c:pt idx="19">
                  <c:v>0.46636884785519994</c:v>
                </c:pt>
                <c:pt idx="20">
                  <c:v>0.48057414660719988</c:v>
                </c:pt>
                <c:pt idx="21">
                  <c:v>0.50512031787239997</c:v>
                </c:pt>
                <c:pt idx="22">
                  <c:v>0.53195446806839985</c:v>
                </c:pt>
                <c:pt idx="23">
                  <c:v>0.57374874624239991</c:v>
                </c:pt>
                <c:pt idx="24">
                  <c:v>0.58543426267199994</c:v>
                </c:pt>
                <c:pt idx="25">
                  <c:v>0.59798193110999986</c:v>
                </c:pt>
                <c:pt idx="26">
                  <c:v>0.60953824564919989</c:v>
                </c:pt>
                <c:pt idx="27">
                  <c:v>0.62793005414039982</c:v>
                </c:pt>
                <c:pt idx="28">
                  <c:v>0.66085868744639986</c:v>
                </c:pt>
                <c:pt idx="29">
                  <c:v>0.70280784667439988</c:v>
                </c:pt>
                <c:pt idx="30">
                  <c:v>0.76647478426919979</c:v>
                </c:pt>
                <c:pt idx="31">
                  <c:v>0.77875598820239988</c:v>
                </c:pt>
                <c:pt idx="32">
                  <c:v>0.79341798454559986</c:v>
                </c:pt>
                <c:pt idx="33">
                  <c:v>0.81253514304359986</c:v>
                </c:pt>
                <c:pt idx="34">
                  <c:v>0.82340606573639985</c:v>
                </c:pt>
                <c:pt idx="35">
                  <c:v>0.84006470341439987</c:v>
                </c:pt>
                <c:pt idx="36">
                  <c:v>0.86433934343399987</c:v>
                </c:pt>
                <c:pt idx="37">
                  <c:v>0.87578580182039989</c:v>
                </c:pt>
                <c:pt idx="38">
                  <c:v>0.89565744408479986</c:v>
                </c:pt>
                <c:pt idx="39">
                  <c:v>0.90846581936759985</c:v>
                </c:pt>
                <c:pt idx="40">
                  <c:v>0.91858582836759983</c:v>
                </c:pt>
                <c:pt idx="41">
                  <c:v>0.93370152831879982</c:v>
                </c:pt>
                <c:pt idx="42">
                  <c:v>0.95559030918759991</c:v>
                </c:pt>
                <c:pt idx="43">
                  <c:v>0.98300771034159995</c:v>
                </c:pt>
                <c:pt idx="44">
                  <c:v>0.99330666708999993</c:v>
                </c:pt>
                <c:pt idx="45">
                  <c:v>1.0075762213275998</c:v>
                </c:pt>
                <c:pt idx="46">
                  <c:v>1.0281208537475999</c:v>
                </c:pt>
                <c:pt idx="47">
                  <c:v>1.0382225415931998</c:v>
                </c:pt>
                <c:pt idx="48">
                  <c:v>1.0541579684225999</c:v>
                </c:pt>
                <c:pt idx="49">
                  <c:v>1.0687637971379997</c:v>
                </c:pt>
                <c:pt idx="50">
                  <c:v>1.0815684581785998</c:v>
                </c:pt>
                <c:pt idx="51">
                  <c:v>1.0986668252266998</c:v>
                </c:pt>
                <c:pt idx="52">
                  <c:v>1.1194431701510998</c:v>
                </c:pt>
              </c:numCache>
            </c:numRef>
          </c:val>
          <c:smooth val="0"/>
          <c:extLst xmlns:c15="http://schemas.microsoft.com/office/drawing/2012/chart">
            <c:ext xmlns:c16="http://schemas.microsoft.com/office/drawing/2014/chart" uri="{C3380CC4-5D6E-409C-BE32-E72D297353CC}">
              <c16:uniqueId val="{00000004-2A86-48C0-A1FD-8B4C9CD8E4B4}"/>
            </c:ext>
          </c:extLst>
        </c:ser>
        <c:ser>
          <c:idx val="8"/>
          <c:order val="8"/>
          <c:tx>
            <c:v>FY23e</c:v>
          </c:tx>
          <c:spPr>
            <a:ln w="28575">
              <a:solidFill>
                <a:schemeClr val="accent1"/>
              </a:solidFill>
              <a:prstDash val="sysDash"/>
            </a:ln>
          </c:spPr>
          <c:marker>
            <c:symbol val="none"/>
          </c:marker>
          <c:val>
            <c:numRef>
              <c:f>'OZL Summary'!$AI$7:$AI$59</c:f>
              <c:numCache>
                <c:formatCode>_-* #,##0.000_-;\-* #,##0.000_-;_-* "-"??_-;_-@_-</c:formatCode>
                <c:ptCount val="53"/>
                <c:pt idx="0" formatCode="0.000">
                  <c:v>0</c:v>
                </c:pt>
                <c:pt idx="1">
                  <c:v>2.7823634831053413E-2</c:v>
                </c:pt>
                <c:pt idx="2">
                  <c:v>5.5647269662106827E-2</c:v>
                </c:pt>
                <c:pt idx="3">
                  <c:v>8.3470904493160247E-2</c:v>
                </c:pt>
                <c:pt idx="4">
                  <c:v>0.11129453932421365</c:v>
                </c:pt>
                <c:pt idx="5">
                  <c:v>0.13911817415526706</c:v>
                </c:pt>
                <c:pt idx="6">
                  <c:v>0.16694180898632047</c:v>
                </c:pt>
                <c:pt idx="7">
                  <c:v>0.19476544381737387</c:v>
                </c:pt>
                <c:pt idx="8">
                  <c:v>0.22258907864842728</c:v>
                </c:pt>
                <c:pt idx="9">
                  <c:v>0.25041271347948069</c:v>
                </c:pt>
                <c:pt idx="10">
                  <c:v>0.27823634831053412</c:v>
                </c:pt>
                <c:pt idx="11">
                  <c:v>0.30605998314158755</c:v>
                </c:pt>
                <c:pt idx="12">
                  <c:v>0.33388361797264099</c:v>
                </c:pt>
                <c:pt idx="13">
                  <c:v>0.36170725280369442</c:v>
                </c:pt>
                <c:pt idx="14">
                  <c:v>0.38953088763474786</c:v>
                </c:pt>
                <c:pt idx="15">
                  <c:v>0.41735452246580129</c:v>
                </c:pt>
                <c:pt idx="16">
                  <c:v>0.44517815729685473</c:v>
                </c:pt>
                <c:pt idx="17">
                  <c:v>0.47300179212790816</c:v>
                </c:pt>
                <c:pt idx="18">
                  <c:v>0.50082542695896159</c:v>
                </c:pt>
                <c:pt idx="19">
                  <c:v>0.52864906179001503</c:v>
                </c:pt>
                <c:pt idx="20">
                  <c:v>0.55647269662106846</c:v>
                </c:pt>
                <c:pt idx="21">
                  <c:v>0.5842963314521219</c:v>
                </c:pt>
                <c:pt idx="22">
                  <c:v>0.61211996628317533</c:v>
                </c:pt>
                <c:pt idx="23">
                  <c:v>0.63994360111422877</c:v>
                </c:pt>
                <c:pt idx="24">
                  <c:v>0.6677672359452822</c:v>
                </c:pt>
                <c:pt idx="25">
                  <c:v>0.69559087077633563</c:v>
                </c:pt>
                <c:pt idx="26">
                  <c:v>0.72341450560738907</c:v>
                </c:pt>
                <c:pt idx="27">
                  <c:v>0.7512381404384425</c:v>
                </c:pt>
                <c:pt idx="28">
                  <c:v>0.77906177526949594</c:v>
                </c:pt>
                <c:pt idx="29">
                  <c:v>0.80688541010054937</c:v>
                </c:pt>
                <c:pt idx="30">
                  <c:v>0.83470904493160281</c:v>
                </c:pt>
                <c:pt idx="31">
                  <c:v>0.86253267976265624</c:v>
                </c:pt>
                <c:pt idx="32">
                  <c:v>0.89035631459370967</c:v>
                </c:pt>
                <c:pt idx="33">
                  <c:v>0.91817994942476311</c:v>
                </c:pt>
                <c:pt idx="34">
                  <c:v>0.94600358425581654</c:v>
                </c:pt>
                <c:pt idx="35">
                  <c:v>0.97382721908686998</c:v>
                </c:pt>
                <c:pt idx="36">
                  <c:v>1.0016508539179234</c:v>
                </c:pt>
                <c:pt idx="37">
                  <c:v>1.0294744887489768</c:v>
                </c:pt>
                <c:pt idx="38">
                  <c:v>1.0572981235800303</c:v>
                </c:pt>
                <c:pt idx="39">
                  <c:v>1.0851217584110837</c:v>
                </c:pt>
                <c:pt idx="40">
                  <c:v>1.1129453932421371</c:v>
                </c:pt>
                <c:pt idx="41">
                  <c:v>1.1407690280731906</c:v>
                </c:pt>
                <c:pt idx="42">
                  <c:v>1.168592662904244</c:v>
                </c:pt>
                <c:pt idx="43">
                  <c:v>1.1964162977352975</c:v>
                </c:pt>
                <c:pt idx="44">
                  <c:v>1.2242399325663509</c:v>
                </c:pt>
                <c:pt idx="45">
                  <c:v>1.2520635673974043</c:v>
                </c:pt>
                <c:pt idx="46">
                  <c:v>1.2798872022284578</c:v>
                </c:pt>
                <c:pt idx="47">
                  <c:v>1.3077108370595112</c:v>
                </c:pt>
                <c:pt idx="48">
                  <c:v>1.3355344718905646</c:v>
                </c:pt>
                <c:pt idx="49">
                  <c:v>1.3633581067216181</c:v>
                </c:pt>
                <c:pt idx="50">
                  <c:v>1.3911817415526715</c:v>
                </c:pt>
                <c:pt idx="51">
                  <c:v>1.4190053763837249</c:v>
                </c:pt>
                <c:pt idx="52">
                  <c:v>1.4468290112147784</c:v>
                </c:pt>
              </c:numCache>
            </c:numRef>
          </c:val>
          <c:smooth val="0"/>
          <c:extLst>
            <c:ext xmlns:c16="http://schemas.microsoft.com/office/drawing/2014/chart" uri="{C3380CC4-5D6E-409C-BE32-E72D297353CC}">
              <c16:uniqueId val="{00000005-2A86-48C0-A1FD-8B4C9CD8E4B4}"/>
            </c:ext>
          </c:extLst>
        </c:ser>
        <c:dLbls>
          <c:showLegendKey val="0"/>
          <c:showVal val="0"/>
          <c:showCatName val="0"/>
          <c:showSerName val="0"/>
          <c:showPercent val="0"/>
          <c:showBubbleSize val="0"/>
        </c:dLbls>
        <c:smooth val="0"/>
        <c:axId val="1388952432"/>
        <c:axId val="1388953088"/>
        <c:extLst>
          <c:ext xmlns:c15="http://schemas.microsoft.com/office/drawing/2012/chart" uri="{02D57815-91ED-43cb-92C2-25804820EDAC}">
            <c15:filteredLineSeries>
              <c15:ser>
                <c:idx val="5"/>
                <c:order val="5"/>
                <c:tx>
                  <c:strRef>
                    <c:extLst>
                      <c:ext uri="{02D57815-91ED-43cb-92C2-25804820EDAC}">
                        <c15:formulaRef>
                          <c15:sqref>'OZL Summary'!$AJ$6</c15:sqref>
                        </c15:formulaRef>
                      </c:ext>
                    </c:extLst>
                    <c:strCache>
                      <c:ptCount val="1"/>
                      <c:pt idx="0">
                        <c:v>0.8x Yr Avg</c:v>
                      </c:pt>
                    </c:strCache>
                  </c:strRef>
                </c:tx>
                <c:spPr>
                  <a:ln>
                    <a:solidFill>
                      <a:schemeClr val="tx2"/>
                    </a:solidFill>
                  </a:ln>
                </c:spPr>
                <c:marker>
                  <c:symbol val="none"/>
                </c:marker>
                <c:cat>
                  <c:numRef>
                    <c:extLst>
                      <c:ext uri="{02D57815-91ED-43cb-92C2-25804820EDAC}">
                        <c15:formulaRef>
                          <c15:sqref>'OZL Summary'!$AC$7:$AC$60</c15:sqref>
                        </c15:formulaRef>
                      </c:ext>
                    </c:extLst>
                    <c:numCache>
                      <c:formatCode>General</c:formatCode>
                      <c:ptCount val="5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numCache>
                  </c:numRef>
                </c:cat>
                <c:val>
                  <c:numRef>
                    <c:extLst>
                      <c:ext uri="{02D57815-91ED-43cb-92C2-25804820EDAC}">
                        <c15:formulaRef>
                          <c15:sqref>'OZL Summary'!$AJ$7:$AJ$60</c15:sqref>
                        </c15:formulaRef>
                      </c:ext>
                    </c:extLst>
                    <c:numCache>
                      <c:formatCode>0.000</c:formatCode>
                      <c:ptCount val="54"/>
                      <c:pt idx="43">
                        <c:v>0.98300771034159995</c:v>
                      </c:pt>
                      <c:pt idx="44">
                        <c:v>0.98300771034159995</c:v>
                      </c:pt>
                      <c:pt idx="45">
                        <c:v>0.98300771034159995</c:v>
                      </c:pt>
                      <c:pt idx="46">
                        <c:v>0.98300771034159995</c:v>
                      </c:pt>
                      <c:pt idx="47">
                        <c:v>0.98300771034159995</c:v>
                      </c:pt>
                      <c:pt idx="48">
                        <c:v>0.98300771034159995</c:v>
                      </c:pt>
                      <c:pt idx="49">
                        <c:v>0.98300771034159995</c:v>
                      </c:pt>
                      <c:pt idx="50">
                        <c:v>0.98300771034159995</c:v>
                      </c:pt>
                      <c:pt idx="51">
                        <c:v>0.98300771034159995</c:v>
                      </c:pt>
                      <c:pt idx="52">
                        <c:v>0.98300771034159995</c:v>
                      </c:pt>
                    </c:numCache>
                  </c:numRef>
                </c:val>
                <c:smooth val="0"/>
                <c:extLst>
                  <c:ext xmlns:c16="http://schemas.microsoft.com/office/drawing/2014/chart" uri="{C3380CC4-5D6E-409C-BE32-E72D297353CC}">
                    <c16:uniqueId val="{00000006-2A86-48C0-A1FD-8B4C9CD8E4B4}"/>
                  </c:ext>
                </c:extLst>
              </c15:ser>
            </c15:filteredLineSeries>
            <c15:filteredLineSeries>
              <c15:ser>
                <c:idx val="6"/>
                <c:order val="6"/>
                <c:tx>
                  <c:strRef>
                    <c:extLst xmlns:c15="http://schemas.microsoft.com/office/drawing/2012/chart">
                      <c:ext xmlns:c15="http://schemas.microsoft.com/office/drawing/2012/chart" uri="{02D57815-91ED-43cb-92C2-25804820EDAC}">
                        <c15:formulaRef>
                          <c15:sqref>'OZL Summary'!$AK$6</c15:sqref>
                        </c15:formulaRef>
                      </c:ext>
                    </c:extLst>
                    <c:strCache>
                      <c:ptCount val="1"/>
                      <c:pt idx="0">
                        <c:v>1.0x Yr Avg</c:v>
                      </c:pt>
                    </c:strCache>
                  </c:strRef>
                </c:tx>
                <c:spPr>
                  <a:ln>
                    <a:solidFill>
                      <a:schemeClr val="bg2"/>
                    </a:solidFill>
                  </a:ln>
                </c:spPr>
                <c:marker>
                  <c:symbol val="none"/>
                </c:marker>
                <c:cat>
                  <c:numRef>
                    <c:extLst xmlns:c15="http://schemas.microsoft.com/office/drawing/2012/chart">
                      <c:ext xmlns:c15="http://schemas.microsoft.com/office/drawing/2012/chart" uri="{02D57815-91ED-43cb-92C2-25804820EDAC}">
                        <c15:formulaRef>
                          <c15:sqref>'OZL Summary'!$AC$7:$AC$60</c15:sqref>
                        </c15:formulaRef>
                      </c:ext>
                    </c:extLst>
                    <c:numCache>
                      <c:formatCode>General</c:formatCode>
                      <c:ptCount val="5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numCache>
                  </c:numRef>
                </c:cat>
                <c:val>
                  <c:numRef>
                    <c:extLst xmlns:c15="http://schemas.microsoft.com/office/drawing/2012/chart">
                      <c:ext xmlns:c15="http://schemas.microsoft.com/office/drawing/2012/chart" uri="{02D57815-91ED-43cb-92C2-25804820EDAC}">
                        <c15:formulaRef>
                          <c15:sqref>'OZL Summary'!$AK$7:$AK$60</c15:sqref>
                        </c15:formulaRef>
                      </c:ext>
                    </c:extLst>
                    <c:numCache>
                      <c:formatCode>0.000</c:formatCode>
                      <c:ptCount val="54"/>
                      <c:pt idx="43">
                        <c:v>0.98300771034159995</c:v>
                      </c:pt>
                      <c:pt idx="44">
                        <c:v>0.98300771034159995</c:v>
                      </c:pt>
                      <c:pt idx="45">
                        <c:v>0.98300771034159995</c:v>
                      </c:pt>
                      <c:pt idx="46">
                        <c:v>0.98300771034159995</c:v>
                      </c:pt>
                      <c:pt idx="47">
                        <c:v>0.98300771034159995</c:v>
                      </c:pt>
                      <c:pt idx="48">
                        <c:v>0.98300771034159995</c:v>
                      </c:pt>
                      <c:pt idx="49">
                        <c:v>0.98300771034159995</c:v>
                      </c:pt>
                      <c:pt idx="50">
                        <c:v>0.98300771034159995</c:v>
                      </c:pt>
                      <c:pt idx="51">
                        <c:v>0.98300771034159995</c:v>
                      </c:pt>
                      <c:pt idx="52">
                        <c:v>0.98300771034159995</c:v>
                      </c:pt>
                    </c:numCache>
                  </c:numRef>
                </c:val>
                <c:smooth val="0"/>
                <c:extLst xmlns:c15="http://schemas.microsoft.com/office/drawing/2012/chart">
                  <c:ext xmlns:c16="http://schemas.microsoft.com/office/drawing/2014/chart" uri="{C3380CC4-5D6E-409C-BE32-E72D297353CC}">
                    <c16:uniqueId val="{00000007-2A86-48C0-A1FD-8B4C9CD8E4B4}"/>
                  </c:ext>
                </c:extLst>
              </c15:ser>
            </c15:filteredLineSeries>
            <c15:filteredLineSeries>
              <c15:ser>
                <c:idx val="7"/>
                <c:order val="7"/>
                <c:tx>
                  <c:strRef>
                    <c:extLst xmlns:c15="http://schemas.microsoft.com/office/drawing/2012/chart">
                      <c:ext xmlns:c15="http://schemas.microsoft.com/office/drawing/2012/chart" uri="{02D57815-91ED-43cb-92C2-25804820EDAC}">
                        <c15:formulaRef>
                          <c15:sqref>'OZL Summary'!$AL$6</c15:sqref>
                        </c15:formulaRef>
                      </c:ext>
                    </c:extLst>
                    <c:strCache>
                      <c:ptCount val="1"/>
                      <c:pt idx="0">
                        <c:v>1.2x Yr Avg</c:v>
                      </c:pt>
                    </c:strCache>
                  </c:strRef>
                </c:tx>
                <c:spPr>
                  <a:ln>
                    <a:solidFill>
                      <a:schemeClr val="accent4"/>
                    </a:solidFill>
                  </a:ln>
                </c:spPr>
                <c:marker>
                  <c:symbol val="none"/>
                </c:marker>
                <c:cat>
                  <c:numRef>
                    <c:extLst xmlns:c15="http://schemas.microsoft.com/office/drawing/2012/chart">
                      <c:ext xmlns:c15="http://schemas.microsoft.com/office/drawing/2012/chart" uri="{02D57815-91ED-43cb-92C2-25804820EDAC}">
                        <c15:formulaRef>
                          <c15:sqref>'OZL Summary'!$AC$7:$AC$60</c15:sqref>
                        </c15:formulaRef>
                      </c:ext>
                    </c:extLst>
                    <c:numCache>
                      <c:formatCode>General</c:formatCode>
                      <c:ptCount val="5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numCache>
                  </c:numRef>
                </c:cat>
                <c:val>
                  <c:numRef>
                    <c:extLst xmlns:c15="http://schemas.microsoft.com/office/drawing/2012/chart">
                      <c:ext xmlns:c15="http://schemas.microsoft.com/office/drawing/2012/chart" uri="{02D57815-91ED-43cb-92C2-25804820EDAC}">
                        <c15:formulaRef>
                          <c15:sqref>'OZL Summary'!$AL$7:$AL$60</c15:sqref>
                        </c15:formulaRef>
                      </c:ext>
                    </c:extLst>
                    <c:numCache>
                      <c:formatCode>0.000</c:formatCode>
                      <c:ptCount val="54"/>
                      <c:pt idx="43">
                        <c:v>0.98300771034159995</c:v>
                      </c:pt>
                      <c:pt idx="44">
                        <c:v>0.98300771034159995</c:v>
                      </c:pt>
                      <c:pt idx="45">
                        <c:v>0.98300771034159995</c:v>
                      </c:pt>
                      <c:pt idx="46">
                        <c:v>0.98300771034159995</c:v>
                      </c:pt>
                      <c:pt idx="47">
                        <c:v>0.98300771034159995</c:v>
                      </c:pt>
                      <c:pt idx="48">
                        <c:v>0.98300771034159995</c:v>
                      </c:pt>
                      <c:pt idx="49">
                        <c:v>0.98300771034159995</c:v>
                      </c:pt>
                      <c:pt idx="50">
                        <c:v>0.98300771034159995</c:v>
                      </c:pt>
                      <c:pt idx="51">
                        <c:v>0.98300771034159995</c:v>
                      </c:pt>
                      <c:pt idx="52">
                        <c:v>0.98300771034159995</c:v>
                      </c:pt>
                    </c:numCache>
                  </c:numRef>
                </c:val>
                <c:smooth val="0"/>
                <c:extLst xmlns:c15="http://schemas.microsoft.com/office/drawing/2012/chart">
                  <c:ext xmlns:c16="http://schemas.microsoft.com/office/drawing/2014/chart" uri="{C3380CC4-5D6E-409C-BE32-E72D297353CC}">
                    <c16:uniqueId val="{00000008-2A86-48C0-A1FD-8B4C9CD8E4B4}"/>
                  </c:ext>
                </c:extLst>
              </c15:ser>
            </c15:filteredLineSeries>
          </c:ext>
        </c:extLst>
      </c:lineChart>
      <c:catAx>
        <c:axId val="1388952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3088"/>
        <c:crosses val="autoZero"/>
        <c:auto val="1"/>
        <c:lblAlgn val="ctr"/>
        <c:lblOffset val="100"/>
        <c:tickLblSkip val="10"/>
        <c:noMultiLvlLbl val="0"/>
      </c:catAx>
      <c:valAx>
        <c:axId val="13889530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2432"/>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orientation="portrait"/>
  </c:printSettings>
</c:chartSpace>
</file>

<file path=xl/charts/chart1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'OZL Summary'!$BN$6:$BN$7</c:f>
              <c:strCache>
                <c:ptCount val="2"/>
                <c:pt idx="0">
                  <c:v>Actual</c:v>
                </c:pt>
              </c:strCache>
            </c:strRef>
          </c:tx>
          <c:spPr>
            <a:ln w="28575" cap="rnd">
              <a:solidFill>
                <a:schemeClr val="tx2"/>
              </a:solidFill>
              <a:round/>
            </a:ln>
            <a:effectLst/>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Summary'!$BN$8:$BN$60</c:f>
              <c:numCache>
                <c:formatCode>0.000</c:formatCode>
                <c:ptCount val="53"/>
                <c:pt idx="0">
                  <c:v>3.4282144018799997E-2</c:v>
                </c:pt>
                <c:pt idx="1">
                  <c:v>4.61727482976E-2</c:v>
                </c:pt>
                <c:pt idx="2">
                  <c:v>6.0744925144799997E-2</c:v>
                </c:pt>
                <c:pt idx="3">
                  <c:v>7.9887071887199998E-2</c:v>
                </c:pt>
                <c:pt idx="4">
                  <c:v>9.0591598206000004E-2</c:v>
                </c:pt>
                <c:pt idx="5">
                  <c:v>0.10471594425839999</c:v>
                </c:pt>
                <c:pt idx="6">
                  <c:v>0.13024126318319998</c:v>
                </c:pt>
                <c:pt idx="7">
                  <c:v>0.14299494069599997</c:v>
                </c:pt>
                <c:pt idx="8">
                  <c:v>0.15712274134439999</c:v>
                </c:pt>
                <c:pt idx="9">
                  <c:v>0.18211939192799997</c:v>
                </c:pt>
                <c:pt idx="10">
                  <c:v>0.21562528822559998</c:v>
                </c:pt>
                <c:pt idx="11">
                  <c:v>0.26312805598319994</c:v>
                </c:pt>
                <c:pt idx="12">
                  <c:v>0.27559419595559997</c:v>
                </c:pt>
                <c:pt idx="13">
                  <c:v>0.29338294713839996</c:v>
                </c:pt>
                <c:pt idx="14">
                  <c:v>0.31479798774239992</c:v>
                </c:pt>
                <c:pt idx="15">
                  <c:v>0.34138237064759991</c:v>
                </c:pt>
                <c:pt idx="16">
                  <c:v>0.38401116406199992</c:v>
                </c:pt>
                <c:pt idx="17">
                  <c:v>0.45353502371519994</c:v>
                </c:pt>
                <c:pt idx="18">
                  <c:v>0.46636884785519994</c:v>
                </c:pt>
                <c:pt idx="19">
                  <c:v>0.48057414660719988</c:v>
                </c:pt>
                <c:pt idx="20">
                  <c:v>0.50512031787239997</c:v>
                </c:pt>
                <c:pt idx="21">
                  <c:v>0.53195446806839985</c:v>
                </c:pt>
                <c:pt idx="22">
                  <c:v>0.57374874624239991</c:v>
                </c:pt>
                <c:pt idx="23">
                  <c:v>0.58543426267199994</c:v>
                </c:pt>
                <c:pt idx="24">
                  <c:v>0.59798193110999986</c:v>
                </c:pt>
                <c:pt idx="25">
                  <c:v>0.60953824564919989</c:v>
                </c:pt>
                <c:pt idx="26">
                  <c:v>0.62793005414039982</c:v>
                </c:pt>
                <c:pt idx="27">
                  <c:v>0.66085868744639986</c:v>
                </c:pt>
                <c:pt idx="28">
                  <c:v>0.70280784667439988</c:v>
                </c:pt>
                <c:pt idx="29">
                  <c:v>0.76647478426919979</c:v>
                </c:pt>
                <c:pt idx="30">
                  <c:v>0.77875598820239988</c:v>
                </c:pt>
                <c:pt idx="31">
                  <c:v>0.79341798454559986</c:v>
                </c:pt>
                <c:pt idx="32">
                  <c:v>0.81253514304359986</c:v>
                </c:pt>
                <c:pt idx="33">
                  <c:v>0.82340606573639985</c:v>
                </c:pt>
                <c:pt idx="34">
                  <c:v>0.84006470341439987</c:v>
                </c:pt>
                <c:pt idx="35">
                  <c:v>0.86433934343399987</c:v>
                </c:pt>
                <c:pt idx="36">
                  <c:v>0.87578580182039989</c:v>
                </c:pt>
                <c:pt idx="37">
                  <c:v>0.89565744408479986</c:v>
                </c:pt>
                <c:pt idx="38">
                  <c:v>0.90846581936759985</c:v>
                </c:pt>
                <c:pt idx="39">
                  <c:v>0.91858582836759983</c:v>
                </c:pt>
                <c:pt idx="40">
                  <c:v>0.93370152831879982</c:v>
                </c:pt>
                <c:pt idx="41">
                  <c:v>0.95559030918759991</c:v>
                </c:pt>
                <c:pt idx="42">
                  <c:v>0.98300771034159995</c:v>
                </c:pt>
                <c:pt idx="43">
                  <c:v>0.99330666708999993</c:v>
                </c:pt>
                <c:pt idx="44">
                  <c:v>1.0075762213275998</c:v>
                </c:pt>
                <c:pt idx="45">
                  <c:v>1.0281208537475999</c:v>
                </c:pt>
                <c:pt idx="46">
                  <c:v>1.0382225415931998</c:v>
                </c:pt>
                <c:pt idx="47">
                  <c:v>1.0541579684225999</c:v>
                </c:pt>
                <c:pt idx="48">
                  <c:v>1.0687637971379997</c:v>
                </c:pt>
                <c:pt idx="49">
                  <c:v>1.0815684581785998</c:v>
                </c:pt>
                <c:pt idx="50">
                  <c:v>1.0986668252266998</c:v>
                </c:pt>
                <c:pt idx="51">
                  <c:v>1.1194431701510998</c:v>
                </c:pt>
              </c:numCache>
            </c:numRef>
          </c:val>
          <c:smooth val="0"/>
          <c:extLst>
            <c:ext xmlns:c16="http://schemas.microsoft.com/office/drawing/2014/chart" uri="{C3380CC4-5D6E-409C-BE32-E72D297353CC}">
              <c16:uniqueId val="{00000000-048A-4E8F-9707-A0825C857EC2}"/>
            </c:ext>
          </c:extLst>
        </c:ser>
        <c:ser>
          <c:idx val="1"/>
          <c:order val="4"/>
          <c:tx>
            <c:strRef>
              <c:f>'OZL Summary'!$BR$6:$BR$7</c:f>
              <c:strCache>
                <c:ptCount val="2"/>
                <c:pt idx="0">
                  <c:v>10th Percentile</c:v>
                </c:pt>
              </c:strCache>
            </c:strRef>
          </c:tx>
          <c:spPr>
            <a:ln w="28575" cap="rnd" cmpd="sng">
              <a:solidFill>
                <a:schemeClr val="accent6"/>
              </a:solidFill>
              <a:prstDash val="sysDot"/>
              <a:round/>
              <a:headEnd type="none"/>
            </a:ln>
            <a:effectLst/>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Summary'!$BR$8:$BR$60</c:f>
              <c:numCache>
                <c:formatCode>0.000</c:formatCode>
                <c:ptCount val="53"/>
                <c:pt idx="0">
                  <c:v>2.0199848897457344E-2</c:v>
                </c:pt>
                <c:pt idx="1">
                  <c:v>4.0399697794914688E-2</c:v>
                </c:pt>
                <c:pt idx="2">
                  <c:v>6.0599546692372032E-2</c:v>
                </c:pt>
                <c:pt idx="3">
                  <c:v>8.0799395589829376E-2</c:v>
                </c:pt>
                <c:pt idx="4">
                  <c:v>0.10099924448728673</c:v>
                </c:pt>
                <c:pt idx="5">
                  <c:v>0.12119909338474408</c:v>
                </c:pt>
                <c:pt idx="6">
                  <c:v>0.14139894228220143</c:v>
                </c:pt>
                <c:pt idx="7">
                  <c:v>0.16159879117965878</c:v>
                </c:pt>
                <c:pt idx="8">
                  <c:v>0.18179864007711613</c:v>
                </c:pt>
                <c:pt idx="9">
                  <c:v>0.20199848897457348</c:v>
                </c:pt>
                <c:pt idx="10">
                  <c:v>0.22219833787203083</c:v>
                </c:pt>
                <c:pt idx="11">
                  <c:v>0.24239818676948818</c:v>
                </c:pt>
                <c:pt idx="12">
                  <c:v>0.26259803566694551</c:v>
                </c:pt>
                <c:pt idx="13">
                  <c:v>0.28279788456440286</c:v>
                </c:pt>
                <c:pt idx="14">
                  <c:v>0.30299773346186021</c:v>
                </c:pt>
                <c:pt idx="15">
                  <c:v>0.32319758235931756</c:v>
                </c:pt>
                <c:pt idx="16">
                  <c:v>0.34339743125677491</c:v>
                </c:pt>
                <c:pt idx="17">
                  <c:v>0.36359728015423226</c:v>
                </c:pt>
                <c:pt idx="18">
                  <c:v>0.38379712905168961</c:v>
                </c:pt>
                <c:pt idx="19">
                  <c:v>0.40399697794914696</c:v>
                </c:pt>
                <c:pt idx="20">
                  <c:v>0.42419682684660431</c:v>
                </c:pt>
                <c:pt idx="21">
                  <c:v>0.44439667574406166</c:v>
                </c:pt>
                <c:pt idx="22">
                  <c:v>0.46459652464151902</c:v>
                </c:pt>
                <c:pt idx="23">
                  <c:v>0.48479637353897637</c:v>
                </c:pt>
                <c:pt idx="24">
                  <c:v>0.50499622243643372</c:v>
                </c:pt>
                <c:pt idx="25">
                  <c:v>0.52519607133389101</c:v>
                </c:pt>
                <c:pt idx="26">
                  <c:v>0.54539592023134831</c:v>
                </c:pt>
                <c:pt idx="27">
                  <c:v>0.5655957691288056</c:v>
                </c:pt>
                <c:pt idx="28">
                  <c:v>0.5857956180262629</c:v>
                </c:pt>
                <c:pt idx="29">
                  <c:v>0.60599546692372019</c:v>
                </c:pt>
                <c:pt idx="30">
                  <c:v>0.62619531582117749</c:v>
                </c:pt>
                <c:pt idx="31">
                  <c:v>0.64639516471863478</c:v>
                </c:pt>
                <c:pt idx="32">
                  <c:v>0.66659501361609208</c:v>
                </c:pt>
                <c:pt idx="33">
                  <c:v>0.68679486251354938</c:v>
                </c:pt>
                <c:pt idx="34">
                  <c:v>0.70699471141100667</c:v>
                </c:pt>
                <c:pt idx="35">
                  <c:v>0.72719456030846397</c:v>
                </c:pt>
                <c:pt idx="36">
                  <c:v>0.74739440920592126</c:v>
                </c:pt>
                <c:pt idx="37">
                  <c:v>0.76759425810337856</c:v>
                </c:pt>
                <c:pt idx="38">
                  <c:v>0.78779410700083585</c:v>
                </c:pt>
                <c:pt idx="39">
                  <c:v>0.80799395589829315</c:v>
                </c:pt>
                <c:pt idx="40">
                  <c:v>0.82819380479575044</c:v>
                </c:pt>
                <c:pt idx="41">
                  <c:v>0.84839365369320774</c:v>
                </c:pt>
                <c:pt idx="42">
                  <c:v>0.86859350259066503</c:v>
                </c:pt>
                <c:pt idx="43">
                  <c:v>0.88879335148812233</c:v>
                </c:pt>
                <c:pt idx="44">
                  <c:v>0.90899320038557962</c:v>
                </c:pt>
                <c:pt idx="45">
                  <c:v>0.92919304928303692</c:v>
                </c:pt>
                <c:pt idx="46">
                  <c:v>0.94939289818049422</c:v>
                </c:pt>
                <c:pt idx="47">
                  <c:v>0.96959274707795151</c:v>
                </c:pt>
                <c:pt idx="48">
                  <c:v>0.98979259597540881</c:v>
                </c:pt>
                <c:pt idx="49">
                  <c:v>1.0099924448728661</c:v>
                </c:pt>
                <c:pt idx="50">
                  <c:v>1.0301922937703234</c:v>
                </c:pt>
                <c:pt idx="51">
                  <c:v>1.0503921426677807</c:v>
                </c:pt>
              </c:numCache>
            </c:numRef>
          </c:val>
          <c:smooth val="0"/>
          <c:extLst xmlns:c15="http://schemas.microsoft.com/office/drawing/2012/chart">
            <c:ext xmlns:c16="http://schemas.microsoft.com/office/drawing/2014/chart" uri="{C3380CC4-5D6E-409C-BE32-E72D297353CC}">
              <c16:uniqueId val="{00000001-048A-4E8F-9707-A0825C857EC2}"/>
            </c:ext>
          </c:extLst>
        </c:ser>
        <c:ser>
          <c:idx val="4"/>
          <c:order val="6"/>
          <c:tx>
            <c:strRef>
              <c:f>'OZL Summary'!$BT$6:$BT$7</c:f>
              <c:strCache>
                <c:ptCount val="2"/>
                <c:pt idx="0">
                  <c:v>50th Percentile</c:v>
                </c:pt>
              </c:strCache>
            </c:strRef>
          </c:tx>
          <c:spPr>
            <a:ln w="28575">
              <a:solidFill>
                <a:schemeClr val="bg2"/>
              </a:solidFill>
              <a:prstDash val="sysDot"/>
            </a:ln>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Summary'!$BT$8:$BT$60</c:f>
              <c:numCache>
                <c:formatCode>0.000</c:formatCode>
                <c:ptCount val="53"/>
                <c:pt idx="0">
                  <c:v>2.3469807538576672E-2</c:v>
                </c:pt>
                <c:pt idx="1">
                  <c:v>4.6939615077153343E-2</c:v>
                </c:pt>
                <c:pt idx="2">
                  <c:v>7.0409422615730022E-2</c:v>
                </c:pt>
                <c:pt idx="3">
                  <c:v>9.3879230154306686E-2</c:v>
                </c:pt>
                <c:pt idx="4">
                  <c:v>0.11734903769288335</c:v>
                </c:pt>
                <c:pt idx="5">
                  <c:v>0.14081884523146002</c:v>
                </c:pt>
                <c:pt idx="6">
                  <c:v>0.16428865277003668</c:v>
                </c:pt>
                <c:pt idx="7">
                  <c:v>0.18775846030861335</c:v>
                </c:pt>
                <c:pt idx="8">
                  <c:v>0.21122826784719001</c:v>
                </c:pt>
                <c:pt idx="9">
                  <c:v>0.23469807538576667</c:v>
                </c:pt>
                <c:pt idx="10">
                  <c:v>0.25816788292434334</c:v>
                </c:pt>
                <c:pt idx="11">
                  <c:v>0.28163769046292003</c:v>
                </c:pt>
                <c:pt idx="12">
                  <c:v>0.30510749800149672</c:v>
                </c:pt>
                <c:pt idx="13">
                  <c:v>0.32857730554007342</c:v>
                </c:pt>
                <c:pt idx="14">
                  <c:v>0.35204711307865011</c:v>
                </c:pt>
                <c:pt idx="15">
                  <c:v>0.3755169206172268</c:v>
                </c:pt>
                <c:pt idx="16">
                  <c:v>0.39898672815580349</c:v>
                </c:pt>
                <c:pt idx="17">
                  <c:v>0.42245653569438019</c:v>
                </c:pt>
                <c:pt idx="18">
                  <c:v>0.44592634323295688</c:v>
                </c:pt>
                <c:pt idx="19">
                  <c:v>0.46939615077153357</c:v>
                </c:pt>
                <c:pt idx="20">
                  <c:v>0.49286595831011026</c:v>
                </c:pt>
                <c:pt idx="21">
                  <c:v>0.5163357658486869</c:v>
                </c:pt>
                <c:pt idx="22">
                  <c:v>0.53980557338726354</c:v>
                </c:pt>
                <c:pt idx="23">
                  <c:v>0.56327538092584017</c:v>
                </c:pt>
                <c:pt idx="24">
                  <c:v>0.58674518846441681</c:v>
                </c:pt>
                <c:pt idx="25">
                  <c:v>0.61021499600299345</c:v>
                </c:pt>
                <c:pt idx="26">
                  <c:v>0.63368480354157009</c:v>
                </c:pt>
                <c:pt idx="27">
                  <c:v>0.65715461108014672</c:v>
                </c:pt>
                <c:pt idx="28">
                  <c:v>0.68062441861872336</c:v>
                </c:pt>
                <c:pt idx="29">
                  <c:v>0.7040942261573</c:v>
                </c:pt>
                <c:pt idx="30">
                  <c:v>0.72756403369587663</c:v>
                </c:pt>
                <c:pt idx="31">
                  <c:v>0.75103384123445327</c:v>
                </c:pt>
                <c:pt idx="32">
                  <c:v>0.77450364877302991</c:v>
                </c:pt>
                <c:pt idx="33">
                  <c:v>0.79797345631160654</c:v>
                </c:pt>
                <c:pt idx="34">
                  <c:v>0.82144326385018318</c:v>
                </c:pt>
                <c:pt idx="35">
                  <c:v>0.84491307138875982</c:v>
                </c:pt>
                <c:pt idx="36">
                  <c:v>0.86838287892733645</c:v>
                </c:pt>
                <c:pt idx="37">
                  <c:v>0.89185268646591309</c:v>
                </c:pt>
                <c:pt idx="38">
                  <c:v>0.91532249400448973</c:v>
                </c:pt>
                <c:pt idx="39">
                  <c:v>0.93879230154306637</c:v>
                </c:pt>
                <c:pt idx="40">
                  <c:v>0.962262109081643</c:v>
                </c:pt>
                <c:pt idx="41">
                  <c:v>0.98573191662021964</c:v>
                </c:pt>
                <c:pt idx="42">
                  <c:v>1.0092017241587963</c:v>
                </c:pt>
                <c:pt idx="43">
                  <c:v>1.0326715316973729</c:v>
                </c:pt>
                <c:pt idx="44">
                  <c:v>1.0561413392359496</c:v>
                </c:pt>
                <c:pt idx="45">
                  <c:v>1.0796111467745262</c:v>
                </c:pt>
                <c:pt idx="46">
                  <c:v>1.1030809543131028</c:v>
                </c:pt>
                <c:pt idx="47">
                  <c:v>1.1265507618516795</c:v>
                </c:pt>
                <c:pt idx="48">
                  <c:v>1.1500205693902561</c:v>
                </c:pt>
                <c:pt idx="49">
                  <c:v>1.1734903769288327</c:v>
                </c:pt>
                <c:pt idx="50">
                  <c:v>1.1969601844674094</c:v>
                </c:pt>
                <c:pt idx="51">
                  <c:v>1.220429992005986</c:v>
                </c:pt>
              </c:numCache>
            </c:numRef>
          </c:val>
          <c:smooth val="0"/>
          <c:extLst xmlns:c15="http://schemas.microsoft.com/office/drawing/2012/chart">
            <c:ext xmlns:c16="http://schemas.microsoft.com/office/drawing/2014/chart" uri="{C3380CC4-5D6E-409C-BE32-E72D297353CC}">
              <c16:uniqueId val="{00000002-048A-4E8F-9707-A0825C857EC2}"/>
            </c:ext>
          </c:extLst>
        </c:ser>
        <c:ser>
          <c:idx val="8"/>
          <c:order val="8"/>
          <c:tx>
            <c:strRef>
              <c:f>'OZL Summary'!$BV$6:$BV$7</c:f>
              <c:strCache>
                <c:ptCount val="2"/>
                <c:pt idx="0">
                  <c:v>90th Percentile</c:v>
                </c:pt>
              </c:strCache>
            </c:strRef>
          </c:tx>
          <c:spPr>
            <a:ln w="28575">
              <a:solidFill>
                <a:schemeClr val="accent1"/>
              </a:solidFill>
              <a:prstDash val="sysDot"/>
            </a:ln>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Summary'!$BV$8:$BV$60</c:f>
              <c:numCache>
                <c:formatCode>0.000</c:formatCode>
                <c:ptCount val="53"/>
                <c:pt idx="0">
                  <c:v>2.7720420236719803E-2</c:v>
                </c:pt>
                <c:pt idx="1">
                  <c:v>5.5440840473439605E-2</c:v>
                </c:pt>
                <c:pt idx="2">
                  <c:v>8.3161260710159404E-2</c:v>
                </c:pt>
                <c:pt idx="3">
                  <c:v>0.11088168094687921</c:v>
                </c:pt>
                <c:pt idx="4">
                  <c:v>0.138602101183599</c:v>
                </c:pt>
                <c:pt idx="5">
                  <c:v>0.16632252142031881</c:v>
                </c:pt>
                <c:pt idx="6">
                  <c:v>0.19404294165703861</c:v>
                </c:pt>
                <c:pt idx="7">
                  <c:v>0.22176336189375842</c:v>
                </c:pt>
                <c:pt idx="8">
                  <c:v>0.24948378213047823</c:v>
                </c:pt>
                <c:pt idx="9">
                  <c:v>0.277204202367198</c:v>
                </c:pt>
                <c:pt idx="10">
                  <c:v>0.30492462260391778</c:v>
                </c:pt>
                <c:pt idx="11">
                  <c:v>0.33264504284063756</c:v>
                </c:pt>
                <c:pt idx="12">
                  <c:v>0.36036546307735734</c:v>
                </c:pt>
                <c:pt idx="13">
                  <c:v>0.38808588331407712</c:v>
                </c:pt>
                <c:pt idx="14">
                  <c:v>0.4158063035507969</c:v>
                </c:pt>
                <c:pt idx="15">
                  <c:v>0.44352672378751667</c:v>
                </c:pt>
                <c:pt idx="16">
                  <c:v>0.47124714402423645</c:v>
                </c:pt>
                <c:pt idx="17">
                  <c:v>0.49896756426095623</c:v>
                </c:pt>
                <c:pt idx="18">
                  <c:v>0.52668798449767606</c:v>
                </c:pt>
                <c:pt idx="19">
                  <c:v>0.5544084047343959</c:v>
                </c:pt>
                <c:pt idx="20">
                  <c:v>0.58212882497111573</c:v>
                </c:pt>
                <c:pt idx="21">
                  <c:v>0.60984924520783557</c:v>
                </c:pt>
                <c:pt idx="22">
                  <c:v>0.6375696654445554</c:v>
                </c:pt>
                <c:pt idx="23">
                  <c:v>0.66529008568127523</c:v>
                </c:pt>
                <c:pt idx="24">
                  <c:v>0.69301050591799507</c:v>
                </c:pt>
                <c:pt idx="25">
                  <c:v>0.7207309261547149</c:v>
                </c:pt>
                <c:pt idx="26">
                  <c:v>0.74845134639143474</c:v>
                </c:pt>
                <c:pt idx="27">
                  <c:v>0.77617176662815457</c:v>
                </c:pt>
                <c:pt idx="28">
                  <c:v>0.8038921868648744</c:v>
                </c:pt>
                <c:pt idx="29">
                  <c:v>0.83161260710159424</c:v>
                </c:pt>
                <c:pt idx="30">
                  <c:v>0.85933302733831407</c:v>
                </c:pt>
                <c:pt idx="31">
                  <c:v>0.8870534475750339</c:v>
                </c:pt>
                <c:pt idx="32">
                  <c:v>0.91477386781175374</c:v>
                </c:pt>
                <c:pt idx="33">
                  <c:v>0.94249428804847357</c:v>
                </c:pt>
                <c:pt idx="34">
                  <c:v>0.97021470828519341</c:v>
                </c:pt>
                <c:pt idx="35">
                  <c:v>0.99793512852191324</c:v>
                </c:pt>
                <c:pt idx="36">
                  <c:v>1.025655548758633</c:v>
                </c:pt>
                <c:pt idx="37">
                  <c:v>1.0533759689953528</c:v>
                </c:pt>
                <c:pt idx="38">
                  <c:v>1.0810963892320726</c:v>
                </c:pt>
                <c:pt idx="39">
                  <c:v>1.1088168094687925</c:v>
                </c:pt>
                <c:pt idx="40">
                  <c:v>1.1365372297055123</c:v>
                </c:pt>
                <c:pt idx="41">
                  <c:v>1.1642576499422321</c:v>
                </c:pt>
                <c:pt idx="42">
                  <c:v>1.191978070178952</c:v>
                </c:pt>
                <c:pt idx="43">
                  <c:v>1.2196984904156718</c:v>
                </c:pt>
                <c:pt idx="44">
                  <c:v>1.2474189106523916</c:v>
                </c:pt>
                <c:pt idx="45">
                  <c:v>1.2751393308891115</c:v>
                </c:pt>
                <c:pt idx="46">
                  <c:v>1.3028597511258313</c:v>
                </c:pt>
                <c:pt idx="47">
                  <c:v>1.3305801713625511</c:v>
                </c:pt>
                <c:pt idx="48">
                  <c:v>1.358300591599271</c:v>
                </c:pt>
                <c:pt idx="49">
                  <c:v>1.3860210118359908</c:v>
                </c:pt>
                <c:pt idx="50">
                  <c:v>1.4137414320727106</c:v>
                </c:pt>
                <c:pt idx="51">
                  <c:v>1.4414618523094305</c:v>
                </c:pt>
              </c:numCache>
            </c:numRef>
          </c:val>
          <c:smooth val="0"/>
          <c:extLst xmlns:c15="http://schemas.microsoft.com/office/drawing/2012/chart">
            <c:ext xmlns:c16="http://schemas.microsoft.com/office/drawing/2014/chart" uri="{C3380CC4-5D6E-409C-BE32-E72D297353CC}">
              <c16:uniqueId val="{00000003-048A-4E8F-9707-A0825C857EC2}"/>
            </c:ext>
          </c:extLst>
        </c:ser>
        <c:dLbls>
          <c:showLegendKey val="0"/>
          <c:showVal val="0"/>
          <c:showCatName val="0"/>
          <c:showSerName val="0"/>
          <c:showPercent val="0"/>
          <c:showBubbleSize val="0"/>
        </c:dLbls>
        <c:smooth val="0"/>
        <c:axId val="1388952432"/>
        <c:axId val="1388953088"/>
        <c:extLst>
          <c:ext xmlns:c15="http://schemas.microsoft.com/office/drawing/2012/chart" uri="{02D57815-91ED-43cb-92C2-25804820EDAC}">
            <c15:filteredLineSeries>
              <c15:ser>
                <c:idx val="3"/>
                <c:order val="1"/>
                <c:tx>
                  <c:strRef>
                    <c:extLst>
                      <c:ext uri="{02D57815-91ED-43cb-92C2-25804820EDAC}">
                        <c15:formulaRef>
                          <c15:sqref>'OZL Summary'!$BO$6:$BO$7</c15:sqref>
                        </c15:formulaRef>
                      </c:ext>
                    </c:extLst>
                    <c:strCache>
                      <c:ptCount val="2"/>
                      <c:pt idx="0">
                        <c:v>Min</c:v>
                      </c:pt>
                    </c:strCache>
                  </c:strRef>
                </c:tx>
                <c:marker>
                  <c:symbol val="none"/>
                </c:marker>
                <c:cat>
                  <c:numRef>
                    <c:extLst>
                      <c:ex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c:ext uri="{02D57815-91ED-43cb-92C2-25804820EDAC}">
                        <c15:formulaRef>
                          <c15:sqref>'OZL Summary'!$BO$8:$BO$60</c15:sqref>
                        </c15:formulaRef>
                      </c:ext>
                    </c:extLst>
                    <c:numCache>
                      <c:formatCode>0.000</c:formatCode>
                      <c:ptCount val="53"/>
                      <c:pt idx="0">
                        <c:v>1.6032204874777817E-2</c:v>
                      </c:pt>
                      <c:pt idx="1">
                        <c:v>3.2064409749555635E-2</c:v>
                      </c:pt>
                      <c:pt idx="2">
                        <c:v>4.8096614624333456E-2</c:v>
                      </c:pt>
                      <c:pt idx="3">
                        <c:v>6.412881949911127E-2</c:v>
                      </c:pt>
                      <c:pt idx="4">
                        <c:v>8.0161024373889084E-2</c:v>
                      </c:pt>
                      <c:pt idx="5">
                        <c:v>9.6193229248666898E-2</c:v>
                      </c:pt>
                      <c:pt idx="6">
                        <c:v>0.11222543412344471</c:v>
                      </c:pt>
                      <c:pt idx="7">
                        <c:v>0.12825763899822254</c:v>
                      </c:pt>
                      <c:pt idx="8">
                        <c:v>0.14428984387300037</c:v>
                      </c:pt>
                      <c:pt idx="9">
                        <c:v>0.1603220487477782</c:v>
                      </c:pt>
                      <c:pt idx="10">
                        <c:v>0.17635425362255602</c:v>
                      </c:pt>
                      <c:pt idx="11">
                        <c:v>0.19238645849733385</c:v>
                      </c:pt>
                      <c:pt idx="12">
                        <c:v>0.20841866337211168</c:v>
                      </c:pt>
                      <c:pt idx="13">
                        <c:v>0.22445086824688951</c:v>
                      </c:pt>
                      <c:pt idx="14">
                        <c:v>0.24048307312166733</c:v>
                      </c:pt>
                      <c:pt idx="15">
                        <c:v>0.25651527799644513</c:v>
                      </c:pt>
                      <c:pt idx="16">
                        <c:v>0.27254748287122293</c:v>
                      </c:pt>
                      <c:pt idx="17">
                        <c:v>0.28857968774600073</c:v>
                      </c:pt>
                      <c:pt idx="18">
                        <c:v>0.30461189262077853</c:v>
                      </c:pt>
                      <c:pt idx="19">
                        <c:v>0.32064409749555633</c:v>
                      </c:pt>
                      <c:pt idx="20">
                        <c:v>0.33667630237033414</c:v>
                      </c:pt>
                      <c:pt idx="21">
                        <c:v>0.35270850724511194</c:v>
                      </c:pt>
                      <c:pt idx="22">
                        <c:v>0.36874071211988974</c:v>
                      </c:pt>
                      <c:pt idx="23">
                        <c:v>0.38477291699466754</c:v>
                      </c:pt>
                      <c:pt idx="24">
                        <c:v>0.40080512186944534</c:v>
                      </c:pt>
                      <c:pt idx="25">
                        <c:v>0.41683732674422314</c:v>
                      </c:pt>
                      <c:pt idx="26">
                        <c:v>0.43286953161900094</c:v>
                      </c:pt>
                      <c:pt idx="27">
                        <c:v>0.44890173649377874</c:v>
                      </c:pt>
                      <c:pt idx="28">
                        <c:v>0.46493394136855654</c:v>
                      </c:pt>
                      <c:pt idx="29">
                        <c:v>0.48096614624333434</c:v>
                      </c:pt>
                      <c:pt idx="30">
                        <c:v>0.49699835111811214</c:v>
                      </c:pt>
                      <c:pt idx="31">
                        <c:v>0.51303055599288994</c:v>
                      </c:pt>
                      <c:pt idx="32">
                        <c:v>0.52906276086766779</c:v>
                      </c:pt>
                      <c:pt idx="33">
                        <c:v>0.54509496574244565</c:v>
                      </c:pt>
                      <c:pt idx="34">
                        <c:v>0.5611271706172235</c:v>
                      </c:pt>
                      <c:pt idx="35">
                        <c:v>0.57715937549200136</c:v>
                      </c:pt>
                      <c:pt idx="36">
                        <c:v>0.59319158036677921</c:v>
                      </c:pt>
                      <c:pt idx="37">
                        <c:v>0.60922378524155707</c:v>
                      </c:pt>
                      <c:pt idx="38">
                        <c:v>0.62525599011633493</c:v>
                      </c:pt>
                      <c:pt idx="39">
                        <c:v>0.64128819499111278</c:v>
                      </c:pt>
                      <c:pt idx="40">
                        <c:v>0.65732039986589064</c:v>
                      </c:pt>
                      <c:pt idx="41">
                        <c:v>0.67335260474066849</c:v>
                      </c:pt>
                      <c:pt idx="42">
                        <c:v>0.68938480961544635</c:v>
                      </c:pt>
                      <c:pt idx="43">
                        <c:v>0.7054170144902242</c:v>
                      </c:pt>
                      <c:pt idx="44">
                        <c:v>0.72144921936500206</c:v>
                      </c:pt>
                      <c:pt idx="45">
                        <c:v>0.73748142423977991</c:v>
                      </c:pt>
                      <c:pt idx="46">
                        <c:v>0.75351362911455777</c:v>
                      </c:pt>
                      <c:pt idx="47">
                        <c:v>0.76954583398933563</c:v>
                      </c:pt>
                      <c:pt idx="48">
                        <c:v>0.78557803886411348</c:v>
                      </c:pt>
                      <c:pt idx="49">
                        <c:v>0.80161024373889134</c:v>
                      </c:pt>
                      <c:pt idx="50">
                        <c:v>0.81764244861366919</c:v>
                      </c:pt>
                      <c:pt idx="51">
                        <c:v>0.83367465348844705</c:v>
                      </c:pt>
                    </c:numCache>
                  </c:numRef>
                </c:val>
                <c:smooth val="0"/>
                <c:extLst>
                  <c:ext xmlns:c16="http://schemas.microsoft.com/office/drawing/2014/chart" uri="{C3380CC4-5D6E-409C-BE32-E72D297353CC}">
                    <c16:uniqueId val="{00000004-048A-4E8F-9707-A0825C857EC2}"/>
                  </c:ext>
                </c:extLst>
              </c15:ser>
            </c15:filteredLineSeries>
            <c15:filteredLineSeries>
              <c15:ser>
                <c:idx val="5"/>
                <c:order val="2"/>
                <c:tx>
                  <c:strRef>
                    <c:extLst xmlns:c15="http://schemas.microsoft.com/office/drawing/2012/chart">
                      <c:ext xmlns:c15="http://schemas.microsoft.com/office/drawing/2012/chart" uri="{02D57815-91ED-43cb-92C2-25804820EDAC}">
                        <c15:formulaRef>
                          <c15:sqref>'OZL Summary'!$BP$6:$BP$7</c15:sqref>
                        </c15:formulaRef>
                      </c:ext>
                    </c:extLst>
                    <c:strCache>
                      <c:ptCount val="2"/>
                      <c:pt idx="0">
                        <c:v>1st Percentile</c:v>
                      </c:pt>
                    </c:strCache>
                  </c:strRef>
                </c:tx>
                <c:spPr>
                  <a:ln w="28575" cap="rnd">
                    <a:solidFill>
                      <a:schemeClr val="accent2"/>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Summary'!$BP$8:$BP$60</c15:sqref>
                        </c15:formulaRef>
                      </c:ext>
                    </c:extLst>
                    <c:numCache>
                      <c:formatCode>0.000</c:formatCode>
                      <c:ptCount val="53"/>
                      <c:pt idx="0">
                        <c:v>1.8223138082807688E-2</c:v>
                      </c:pt>
                      <c:pt idx="1">
                        <c:v>3.6446276165615375E-2</c:v>
                      </c:pt>
                      <c:pt idx="2">
                        <c:v>5.4669414248423059E-2</c:v>
                      </c:pt>
                      <c:pt idx="3">
                        <c:v>7.2892552331230751E-2</c:v>
                      </c:pt>
                      <c:pt idx="4">
                        <c:v>9.1115690414038442E-2</c:v>
                      </c:pt>
                      <c:pt idx="5">
                        <c:v>0.10933882849684613</c:v>
                      </c:pt>
                      <c:pt idx="6">
                        <c:v>0.12756196657965382</c:v>
                      </c:pt>
                      <c:pt idx="7">
                        <c:v>0.1457851046624615</c:v>
                      </c:pt>
                      <c:pt idx="8">
                        <c:v>0.16400824274526918</c:v>
                      </c:pt>
                      <c:pt idx="9">
                        <c:v>0.18223138082807686</c:v>
                      </c:pt>
                      <c:pt idx="10">
                        <c:v>0.20045451891088453</c:v>
                      </c:pt>
                      <c:pt idx="11">
                        <c:v>0.21867765699369221</c:v>
                      </c:pt>
                      <c:pt idx="12">
                        <c:v>0.23690079507649989</c:v>
                      </c:pt>
                      <c:pt idx="13">
                        <c:v>0.25512393315930759</c:v>
                      </c:pt>
                      <c:pt idx="14">
                        <c:v>0.27334707124211527</c:v>
                      </c:pt>
                      <c:pt idx="15">
                        <c:v>0.29157020932492295</c:v>
                      </c:pt>
                      <c:pt idx="16">
                        <c:v>0.30979334740773062</c:v>
                      </c:pt>
                      <c:pt idx="17">
                        <c:v>0.3280164854905383</c:v>
                      </c:pt>
                      <c:pt idx="18">
                        <c:v>0.34623962357334598</c:v>
                      </c:pt>
                      <c:pt idx="19">
                        <c:v>0.36446276165615366</c:v>
                      </c:pt>
                      <c:pt idx="20">
                        <c:v>0.38268589973896133</c:v>
                      </c:pt>
                      <c:pt idx="21">
                        <c:v>0.40090903782176901</c:v>
                      </c:pt>
                      <c:pt idx="22">
                        <c:v>0.41913217590457669</c:v>
                      </c:pt>
                      <c:pt idx="23">
                        <c:v>0.43735531398738436</c:v>
                      </c:pt>
                      <c:pt idx="24">
                        <c:v>0.45557845207019204</c:v>
                      </c:pt>
                      <c:pt idx="25">
                        <c:v>0.47380159015299972</c:v>
                      </c:pt>
                      <c:pt idx="26">
                        <c:v>0.4920247282358074</c:v>
                      </c:pt>
                      <c:pt idx="27">
                        <c:v>0.51024786631861507</c:v>
                      </c:pt>
                      <c:pt idx="28">
                        <c:v>0.52847100440142281</c:v>
                      </c:pt>
                      <c:pt idx="29">
                        <c:v>0.54669414248423054</c:v>
                      </c:pt>
                      <c:pt idx="30">
                        <c:v>0.56491728056703827</c:v>
                      </c:pt>
                      <c:pt idx="31">
                        <c:v>0.583140418649846</c:v>
                      </c:pt>
                      <c:pt idx="32">
                        <c:v>0.60136355673265374</c:v>
                      </c:pt>
                      <c:pt idx="33">
                        <c:v>0.61958669481546147</c:v>
                      </c:pt>
                      <c:pt idx="34">
                        <c:v>0.6378098328982692</c:v>
                      </c:pt>
                      <c:pt idx="35">
                        <c:v>0.65603297098107693</c:v>
                      </c:pt>
                      <c:pt idx="36">
                        <c:v>0.67425610906388467</c:v>
                      </c:pt>
                      <c:pt idx="37">
                        <c:v>0.6924792471466924</c:v>
                      </c:pt>
                      <c:pt idx="38">
                        <c:v>0.71070238522950013</c:v>
                      </c:pt>
                      <c:pt idx="39">
                        <c:v>0.72892552331230787</c:v>
                      </c:pt>
                      <c:pt idx="40">
                        <c:v>0.7471486613951156</c:v>
                      </c:pt>
                      <c:pt idx="41">
                        <c:v>0.76537179947792333</c:v>
                      </c:pt>
                      <c:pt idx="42">
                        <c:v>0.78359493756073106</c:v>
                      </c:pt>
                      <c:pt idx="43">
                        <c:v>0.8018180756435388</c:v>
                      </c:pt>
                      <c:pt idx="44">
                        <c:v>0.82004121372634653</c:v>
                      </c:pt>
                      <c:pt idx="45">
                        <c:v>0.83826435180915426</c:v>
                      </c:pt>
                      <c:pt idx="46">
                        <c:v>0.85648748989196199</c:v>
                      </c:pt>
                      <c:pt idx="47">
                        <c:v>0.87471062797476973</c:v>
                      </c:pt>
                      <c:pt idx="48">
                        <c:v>0.89293376605757746</c:v>
                      </c:pt>
                      <c:pt idx="49">
                        <c:v>0.91115690414038519</c:v>
                      </c:pt>
                      <c:pt idx="50">
                        <c:v>0.92938004222319293</c:v>
                      </c:pt>
                      <c:pt idx="51">
                        <c:v>0.94760318030600066</c:v>
                      </c:pt>
                    </c:numCache>
                  </c:numRef>
                </c:val>
                <c:smooth val="0"/>
                <c:extLst xmlns:c15="http://schemas.microsoft.com/office/drawing/2012/chart">
                  <c:ext xmlns:c16="http://schemas.microsoft.com/office/drawing/2014/chart" uri="{C3380CC4-5D6E-409C-BE32-E72D297353CC}">
                    <c16:uniqueId val="{00000005-048A-4E8F-9707-A0825C857EC2}"/>
                  </c:ext>
                </c:extLst>
              </c15:ser>
            </c15:filteredLineSeries>
            <c15:filteredLineSeries>
              <c15:ser>
                <c:idx val="7"/>
                <c:order val="3"/>
                <c:tx>
                  <c:strRef>
                    <c:extLst xmlns:c15="http://schemas.microsoft.com/office/drawing/2012/chart">
                      <c:ext xmlns:c15="http://schemas.microsoft.com/office/drawing/2012/chart" uri="{02D57815-91ED-43cb-92C2-25804820EDAC}">
                        <c15:formulaRef>
                          <c15:sqref>'OZL Summary'!$BQ$6:$BQ$7</c15:sqref>
                        </c15:formulaRef>
                      </c:ext>
                    </c:extLst>
                    <c:strCache>
                      <c:ptCount val="2"/>
                      <c:pt idx="0">
                        <c:v>5th Percentile</c:v>
                      </c:pt>
                    </c:strCache>
                  </c:strRef>
                </c:tx>
                <c:spPr>
                  <a:ln w="28575" cap="rnd">
                    <a:solidFill>
                      <a:schemeClr val="bg2"/>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Summary'!$BQ$8:$BQ$60</c15:sqref>
                        </c15:formulaRef>
                      </c:ext>
                    </c:extLst>
                    <c:numCache>
                      <c:formatCode>0.000</c:formatCode>
                      <c:ptCount val="53"/>
                      <c:pt idx="0">
                        <c:v>1.9443728141978436E-2</c:v>
                      </c:pt>
                      <c:pt idx="1">
                        <c:v>3.8887456283956873E-2</c:v>
                      </c:pt>
                      <c:pt idx="2">
                        <c:v>5.8331184425935309E-2</c:v>
                      </c:pt>
                      <c:pt idx="3">
                        <c:v>7.7774912567913745E-2</c:v>
                      </c:pt>
                      <c:pt idx="4">
                        <c:v>9.7218640709892182E-2</c:v>
                      </c:pt>
                      <c:pt idx="5">
                        <c:v>0.11666236885187062</c:v>
                      </c:pt>
                      <c:pt idx="6">
                        <c:v>0.13610609699384907</c:v>
                      </c:pt>
                      <c:pt idx="7">
                        <c:v>0.15554982513582749</c:v>
                      </c:pt>
                      <c:pt idx="8">
                        <c:v>0.17499355327780591</c:v>
                      </c:pt>
                      <c:pt idx="9">
                        <c:v>0.19443728141978434</c:v>
                      </c:pt>
                      <c:pt idx="10">
                        <c:v>0.21388100956176276</c:v>
                      </c:pt>
                      <c:pt idx="11">
                        <c:v>0.23332473770374118</c:v>
                      </c:pt>
                      <c:pt idx="12">
                        <c:v>0.2527684658457196</c:v>
                      </c:pt>
                      <c:pt idx="13">
                        <c:v>0.27221219398769803</c:v>
                      </c:pt>
                      <c:pt idx="14">
                        <c:v>0.29165592212967645</c:v>
                      </c:pt>
                      <c:pt idx="15">
                        <c:v>0.31109965027165487</c:v>
                      </c:pt>
                      <c:pt idx="16">
                        <c:v>0.33054337841363329</c:v>
                      </c:pt>
                      <c:pt idx="17">
                        <c:v>0.34998710655561172</c:v>
                      </c:pt>
                      <c:pt idx="18">
                        <c:v>0.36943083469759014</c:v>
                      </c:pt>
                      <c:pt idx="19">
                        <c:v>0.38887456283956856</c:v>
                      </c:pt>
                      <c:pt idx="20">
                        <c:v>0.40831829098154698</c:v>
                      </c:pt>
                      <c:pt idx="21">
                        <c:v>0.42776201912352541</c:v>
                      </c:pt>
                      <c:pt idx="22">
                        <c:v>0.44720574726550383</c:v>
                      </c:pt>
                      <c:pt idx="23">
                        <c:v>0.46664947540748225</c:v>
                      </c:pt>
                      <c:pt idx="24">
                        <c:v>0.48609320354946067</c:v>
                      </c:pt>
                      <c:pt idx="25">
                        <c:v>0.5055369316914391</c:v>
                      </c:pt>
                      <c:pt idx="26">
                        <c:v>0.52498065983341757</c:v>
                      </c:pt>
                      <c:pt idx="27">
                        <c:v>0.54442438797539605</c:v>
                      </c:pt>
                      <c:pt idx="28">
                        <c:v>0.56386811611737453</c:v>
                      </c:pt>
                      <c:pt idx="29">
                        <c:v>0.58331184425935301</c:v>
                      </c:pt>
                      <c:pt idx="30">
                        <c:v>0.60275557240133149</c:v>
                      </c:pt>
                      <c:pt idx="31">
                        <c:v>0.62219930054330996</c:v>
                      </c:pt>
                      <c:pt idx="32">
                        <c:v>0.64164302868528844</c:v>
                      </c:pt>
                      <c:pt idx="33">
                        <c:v>0.66108675682726692</c:v>
                      </c:pt>
                      <c:pt idx="34">
                        <c:v>0.6805304849692454</c:v>
                      </c:pt>
                      <c:pt idx="35">
                        <c:v>0.69997421311122388</c:v>
                      </c:pt>
                      <c:pt idx="36">
                        <c:v>0.71941794125320235</c:v>
                      </c:pt>
                      <c:pt idx="37">
                        <c:v>0.73886166939518083</c:v>
                      </c:pt>
                      <c:pt idx="38">
                        <c:v>0.75830539753715931</c:v>
                      </c:pt>
                      <c:pt idx="39">
                        <c:v>0.77774912567913779</c:v>
                      </c:pt>
                      <c:pt idx="40">
                        <c:v>0.79719285382111627</c:v>
                      </c:pt>
                      <c:pt idx="41">
                        <c:v>0.81663658196309474</c:v>
                      </c:pt>
                      <c:pt idx="42">
                        <c:v>0.83608031010507322</c:v>
                      </c:pt>
                      <c:pt idx="43">
                        <c:v>0.8555240382470517</c:v>
                      </c:pt>
                      <c:pt idx="44">
                        <c:v>0.87496776638903018</c:v>
                      </c:pt>
                      <c:pt idx="45">
                        <c:v>0.89441149453100866</c:v>
                      </c:pt>
                      <c:pt idx="46">
                        <c:v>0.91385522267298713</c:v>
                      </c:pt>
                      <c:pt idx="47">
                        <c:v>0.93329895081496561</c:v>
                      </c:pt>
                      <c:pt idx="48">
                        <c:v>0.95274267895694409</c:v>
                      </c:pt>
                      <c:pt idx="49">
                        <c:v>0.97218640709892257</c:v>
                      </c:pt>
                      <c:pt idx="50">
                        <c:v>0.99163013524090105</c:v>
                      </c:pt>
                      <c:pt idx="51">
                        <c:v>1.0110738633828795</c:v>
                      </c:pt>
                    </c:numCache>
                  </c:numRef>
                </c:val>
                <c:smooth val="0"/>
                <c:extLst xmlns:c15="http://schemas.microsoft.com/office/drawing/2012/chart">
                  <c:ext xmlns:c16="http://schemas.microsoft.com/office/drawing/2014/chart" uri="{C3380CC4-5D6E-409C-BE32-E72D297353CC}">
                    <c16:uniqueId val="{00000006-048A-4E8F-9707-A0825C857EC2}"/>
                  </c:ext>
                </c:extLst>
              </c15:ser>
            </c15:filteredLineSeries>
            <c15:filteredLineSeries>
              <c15:ser>
                <c:idx val="2"/>
                <c:order val="5"/>
                <c:tx>
                  <c:strRef>
                    <c:extLst xmlns:c15="http://schemas.microsoft.com/office/drawing/2012/chart">
                      <c:ext xmlns:c15="http://schemas.microsoft.com/office/drawing/2012/chart" uri="{02D57815-91ED-43cb-92C2-25804820EDAC}">
                        <c15:formulaRef>
                          <c15:sqref>'OZL Summary'!$BS$6:$BS$7</c15:sqref>
                        </c15:formulaRef>
                      </c:ext>
                    </c:extLst>
                    <c:strCache>
                      <c:ptCount val="2"/>
                      <c:pt idx="0">
                        <c:v>25th Percentile</c:v>
                      </c:pt>
                    </c:strCache>
                  </c:strRef>
                </c:tx>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Summary'!$BS$8:$BS$60</c15:sqref>
                        </c15:formulaRef>
                      </c:ext>
                    </c:extLst>
                    <c:numCache>
                      <c:formatCode>0.000</c:formatCode>
                      <c:ptCount val="53"/>
                      <c:pt idx="0">
                        <c:v>2.1609953490484776E-2</c:v>
                      </c:pt>
                      <c:pt idx="1">
                        <c:v>4.3219906980969551E-2</c:v>
                      </c:pt>
                      <c:pt idx="2">
                        <c:v>6.4829860471454323E-2</c:v>
                      </c:pt>
                      <c:pt idx="3">
                        <c:v>8.6439813961939102E-2</c:v>
                      </c:pt>
                      <c:pt idx="4">
                        <c:v>0.10804976745242388</c:v>
                      </c:pt>
                      <c:pt idx="5">
                        <c:v>0.12965972094290865</c:v>
                      </c:pt>
                      <c:pt idx="6">
                        <c:v>0.15126967443339343</c:v>
                      </c:pt>
                      <c:pt idx="7">
                        <c:v>0.1728796279238782</c:v>
                      </c:pt>
                      <c:pt idx="8">
                        <c:v>0.19448958141436298</c:v>
                      </c:pt>
                      <c:pt idx="9">
                        <c:v>0.21609953490484776</c:v>
                      </c:pt>
                      <c:pt idx="10">
                        <c:v>0.23770948839533254</c:v>
                      </c:pt>
                      <c:pt idx="11">
                        <c:v>0.25931944188581729</c:v>
                      </c:pt>
                      <c:pt idx="12">
                        <c:v>0.28092939537630207</c:v>
                      </c:pt>
                      <c:pt idx="13">
                        <c:v>0.30253934886678685</c:v>
                      </c:pt>
                      <c:pt idx="14">
                        <c:v>0.32414930235727163</c:v>
                      </c:pt>
                      <c:pt idx="15">
                        <c:v>0.34575925584775641</c:v>
                      </c:pt>
                      <c:pt idx="16">
                        <c:v>0.36736920933824119</c:v>
                      </c:pt>
                      <c:pt idx="17">
                        <c:v>0.38897916282872597</c:v>
                      </c:pt>
                      <c:pt idx="18">
                        <c:v>0.41058911631921075</c:v>
                      </c:pt>
                      <c:pt idx="19">
                        <c:v>0.43219906980969552</c:v>
                      </c:pt>
                      <c:pt idx="20">
                        <c:v>0.4538090233001803</c:v>
                      </c:pt>
                      <c:pt idx="21">
                        <c:v>0.47541897679066508</c:v>
                      </c:pt>
                      <c:pt idx="22">
                        <c:v>0.49702893028114986</c:v>
                      </c:pt>
                      <c:pt idx="23">
                        <c:v>0.51863888377163458</c:v>
                      </c:pt>
                      <c:pt idx="24">
                        <c:v>0.54024883726211936</c:v>
                      </c:pt>
                      <c:pt idx="25">
                        <c:v>0.56185879075260414</c:v>
                      </c:pt>
                      <c:pt idx="26">
                        <c:v>0.58346874424308892</c:v>
                      </c:pt>
                      <c:pt idx="27">
                        <c:v>0.6050786977335737</c:v>
                      </c:pt>
                      <c:pt idx="28">
                        <c:v>0.62668865122405848</c:v>
                      </c:pt>
                      <c:pt idx="29">
                        <c:v>0.64829860471454326</c:v>
                      </c:pt>
                      <c:pt idx="30">
                        <c:v>0.66990855820502804</c:v>
                      </c:pt>
                      <c:pt idx="31">
                        <c:v>0.69151851169551282</c:v>
                      </c:pt>
                      <c:pt idx="32">
                        <c:v>0.7131284651859976</c:v>
                      </c:pt>
                      <c:pt idx="33">
                        <c:v>0.73473841867648237</c:v>
                      </c:pt>
                      <c:pt idx="34">
                        <c:v>0.75634837216696715</c:v>
                      </c:pt>
                      <c:pt idx="35">
                        <c:v>0.77795832565745193</c:v>
                      </c:pt>
                      <c:pt idx="36">
                        <c:v>0.79956827914793671</c:v>
                      </c:pt>
                      <c:pt idx="37">
                        <c:v>0.82117823263842149</c:v>
                      </c:pt>
                      <c:pt idx="38">
                        <c:v>0.84278818612890627</c:v>
                      </c:pt>
                      <c:pt idx="39">
                        <c:v>0.86439813961939105</c:v>
                      </c:pt>
                      <c:pt idx="40">
                        <c:v>0.88600809310987583</c:v>
                      </c:pt>
                      <c:pt idx="41">
                        <c:v>0.90761804660036061</c:v>
                      </c:pt>
                      <c:pt idx="42">
                        <c:v>0.92922800009084539</c:v>
                      </c:pt>
                      <c:pt idx="43">
                        <c:v>0.95083795358133016</c:v>
                      </c:pt>
                      <c:pt idx="44">
                        <c:v>0.97244790707181494</c:v>
                      </c:pt>
                      <c:pt idx="45">
                        <c:v>0.99405786056229972</c:v>
                      </c:pt>
                      <c:pt idx="46">
                        <c:v>1.0156678140527844</c:v>
                      </c:pt>
                      <c:pt idx="47">
                        <c:v>1.0372777675432692</c:v>
                      </c:pt>
                      <c:pt idx="48">
                        <c:v>1.0588877210337539</c:v>
                      </c:pt>
                      <c:pt idx="49">
                        <c:v>1.0804976745242387</c:v>
                      </c:pt>
                      <c:pt idx="50">
                        <c:v>1.1021076280147235</c:v>
                      </c:pt>
                      <c:pt idx="51">
                        <c:v>1.1237175815052083</c:v>
                      </c:pt>
                    </c:numCache>
                  </c:numRef>
                </c:val>
                <c:smooth val="0"/>
                <c:extLst xmlns:c15="http://schemas.microsoft.com/office/drawing/2012/chart">
                  <c:ext xmlns:c16="http://schemas.microsoft.com/office/drawing/2014/chart" uri="{C3380CC4-5D6E-409C-BE32-E72D297353CC}">
                    <c16:uniqueId val="{00000007-048A-4E8F-9707-A0825C857EC2}"/>
                  </c:ext>
                </c:extLst>
              </c15:ser>
            </c15:filteredLineSeries>
            <c15:filteredLineSeries>
              <c15:ser>
                <c:idx val="6"/>
                <c:order val="7"/>
                <c:tx>
                  <c:strRef>
                    <c:extLst xmlns:c15="http://schemas.microsoft.com/office/drawing/2012/chart">
                      <c:ext xmlns:c15="http://schemas.microsoft.com/office/drawing/2012/chart" uri="{02D57815-91ED-43cb-92C2-25804820EDAC}">
                        <c15:formulaRef>
                          <c15:sqref>'OZL Summary'!$BU$6:$BU$7</c15:sqref>
                        </c15:formulaRef>
                      </c:ext>
                    </c:extLst>
                    <c:strCache>
                      <c:ptCount val="2"/>
                      <c:pt idx="0">
                        <c:v>75th Percentile</c:v>
                      </c:pt>
                    </c:strCache>
                  </c:strRef>
                </c:tx>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Summary'!$BU$8:$BU$60</c15:sqref>
                        </c15:formulaRef>
                      </c:ext>
                    </c:extLst>
                    <c:numCache>
                      <c:formatCode>0.000</c:formatCode>
                      <c:ptCount val="53"/>
                      <c:pt idx="0">
                        <c:v>2.5540580974329746E-2</c:v>
                      </c:pt>
                      <c:pt idx="1">
                        <c:v>5.1081161948659491E-2</c:v>
                      </c:pt>
                      <c:pt idx="2">
                        <c:v>7.6621742922989233E-2</c:v>
                      </c:pt>
                      <c:pt idx="3">
                        <c:v>0.10216232389731898</c:v>
                      </c:pt>
                      <c:pt idx="4">
                        <c:v>0.12770290487164873</c:v>
                      </c:pt>
                      <c:pt idx="5">
                        <c:v>0.15324348584597847</c:v>
                      </c:pt>
                      <c:pt idx="6">
                        <c:v>0.1787840668203082</c:v>
                      </c:pt>
                      <c:pt idx="7">
                        <c:v>0.20432464779463794</c:v>
                      </c:pt>
                      <c:pt idx="8">
                        <c:v>0.22986522876896767</c:v>
                      </c:pt>
                      <c:pt idx="9">
                        <c:v>0.25540580974329741</c:v>
                      </c:pt>
                      <c:pt idx="10">
                        <c:v>0.28094639071762717</c:v>
                      </c:pt>
                      <c:pt idx="11">
                        <c:v>0.30648697169195693</c:v>
                      </c:pt>
                      <c:pt idx="12">
                        <c:v>0.3320275526662867</c:v>
                      </c:pt>
                      <c:pt idx="13">
                        <c:v>0.35756813364061646</c:v>
                      </c:pt>
                      <c:pt idx="14">
                        <c:v>0.38310871461494622</c:v>
                      </c:pt>
                      <c:pt idx="15">
                        <c:v>0.40864929558927598</c:v>
                      </c:pt>
                      <c:pt idx="16">
                        <c:v>0.43418987656360575</c:v>
                      </c:pt>
                      <c:pt idx="17">
                        <c:v>0.45973045753793551</c:v>
                      </c:pt>
                      <c:pt idx="18">
                        <c:v>0.48527103851226527</c:v>
                      </c:pt>
                      <c:pt idx="19">
                        <c:v>0.51081161948659504</c:v>
                      </c:pt>
                      <c:pt idx="20">
                        <c:v>0.5363522004609248</c:v>
                      </c:pt>
                      <c:pt idx="21">
                        <c:v>0.56189278143525456</c:v>
                      </c:pt>
                      <c:pt idx="22">
                        <c:v>0.58743336240958433</c:v>
                      </c:pt>
                      <c:pt idx="23">
                        <c:v>0.61297394338391409</c:v>
                      </c:pt>
                      <c:pt idx="24">
                        <c:v>0.63851452435824385</c:v>
                      </c:pt>
                      <c:pt idx="25">
                        <c:v>0.66405510533257361</c:v>
                      </c:pt>
                      <c:pt idx="26">
                        <c:v>0.68959568630690338</c:v>
                      </c:pt>
                      <c:pt idx="27">
                        <c:v>0.71513626728123314</c:v>
                      </c:pt>
                      <c:pt idx="28">
                        <c:v>0.7406768482555629</c:v>
                      </c:pt>
                      <c:pt idx="29">
                        <c:v>0.76621742922989267</c:v>
                      </c:pt>
                      <c:pt idx="30">
                        <c:v>0.79175801020422243</c:v>
                      </c:pt>
                      <c:pt idx="31">
                        <c:v>0.81729859117855219</c:v>
                      </c:pt>
                      <c:pt idx="32">
                        <c:v>0.84283917215288195</c:v>
                      </c:pt>
                      <c:pt idx="33">
                        <c:v>0.86837975312721172</c:v>
                      </c:pt>
                      <c:pt idx="34">
                        <c:v>0.89392033410154148</c:v>
                      </c:pt>
                      <c:pt idx="35">
                        <c:v>0.91946091507587124</c:v>
                      </c:pt>
                      <c:pt idx="36">
                        <c:v>0.94500149605020101</c:v>
                      </c:pt>
                      <c:pt idx="37">
                        <c:v>0.97054207702453077</c:v>
                      </c:pt>
                      <c:pt idx="38">
                        <c:v>0.99608265799886053</c:v>
                      </c:pt>
                      <c:pt idx="39">
                        <c:v>1.0216232389731903</c:v>
                      </c:pt>
                      <c:pt idx="40">
                        <c:v>1.0471638199475199</c:v>
                      </c:pt>
                      <c:pt idx="41">
                        <c:v>1.0727044009218496</c:v>
                      </c:pt>
                      <c:pt idx="42">
                        <c:v>1.0982449818961793</c:v>
                      </c:pt>
                      <c:pt idx="43">
                        <c:v>1.1237855628705089</c:v>
                      </c:pt>
                      <c:pt idx="44">
                        <c:v>1.1493261438448386</c:v>
                      </c:pt>
                      <c:pt idx="45">
                        <c:v>1.1748667248191682</c:v>
                      </c:pt>
                      <c:pt idx="46">
                        <c:v>1.2004073057934979</c:v>
                      </c:pt>
                      <c:pt idx="47">
                        <c:v>1.2259478867678275</c:v>
                      </c:pt>
                      <c:pt idx="48">
                        <c:v>1.2514884677421572</c:v>
                      </c:pt>
                      <c:pt idx="49">
                        <c:v>1.2770290487164868</c:v>
                      </c:pt>
                      <c:pt idx="50">
                        <c:v>1.3025696296908165</c:v>
                      </c:pt>
                      <c:pt idx="51">
                        <c:v>1.3281102106651461</c:v>
                      </c:pt>
                    </c:numCache>
                  </c:numRef>
                </c:val>
                <c:smooth val="0"/>
                <c:extLst xmlns:c15="http://schemas.microsoft.com/office/drawing/2012/chart">
                  <c:ext xmlns:c16="http://schemas.microsoft.com/office/drawing/2014/chart" uri="{C3380CC4-5D6E-409C-BE32-E72D297353CC}">
                    <c16:uniqueId val="{00000008-048A-4E8F-9707-A0825C857EC2}"/>
                  </c:ext>
                </c:extLst>
              </c15:ser>
            </c15:filteredLineSeries>
            <c15:filteredLineSeries>
              <c15:ser>
                <c:idx val="9"/>
                <c:order val="9"/>
                <c:tx>
                  <c:strRef>
                    <c:extLst xmlns:c15="http://schemas.microsoft.com/office/drawing/2012/chart">
                      <c:ext xmlns:c15="http://schemas.microsoft.com/office/drawing/2012/chart" uri="{02D57815-91ED-43cb-92C2-25804820EDAC}">
                        <c15:formulaRef>
                          <c15:sqref>'OZL Summary'!$BW$6:$BW$7</c15:sqref>
                        </c15:formulaRef>
                      </c:ext>
                    </c:extLst>
                    <c:strCache>
                      <c:ptCount val="2"/>
                      <c:pt idx="0">
                        <c:v>95th Percentile</c:v>
                      </c:pt>
                    </c:strCache>
                  </c:strRef>
                </c:tx>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Summary'!$BW$8:$BW$60</c15:sqref>
                        </c15:formulaRef>
                      </c:ext>
                    </c:extLst>
                    <c:numCache>
                      <c:formatCode>0.000</c:formatCode>
                      <c:ptCount val="53"/>
                      <c:pt idx="0">
                        <c:v>2.9126260596895739E-2</c:v>
                      </c:pt>
                      <c:pt idx="1">
                        <c:v>5.8252521193791477E-2</c:v>
                      </c:pt>
                      <c:pt idx="2">
                        <c:v>8.7378781790687213E-2</c:v>
                      </c:pt>
                      <c:pt idx="3">
                        <c:v>0.11650504238758295</c:v>
                      </c:pt>
                      <c:pt idx="4">
                        <c:v>0.14563130298447868</c:v>
                      </c:pt>
                      <c:pt idx="5">
                        <c:v>0.17475756358137443</c:v>
                      </c:pt>
                      <c:pt idx="6">
                        <c:v>0.20388382417827017</c:v>
                      </c:pt>
                      <c:pt idx="7">
                        <c:v>0.23301008477516591</c:v>
                      </c:pt>
                      <c:pt idx="8">
                        <c:v>0.26213634537206165</c:v>
                      </c:pt>
                      <c:pt idx="9">
                        <c:v>0.29126260596895737</c:v>
                      </c:pt>
                      <c:pt idx="10">
                        <c:v>0.32038886656585308</c:v>
                      </c:pt>
                      <c:pt idx="11">
                        <c:v>0.3495151271627488</c:v>
                      </c:pt>
                      <c:pt idx="12">
                        <c:v>0.37864138775964451</c:v>
                      </c:pt>
                      <c:pt idx="13">
                        <c:v>0.40776764835654022</c:v>
                      </c:pt>
                      <c:pt idx="14">
                        <c:v>0.43689390895343594</c:v>
                      </c:pt>
                      <c:pt idx="15">
                        <c:v>0.46602016955033165</c:v>
                      </c:pt>
                      <c:pt idx="16">
                        <c:v>0.49514643014722737</c:v>
                      </c:pt>
                      <c:pt idx="17">
                        <c:v>0.52427269074412308</c:v>
                      </c:pt>
                      <c:pt idx="18">
                        <c:v>0.5533989513410188</c:v>
                      </c:pt>
                      <c:pt idx="19">
                        <c:v>0.58252521193791451</c:v>
                      </c:pt>
                      <c:pt idx="20">
                        <c:v>0.61165147253481023</c:v>
                      </c:pt>
                      <c:pt idx="21">
                        <c:v>0.64077773313170594</c:v>
                      </c:pt>
                      <c:pt idx="22">
                        <c:v>0.66990399372860165</c:v>
                      </c:pt>
                      <c:pt idx="23">
                        <c:v>0.69903025432549737</c:v>
                      </c:pt>
                      <c:pt idx="24">
                        <c:v>0.72815651492239308</c:v>
                      </c:pt>
                      <c:pt idx="25">
                        <c:v>0.7572827755192888</c:v>
                      </c:pt>
                      <c:pt idx="26">
                        <c:v>0.78640903611618451</c:v>
                      </c:pt>
                      <c:pt idx="27">
                        <c:v>0.81553529671308023</c:v>
                      </c:pt>
                      <c:pt idx="28">
                        <c:v>0.84466155730997594</c:v>
                      </c:pt>
                      <c:pt idx="29">
                        <c:v>0.87378781790687166</c:v>
                      </c:pt>
                      <c:pt idx="30">
                        <c:v>0.90291407850376737</c:v>
                      </c:pt>
                      <c:pt idx="31">
                        <c:v>0.93204033910066308</c:v>
                      </c:pt>
                      <c:pt idx="32">
                        <c:v>0.9611665996975588</c:v>
                      </c:pt>
                      <c:pt idx="33">
                        <c:v>0.99029286029445451</c:v>
                      </c:pt>
                      <c:pt idx="34">
                        <c:v>1.0194191208913503</c:v>
                      </c:pt>
                      <c:pt idx="35">
                        <c:v>1.0485453814882462</c:v>
                      </c:pt>
                      <c:pt idx="36">
                        <c:v>1.077671642085142</c:v>
                      </c:pt>
                      <c:pt idx="37">
                        <c:v>1.1067979026820378</c:v>
                      </c:pt>
                      <c:pt idx="38">
                        <c:v>1.1359241632789336</c:v>
                      </c:pt>
                      <c:pt idx="39">
                        <c:v>1.1650504238758295</c:v>
                      </c:pt>
                      <c:pt idx="40">
                        <c:v>1.1941766844727253</c:v>
                      </c:pt>
                      <c:pt idx="41">
                        <c:v>1.2233029450696211</c:v>
                      </c:pt>
                      <c:pt idx="42">
                        <c:v>1.2524292056665169</c:v>
                      </c:pt>
                      <c:pt idx="43">
                        <c:v>1.2815554662634128</c:v>
                      </c:pt>
                      <c:pt idx="44">
                        <c:v>1.3106817268603086</c:v>
                      </c:pt>
                      <c:pt idx="45">
                        <c:v>1.3398079874572044</c:v>
                      </c:pt>
                      <c:pt idx="46">
                        <c:v>1.3689342480541002</c:v>
                      </c:pt>
                      <c:pt idx="47">
                        <c:v>1.3980605086509961</c:v>
                      </c:pt>
                      <c:pt idx="48">
                        <c:v>1.4271867692478919</c:v>
                      </c:pt>
                      <c:pt idx="49">
                        <c:v>1.4563130298447877</c:v>
                      </c:pt>
                      <c:pt idx="50">
                        <c:v>1.4854392904416835</c:v>
                      </c:pt>
                      <c:pt idx="51">
                        <c:v>1.5145655510385794</c:v>
                      </c:pt>
                    </c:numCache>
                  </c:numRef>
                </c:val>
                <c:smooth val="0"/>
                <c:extLst xmlns:c15="http://schemas.microsoft.com/office/drawing/2012/chart">
                  <c:ext xmlns:c16="http://schemas.microsoft.com/office/drawing/2014/chart" uri="{C3380CC4-5D6E-409C-BE32-E72D297353CC}">
                    <c16:uniqueId val="{00000009-048A-4E8F-9707-A0825C857EC2}"/>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'OZL Summary'!$BX$6:$BX$7</c15:sqref>
                        </c15:formulaRef>
                      </c:ext>
                    </c:extLst>
                    <c:strCache>
                      <c:ptCount val="2"/>
                      <c:pt idx="0">
                        <c:v>99th Percentile</c:v>
                      </c:pt>
                    </c:strCache>
                  </c:strRef>
                </c:tx>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Summary'!$BX$8:$BX$60</c15:sqref>
                        </c15:formulaRef>
                      </c:ext>
                    </c:extLst>
                    <c:numCache>
                      <c:formatCode>0.000</c:formatCode>
                      <c:ptCount val="53"/>
                      <c:pt idx="0">
                        <c:v>3.2006943607976859E-2</c:v>
                      </c:pt>
                      <c:pt idx="1">
                        <c:v>6.4013887215953719E-2</c:v>
                      </c:pt>
                      <c:pt idx="2">
                        <c:v>9.6020830823930578E-2</c:v>
                      </c:pt>
                      <c:pt idx="3">
                        <c:v>0.12802777443190744</c:v>
                      </c:pt>
                      <c:pt idx="4">
                        <c:v>0.16003471803988428</c:v>
                      </c:pt>
                      <c:pt idx="5">
                        <c:v>0.19204166164786113</c:v>
                      </c:pt>
                      <c:pt idx="6">
                        <c:v>0.22404860525583797</c:v>
                      </c:pt>
                      <c:pt idx="7">
                        <c:v>0.25605554886381482</c:v>
                      </c:pt>
                      <c:pt idx="8">
                        <c:v>0.28806249247179166</c:v>
                      </c:pt>
                      <c:pt idx="9">
                        <c:v>0.32006943607976851</c:v>
                      </c:pt>
                      <c:pt idx="10">
                        <c:v>0.35207637968774536</c:v>
                      </c:pt>
                      <c:pt idx="11">
                        <c:v>0.3840833232957222</c:v>
                      </c:pt>
                      <c:pt idx="12">
                        <c:v>0.41609026690369905</c:v>
                      </c:pt>
                      <c:pt idx="13">
                        <c:v>0.44809721051167589</c:v>
                      </c:pt>
                      <c:pt idx="14">
                        <c:v>0.48010415411965274</c:v>
                      </c:pt>
                      <c:pt idx="15">
                        <c:v>0.51211109772762964</c:v>
                      </c:pt>
                      <c:pt idx="16">
                        <c:v>0.54411804133560648</c:v>
                      </c:pt>
                      <c:pt idx="17">
                        <c:v>0.57612498494358333</c:v>
                      </c:pt>
                      <c:pt idx="18">
                        <c:v>0.60813192855156017</c:v>
                      </c:pt>
                      <c:pt idx="19">
                        <c:v>0.64013887215953702</c:v>
                      </c:pt>
                      <c:pt idx="20">
                        <c:v>0.67214581576751387</c:v>
                      </c:pt>
                      <c:pt idx="21">
                        <c:v>0.70415275937549071</c:v>
                      </c:pt>
                      <c:pt idx="22">
                        <c:v>0.73615970298346756</c:v>
                      </c:pt>
                      <c:pt idx="23">
                        <c:v>0.7681666465914444</c:v>
                      </c:pt>
                      <c:pt idx="24">
                        <c:v>0.80017359019942125</c:v>
                      </c:pt>
                      <c:pt idx="25">
                        <c:v>0.83218053380739809</c:v>
                      </c:pt>
                      <c:pt idx="26">
                        <c:v>0.86418747741537494</c:v>
                      </c:pt>
                      <c:pt idx="27">
                        <c:v>0.89619442102335178</c:v>
                      </c:pt>
                      <c:pt idx="28">
                        <c:v>0.92820136463132863</c:v>
                      </c:pt>
                      <c:pt idx="29">
                        <c:v>0.96020830823930547</c:v>
                      </c:pt>
                      <c:pt idx="30">
                        <c:v>0.99221525184728232</c:v>
                      </c:pt>
                      <c:pt idx="31">
                        <c:v>1.0242221954552593</c:v>
                      </c:pt>
                      <c:pt idx="32">
                        <c:v>1.0562291390632361</c:v>
                      </c:pt>
                      <c:pt idx="33">
                        <c:v>1.088236082671213</c:v>
                      </c:pt>
                      <c:pt idx="34">
                        <c:v>1.1202430262791898</c:v>
                      </c:pt>
                      <c:pt idx="35">
                        <c:v>1.1522499698871667</c:v>
                      </c:pt>
                      <c:pt idx="36">
                        <c:v>1.1842569134951435</c:v>
                      </c:pt>
                      <c:pt idx="37">
                        <c:v>1.2162638571031203</c:v>
                      </c:pt>
                      <c:pt idx="38">
                        <c:v>1.2482708007110972</c:v>
                      </c:pt>
                      <c:pt idx="39">
                        <c:v>1.280277744319074</c:v>
                      </c:pt>
                      <c:pt idx="40">
                        <c:v>1.3122846879270509</c:v>
                      </c:pt>
                      <c:pt idx="41">
                        <c:v>1.3442916315350277</c:v>
                      </c:pt>
                      <c:pt idx="42">
                        <c:v>1.3762985751430046</c:v>
                      </c:pt>
                      <c:pt idx="43">
                        <c:v>1.4083055187509814</c:v>
                      </c:pt>
                      <c:pt idx="44">
                        <c:v>1.4403124623589583</c:v>
                      </c:pt>
                      <c:pt idx="45">
                        <c:v>1.4723194059669351</c:v>
                      </c:pt>
                      <c:pt idx="46">
                        <c:v>1.504326349574912</c:v>
                      </c:pt>
                      <c:pt idx="47">
                        <c:v>1.5363332931828888</c:v>
                      </c:pt>
                      <c:pt idx="48">
                        <c:v>1.5683402367908656</c:v>
                      </c:pt>
                      <c:pt idx="49">
                        <c:v>1.6003471803988425</c:v>
                      </c:pt>
                      <c:pt idx="50">
                        <c:v>1.6323541240068193</c:v>
                      </c:pt>
                      <c:pt idx="51">
                        <c:v>1.6643610676147962</c:v>
                      </c:pt>
                    </c:numCache>
                  </c:numRef>
                </c:val>
                <c:smooth val="0"/>
                <c:extLst xmlns:c15="http://schemas.microsoft.com/office/drawing/2012/chart">
                  <c:ext xmlns:c16="http://schemas.microsoft.com/office/drawing/2014/chart" uri="{C3380CC4-5D6E-409C-BE32-E72D297353CC}">
                    <c16:uniqueId val="{0000000A-048A-4E8F-9707-A0825C857EC2}"/>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'OZL Summary'!$BY$6:$BY$7</c15:sqref>
                        </c15:formulaRef>
                      </c:ext>
                    </c:extLst>
                    <c:strCache>
                      <c:ptCount val="2"/>
                      <c:pt idx="0">
                        <c:v>Max</c:v>
                      </c:pt>
                    </c:strCache>
                  </c:strRef>
                </c:tx>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Summary'!$BY$8:$BY$60</c15:sqref>
                        </c15:formulaRef>
                      </c:ext>
                    </c:extLst>
                    <c:numCache>
                      <c:formatCode>0.000</c:formatCode>
                      <c:ptCount val="53"/>
                      <c:pt idx="0">
                        <c:v>3.9503586953510528E-2</c:v>
                      </c:pt>
                      <c:pt idx="1">
                        <c:v>7.9007173907021055E-2</c:v>
                      </c:pt>
                      <c:pt idx="2">
                        <c:v>0.11851076086053158</c:v>
                      </c:pt>
                      <c:pt idx="3">
                        <c:v>0.15801434781404211</c:v>
                      </c:pt>
                      <c:pt idx="4">
                        <c:v>0.19751793476755264</c:v>
                      </c:pt>
                      <c:pt idx="5">
                        <c:v>0.23702152172106317</c:v>
                      </c:pt>
                      <c:pt idx="6">
                        <c:v>0.27652510867457369</c:v>
                      </c:pt>
                      <c:pt idx="7">
                        <c:v>0.31602869562808422</c:v>
                      </c:pt>
                      <c:pt idx="8">
                        <c:v>0.35553228258159475</c:v>
                      </c:pt>
                      <c:pt idx="9">
                        <c:v>0.39503586953510528</c:v>
                      </c:pt>
                      <c:pt idx="10">
                        <c:v>0.43453945648861581</c:v>
                      </c:pt>
                      <c:pt idx="11">
                        <c:v>0.47404304344212633</c:v>
                      </c:pt>
                      <c:pt idx="12">
                        <c:v>0.51354663039563686</c:v>
                      </c:pt>
                      <c:pt idx="13">
                        <c:v>0.55305021734914739</c:v>
                      </c:pt>
                      <c:pt idx="14">
                        <c:v>0.59255380430265792</c:v>
                      </c:pt>
                      <c:pt idx="15">
                        <c:v>0.63205739125616844</c:v>
                      </c:pt>
                      <c:pt idx="16">
                        <c:v>0.67156097820967897</c:v>
                      </c:pt>
                      <c:pt idx="17">
                        <c:v>0.7110645651631895</c:v>
                      </c:pt>
                      <c:pt idx="18">
                        <c:v>0.75056815211670003</c:v>
                      </c:pt>
                      <c:pt idx="19">
                        <c:v>0.79007173907021055</c:v>
                      </c:pt>
                      <c:pt idx="20">
                        <c:v>0.82957532602372108</c:v>
                      </c:pt>
                      <c:pt idx="21">
                        <c:v>0.86907891297723161</c:v>
                      </c:pt>
                      <c:pt idx="22">
                        <c:v>0.90858249993074214</c:v>
                      </c:pt>
                      <c:pt idx="23">
                        <c:v>0.94808608688425267</c:v>
                      </c:pt>
                      <c:pt idx="24">
                        <c:v>0.98758967383776319</c:v>
                      </c:pt>
                      <c:pt idx="25">
                        <c:v>1.0270932607912737</c:v>
                      </c:pt>
                      <c:pt idx="26">
                        <c:v>1.0665968477447842</c:v>
                      </c:pt>
                      <c:pt idx="27">
                        <c:v>1.1061004346982948</c:v>
                      </c:pt>
                      <c:pt idx="28">
                        <c:v>1.1456040216518053</c:v>
                      </c:pt>
                      <c:pt idx="29">
                        <c:v>1.1851076086053158</c:v>
                      </c:pt>
                      <c:pt idx="30">
                        <c:v>1.2246111955588264</c:v>
                      </c:pt>
                      <c:pt idx="31">
                        <c:v>1.2641147825123369</c:v>
                      </c:pt>
                      <c:pt idx="32">
                        <c:v>1.3036183694658474</c:v>
                      </c:pt>
                      <c:pt idx="33">
                        <c:v>1.3431219564193579</c:v>
                      </c:pt>
                      <c:pt idx="34">
                        <c:v>1.3826255433728685</c:v>
                      </c:pt>
                      <c:pt idx="35">
                        <c:v>1.422129130326379</c:v>
                      </c:pt>
                      <c:pt idx="36">
                        <c:v>1.4616327172798895</c:v>
                      </c:pt>
                      <c:pt idx="37">
                        <c:v>1.5011363042334001</c:v>
                      </c:pt>
                      <c:pt idx="38">
                        <c:v>1.5406398911869106</c:v>
                      </c:pt>
                      <c:pt idx="39">
                        <c:v>1.5801434781404211</c:v>
                      </c:pt>
                      <c:pt idx="40">
                        <c:v>1.6196470650939316</c:v>
                      </c:pt>
                      <c:pt idx="41">
                        <c:v>1.6591506520474422</c:v>
                      </c:pt>
                      <c:pt idx="42">
                        <c:v>1.6986542390009527</c:v>
                      </c:pt>
                      <c:pt idx="43">
                        <c:v>1.7381578259544632</c:v>
                      </c:pt>
                      <c:pt idx="44">
                        <c:v>1.7776614129079737</c:v>
                      </c:pt>
                      <c:pt idx="45">
                        <c:v>1.8171649998614843</c:v>
                      </c:pt>
                      <c:pt idx="46">
                        <c:v>1.8566685868149948</c:v>
                      </c:pt>
                      <c:pt idx="47">
                        <c:v>1.8961721737685053</c:v>
                      </c:pt>
                      <c:pt idx="48">
                        <c:v>1.9356757607220159</c:v>
                      </c:pt>
                      <c:pt idx="49">
                        <c:v>1.9751793476755264</c:v>
                      </c:pt>
                      <c:pt idx="50">
                        <c:v>2.0146829346290369</c:v>
                      </c:pt>
                      <c:pt idx="51">
                        <c:v>2.0541865215825474</c:v>
                      </c:pt>
                    </c:numCache>
                  </c:numRef>
                </c:val>
                <c:smooth val="0"/>
                <c:extLst xmlns:c15="http://schemas.microsoft.com/office/drawing/2012/chart">
                  <c:ext xmlns:c16="http://schemas.microsoft.com/office/drawing/2014/chart" uri="{C3380CC4-5D6E-409C-BE32-E72D297353CC}">
                    <c16:uniqueId val="{0000000B-048A-4E8F-9707-A0825C857EC2}"/>
                  </c:ext>
                </c:extLst>
              </c15:ser>
            </c15:filteredLineSeries>
          </c:ext>
        </c:extLst>
      </c:lineChart>
      <c:dateAx>
        <c:axId val="1388952432"/>
        <c:scaling>
          <c:orientation val="minMax"/>
        </c:scaling>
        <c:delete val="0"/>
        <c:axPos val="b"/>
        <c:numFmt formatCode="d\-mmm\-yy_);\(###0\);&quot;-  &quot;;&quot; &quot;@&quot; &quot;"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3088"/>
        <c:crosses val="autoZero"/>
        <c:auto val="1"/>
        <c:lblOffset val="100"/>
        <c:baseTimeUnit val="days"/>
        <c:majorUnit val="3"/>
        <c:majorTimeUnit val="months"/>
      </c:dateAx>
      <c:valAx>
        <c:axId val="1388953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Ticket Sales ($b)</a:t>
                </a:r>
              </a:p>
            </c:rich>
          </c:tx>
          <c:overlay val="0"/>
          <c:spPr>
            <a:noFill/>
            <a:ln>
              <a:noFill/>
            </a:ln>
            <a:effectLst/>
          </c:sp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2432"/>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'OZL Summary'!$BN$6:$BN$7</c:f>
              <c:strCache>
                <c:ptCount val="2"/>
                <c:pt idx="0">
                  <c:v>Actual</c:v>
                </c:pt>
              </c:strCache>
            </c:strRef>
          </c:tx>
          <c:spPr>
            <a:ln w="28575" cap="rnd">
              <a:solidFill>
                <a:schemeClr val="tx2"/>
              </a:solidFill>
              <a:round/>
            </a:ln>
            <a:effectLst/>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Summary'!$BN$8:$BN$60</c:f>
              <c:numCache>
                <c:formatCode>0.000</c:formatCode>
                <c:ptCount val="53"/>
                <c:pt idx="0">
                  <c:v>3.4282144018799997E-2</c:v>
                </c:pt>
                <c:pt idx="1">
                  <c:v>4.61727482976E-2</c:v>
                </c:pt>
                <c:pt idx="2">
                  <c:v>6.0744925144799997E-2</c:v>
                </c:pt>
                <c:pt idx="3">
                  <c:v>7.9887071887199998E-2</c:v>
                </c:pt>
                <c:pt idx="4">
                  <c:v>9.0591598206000004E-2</c:v>
                </c:pt>
                <c:pt idx="5">
                  <c:v>0.10471594425839999</c:v>
                </c:pt>
                <c:pt idx="6">
                  <c:v>0.13024126318319998</c:v>
                </c:pt>
                <c:pt idx="7">
                  <c:v>0.14299494069599997</c:v>
                </c:pt>
                <c:pt idx="8">
                  <c:v>0.15712274134439999</c:v>
                </c:pt>
                <c:pt idx="9">
                  <c:v>0.18211939192799997</c:v>
                </c:pt>
                <c:pt idx="10">
                  <c:v>0.21562528822559998</c:v>
                </c:pt>
                <c:pt idx="11">
                  <c:v>0.26312805598319994</c:v>
                </c:pt>
                <c:pt idx="12">
                  <c:v>0.27559419595559997</c:v>
                </c:pt>
                <c:pt idx="13">
                  <c:v>0.29338294713839996</c:v>
                </c:pt>
                <c:pt idx="14">
                  <c:v>0.31479798774239992</c:v>
                </c:pt>
                <c:pt idx="15">
                  <c:v>0.34138237064759991</c:v>
                </c:pt>
                <c:pt idx="16">
                  <c:v>0.38401116406199992</c:v>
                </c:pt>
                <c:pt idx="17">
                  <c:v>0.45353502371519994</c:v>
                </c:pt>
                <c:pt idx="18">
                  <c:v>0.46636884785519994</c:v>
                </c:pt>
                <c:pt idx="19">
                  <c:v>0.48057414660719988</c:v>
                </c:pt>
                <c:pt idx="20">
                  <c:v>0.50512031787239997</c:v>
                </c:pt>
                <c:pt idx="21">
                  <c:v>0.53195446806839985</c:v>
                </c:pt>
                <c:pt idx="22">
                  <c:v>0.57374874624239991</c:v>
                </c:pt>
                <c:pt idx="23">
                  <c:v>0.58543426267199994</c:v>
                </c:pt>
                <c:pt idx="24">
                  <c:v>0.59798193110999986</c:v>
                </c:pt>
                <c:pt idx="25">
                  <c:v>0.60953824564919989</c:v>
                </c:pt>
                <c:pt idx="26">
                  <c:v>0.62793005414039982</c:v>
                </c:pt>
                <c:pt idx="27">
                  <c:v>0.66085868744639986</c:v>
                </c:pt>
                <c:pt idx="28">
                  <c:v>0.70280784667439988</c:v>
                </c:pt>
                <c:pt idx="29">
                  <c:v>0.76647478426919979</c:v>
                </c:pt>
                <c:pt idx="30">
                  <c:v>0.77875598820239988</c:v>
                </c:pt>
                <c:pt idx="31">
                  <c:v>0.79341798454559986</c:v>
                </c:pt>
                <c:pt idx="32">
                  <c:v>0.81253514304359986</c:v>
                </c:pt>
                <c:pt idx="33">
                  <c:v>0.82340606573639985</c:v>
                </c:pt>
                <c:pt idx="34">
                  <c:v>0.84006470341439987</c:v>
                </c:pt>
                <c:pt idx="35">
                  <c:v>0.86433934343399987</c:v>
                </c:pt>
                <c:pt idx="36">
                  <c:v>0.87578580182039989</c:v>
                </c:pt>
                <c:pt idx="37">
                  <c:v>0.89565744408479986</c:v>
                </c:pt>
                <c:pt idx="38">
                  <c:v>0.90846581936759985</c:v>
                </c:pt>
                <c:pt idx="39">
                  <c:v>0.91858582836759983</c:v>
                </c:pt>
                <c:pt idx="40">
                  <c:v>0.93370152831879982</c:v>
                </c:pt>
                <c:pt idx="41">
                  <c:v>0.95559030918759991</c:v>
                </c:pt>
                <c:pt idx="42">
                  <c:v>0.98300771034159995</c:v>
                </c:pt>
                <c:pt idx="43">
                  <c:v>0.99330666708999993</c:v>
                </c:pt>
                <c:pt idx="44">
                  <c:v>1.0075762213275998</c:v>
                </c:pt>
                <c:pt idx="45">
                  <c:v>1.0281208537475999</c:v>
                </c:pt>
                <c:pt idx="46">
                  <c:v>1.0382225415931998</c:v>
                </c:pt>
                <c:pt idx="47">
                  <c:v>1.0541579684225999</c:v>
                </c:pt>
                <c:pt idx="48">
                  <c:v>1.0687637971379997</c:v>
                </c:pt>
                <c:pt idx="49">
                  <c:v>1.0815684581785998</c:v>
                </c:pt>
                <c:pt idx="50">
                  <c:v>1.0986668252266998</c:v>
                </c:pt>
                <c:pt idx="51">
                  <c:v>1.1194431701510998</c:v>
                </c:pt>
              </c:numCache>
            </c:numRef>
          </c:val>
          <c:smooth val="0"/>
          <c:extLst>
            <c:ext xmlns:c16="http://schemas.microsoft.com/office/drawing/2014/chart" uri="{C3380CC4-5D6E-409C-BE32-E72D297353CC}">
              <c16:uniqueId val="{00000000-A6F2-468F-AD32-3A1CCD66111D}"/>
            </c:ext>
          </c:extLst>
        </c:ser>
        <c:ser>
          <c:idx val="7"/>
          <c:order val="3"/>
          <c:tx>
            <c:strRef>
              <c:f>'OZL Summary'!$BQ$6:$BQ$7</c:f>
              <c:strCache>
                <c:ptCount val="2"/>
                <c:pt idx="0">
                  <c:v>5th Percentile</c:v>
                </c:pt>
              </c:strCache>
            </c:strRef>
          </c:tx>
          <c:spPr>
            <a:ln w="28575" cap="rnd">
              <a:solidFill>
                <a:schemeClr val="accent6"/>
              </a:solidFill>
              <a:prstDash val="sysDot"/>
              <a:round/>
            </a:ln>
            <a:effectLst/>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Summary'!$BQ$8:$BQ$60</c:f>
              <c:numCache>
                <c:formatCode>0.000</c:formatCode>
                <c:ptCount val="53"/>
                <c:pt idx="0">
                  <c:v>1.9443728141978436E-2</c:v>
                </c:pt>
                <c:pt idx="1">
                  <c:v>3.8887456283956873E-2</c:v>
                </c:pt>
                <c:pt idx="2">
                  <c:v>5.8331184425935309E-2</c:v>
                </c:pt>
                <c:pt idx="3">
                  <c:v>7.7774912567913745E-2</c:v>
                </c:pt>
                <c:pt idx="4">
                  <c:v>9.7218640709892182E-2</c:v>
                </c:pt>
                <c:pt idx="5">
                  <c:v>0.11666236885187062</c:v>
                </c:pt>
                <c:pt idx="6">
                  <c:v>0.13610609699384907</c:v>
                </c:pt>
                <c:pt idx="7">
                  <c:v>0.15554982513582749</c:v>
                </c:pt>
                <c:pt idx="8">
                  <c:v>0.17499355327780591</c:v>
                </c:pt>
                <c:pt idx="9">
                  <c:v>0.19443728141978434</c:v>
                </c:pt>
                <c:pt idx="10">
                  <c:v>0.21388100956176276</c:v>
                </c:pt>
                <c:pt idx="11">
                  <c:v>0.23332473770374118</c:v>
                </c:pt>
                <c:pt idx="12">
                  <c:v>0.2527684658457196</c:v>
                </c:pt>
                <c:pt idx="13">
                  <c:v>0.27221219398769803</c:v>
                </c:pt>
                <c:pt idx="14">
                  <c:v>0.29165592212967645</c:v>
                </c:pt>
                <c:pt idx="15">
                  <c:v>0.31109965027165487</c:v>
                </c:pt>
                <c:pt idx="16">
                  <c:v>0.33054337841363329</c:v>
                </c:pt>
                <c:pt idx="17">
                  <c:v>0.34998710655561172</c:v>
                </c:pt>
                <c:pt idx="18">
                  <c:v>0.36943083469759014</c:v>
                </c:pt>
                <c:pt idx="19">
                  <c:v>0.38887456283956856</c:v>
                </c:pt>
                <c:pt idx="20">
                  <c:v>0.40831829098154698</c:v>
                </c:pt>
                <c:pt idx="21">
                  <c:v>0.42776201912352541</c:v>
                </c:pt>
                <c:pt idx="22">
                  <c:v>0.44720574726550383</c:v>
                </c:pt>
                <c:pt idx="23">
                  <c:v>0.46664947540748225</c:v>
                </c:pt>
                <c:pt idx="24">
                  <c:v>0.48609320354946067</c:v>
                </c:pt>
                <c:pt idx="25">
                  <c:v>0.5055369316914391</c:v>
                </c:pt>
                <c:pt idx="26">
                  <c:v>0.52498065983341757</c:v>
                </c:pt>
                <c:pt idx="27">
                  <c:v>0.54442438797539605</c:v>
                </c:pt>
                <c:pt idx="28">
                  <c:v>0.56386811611737453</c:v>
                </c:pt>
                <c:pt idx="29">
                  <c:v>0.58331184425935301</c:v>
                </c:pt>
                <c:pt idx="30">
                  <c:v>0.60275557240133149</c:v>
                </c:pt>
                <c:pt idx="31">
                  <c:v>0.62219930054330996</c:v>
                </c:pt>
                <c:pt idx="32">
                  <c:v>0.64164302868528844</c:v>
                </c:pt>
                <c:pt idx="33">
                  <c:v>0.66108675682726692</c:v>
                </c:pt>
                <c:pt idx="34">
                  <c:v>0.6805304849692454</c:v>
                </c:pt>
                <c:pt idx="35">
                  <c:v>0.69997421311122388</c:v>
                </c:pt>
                <c:pt idx="36">
                  <c:v>0.71941794125320235</c:v>
                </c:pt>
                <c:pt idx="37">
                  <c:v>0.73886166939518083</c:v>
                </c:pt>
                <c:pt idx="38">
                  <c:v>0.75830539753715931</c:v>
                </c:pt>
                <c:pt idx="39">
                  <c:v>0.77774912567913779</c:v>
                </c:pt>
                <c:pt idx="40">
                  <c:v>0.79719285382111627</c:v>
                </c:pt>
                <c:pt idx="41">
                  <c:v>0.81663658196309474</c:v>
                </c:pt>
                <c:pt idx="42">
                  <c:v>0.83608031010507322</c:v>
                </c:pt>
                <c:pt idx="43">
                  <c:v>0.8555240382470517</c:v>
                </c:pt>
                <c:pt idx="44">
                  <c:v>0.87496776638903018</c:v>
                </c:pt>
                <c:pt idx="45">
                  <c:v>0.89441149453100866</c:v>
                </c:pt>
                <c:pt idx="46">
                  <c:v>0.91385522267298713</c:v>
                </c:pt>
                <c:pt idx="47">
                  <c:v>0.93329895081496561</c:v>
                </c:pt>
                <c:pt idx="48">
                  <c:v>0.95274267895694409</c:v>
                </c:pt>
                <c:pt idx="49">
                  <c:v>0.97218640709892257</c:v>
                </c:pt>
                <c:pt idx="50">
                  <c:v>0.99163013524090105</c:v>
                </c:pt>
                <c:pt idx="51">
                  <c:v>1.0110738633828795</c:v>
                </c:pt>
              </c:numCache>
            </c:numRef>
          </c:val>
          <c:smooth val="0"/>
          <c:extLst xmlns:c15="http://schemas.microsoft.com/office/drawing/2012/chart">
            <c:ext xmlns:c16="http://schemas.microsoft.com/office/drawing/2014/chart" uri="{C3380CC4-5D6E-409C-BE32-E72D297353CC}">
              <c16:uniqueId val="{00000001-A6F2-468F-AD32-3A1CCD66111D}"/>
            </c:ext>
          </c:extLst>
        </c:ser>
        <c:ser>
          <c:idx val="2"/>
          <c:order val="5"/>
          <c:tx>
            <c:strRef>
              <c:f>'OZL Summary'!$BS$6:$BS$7</c:f>
              <c:strCache>
                <c:ptCount val="2"/>
                <c:pt idx="0">
                  <c:v>25th Percentile</c:v>
                </c:pt>
              </c:strCache>
            </c:strRef>
          </c:tx>
          <c:spPr>
            <a:ln w="28575">
              <a:solidFill>
                <a:schemeClr val="accent5"/>
              </a:solidFill>
              <a:prstDash val="sysDot"/>
            </a:ln>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Summary'!$BS$8:$BS$60</c:f>
              <c:numCache>
                <c:formatCode>0.000</c:formatCode>
                <c:ptCount val="53"/>
                <c:pt idx="0">
                  <c:v>2.1609953490484776E-2</c:v>
                </c:pt>
                <c:pt idx="1">
                  <c:v>4.3219906980969551E-2</c:v>
                </c:pt>
                <c:pt idx="2">
                  <c:v>6.4829860471454323E-2</c:v>
                </c:pt>
                <c:pt idx="3">
                  <c:v>8.6439813961939102E-2</c:v>
                </c:pt>
                <c:pt idx="4">
                  <c:v>0.10804976745242388</c:v>
                </c:pt>
                <c:pt idx="5">
                  <c:v>0.12965972094290865</c:v>
                </c:pt>
                <c:pt idx="6">
                  <c:v>0.15126967443339343</c:v>
                </c:pt>
                <c:pt idx="7">
                  <c:v>0.1728796279238782</c:v>
                </c:pt>
                <c:pt idx="8">
                  <c:v>0.19448958141436298</c:v>
                </c:pt>
                <c:pt idx="9">
                  <c:v>0.21609953490484776</c:v>
                </c:pt>
                <c:pt idx="10">
                  <c:v>0.23770948839533254</c:v>
                </c:pt>
                <c:pt idx="11">
                  <c:v>0.25931944188581729</c:v>
                </c:pt>
                <c:pt idx="12">
                  <c:v>0.28092939537630207</c:v>
                </c:pt>
                <c:pt idx="13">
                  <c:v>0.30253934886678685</c:v>
                </c:pt>
                <c:pt idx="14">
                  <c:v>0.32414930235727163</c:v>
                </c:pt>
                <c:pt idx="15">
                  <c:v>0.34575925584775641</c:v>
                </c:pt>
                <c:pt idx="16">
                  <c:v>0.36736920933824119</c:v>
                </c:pt>
                <c:pt idx="17">
                  <c:v>0.38897916282872597</c:v>
                </c:pt>
                <c:pt idx="18">
                  <c:v>0.41058911631921075</c:v>
                </c:pt>
                <c:pt idx="19">
                  <c:v>0.43219906980969552</c:v>
                </c:pt>
                <c:pt idx="20">
                  <c:v>0.4538090233001803</c:v>
                </c:pt>
                <c:pt idx="21">
                  <c:v>0.47541897679066508</c:v>
                </c:pt>
                <c:pt idx="22">
                  <c:v>0.49702893028114986</c:v>
                </c:pt>
                <c:pt idx="23">
                  <c:v>0.51863888377163458</c:v>
                </c:pt>
                <c:pt idx="24">
                  <c:v>0.54024883726211936</c:v>
                </c:pt>
                <c:pt idx="25">
                  <c:v>0.56185879075260414</c:v>
                </c:pt>
                <c:pt idx="26">
                  <c:v>0.58346874424308892</c:v>
                </c:pt>
                <c:pt idx="27">
                  <c:v>0.6050786977335737</c:v>
                </c:pt>
                <c:pt idx="28">
                  <c:v>0.62668865122405848</c:v>
                </c:pt>
                <c:pt idx="29">
                  <c:v>0.64829860471454326</c:v>
                </c:pt>
                <c:pt idx="30">
                  <c:v>0.66990855820502804</c:v>
                </c:pt>
                <c:pt idx="31">
                  <c:v>0.69151851169551282</c:v>
                </c:pt>
                <c:pt idx="32">
                  <c:v>0.7131284651859976</c:v>
                </c:pt>
                <c:pt idx="33">
                  <c:v>0.73473841867648237</c:v>
                </c:pt>
                <c:pt idx="34">
                  <c:v>0.75634837216696715</c:v>
                </c:pt>
                <c:pt idx="35">
                  <c:v>0.77795832565745193</c:v>
                </c:pt>
                <c:pt idx="36">
                  <c:v>0.79956827914793671</c:v>
                </c:pt>
                <c:pt idx="37">
                  <c:v>0.82117823263842149</c:v>
                </c:pt>
                <c:pt idx="38">
                  <c:v>0.84278818612890627</c:v>
                </c:pt>
                <c:pt idx="39">
                  <c:v>0.86439813961939105</c:v>
                </c:pt>
                <c:pt idx="40">
                  <c:v>0.88600809310987583</c:v>
                </c:pt>
                <c:pt idx="41">
                  <c:v>0.90761804660036061</c:v>
                </c:pt>
                <c:pt idx="42">
                  <c:v>0.92922800009084539</c:v>
                </c:pt>
                <c:pt idx="43">
                  <c:v>0.95083795358133016</c:v>
                </c:pt>
                <c:pt idx="44">
                  <c:v>0.97244790707181494</c:v>
                </c:pt>
                <c:pt idx="45">
                  <c:v>0.99405786056229972</c:v>
                </c:pt>
                <c:pt idx="46">
                  <c:v>1.0156678140527844</c:v>
                </c:pt>
                <c:pt idx="47">
                  <c:v>1.0372777675432692</c:v>
                </c:pt>
                <c:pt idx="48">
                  <c:v>1.0588877210337539</c:v>
                </c:pt>
                <c:pt idx="49">
                  <c:v>1.0804976745242387</c:v>
                </c:pt>
                <c:pt idx="50">
                  <c:v>1.1021076280147235</c:v>
                </c:pt>
                <c:pt idx="51">
                  <c:v>1.1237175815052083</c:v>
                </c:pt>
              </c:numCache>
            </c:numRef>
          </c:val>
          <c:smooth val="0"/>
          <c:extLst>
            <c:ext xmlns:c16="http://schemas.microsoft.com/office/drawing/2014/chart" uri="{C3380CC4-5D6E-409C-BE32-E72D297353CC}">
              <c16:uniqueId val="{00000002-A6F2-468F-AD32-3A1CCD66111D}"/>
            </c:ext>
          </c:extLst>
        </c:ser>
        <c:ser>
          <c:idx val="4"/>
          <c:order val="6"/>
          <c:tx>
            <c:strRef>
              <c:f>'OZL Summary'!$BT$6:$BT$7</c:f>
              <c:strCache>
                <c:ptCount val="2"/>
                <c:pt idx="0">
                  <c:v>50th Percentile</c:v>
                </c:pt>
              </c:strCache>
            </c:strRef>
          </c:tx>
          <c:spPr>
            <a:ln w="28575">
              <a:solidFill>
                <a:schemeClr val="accent2"/>
              </a:solidFill>
              <a:prstDash val="sysDot"/>
            </a:ln>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Summary'!$BT$8:$BT$60</c:f>
              <c:numCache>
                <c:formatCode>0.000</c:formatCode>
                <c:ptCount val="53"/>
                <c:pt idx="0">
                  <c:v>2.3469807538576672E-2</c:v>
                </c:pt>
                <c:pt idx="1">
                  <c:v>4.6939615077153343E-2</c:v>
                </c:pt>
                <c:pt idx="2">
                  <c:v>7.0409422615730022E-2</c:v>
                </c:pt>
                <c:pt idx="3">
                  <c:v>9.3879230154306686E-2</c:v>
                </c:pt>
                <c:pt idx="4">
                  <c:v>0.11734903769288335</c:v>
                </c:pt>
                <c:pt idx="5">
                  <c:v>0.14081884523146002</c:v>
                </c:pt>
                <c:pt idx="6">
                  <c:v>0.16428865277003668</c:v>
                </c:pt>
                <c:pt idx="7">
                  <c:v>0.18775846030861335</c:v>
                </c:pt>
                <c:pt idx="8">
                  <c:v>0.21122826784719001</c:v>
                </c:pt>
                <c:pt idx="9">
                  <c:v>0.23469807538576667</c:v>
                </c:pt>
                <c:pt idx="10">
                  <c:v>0.25816788292434334</c:v>
                </c:pt>
                <c:pt idx="11">
                  <c:v>0.28163769046292003</c:v>
                </c:pt>
                <c:pt idx="12">
                  <c:v>0.30510749800149672</c:v>
                </c:pt>
                <c:pt idx="13">
                  <c:v>0.32857730554007342</c:v>
                </c:pt>
                <c:pt idx="14">
                  <c:v>0.35204711307865011</c:v>
                </c:pt>
                <c:pt idx="15">
                  <c:v>0.3755169206172268</c:v>
                </c:pt>
                <c:pt idx="16">
                  <c:v>0.39898672815580349</c:v>
                </c:pt>
                <c:pt idx="17">
                  <c:v>0.42245653569438019</c:v>
                </c:pt>
                <c:pt idx="18">
                  <c:v>0.44592634323295688</c:v>
                </c:pt>
                <c:pt idx="19">
                  <c:v>0.46939615077153357</c:v>
                </c:pt>
                <c:pt idx="20">
                  <c:v>0.49286595831011026</c:v>
                </c:pt>
                <c:pt idx="21">
                  <c:v>0.5163357658486869</c:v>
                </c:pt>
                <c:pt idx="22">
                  <c:v>0.53980557338726354</c:v>
                </c:pt>
                <c:pt idx="23">
                  <c:v>0.56327538092584017</c:v>
                </c:pt>
                <c:pt idx="24">
                  <c:v>0.58674518846441681</c:v>
                </c:pt>
                <c:pt idx="25">
                  <c:v>0.61021499600299345</c:v>
                </c:pt>
                <c:pt idx="26">
                  <c:v>0.63368480354157009</c:v>
                </c:pt>
                <c:pt idx="27">
                  <c:v>0.65715461108014672</c:v>
                </c:pt>
                <c:pt idx="28">
                  <c:v>0.68062441861872336</c:v>
                </c:pt>
                <c:pt idx="29">
                  <c:v>0.7040942261573</c:v>
                </c:pt>
                <c:pt idx="30">
                  <c:v>0.72756403369587663</c:v>
                </c:pt>
                <c:pt idx="31">
                  <c:v>0.75103384123445327</c:v>
                </c:pt>
                <c:pt idx="32">
                  <c:v>0.77450364877302991</c:v>
                </c:pt>
                <c:pt idx="33">
                  <c:v>0.79797345631160654</c:v>
                </c:pt>
                <c:pt idx="34">
                  <c:v>0.82144326385018318</c:v>
                </c:pt>
                <c:pt idx="35">
                  <c:v>0.84491307138875982</c:v>
                </c:pt>
                <c:pt idx="36">
                  <c:v>0.86838287892733645</c:v>
                </c:pt>
                <c:pt idx="37">
                  <c:v>0.89185268646591309</c:v>
                </c:pt>
                <c:pt idx="38">
                  <c:v>0.91532249400448973</c:v>
                </c:pt>
                <c:pt idx="39">
                  <c:v>0.93879230154306637</c:v>
                </c:pt>
                <c:pt idx="40">
                  <c:v>0.962262109081643</c:v>
                </c:pt>
                <c:pt idx="41">
                  <c:v>0.98573191662021964</c:v>
                </c:pt>
                <c:pt idx="42">
                  <c:v>1.0092017241587963</c:v>
                </c:pt>
                <c:pt idx="43">
                  <c:v>1.0326715316973729</c:v>
                </c:pt>
                <c:pt idx="44">
                  <c:v>1.0561413392359496</c:v>
                </c:pt>
                <c:pt idx="45">
                  <c:v>1.0796111467745262</c:v>
                </c:pt>
                <c:pt idx="46">
                  <c:v>1.1030809543131028</c:v>
                </c:pt>
                <c:pt idx="47">
                  <c:v>1.1265507618516795</c:v>
                </c:pt>
                <c:pt idx="48">
                  <c:v>1.1500205693902561</c:v>
                </c:pt>
                <c:pt idx="49">
                  <c:v>1.1734903769288327</c:v>
                </c:pt>
                <c:pt idx="50">
                  <c:v>1.1969601844674094</c:v>
                </c:pt>
                <c:pt idx="51">
                  <c:v>1.220429992005986</c:v>
                </c:pt>
              </c:numCache>
            </c:numRef>
          </c:val>
          <c:smooth val="0"/>
          <c:extLst>
            <c:ext xmlns:c16="http://schemas.microsoft.com/office/drawing/2014/chart" uri="{C3380CC4-5D6E-409C-BE32-E72D297353CC}">
              <c16:uniqueId val="{00000003-A6F2-468F-AD32-3A1CCD66111D}"/>
            </c:ext>
          </c:extLst>
        </c:ser>
        <c:ser>
          <c:idx val="6"/>
          <c:order val="7"/>
          <c:tx>
            <c:strRef>
              <c:f>'OZL Summary'!$BU$6:$BU$7</c:f>
              <c:strCache>
                <c:ptCount val="2"/>
                <c:pt idx="0">
                  <c:v>75th Percentile</c:v>
                </c:pt>
              </c:strCache>
            </c:strRef>
          </c:tx>
          <c:spPr>
            <a:ln w="28575">
              <a:solidFill>
                <a:schemeClr val="bg2"/>
              </a:solidFill>
              <a:prstDash val="sysDot"/>
            </a:ln>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Summary'!$BU$8:$BU$60</c:f>
              <c:numCache>
                <c:formatCode>0.000</c:formatCode>
                <c:ptCount val="53"/>
                <c:pt idx="0">
                  <c:v>2.5540580974329746E-2</c:v>
                </c:pt>
                <c:pt idx="1">
                  <c:v>5.1081161948659491E-2</c:v>
                </c:pt>
                <c:pt idx="2">
                  <c:v>7.6621742922989233E-2</c:v>
                </c:pt>
                <c:pt idx="3">
                  <c:v>0.10216232389731898</c:v>
                </c:pt>
                <c:pt idx="4">
                  <c:v>0.12770290487164873</c:v>
                </c:pt>
                <c:pt idx="5">
                  <c:v>0.15324348584597847</c:v>
                </c:pt>
                <c:pt idx="6">
                  <c:v>0.1787840668203082</c:v>
                </c:pt>
                <c:pt idx="7">
                  <c:v>0.20432464779463794</c:v>
                </c:pt>
                <c:pt idx="8">
                  <c:v>0.22986522876896767</c:v>
                </c:pt>
                <c:pt idx="9">
                  <c:v>0.25540580974329741</c:v>
                </c:pt>
                <c:pt idx="10">
                  <c:v>0.28094639071762717</c:v>
                </c:pt>
                <c:pt idx="11">
                  <c:v>0.30648697169195693</c:v>
                </c:pt>
                <c:pt idx="12">
                  <c:v>0.3320275526662867</c:v>
                </c:pt>
                <c:pt idx="13">
                  <c:v>0.35756813364061646</c:v>
                </c:pt>
                <c:pt idx="14">
                  <c:v>0.38310871461494622</c:v>
                </c:pt>
                <c:pt idx="15">
                  <c:v>0.40864929558927598</c:v>
                </c:pt>
                <c:pt idx="16">
                  <c:v>0.43418987656360575</c:v>
                </c:pt>
                <c:pt idx="17">
                  <c:v>0.45973045753793551</c:v>
                </c:pt>
                <c:pt idx="18">
                  <c:v>0.48527103851226527</c:v>
                </c:pt>
                <c:pt idx="19">
                  <c:v>0.51081161948659504</c:v>
                </c:pt>
                <c:pt idx="20">
                  <c:v>0.5363522004609248</c:v>
                </c:pt>
                <c:pt idx="21">
                  <c:v>0.56189278143525456</c:v>
                </c:pt>
                <c:pt idx="22">
                  <c:v>0.58743336240958433</c:v>
                </c:pt>
                <c:pt idx="23">
                  <c:v>0.61297394338391409</c:v>
                </c:pt>
                <c:pt idx="24">
                  <c:v>0.63851452435824385</c:v>
                </c:pt>
                <c:pt idx="25">
                  <c:v>0.66405510533257361</c:v>
                </c:pt>
                <c:pt idx="26">
                  <c:v>0.68959568630690338</c:v>
                </c:pt>
                <c:pt idx="27">
                  <c:v>0.71513626728123314</c:v>
                </c:pt>
                <c:pt idx="28">
                  <c:v>0.7406768482555629</c:v>
                </c:pt>
                <c:pt idx="29">
                  <c:v>0.76621742922989267</c:v>
                </c:pt>
                <c:pt idx="30">
                  <c:v>0.79175801020422243</c:v>
                </c:pt>
                <c:pt idx="31">
                  <c:v>0.81729859117855219</c:v>
                </c:pt>
                <c:pt idx="32">
                  <c:v>0.84283917215288195</c:v>
                </c:pt>
                <c:pt idx="33">
                  <c:v>0.86837975312721172</c:v>
                </c:pt>
                <c:pt idx="34">
                  <c:v>0.89392033410154148</c:v>
                </c:pt>
                <c:pt idx="35">
                  <c:v>0.91946091507587124</c:v>
                </c:pt>
                <c:pt idx="36">
                  <c:v>0.94500149605020101</c:v>
                </c:pt>
                <c:pt idx="37">
                  <c:v>0.97054207702453077</c:v>
                </c:pt>
                <c:pt idx="38">
                  <c:v>0.99608265799886053</c:v>
                </c:pt>
                <c:pt idx="39">
                  <c:v>1.0216232389731903</c:v>
                </c:pt>
                <c:pt idx="40">
                  <c:v>1.0471638199475199</c:v>
                </c:pt>
                <c:pt idx="41">
                  <c:v>1.0727044009218496</c:v>
                </c:pt>
                <c:pt idx="42">
                  <c:v>1.0982449818961793</c:v>
                </c:pt>
                <c:pt idx="43">
                  <c:v>1.1237855628705089</c:v>
                </c:pt>
                <c:pt idx="44">
                  <c:v>1.1493261438448386</c:v>
                </c:pt>
                <c:pt idx="45">
                  <c:v>1.1748667248191682</c:v>
                </c:pt>
                <c:pt idx="46">
                  <c:v>1.2004073057934979</c:v>
                </c:pt>
                <c:pt idx="47">
                  <c:v>1.2259478867678275</c:v>
                </c:pt>
                <c:pt idx="48">
                  <c:v>1.2514884677421572</c:v>
                </c:pt>
                <c:pt idx="49">
                  <c:v>1.2770290487164868</c:v>
                </c:pt>
                <c:pt idx="50">
                  <c:v>1.3025696296908165</c:v>
                </c:pt>
                <c:pt idx="51">
                  <c:v>1.3281102106651461</c:v>
                </c:pt>
              </c:numCache>
            </c:numRef>
          </c:val>
          <c:smooth val="0"/>
          <c:extLst xmlns:c15="http://schemas.microsoft.com/office/drawing/2012/chart">
            <c:ext xmlns:c16="http://schemas.microsoft.com/office/drawing/2014/chart" uri="{C3380CC4-5D6E-409C-BE32-E72D297353CC}">
              <c16:uniqueId val="{00000004-A6F2-468F-AD32-3A1CCD66111D}"/>
            </c:ext>
          </c:extLst>
        </c:ser>
        <c:ser>
          <c:idx val="9"/>
          <c:order val="9"/>
          <c:tx>
            <c:strRef>
              <c:f>'OZL Summary'!$BW$6:$BW$7</c:f>
              <c:strCache>
                <c:ptCount val="2"/>
                <c:pt idx="0">
                  <c:v>95th Percentile</c:v>
                </c:pt>
              </c:strCache>
            </c:strRef>
          </c:tx>
          <c:spPr>
            <a:ln w="28575">
              <a:solidFill>
                <a:schemeClr val="accent1"/>
              </a:solidFill>
              <a:prstDash val="sysDot"/>
            </a:ln>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Summary'!$BW$8:$BW$60</c:f>
              <c:numCache>
                <c:formatCode>0.000</c:formatCode>
                <c:ptCount val="53"/>
                <c:pt idx="0">
                  <c:v>2.9126260596895739E-2</c:v>
                </c:pt>
                <c:pt idx="1">
                  <c:v>5.8252521193791477E-2</c:v>
                </c:pt>
                <c:pt idx="2">
                  <c:v>8.7378781790687213E-2</c:v>
                </c:pt>
                <c:pt idx="3">
                  <c:v>0.11650504238758295</c:v>
                </c:pt>
                <c:pt idx="4">
                  <c:v>0.14563130298447868</c:v>
                </c:pt>
                <c:pt idx="5">
                  <c:v>0.17475756358137443</c:v>
                </c:pt>
                <c:pt idx="6">
                  <c:v>0.20388382417827017</c:v>
                </c:pt>
                <c:pt idx="7">
                  <c:v>0.23301008477516591</c:v>
                </c:pt>
                <c:pt idx="8">
                  <c:v>0.26213634537206165</c:v>
                </c:pt>
                <c:pt idx="9">
                  <c:v>0.29126260596895737</c:v>
                </c:pt>
                <c:pt idx="10">
                  <c:v>0.32038886656585308</c:v>
                </c:pt>
                <c:pt idx="11">
                  <c:v>0.3495151271627488</c:v>
                </c:pt>
                <c:pt idx="12">
                  <c:v>0.37864138775964451</c:v>
                </c:pt>
                <c:pt idx="13">
                  <c:v>0.40776764835654022</c:v>
                </c:pt>
                <c:pt idx="14">
                  <c:v>0.43689390895343594</c:v>
                </c:pt>
                <c:pt idx="15">
                  <c:v>0.46602016955033165</c:v>
                </c:pt>
                <c:pt idx="16">
                  <c:v>0.49514643014722737</c:v>
                </c:pt>
                <c:pt idx="17">
                  <c:v>0.52427269074412308</c:v>
                </c:pt>
                <c:pt idx="18">
                  <c:v>0.5533989513410188</c:v>
                </c:pt>
                <c:pt idx="19">
                  <c:v>0.58252521193791451</c:v>
                </c:pt>
                <c:pt idx="20">
                  <c:v>0.61165147253481023</c:v>
                </c:pt>
                <c:pt idx="21">
                  <c:v>0.64077773313170594</c:v>
                </c:pt>
                <c:pt idx="22">
                  <c:v>0.66990399372860165</c:v>
                </c:pt>
                <c:pt idx="23">
                  <c:v>0.69903025432549737</c:v>
                </c:pt>
                <c:pt idx="24">
                  <c:v>0.72815651492239308</c:v>
                </c:pt>
                <c:pt idx="25">
                  <c:v>0.7572827755192888</c:v>
                </c:pt>
                <c:pt idx="26">
                  <c:v>0.78640903611618451</c:v>
                </c:pt>
                <c:pt idx="27">
                  <c:v>0.81553529671308023</c:v>
                </c:pt>
                <c:pt idx="28">
                  <c:v>0.84466155730997594</c:v>
                </c:pt>
                <c:pt idx="29">
                  <c:v>0.87378781790687166</c:v>
                </c:pt>
                <c:pt idx="30">
                  <c:v>0.90291407850376737</c:v>
                </c:pt>
                <c:pt idx="31">
                  <c:v>0.93204033910066308</c:v>
                </c:pt>
                <c:pt idx="32">
                  <c:v>0.9611665996975588</c:v>
                </c:pt>
                <c:pt idx="33">
                  <c:v>0.99029286029445451</c:v>
                </c:pt>
                <c:pt idx="34">
                  <c:v>1.0194191208913503</c:v>
                </c:pt>
                <c:pt idx="35">
                  <c:v>1.0485453814882462</c:v>
                </c:pt>
                <c:pt idx="36">
                  <c:v>1.077671642085142</c:v>
                </c:pt>
                <c:pt idx="37">
                  <c:v>1.1067979026820378</c:v>
                </c:pt>
                <c:pt idx="38">
                  <c:v>1.1359241632789336</c:v>
                </c:pt>
                <c:pt idx="39">
                  <c:v>1.1650504238758295</c:v>
                </c:pt>
                <c:pt idx="40">
                  <c:v>1.1941766844727253</c:v>
                </c:pt>
                <c:pt idx="41">
                  <c:v>1.2233029450696211</c:v>
                </c:pt>
                <c:pt idx="42">
                  <c:v>1.2524292056665169</c:v>
                </c:pt>
                <c:pt idx="43">
                  <c:v>1.2815554662634128</c:v>
                </c:pt>
                <c:pt idx="44">
                  <c:v>1.3106817268603086</c:v>
                </c:pt>
                <c:pt idx="45">
                  <c:v>1.3398079874572044</c:v>
                </c:pt>
                <c:pt idx="46">
                  <c:v>1.3689342480541002</c:v>
                </c:pt>
                <c:pt idx="47">
                  <c:v>1.3980605086509961</c:v>
                </c:pt>
                <c:pt idx="48">
                  <c:v>1.4271867692478919</c:v>
                </c:pt>
                <c:pt idx="49">
                  <c:v>1.4563130298447877</c:v>
                </c:pt>
                <c:pt idx="50">
                  <c:v>1.4854392904416835</c:v>
                </c:pt>
                <c:pt idx="51">
                  <c:v>1.5145655510385794</c:v>
                </c:pt>
              </c:numCache>
            </c:numRef>
          </c:val>
          <c:smooth val="0"/>
          <c:extLst xmlns:c15="http://schemas.microsoft.com/office/drawing/2012/chart">
            <c:ext xmlns:c16="http://schemas.microsoft.com/office/drawing/2014/chart" uri="{C3380CC4-5D6E-409C-BE32-E72D297353CC}">
              <c16:uniqueId val="{00000005-A6F2-468F-AD32-3A1CCD66111D}"/>
            </c:ext>
          </c:extLst>
        </c:ser>
        <c:dLbls>
          <c:showLegendKey val="0"/>
          <c:showVal val="0"/>
          <c:showCatName val="0"/>
          <c:showSerName val="0"/>
          <c:showPercent val="0"/>
          <c:showBubbleSize val="0"/>
        </c:dLbls>
        <c:smooth val="0"/>
        <c:axId val="1388952432"/>
        <c:axId val="1388953088"/>
        <c:extLst>
          <c:ext xmlns:c15="http://schemas.microsoft.com/office/drawing/2012/chart" uri="{02D57815-91ED-43cb-92C2-25804820EDAC}">
            <c15:filteredLineSeries>
              <c15:ser>
                <c:idx val="3"/>
                <c:order val="1"/>
                <c:tx>
                  <c:strRef>
                    <c:extLst>
                      <c:ext uri="{02D57815-91ED-43cb-92C2-25804820EDAC}">
                        <c15:formulaRef>
                          <c15:sqref>'OZL Summary'!$BO$6:$BO$7</c15:sqref>
                        </c15:formulaRef>
                      </c:ext>
                    </c:extLst>
                    <c:strCache>
                      <c:ptCount val="2"/>
                      <c:pt idx="0">
                        <c:v>Min</c:v>
                      </c:pt>
                    </c:strCache>
                  </c:strRef>
                </c:tx>
                <c:marker>
                  <c:symbol val="none"/>
                </c:marker>
                <c:cat>
                  <c:numRef>
                    <c:extLst>
                      <c:ex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c:ext uri="{02D57815-91ED-43cb-92C2-25804820EDAC}">
                        <c15:formulaRef>
                          <c15:sqref>'OZL Summary'!$BO$8:$BO$60</c15:sqref>
                        </c15:formulaRef>
                      </c:ext>
                    </c:extLst>
                    <c:numCache>
                      <c:formatCode>0.000</c:formatCode>
                      <c:ptCount val="53"/>
                      <c:pt idx="0">
                        <c:v>1.6032204874777817E-2</c:v>
                      </c:pt>
                      <c:pt idx="1">
                        <c:v>3.2064409749555635E-2</c:v>
                      </c:pt>
                      <c:pt idx="2">
                        <c:v>4.8096614624333456E-2</c:v>
                      </c:pt>
                      <c:pt idx="3">
                        <c:v>6.412881949911127E-2</c:v>
                      </c:pt>
                      <c:pt idx="4">
                        <c:v>8.0161024373889084E-2</c:v>
                      </c:pt>
                      <c:pt idx="5">
                        <c:v>9.6193229248666898E-2</c:v>
                      </c:pt>
                      <c:pt idx="6">
                        <c:v>0.11222543412344471</c:v>
                      </c:pt>
                      <c:pt idx="7">
                        <c:v>0.12825763899822254</c:v>
                      </c:pt>
                      <c:pt idx="8">
                        <c:v>0.14428984387300037</c:v>
                      </c:pt>
                      <c:pt idx="9">
                        <c:v>0.1603220487477782</c:v>
                      </c:pt>
                      <c:pt idx="10">
                        <c:v>0.17635425362255602</c:v>
                      </c:pt>
                      <c:pt idx="11">
                        <c:v>0.19238645849733385</c:v>
                      </c:pt>
                      <c:pt idx="12">
                        <c:v>0.20841866337211168</c:v>
                      </c:pt>
                      <c:pt idx="13">
                        <c:v>0.22445086824688951</c:v>
                      </c:pt>
                      <c:pt idx="14">
                        <c:v>0.24048307312166733</c:v>
                      </c:pt>
                      <c:pt idx="15">
                        <c:v>0.25651527799644513</c:v>
                      </c:pt>
                      <c:pt idx="16">
                        <c:v>0.27254748287122293</c:v>
                      </c:pt>
                      <c:pt idx="17">
                        <c:v>0.28857968774600073</c:v>
                      </c:pt>
                      <c:pt idx="18">
                        <c:v>0.30461189262077853</c:v>
                      </c:pt>
                      <c:pt idx="19">
                        <c:v>0.32064409749555633</c:v>
                      </c:pt>
                      <c:pt idx="20">
                        <c:v>0.33667630237033414</c:v>
                      </c:pt>
                      <c:pt idx="21">
                        <c:v>0.35270850724511194</c:v>
                      </c:pt>
                      <c:pt idx="22">
                        <c:v>0.36874071211988974</c:v>
                      </c:pt>
                      <c:pt idx="23">
                        <c:v>0.38477291699466754</c:v>
                      </c:pt>
                      <c:pt idx="24">
                        <c:v>0.40080512186944534</c:v>
                      </c:pt>
                      <c:pt idx="25">
                        <c:v>0.41683732674422314</c:v>
                      </c:pt>
                      <c:pt idx="26">
                        <c:v>0.43286953161900094</c:v>
                      </c:pt>
                      <c:pt idx="27">
                        <c:v>0.44890173649377874</c:v>
                      </c:pt>
                      <c:pt idx="28">
                        <c:v>0.46493394136855654</c:v>
                      </c:pt>
                      <c:pt idx="29">
                        <c:v>0.48096614624333434</c:v>
                      </c:pt>
                      <c:pt idx="30">
                        <c:v>0.49699835111811214</c:v>
                      </c:pt>
                      <c:pt idx="31">
                        <c:v>0.51303055599288994</c:v>
                      </c:pt>
                      <c:pt idx="32">
                        <c:v>0.52906276086766779</c:v>
                      </c:pt>
                      <c:pt idx="33">
                        <c:v>0.54509496574244565</c:v>
                      </c:pt>
                      <c:pt idx="34">
                        <c:v>0.5611271706172235</c:v>
                      </c:pt>
                      <c:pt idx="35">
                        <c:v>0.57715937549200136</c:v>
                      </c:pt>
                      <c:pt idx="36">
                        <c:v>0.59319158036677921</c:v>
                      </c:pt>
                      <c:pt idx="37">
                        <c:v>0.60922378524155707</c:v>
                      </c:pt>
                      <c:pt idx="38">
                        <c:v>0.62525599011633493</c:v>
                      </c:pt>
                      <c:pt idx="39">
                        <c:v>0.64128819499111278</c:v>
                      </c:pt>
                      <c:pt idx="40">
                        <c:v>0.65732039986589064</c:v>
                      </c:pt>
                      <c:pt idx="41">
                        <c:v>0.67335260474066849</c:v>
                      </c:pt>
                      <c:pt idx="42">
                        <c:v>0.68938480961544635</c:v>
                      </c:pt>
                      <c:pt idx="43">
                        <c:v>0.7054170144902242</c:v>
                      </c:pt>
                      <c:pt idx="44">
                        <c:v>0.72144921936500206</c:v>
                      </c:pt>
                      <c:pt idx="45">
                        <c:v>0.73748142423977991</c:v>
                      </c:pt>
                      <c:pt idx="46">
                        <c:v>0.75351362911455777</c:v>
                      </c:pt>
                      <c:pt idx="47">
                        <c:v>0.76954583398933563</c:v>
                      </c:pt>
                      <c:pt idx="48">
                        <c:v>0.78557803886411348</c:v>
                      </c:pt>
                      <c:pt idx="49">
                        <c:v>0.80161024373889134</c:v>
                      </c:pt>
                      <c:pt idx="50">
                        <c:v>0.81764244861366919</c:v>
                      </c:pt>
                      <c:pt idx="51">
                        <c:v>0.83367465348844705</c:v>
                      </c:pt>
                    </c:numCache>
                  </c:numRef>
                </c:val>
                <c:smooth val="0"/>
                <c:extLst>
                  <c:ext xmlns:c16="http://schemas.microsoft.com/office/drawing/2014/chart" uri="{C3380CC4-5D6E-409C-BE32-E72D297353CC}">
                    <c16:uniqueId val="{00000006-A6F2-468F-AD32-3A1CCD66111D}"/>
                  </c:ext>
                </c:extLst>
              </c15:ser>
            </c15:filteredLineSeries>
            <c15:filteredLineSeries>
              <c15:ser>
                <c:idx val="5"/>
                <c:order val="2"/>
                <c:tx>
                  <c:strRef>
                    <c:extLst xmlns:c15="http://schemas.microsoft.com/office/drawing/2012/chart">
                      <c:ext xmlns:c15="http://schemas.microsoft.com/office/drawing/2012/chart" uri="{02D57815-91ED-43cb-92C2-25804820EDAC}">
                        <c15:formulaRef>
                          <c15:sqref>'OZL Summary'!$BP$6:$BP$7</c15:sqref>
                        </c15:formulaRef>
                      </c:ext>
                    </c:extLst>
                    <c:strCache>
                      <c:ptCount val="2"/>
                      <c:pt idx="0">
                        <c:v>1st Percentile</c:v>
                      </c:pt>
                    </c:strCache>
                  </c:strRef>
                </c:tx>
                <c:spPr>
                  <a:ln w="28575" cap="rnd">
                    <a:solidFill>
                      <a:schemeClr val="accent6"/>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Summary'!$BP$8:$BP$60</c15:sqref>
                        </c15:formulaRef>
                      </c:ext>
                    </c:extLst>
                    <c:numCache>
                      <c:formatCode>0.000</c:formatCode>
                      <c:ptCount val="53"/>
                      <c:pt idx="0">
                        <c:v>1.8223138082807688E-2</c:v>
                      </c:pt>
                      <c:pt idx="1">
                        <c:v>3.6446276165615375E-2</c:v>
                      </c:pt>
                      <c:pt idx="2">
                        <c:v>5.4669414248423059E-2</c:v>
                      </c:pt>
                      <c:pt idx="3">
                        <c:v>7.2892552331230751E-2</c:v>
                      </c:pt>
                      <c:pt idx="4">
                        <c:v>9.1115690414038442E-2</c:v>
                      </c:pt>
                      <c:pt idx="5">
                        <c:v>0.10933882849684613</c:v>
                      </c:pt>
                      <c:pt idx="6">
                        <c:v>0.12756196657965382</c:v>
                      </c:pt>
                      <c:pt idx="7">
                        <c:v>0.1457851046624615</c:v>
                      </c:pt>
                      <c:pt idx="8">
                        <c:v>0.16400824274526918</c:v>
                      </c:pt>
                      <c:pt idx="9">
                        <c:v>0.18223138082807686</c:v>
                      </c:pt>
                      <c:pt idx="10">
                        <c:v>0.20045451891088453</c:v>
                      </c:pt>
                      <c:pt idx="11">
                        <c:v>0.21867765699369221</c:v>
                      </c:pt>
                      <c:pt idx="12">
                        <c:v>0.23690079507649989</c:v>
                      </c:pt>
                      <c:pt idx="13">
                        <c:v>0.25512393315930759</c:v>
                      </c:pt>
                      <c:pt idx="14">
                        <c:v>0.27334707124211527</c:v>
                      </c:pt>
                      <c:pt idx="15">
                        <c:v>0.29157020932492295</c:v>
                      </c:pt>
                      <c:pt idx="16">
                        <c:v>0.30979334740773062</c:v>
                      </c:pt>
                      <c:pt idx="17">
                        <c:v>0.3280164854905383</c:v>
                      </c:pt>
                      <c:pt idx="18">
                        <c:v>0.34623962357334598</c:v>
                      </c:pt>
                      <c:pt idx="19">
                        <c:v>0.36446276165615366</c:v>
                      </c:pt>
                      <c:pt idx="20">
                        <c:v>0.38268589973896133</c:v>
                      </c:pt>
                      <c:pt idx="21">
                        <c:v>0.40090903782176901</c:v>
                      </c:pt>
                      <c:pt idx="22">
                        <c:v>0.41913217590457669</c:v>
                      </c:pt>
                      <c:pt idx="23">
                        <c:v>0.43735531398738436</c:v>
                      </c:pt>
                      <c:pt idx="24">
                        <c:v>0.45557845207019204</c:v>
                      </c:pt>
                      <c:pt idx="25">
                        <c:v>0.47380159015299972</c:v>
                      </c:pt>
                      <c:pt idx="26">
                        <c:v>0.4920247282358074</c:v>
                      </c:pt>
                      <c:pt idx="27">
                        <c:v>0.51024786631861507</c:v>
                      </c:pt>
                      <c:pt idx="28">
                        <c:v>0.52847100440142281</c:v>
                      </c:pt>
                      <c:pt idx="29">
                        <c:v>0.54669414248423054</c:v>
                      </c:pt>
                      <c:pt idx="30">
                        <c:v>0.56491728056703827</c:v>
                      </c:pt>
                      <c:pt idx="31">
                        <c:v>0.583140418649846</c:v>
                      </c:pt>
                      <c:pt idx="32">
                        <c:v>0.60136355673265374</c:v>
                      </c:pt>
                      <c:pt idx="33">
                        <c:v>0.61958669481546147</c:v>
                      </c:pt>
                      <c:pt idx="34">
                        <c:v>0.6378098328982692</c:v>
                      </c:pt>
                      <c:pt idx="35">
                        <c:v>0.65603297098107693</c:v>
                      </c:pt>
                      <c:pt idx="36">
                        <c:v>0.67425610906388467</c:v>
                      </c:pt>
                      <c:pt idx="37">
                        <c:v>0.6924792471466924</c:v>
                      </c:pt>
                      <c:pt idx="38">
                        <c:v>0.71070238522950013</c:v>
                      </c:pt>
                      <c:pt idx="39">
                        <c:v>0.72892552331230787</c:v>
                      </c:pt>
                      <c:pt idx="40">
                        <c:v>0.7471486613951156</c:v>
                      </c:pt>
                      <c:pt idx="41">
                        <c:v>0.76537179947792333</c:v>
                      </c:pt>
                      <c:pt idx="42">
                        <c:v>0.78359493756073106</c:v>
                      </c:pt>
                      <c:pt idx="43">
                        <c:v>0.8018180756435388</c:v>
                      </c:pt>
                      <c:pt idx="44">
                        <c:v>0.82004121372634653</c:v>
                      </c:pt>
                      <c:pt idx="45">
                        <c:v>0.83826435180915426</c:v>
                      </c:pt>
                      <c:pt idx="46">
                        <c:v>0.85648748989196199</c:v>
                      </c:pt>
                      <c:pt idx="47">
                        <c:v>0.87471062797476973</c:v>
                      </c:pt>
                      <c:pt idx="48">
                        <c:v>0.89293376605757746</c:v>
                      </c:pt>
                      <c:pt idx="49">
                        <c:v>0.91115690414038519</c:v>
                      </c:pt>
                      <c:pt idx="50">
                        <c:v>0.92938004222319293</c:v>
                      </c:pt>
                      <c:pt idx="51">
                        <c:v>0.94760318030600066</c:v>
                      </c:pt>
                    </c:numCache>
                  </c:numRef>
                </c:val>
                <c:smooth val="0"/>
                <c:extLst xmlns:c15="http://schemas.microsoft.com/office/drawing/2012/chart">
                  <c:ext xmlns:c16="http://schemas.microsoft.com/office/drawing/2014/chart" uri="{C3380CC4-5D6E-409C-BE32-E72D297353CC}">
                    <c16:uniqueId val="{00000007-A6F2-468F-AD32-3A1CCD66111D}"/>
                  </c:ext>
                </c:extLst>
              </c15:ser>
            </c15:filteredLineSeries>
            <c15:filteredLineSeries>
              <c15:ser>
                <c:idx val="1"/>
                <c:order val="4"/>
                <c:tx>
                  <c:strRef>
                    <c:extLst xmlns:c15="http://schemas.microsoft.com/office/drawing/2012/chart">
                      <c:ext xmlns:c15="http://schemas.microsoft.com/office/drawing/2012/chart" uri="{02D57815-91ED-43cb-92C2-25804820EDAC}">
                        <c15:formulaRef>
                          <c15:sqref>'OZL Summary'!$BR$6:$BR$7</c15:sqref>
                        </c15:formulaRef>
                      </c:ext>
                    </c:extLst>
                    <c:strCache>
                      <c:ptCount val="2"/>
                      <c:pt idx="0">
                        <c:v>10th Percentile</c:v>
                      </c:pt>
                    </c:strCache>
                  </c:strRef>
                </c:tx>
                <c:spPr>
                  <a:ln w="28575" cap="rnd" cmpd="sng">
                    <a:solidFill>
                      <a:schemeClr val="accent2"/>
                    </a:solidFill>
                    <a:prstDash val="sysDot"/>
                    <a:round/>
                    <a:headEnd type="none"/>
                  </a:ln>
                  <a:effectLst/>
                </c:spPr>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Summary'!$BR$8:$BR$60</c15:sqref>
                        </c15:formulaRef>
                      </c:ext>
                    </c:extLst>
                    <c:numCache>
                      <c:formatCode>0.000</c:formatCode>
                      <c:ptCount val="53"/>
                      <c:pt idx="0">
                        <c:v>2.0199848897457344E-2</c:v>
                      </c:pt>
                      <c:pt idx="1">
                        <c:v>4.0399697794914688E-2</c:v>
                      </c:pt>
                      <c:pt idx="2">
                        <c:v>6.0599546692372032E-2</c:v>
                      </c:pt>
                      <c:pt idx="3">
                        <c:v>8.0799395589829376E-2</c:v>
                      </c:pt>
                      <c:pt idx="4">
                        <c:v>0.10099924448728673</c:v>
                      </c:pt>
                      <c:pt idx="5">
                        <c:v>0.12119909338474408</c:v>
                      </c:pt>
                      <c:pt idx="6">
                        <c:v>0.14139894228220143</c:v>
                      </c:pt>
                      <c:pt idx="7">
                        <c:v>0.16159879117965878</c:v>
                      </c:pt>
                      <c:pt idx="8">
                        <c:v>0.18179864007711613</c:v>
                      </c:pt>
                      <c:pt idx="9">
                        <c:v>0.20199848897457348</c:v>
                      </c:pt>
                      <c:pt idx="10">
                        <c:v>0.22219833787203083</c:v>
                      </c:pt>
                      <c:pt idx="11">
                        <c:v>0.24239818676948818</c:v>
                      </c:pt>
                      <c:pt idx="12">
                        <c:v>0.26259803566694551</c:v>
                      </c:pt>
                      <c:pt idx="13">
                        <c:v>0.28279788456440286</c:v>
                      </c:pt>
                      <c:pt idx="14">
                        <c:v>0.30299773346186021</c:v>
                      </c:pt>
                      <c:pt idx="15">
                        <c:v>0.32319758235931756</c:v>
                      </c:pt>
                      <c:pt idx="16">
                        <c:v>0.34339743125677491</c:v>
                      </c:pt>
                      <c:pt idx="17">
                        <c:v>0.36359728015423226</c:v>
                      </c:pt>
                      <c:pt idx="18">
                        <c:v>0.38379712905168961</c:v>
                      </c:pt>
                      <c:pt idx="19">
                        <c:v>0.40399697794914696</c:v>
                      </c:pt>
                      <c:pt idx="20">
                        <c:v>0.42419682684660431</c:v>
                      </c:pt>
                      <c:pt idx="21">
                        <c:v>0.44439667574406166</c:v>
                      </c:pt>
                      <c:pt idx="22">
                        <c:v>0.46459652464151902</c:v>
                      </c:pt>
                      <c:pt idx="23">
                        <c:v>0.48479637353897637</c:v>
                      </c:pt>
                      <c:pt idx="24">
                        <c:v>0.50499622243643372</c:v>
                      </c:pt>
                      <c:pt idx="25">
                        <c:v>0.52519607133389101</c:v>
                      </c:pt>
                      <c:pt idx="26">
                        <c:v>0.54539592023134831</c:v>
                      </c:pt>
                      <c:pt idx="27">
                        <c:v>0.5655957691288056</c:v>
                      </c:pt>
                      <c:pt idx="28">
                        <c:v>0.5857956180262629</c:v>
                      </c:pt>
                      <c:pt idx="29">
                        <c:v>0.60599546692372019</c:v>
                      </c:pt>
                      <c:pt idx="30">
                        <c:v>0.62619531582117749</c:v>
                      </c:pt>
                      <c:pt idx="31">
                        <c:v>0.64639516471863478</c:v>
                      </c:pt>
                      <c:pt idx="32">
                        <c:v>0.66659501361609208</c:v>
                      </c:pt>
                      <c:pt idx="33">
                        <c:v>0.68679486251354938</c:v>
                      </c:pt>
                      <c:pt idx="34">
                        <c:v>0.70699471141100667</c:v>
                      </c:pt>
                      <c:pt idx="35">
                        <c:v>0.72719456030846397</c:v>
                      </c:pt>
                      <c:pt idx="36">
                        <c:v>0.74739440920592126</c:v>
                      </c:pt>
                      <c:pt idx="37">
                        <c:v>0.76759425810337856</c:v>
                      </c:pt>
                      <c:pt idx="38">
                        <c:v>0.78779410700083585</c:v>
                      </c:pt>
                      <c:pt idx="39">
                        <c:v>0.80799395589829315</c:v>
                      </c:pt>
                      <c:pt idx="40">
                        <c:v>0.82819380479575044</c:v>
                      </c:pt>
                      <c:pt idx="41">
                        <c:v>0.84839365369320774</c:v>
                      </c:pt>
                      <c:pt idx="42">
                        <c:v>0.86859350259066503</c:v>
                      </c:pt>
                      <c:pt idx="43">
                        <c:v>0.88879335148812233</c:v>
                      </c:pt>
                      <c:pt idx="44">
                        <c:v>0.90899320038557962</c:v>
                      </c:pt>
                      <c:pt idx="45">
                        <c:v>0.92919304928303692</c:v>
                      </c:pt>
                      <c:pt idx="46">
                        <c:v>0.94939289818049422</c:v>
                      </c:pt>
                      <c:pt idx="47">
                        <c:v>0.96959274707795151</c:v>
                      </c:pt>
                      <c:pt idx="48">
                        <c:v>0.98979259597540881</c:v>
                      </c:pt>
                      <c:pt idx="49">
                        <c:v>1.0099924448728661</c:v>
                      </c:pt>
                      <c:pt idx="50">
                        <c:v>1.0301922937703234</c:v>
                      </c:pt>
                      <c:pt idx="51">
                        <c:v>1.0503921426677807</c:v>
                      </c:pt>
                    </c:numCache>
                  </c:numRef>
                </c:val>
                <c:smooth val="0"/>
                <c:extLst xmlns:c15="http://schemas.microsoft.com/office/drawing/2012/chart">
                  <c:ext xmlns:c16="http://schemas.microsoft.com/office/drawing/2014/chart" uri="{C3380CC4-5D6E-409C-BE32-E72D297353CC}">
                    <c16:uniqueId val="{00000008-A6F2-468F-AD32-3A1CCD66111D}"/>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'OZL Summary'!$BV$6:$BV$7</c15:sqref>
                        </c15:formulaRef>
                      </c:ext>
                    </c:extLst>
                    <c:strCache>
                      <c:ptCount val="2"/>
                      <c:pt idx="0">
                        <c:v>90th Percentile</c:v>
                      </c:pt>
                    </c:strCache>
                  </c:strRef>
                </c:tx>
                <c:spPr>
                  <a:ln w="28575">
                    <a:solidFill>
                      <a:schemeClr val="accent1"/>
                    </a:solidFill>
                    <a:prstDash val="sysDot"/>
                  </a:ln>
                </c:spPr>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Summary'!$BV$8:$BV$60</c15:sqref>
                        </c15:formulaRef>
                      </c:ext>
                    </c:extLst>
                    <c:numCache>
                      <c:formatCode>0.000</c:formatCode>
                      <c:ptCount val="53"/>
                      <c:pt idx="0">
                        <c:v>2.7720420236719803E-2</c:v>
                      </c:pt>
                      <c:pt idx="1">
                        <c:v>5.5440840473439605E-2</c:v>
                      </c:pt>
                      <c:pt idx="2">
                        <c:v>8.3161260710159404E-2</c:v>
                      </c:pt>
                      <c:pt idx="3">
                        <c:v>0.11088168094687921</c:v>
                      </c:pt>
                      <c:pt idx="4">
                        <c:v>0.138602101183599</c:v>
                      </c:pt>
                      <c:pt idx="5">
                        <c:v>0.16632252142031881</c:v>
                      </c:pt>
                      <c:pt idx="6">
                        <c:v>0.19404294165703861</c:v>
                      </c:pt>
                      <c:pt idx="7">
                        <c:v>0.22176336189375842</c:v>
                      </c:pt>
                      <c:pt idx="8">
                        <c:v>0.24948378213047823</c:v>
                      </c:pt>
                      <c:pt idx="9">
                        <c:v>0.277204202367198</c:v>
                      </c:pt>
                      <c:pt idx="10">
                        <c:v>0.30492462260391778</c:v>
                      </c:pt>
                      <c:pt idx="11">
                        <c:v>0.33264504284063756</c:v>
                      </c:pt>
                      <c:pt idx="12">
                        <c:v>0.36036546307735734</c:v>
                      </c:pt>
                      <c:pt idx="13">
                        <c:v>0.38808588331407712</c:v>
                      </c:pt>
                      <c:pt idx="14">
                        <c:v>0.4158063035507969</c:v>
                      </c:pt>
                      <c:pt idx="15">
                        <c:v>0.44352672378751667</c:v>
                      </c:pt>
                      <c:pt idx="16">
                        <c:v>0.47124714402423645</c:v>
                      </c:pt>
                      <c:pt idx="17">
                        <c:v>0.49896756426095623</c:v>
                      </c:pt>
                      <c:pt idx="18">
                        <c:v>0.52668798449767606</c:v>
                      </c:pt>
                      <c:pt idx="19">
                        <c:v>0.5544084047343959</c:v>
                      </c:pt>
                      <c:pt idx="20">
                        <c:v>0.58212882497111573</c:v>
                      </c:pt>
                      <c:pt idx="21">
                        <c:v>0.60984924520783557</c:v>
                      </c:pt>
                      <c:pt idx="22">
                        <c:v>0.6375696654445554</c:v>
                      </c:pt>
                      <c:pt idx="23">
                        <c:v>0.66529008568127523</c:v>
                      </c:pt>
                      <c:pt idx="24">
                        <c:v>0.69301050591799507</c:v>
                      </c:pt>
                      <c:pt idx="25">
                        <c:v>0.7207309261547149</c:v>
                      </c:pt>
                      <c:pt idx="26">
                        <c:v>0.74845134639143474</c:v>
                      </c:pt>
                      <c:pt idx="27">
                        <c:v>0.77617176662815457</c:v>
                      </c:pt>
                      <c:pt idx="28">
                        <c:v>0.8038921868648744</c:v>
                      </c:pt>
                      <c:pt idx="29">
                        <c:v>0.83161260710159424</c:v>
                      </c:pt>
                      <c:pt idx="30">
                        <c:v>0.85933302733831407</c:v>
                      </c:pt>
                      <c:pt idx="31">
                        <c:v>0.8870534475750339</c:v>
                      </c:pt>
                      <c:pt idx="32">
                        <c:v>0.91477386781175374</c:v>
                      </c:pt>
                      <c:pt idx="33">
                        <c:v>0.94249428804847357</c:v>
                      </c:pt>
                      <c:pt idx="34">
                        <c:v>0.97021470828519341</c:v>
                      </c:pt>
                      <c:pt idx="35">
                        <c:v>0.99793512852191324</c:v>
                      </c:pt>
                      <c:pt idx="36">
                        <c:v>1.025655548758633</c:v>
                      </c:pt>
                      <c:pt idx="37">
                        <c:v>1.0533759689953528</c:v>
                      </c:pt>
                      <c:pt idx="38">
                        <c:v>1.0810963892320726</c:v>
                      </c:pt>
                      <c:pt idx="39">
                        <c:v>1.1088168094687925</c:v>
                      </c:pt>
                      <c:pt idx="40">
                        <c:v>1.1365372297055123</c:v>
                      </c:pt>
                      <c:pt idx="41">
                        <c:v>1.1642576499422321</c:v>
                      </c:pt>
                      <c:pt idx="42">
                        <c:v>1.191978070178952</c:v>
                      </c:pt>
                      <c:pt idx="43">
                        <c:v>1.2196984904156718</c:v>
                      </c:pt>
                      <c:pt idx="44">
                        <c:v>1.2474189106523916</c:v>
                      </c:pt>
                      <c:pt idx="45">
                        <c:v>1.2751393308891115</c:v>
                      </c:pt>
                      <c:pt idx="46">
                        <c:v>1.3028597511258313</c:v>
                      </c:pt>
                      <c:pt idx="47">
                        <c:v>1.3305801713625511</c:v>
                      </c:pt>
                      <c:pt idx="48">
                        <c:v>1.358300591599271</c:v>
                      </c:pt>
                      <c:pt idx="49">
                        <c:v>1.3860210118359908</c:v>
                      </c:pt>
                      <c:pt idx="50">
                        <c:v>1.4137414320727106</c:v>
                      </c:pt>
                      <c:pt idx="51">
                        <c:v>1.4414618523094305</c:v>
                      </c:pt>
                    </c:numCache>
                  </c:numRef>
                </c:val>
                <c:smooth val="0"/>
                <c:extLst xmlns:c15="http://schemas.microsoft.com/office/drawing/2012/chart">
                  <c:ext xmlns:c16="http://schemas.microsoft.com/office/drawing/2014/chart" uri="{C3380CC4-5D6E-409C-BE32-E72D297353CC}">
                    <c16:uniqueId val="{00000009-A6F2-468F-AD32-3A1CCD66111D}"/>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'OZL Summary'!$BX$6:$BX$7</c15:sqref>
                        </c15:formulaRef>
                      </c:ext>
                    </c:extLst>
                    <c:strCache>
                      <c:ptCount val="2"/>
                      <c:pt idx="0">
                        <c:v>99th Percentile</c:v>
                      </c:pt>
                    </c:strCache>
                  </c:strRef>
                </c:tx>
                <c:spPr>
                  <a:ln w="28575">
                    <a:solidFill>
                      <a:schemeClr val="accent1"/>
                    </a:solidFill>
                    <a:prstDash val="sysDot"/>
                  </a:ln>
                </c:spPr>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Summary'!$BX$8:$BX$60</c15:sqref>
                        </c15:formulaRef>
                      </c:ext>
                    </c:extLst>
                    <c:numCache>
                      <c:formatCode>0.000</c:formatCode>
                      <c:ptCount val="53"/>
                      <c:pt idx="0">
                        <c:v>3.2006943607976859E-2</c:v>
                      </c:pt>
                      <c:pt idx="1">
                        <c:v>6.4013887215953719E-2</c:v>
                      </c:pt>
                      <c:pt idx="2">
                        <c:v>9.6020830823930578E-2</c:v>
                      </c:pt>
                      <c:pt idx="3">
                        <c:v>0.12802777443190744</c:v>
                      </c:pt>
                      <c:pt idx="4">
                        <c:v>0.16003471803988428</c:v>
                      </c:pt>
                      <c:pt idx="5">
                        <c:v>0.19204166164786113</c:v>
                      </c:pt>
                      <c:pt idx="6">
                        <c:v>0.22404860525583797</c:v>
                      </c:pt>
                      <c:pt idx="7">
                        <c:v>0.25605554886381482</c:v>
                      </c:pt>
                      <c:pt idx="8">
                        <c:v>0.28806249247179166</c:v>
                      </c:pt>
                      <c:pt idx="9">
                        <c:v>0.32006943607976851</c:v>
                      </c:pt>
                      <c:pt idx="10">
                        <c:v>0.35207637968774536</c:v>
                      </c:pt>
                      <c:pt idx="11">
                        <c:v>0.3840833232957222</c:v>
                      </c:pt>
                      <c:pt idx="12">
                        <c:v>0.41609026690369905</c:v>
                      </c:pt>
                      <c:pt idx="13">
                        <c:v>0.44809721051167589</c:v>
                      </c:pt>
                      <c:pt idx="14">
                        <c:v>0.48010415411965274</c:v>
                      </c:pt>
                      <c:pt idx="15">
                        <c:v>0.51211109772762964</c:v>
                      </c:pt>
                      <c:pt idx="16">
                        <c:v>0.54411804133560648</c:v>
                      </c:pt>
                      <c:pt idx="17">
                        <c:v>0.57612498494358333</c:v>
                      </c:pt>
                      <c:pt idx="18">
                        <c:v>0.60813192855156017</c:v>
                      </c:pt>
                      <c:pt idx="19">
                        <c:v>0.64013887215953702</c:v>
                      </c:pt>
                      <c:pt idx="20">
                        <c:v>0.67214581576751387</c:v>
                      </c:pt>
                      <c:pt idx="21">
                        <c:v>0.70415275937549071</c:v>
                      </c:pt>
                      <c:pt idx="22">
                        <c:v>0.73615970298346756</c:v>
                      </c:pt>
                      <c:pt idx="23">
                        <c:v>0.7681666465914444</c:v>
                      </c:pt>
                      <c:pt idx="24">
                        <c:v>0.80017359019942125</c:v>
                      </c:pt>
                      <c:pt idx="25">
                        <c:v>0.83218053380739809</c:v>
                      </c:pt>
                      <c:pt idx="26">
                        <c:v>0.86418747741537494</c:v>
                      </c:pt>
                      <c:pt idx="27">
                        <c:v>0.89619442102335178</c:v>
                      </c:pt>
                      <c:pt idx="28">
                        <c:v>0.92820136463132863</c:v>
                      </c:pt>
                      <c:pt idx="29">
                        <c:v>0.96020830823930547</c:v>
                      </c:pt>
                      <c:pt idx="30">
                        <c:v>0.99221525184728232</c:v>
                      </c:pt>
                      <c:pt idx="31">
                        <c:v>1.0242221954552593</c:v>
                      </c:pt>
                      <c:pt idx="32">
                        <c:v>1.0562291390632361</c:v>
                      </c:pt>
                      <c:pt idx="33">
                        <c:v>1.088236082671213</c:v>
                      </c:pt>
                      <c:pt idx="34">
                        <c:v>1.1202430262791898</c:v>
                      </c:pt>
                      <c:pt idx="35">
                        <c:v>1.1522499698871667</c:v>
                      </c:pt>
                      <c:pt idx="36">
                        <c:v>1.1842569134951435</c:v>
                      </c:pt>
                      <c:pt idx="37">
                        <c:v>1.2162638571031203</c:v>
                      </c:pt>
                      <c:pt idx="38">
                        <c:v>1.2482708007110972</c:v>
                      </c:pt>
                      <c:pt idx="39">
                        <c:v>1.280277744319074</c:v>
                      </c:pt>
                      <c:pt idx="40">
                        <c:v>1.3122846879270509</c:v>
                      </c:pt>
                      <c:pt idx="41">
                        <c:v>1.3442916315350277</c:v>
                      </c:pt>
                      <c:pt idx="42">
                        <c:v>1.3762985751430046</c:v>
                      </c:pt>
                      <c:pt idx="43">
                        <c:v>1.4083055187509814</c:v>
                      </c:pt>
                      <c:pt idx="44">
                        <c:v>1.4403124623589583</c:v>
                      </c:pt>
                      <c:pt idx="45">
                        <c:v>1.4723194059669351</c:v>
                      </c:pt>
                      <c:pt idx="46">
                        <c:v>1.504326349574912</c:v>
                      </c:pt>
                      <c:pt idx="47">
                        <c:v>1.5363332931828888</c:v>
                      </c:pt>
                      <c:pt idx="48">
                        <c:v>1.5683402367908656</c:v>
                      </c:pt>
                      <c:pt idx="49">
                        <c:v>1.6003471803988425</c:v>
                      </c:pt>
                      <c:pt idx="50">
                        <c:v>1.6323541240068193</c:v>
                      </c:pt>
                      <c:pt idx="51">
                        <c:v>1.6643610676147962</c:v>
                      </c:pt>
                    </c:numCache>
                  </c:numRef>
                </c:val>
                <c:smooth val="0"/>
                <c:extLst xmlns:c15="http://schemas.microsoft.com/office/drawing/2012/chart">
                  <c:ext xmlns:c16="http://schemas.microsoft.com/office/drawing/2014/chart" uri="{C3380CC4-5D6E-409C-BE32-E72D297353CC}">
                    <c16:uniqueId val="{0000000A-A6F2-468F-AD32-3A1CCD66111D}"/>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'OZL Summary'!$BY$6:$BY$7</c15:sqref>
                        </c15:formulaRef>
                      </c:ext>
                    </c:extLst>
                    <c:strCache>
                      <c:ptCount val="2"/>
                      <c:pt idx="0">
                        <c:v>Max</c:v>
                      </c:pt>
                    </c:strCache>
                  </c:strRef>
                </c:tx>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Summary'!$BY$8:$BY$60</c15:sqref>
                        </c15:formulaRef>
                      </c:ext>
                    </c:extLst>
                    <c:numCache>
                      <c:formatCode>0.000</c:formatCode>
                      <c:ptCount val="53"/>
                      <c:pt idx="0">
                        <c:v>3.9503586953510528E-2</c:v>
                      </c:pt>
                      <c:pt idx="1">
                        <c:v>7.9007173907021055E-2</c:v>
                      </c:pt>
                      <c:pt idx="2">
                        <c:v>0.11851076086053158</c:v>
                      </c:pt>
                      <c:pt idx="3">
                        <c:v>0.15801434781404211</c:v>
                      </c:pt>
                      <c:pt idx="4">
                        <c:v>0.19751793476755264</c:v>
                      </c:pt>
                      <c:pt idx="5">
                        <c:v>0.23702152172106317</c:v>
                      </c:pt>
                      <c:pt idx="6">
                        <c:v>0.27652510867457369</c:v>
                      </c:pt>
                      <c:pt idx="7">
                        <c:v>0.31602869562808422</c:v>
                      </c:pt>
                      <c:pt idx="8">
                        <c:v>0.35553228258159475</c:v>
                      </c:pt>
                      <c:pt idx="9">
                        <c:v>0.39503586953510528</c:v>
                      </c:pt>
                      <c:pt idx="10">
                        <c:v>0.43453945648861581</c:v>
                      </c:pt>
                      <c:pt idx="11">
                        <c:v>0.47404304344212633</c:v>
                      </c:pt>
                      <c:pt idx="12">
                        <c:v>0.51354663039563686</c:v>
                      </c:pt>
                      <c:pt idx="13">
                        <c:v>0.55305021734914739</c:v>
                      </c:pt>
                      <c:pt idx="14">
                        <c:v>0.59255380430265792</c:v>
                      </c:pt>
                      <c:pt idx="15">
                        <c:v>0.63205739125616844</c:v>
                      </c:pt>
                      <c:pt idx="16">
                        <c:v>0.67156097820967897</c:v>
                      </c:pt>
                      <c:pt idx="17">
                        <c:v>0.7110645651631895</c:v>
                      </c:pt>
                      <c:pt idx="18">
                        <c:v>0.75056815211670003</c:v>
                      </c:pt>
                      <c:pt idx="19">
                        <c:v>0.79007173907021055</c:v>
                      </c:pt>
                      <c:pt idx="20">
                        <c:v>0.82957532602372108</c:v>
                      </c:pt>
                      <c:pt idx="21">
                        <c:v>0.86907891297723161</c:v>
                      </c:pt>
                      <c:pt idx="22">
                        <c:v>0.90858249993074214</c:v>
                      </c:pt>
                      <c:pt idx="23">
                        <c:v>0.94808608688425267</c:v>
                      </c:pt>
                      <c:pt idx="24">
                        <c:v>0.98758967383776319</c:v>
                      </c:pt>
                      <c:pt idx="25">
                        <c:v>1.0270932607912737</c:v>
                      </c:pt>
                      <c:pt idx="26">
                        <c:v>1.0665968477447842</c:v>
                      </c:pt>
                      <c:pt idx="27">
                        <c:v>1.1061004346982948</c:v>
                      </c:pt>
                      <c:pt idx="28">
                        <c:v>1.1456040216518053</c:v>
                      </c:pt>
                      <c:pt idx="29">
                        <c:v>1.1851076086053158</c:v>
                      </c:pt>
                      <c:pt idx="30">
                        <c:v>1.2246111955588264</c:v>
                      </c:pt>
                      <c:pt idx="31">
                        <c:v>1.2641147825123369</c:v>
                      </c:pt>
                      <c:pt idx="32">
                        <c:v>1.3036183694658474</c:v>
                      </c:pt>
                      <c:pt idx="33">
                        <c:v>1.3431219564193579</c:v>
                      </c:pt>
                      <c:pt idx="34">
                        <c:v>1.3826255433728685</c:v>
                      </c:pt>
                      <c:pt idx="35">
                        <c:v>1.422129130326379</c:v>
                      </c:pt>
                      <c:pt idx="36">
                        <c:v>1.4616327172798895</c:v>
                      </c:pt>
                      <c:pt idx="37">
                        <c:v>1.5011363042334001</c:v>
                      </c:pt>
                      <c:pt idx="38">
                        <c:v>1.5406398911869106</c:v>
                      </c:pt>
                      <c:pt idx="39">
                        <c:v>1.5801434781404211</c:v>
                      </c:pt>
                      <c:pt idx="40">
                        <c:v>1.6196470650939316</c:v>
                      </c:pt>
                      <c:pt idx="41">
                        <c:v>1.6591506520474422</c:v>
                      </c:pt>
                      <c:pt idx="42">
                        <c:v>1.6986542390009527</c:v>
                      </c:pt>
                      <c:pt idx="43">
                        <c:v>1.7381578259544632</c:v>
                      </c:pt>
                      <c:pt idx="44">
                        <c:v>1.7776614129079737</c:v>
                      </c:pt>
                      <c:pt idx="45">
                        <c:v>1.8171649998614843</c:v>
                      </c:pt>
                      <c:pt idx="46">
                        <c:v>1.8566685868149948</c:v>
                      </c:pt>
                      <c:pt idx="47">
                        <c:v>1.8961721737685053</c:v>
                      </c:pt>
                      <c:pt idx="48">
                        <c:v>1.9356757607220159</c:v>
                      </c:pt>
                      <c:pt idx="49">
                        <c:v>1.9751793476755264</c:v>
                      </c:pt>
                      <c:pt idx="50">
                        <c:v>2.0146829346290369</c:v>
                      </c:pt>
                      <c:pt idx="51">
                        <c:v>2.0541865215825474</c:v>
                      </c:pt>
                    </c:numCache>
                  </c:numRef>
                </c:val>
                <c:smooth val="0"/>
                <c:extLst xmlns:c15="http://schemas.microsoft.com/office/drawing/2012/chart">
                  <c:ext xmlns:c16="http://schemas.microsoft.com/office/drawing/2014/chart" uri="{C3380CC4-5D6E-409C-BE32-E72D297353CC}">
                    <c16:uniqueId val="{0000000B-A6F2-468F-AD32-3A1CCD66111D}"/>
                  </c:ext>
                </c:extLst>
              </c15:ser>
            </c15:filteredLineSeries>
          </c:ext>
        </c:extLst>
      </c:lineChart>
      <c:dateAx>
        <c:axId val="1388952432"/>
        <c:scaling>
          <c:orientation val="minMax"/>
        </c:scaling>
        <c:delete val="0"/>
        <c:axPos val="b"/>
        <c:numFmt formatCode="d\-mmm\-yy_);\(###0\);&quot;-  &quot;;&quot; &quot;@&quot; &quot;"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3088"/>
        <c:crosses val="autoZero"/>
        <c:auto val="1"/>
        <c:lblOffset val="100"/>
        <c:baseTimeUnit val="days"/>
        <c:majorUnit val="3"/>
        <c:majorTimeUnit val="months"/>
      </c:dateAx>
      <c:valAx>
        <c:axId val="1388953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Ticket Sales ($b)</a:t>
                </a:r>
              </a:p>
            </c:rich>
          </c:tx>
          <c:overlay val="0"/>
          <c:spPr>
            <a:noFill/>
            <a:ln>
              <a:noFill/>
            </a:ln>
            <a:effectLst/>
          </c:sp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2432"/>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'OZL Summary'!$BN$6:$BN$7</c:f>
              <c:strCache>
                <c:ptCount val="2"/>
                <c:pt idx="0">
                  <c:v>Actual</c:v>
                </c:pt>
              </c:strCache>
            </c:strRef>
          </c:tx>
          <c:spPr>
            <a:ln w="28575" cap="rnd">
              <a:solidFill>
                <a:schemeClr val="tx2"/>
              </a:solidFill>
              <a:round/>
            </a:ln>
            <a:effectLst/>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Summary'!$BN$8:$BN$60</c:f>
              <c:numCache>
                <c:formatCode>0.000</c:formatCode>
                <c:ptCount val="53"/>
                <c:pt idx="0">
                  <c:v>3.4282144018799997E-2</c:v>
                </c:pt>
                <c:pt idx="1">
                  <c:v>4.61727482976E-2</c:v>
                </c:pt>
                <c:pt idx="2">
                  <c:v>6.0744925144799997E-2</c:v>
                </c:pt>
                <c:pt idx="3">
                  <c:v>7.9887071887199998E-2</c:v>
                </c:pt>
                <c:pt idx="4">
                  <c:v>9.0591598206000004E-2</c:v>
                </c:pt>
                <c:pt idx="5">
                  <c:v>0.10471594425839999</c:v>
                </c:pt>
                <c:pt idx="6">
                  <c:v>0.13024126318319998</c:v>
                </c:pt>
                <c:pt idx="7">
                  <c:v>0.14299494069599997</c:v>
                </c:pt>
                <c:pt idx="8">
                  <c:v>0.15712274134439999</c:v>
                </c:pt>
                <c:pt idx="9">
                  <c:v>0.18211939192799997</c:v>
                </c:pt>
                <c:pt idx="10">
                  <c:v>0.21562528822559998</c:v>
                </c:pt>
                <c:pt idx="11">
                  <c:v>0.26312805598319994</c:v>
                </c:pt>
                <c:pt idx="12">
                  <c:v>0.27559419595559997</c:v>
                </c:pt>
                <c:pt idx="13">
                  <c:v>0.29338294713839996</c:v>
                </c:pt>
                <c:pt idx="14">
                  <c:v>0.31479798774239992</c:v>
                </c:pt>
                <c:pt idx="15">
                  <c:v>0.34138237064759991</c:v>
                </c:pt>
                <c:pt idx="16">
                  <c:v>0.38401116406199992</c:v>
                </c:pt>
                <c:pt idx="17">
                  <c:v>0.45353502371519994</c:v>
                </c:pt>
                <c:pt idx="18">
                  <c:v>0.46636884785519994</c:v>
                </c:pt>
                <c:pt idx="19">
                  <c:v>0.48057414660719988</c:v>
                </c:pt>
                <c:pt idx="20">
                  <c:v>0.50512031787239997</c:v>
                </c:pt>
                <c:pt idx="21">
                  <c:v>0.53195446806839985</c:v>
                </c:pt>
                <c:pt idx="22">
                  <c:v>0.57374874624239991</c:v>
                </c:pt>
                <c:pt idx="23">
                  <c:v>0.58543426267199994</c:v>
                </c:pt>
                <c:pt idx="24">
                  <c:v>0.59798193110999986</c:v>
                </c:pt>
                <c:pt idx="25">
                  <c:v>0.60953824564919989</c:v>
                </c:pt>
                <c:pt idx="26">
                  <c:v>0.62793005414039982</c:v>
                </c:pt>
                <c:pt idx="27">
                  <c:v>0.66085868744639986</c:v>
                </c:pt>
                <c:pt idx="28">
                  <c:v>0.70280784667439988</c:v>
                </c:pt>
                <c:pt idx="29">
                  <c:v>0.76647478426919979</c:v>
                </c:pt>
                <c:pt idx="30">
                  <c:v>0.77875598820239988</c:v>
                </c:pt>
                <c:pt idx="31">
                  <c:v>0.79341798454559986</c:v>
                </c:pt>
                <c:pt idx="32">
                  <c:v>0.81253514304359986</c:v>
                </c:pt>
                <c:pt idx="33">
                  <c:v>0.82340606573639985</c:v>
                </c:pt>
                <c:pt idx="34">
                  <c:v>0.84006470341439987</c:v>
                </c:pt>
                <c:pt idx="35">
                  <c:v>0.86433934343399987</c:v>
                </c:pt>
                <c:pt idx="36">
                  <c:v>0.87578580182039989</c:v>
                </c:pt>
                <c:pt idx="37">
                  <c:v>0.89565744408479986</c:v>
                </c:pt>
                <c:pt idx="38">
                  <c:v>0.90846581936759985</c:v>
                </c:pt>
                <c:pt idx="39">
                  <c:v>0.91858582836759983</c:v>
                </c:pt>
                <c:pt idx="40">
                  <c:v>0.93370152831879982</c:v>
                </c:pt>
                <c:pt idx="41">
                  <c:v>0.95559030918759991</c:v>
                </c:pt>
                <c:pt idx="42">
                  <c:v>0.98300771034159995</c:v>
                </c:pt>
                <c:pt idx="43">
                  <c:v>0.99330666708999993</c:v>
                </c:pt>
                <c:pt idx="44">
                  <c:v>1.0075762213275998</c:v>
                </c:pt>
                <c:pt idx="45">
                  <c:v>1.0281208537475999</c:v>
                </c:pt>
                <c:pt idx="46">
                  <c:v>1.0382225415931998</c:v>
                </c:pt>
                <c:pt idx="47">
                  <c:v>1.0541579684225999</c:v>
                </c:pt>
                <c:pt idx="48">
                  <c:v>1.0687637971379997</c:v>
                </c:pt>
                <c:pt idx="49">
                  <c:v>1.0815684581785998</c:v>
                </c:pt>
                <c:pt idx="50">
                  <c:v>1.0986668252266998</c:v>
                </c:pt>
                <c:pt idx="51">
                  <c:v>1.1194431701510998</c:v>
                </c:pt>
              </c:numCache>
            </c:numRef>
          </c:val>
          <c:smooth val="0"/>
          <c:extLst>
            <c:ext xmlns:c16="http://schemas.microsoft.com/office/drawing/2014/chart" uri="{C3380CC4-5D6E-409C-BE32-E72D297353CC}">
              <c16:uniqueId val="{00000000-5168-4FA4-81E1-8856CFCA83C8}"/>
            </c:ext>
          </c:extLst>
        </c:ser>
        <c:ser>
          <c:idx val="7"/>
          <c:order val="3"/>
          <c:tx>
            <c:strRef>
              <c:f>'OZL Summary'!$BQ$6:$BQ$7</c:f>
              <c:strCache>
                <c:ptCount val="2"/>
                <c:pt idx="0">
                  <c:v>5th Percentile</c:v>
                </c:pt>
              </c:strCache>
            </c:strRef>
          </c:tx>
          <c:spPr>
            <a:ln w="28575" cap="rnd">
              <a:solidFill>
                <a:schemeClr val="bg2"/>
              </a:solidFill>
              <a:prstDash val="sysDot"/>
              <a:round/>
            </a:ln>
            <a:effectLst/>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Summary'!$BQ$8:$BQ$60</c:f>
              <c:numCache>
                <c:formatCode>0.000</c:formatCode>
                <c:ptCount val="53"/>
                <c:pt idx="0">
                  <c:v>1.9443728141978436E-2</c:v>
                </c:pt>
                <c:pt idx="1">
                  <c:v>3.8887456283956873E-2</c:v>
                </c:pt>
                <c:pt idx="2">
                  <c:v>5.8331184425935309E-2</c:v>
                </c:pt>
                <c:pt idx="3">
                  <c:v>7.7774912567913745E-2</c:v>
                </c:pt>
                <c:pt idx="4">
                  <c:v>9.7218640709892182E-2</c:v>
                </c:pt>
                <c:pt idx="5">
                  <c:v>0.11666236885187062</c:v>
                </c:pt>
                <c:pt idx="6">
                  <c:v>0.13610609699384907</c:v>
                </c:pt>
                <c:pt idx="7">
                  <c:v>0.15554982513582749</c:v>
                </c:pt>
                <c:pt idx="8">
                  <c:v>0.17499355327780591</c:v>
                </c:pt>
                <c:pt idx="9">
                  <c:v>0.19443728141978434</c:v>
                </c:pt>
                <c:pt idx="10">
                  <c:v>0.21388100956176276</c:v>
                </c:pt>
                <c:pt idx="11">
                  <c:v>0.23332473770374118</c:v>
                </c:pt>
                <c:pt idx="12">
                  <c:v>0.2527684658457196</c:v>
                </c:pt>
                <c:pt idx="13">
                  <c:v>0.27221219398769803</c:v>
                </c:pt>
                <c:pt idx="14">
                  <c:v>0.29165592212967645</c:v>
                </c:pt>
                <c:pt idx="15">
                  <c:v>0.31109965027165487</c:v>
                </c:pt>
                <c:pt idx="16">
                  <c:v>0.33054337841363329</c:v>
                </c:pt>
                <c:pt idx="17">
                  <c:v>0.34998710655561172</c:v>
                </c:pt>
                <c:pt idx="18">
                  <c:v>0.36943083469759014</c:v>
                </c:pt>
                <c:pt idx="19">
                  <c:v>0.38887456283956856</c:v>
                </c:pt>
                <c:pt idx="20">
                  <c:v>0.40831829098154698</c:v>
                </c:pt>
                <c:pt idx="21">
                  <c:v>0.42776201912352541</c:v>
                </c:pt>
                <c:pt idx="22">
                  <c:v>0.44720574726550383</c:v>
                </c:pt>
                <c:pt idx="23">
                  <c:v>0.46664947540748225</c:v>
                </c:pt>
                <c:pt idx="24">
                  <c:v>0.48609320354946067</c:v>
                </c:pt>
                <c:pt idx="25">
                  <c:v>0.5055369316914391</c:v>
                </c:pt>
                <c:pt idx="26">
                  <c:v>0.52498065983341757</c:v>
                </c:pt>
                <c:pt idx="27">
                  <c:v>0.54442438797539605</c:v>
                </c:pt>
                <c:pt idx="28">
                  <c:v>0.56386811611737453</c:v>
                </c:pt>
                <c:pt idx="29">
                  <c:v>0.58331184425935301</c:v>
                </c:pt>
                <c:pt idx="30">
                  <c:v>0.60275557240133149</c:v>
                </c:pt>
                <c:pt idx="31">
                  <c:v>0.62219930054330996</c:v>
                </c:pt>
                <c:pt idx="32">
                  <c:v>0.64164302868528844</c:v>
                </c:pt>
                <c:pt idx="33">
                  <c:v>0.66108675682726692</c:v>
                </c:pt>
                <c:pt idx="34">
                  <c:v>0.6805304849692454</c:v>
                </c:pt>
                <c:pt idx="35">
                  <c:v>0.69997421311122388</c:v>
                </c:pt>
                <c:pt idx="36">
                  <c:v>0.71941794125320235</c:v>
                </c:pt>
                <c:pt idx="37">
                  <c:v>0.73886166939518083</c:v>
                </c:pt>
                <c:pt idx="38">
                  <c:v>0.75830539753715931</c:v>
                </c:pt>
                <c:pt idx="39">
                  <c:v>0.77774912567913779</c:v>
                </c:pt>
                <c:pt idx="40">
                  <c:v>0.79719285382111627</c:v>
                </c:pt>
                <c:pt idx="41">
                  <c:v>0.81663658196309474</c:v>
                </c:pt>
                <c:pt idx="42">
                  <c:v>0.83608031010507322</c:v>
                </c:pt>
                <c:pt idx="43">
                  <c:v>0.8555240382470517</c:v>
                </c:pt>
                <c:pt idx="44">
                  <c:v>0.87496776638903018</c:v>
                </c:pt>
                <c:pt idx="45">
                  <c:v>0.89441149453100866</c:v>
                </c:pt>
                <c:pt idx="46">
                  <c:v>0.91385522267298713</c:v>
                </c:pt>
                <c:pt idx="47">
                  <c:v>0.93329895081496561</c:v>
                </c:pt>
                <c:pt idx="48">
                  <c:v>0.95274267895694409</c:v>
                </c:pt>
                <c:pt idx="49">
                  <c:v>0.97218640709892257</c:v>
                </c:pt>
                <c:pt idx="50">
                  <c:v>0.99163013524090105</c:v>
                </c:pt>
                <c:pt idx="51">
                  <c:v>1.0110738633828795</c:v>
                </c:pt>
              </c:numCache>
            </c:numRef>
          </c:val>
          <c:smooth val="0"/>
          <c:extLst xmlns:c15="http://schemas.microsoft.com/office/drawing/2012/chart">
            <c:ext xmlns:c16="http://schemas.microsoft.com/office/drawing/2014/chart" uri="{C3380CC4-5D6E-409C-BE32-E72D297353CC}">
              <c16:uniqueId val="{00000001-5168-4FA4-81E1-8856CFCA83C8}"/>
            </c:ext>
          </c:extLst>
        </c:ser>
        <c:ser>
          <c:idx val="2"/>
          <c:order val="5"/>
          <c:tx>
            <c:v>25/50/75th percentile</c:v>
          </c:tx>
          <c:spPr>
            <a:ln w="28575">
              <a:solidFill>
                <a:schemeClr val="bg2"/>
              </a:solidFill>
              <a:prstDash val="sysDot"/>
            </a:ln>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Summary'!$BS$8:$BS$60</c:f>
              <c:numCache>
                <c:formatCode>0.000</c:formatCode>
                <c:ptCount val="53"/>
                <c:pt idx="0">
                  <c:v>2.1609953490484776E-2</c:v>
                </c:pt>
                <c:pt idx="1">
                  <c:v>4.3219906980969551E-2</c:v>
                </c:pt>
                <c:pt idx="2">
                  <c:v>6.4829860471454323E-2</c:v>
                </c:pt>
                <c:pt idx="3">
                  <c:v>8.6439813961939102E-2</c:v>
                </c:pt>
                <c:pt idx="4">
                  <c:v>0.10804976745242388</c:v>
                </c:pt>
                <c:pt idx="5">
                  <c:v>0.12965972094290865</c:v>
                </c:pt>
                <c:pt idx="6">
                  <c:v>0.15126967443339343</c:v>
                </c:pt>
                <c:pt idx="7">
                  <c:v>0.1728796279238782</c:v>
                </c:pt>
                <c:pt idx="8">
                  <c:v>0.19448958141436298</c:v>
                </c:pt>
                <c:pt idx="9">
                  <c:v>0.21609953490484776</c:v>
                </c:pt>
                <c:pt idx="10">
                  <c:v>0.23770948839533254</c:v>
                </c:pt>
                <c:pt idx="11">
                  <c:v>0.25931944188581729</c:v>
                </c:pt>
                <c:pt idx="12">
                  <c:v>0.28092939537630207</c:v>
                </c:pt>
                <c:pt idx="13">
                  <c:v>0.30253934886678685</c:v>
                </c:pt>
                <c:pt idx="14">
                  <c:v>0.32414930235727163</c:v>
                </c:pt>
                <c:pt idx="15">
                  <c:v>0.34575925584775641</c:v>
                </c:pt>
                <c:pt idx="16">
                  <c:v>0.36736920933824119</c:v>
                </c:pt>
                <c:pt idx="17">
                  <c:v>0.38897916282872597</c:v>
                </c:pt>
                <c:pt idx="18">
                  <c:v>0.41058911631921075</c:v>
                </c:pt>
                <c:pt idx="19">
                  <c:v>0.43219906980969552</c:v>
                </c:pt>
                <c:pt idx="20">
                  <c:v>0.4538090233001803</c:v>
                </c:pt>
                <c:pt idx="21">
                  <c:v>0.47541897679066508</c:v>
                </c:pt>
                <c:pt idx="22">
                  <c:v>0.49702893028114986</c:v>
                </c:pt>
                <c:pt idx="23">
                  <c:v>0.51863888377163458</c:v>
                </c:pt>
                <c:pt idx="24">
                  <c:v>0.54024883726211936</c:v>
                </c:pt>
                <c:pt idx="25">
                  <c:v>0.56185879075260414</c:v>
                </c:pt>
                <c:pt idx="26">
                  <c:v>0.58346874424308892</c:v>
                </c:pt>
                <c:pt idx="27">
                  <c:v>0.6050786977335737</c:v>
                </c:pt>
                <c:pt idx="28">
                  <c:v>0.62668865122405848</c:v>
                </c:pt>
                <c:pt idx="29">
                  <c:v>0.64829860471454326</c:v>
                </c:pt>
                <c:pt idx="30">
                  <c:v>0.66990855820502804</c:v>
                </c:pt>
                <c:pt idx="31">
                  <c:v>0.69151851169551282</c:v>
                </c:pt>
                <c:pt idx="32">
                  <c:v>0.7131284651859976</c:v>
                </c:pt>
                <c:pt idx="33">
                  <c:v>0.73473841867648237</c:v>
                </c:pt>
                <c:pt idx="34">
                  <c:v>0.75634837216696715</c:v>
                </c:pt>
                <c:pt idx="35">
                  <c:v>0.77795832565745193</c:v>
                </c:pt>
                <c:pt idx="36">
                  <c:v>0.79956827914793671</c:v>
                </c:pt>
                <c:pt idx="37">
                  <c:v>0.82117823263842149</c:v>
                </c:pt>
                <c:pt idx="38">
                  <c:v>0.84278818612890627</c:v>
                </c:pt>
                <c:pt idx="39">
                  <c:v>0.86439813961939105</c:v>
                </c:pt>
                <c:pt idx="40">
                  <c:v>0.88600809310987583</c:v>
                </c:pt>
                <c:pt idx="41">
                  <c:v>0.90761804660036061</c:v>
                </c:pt>
                <c:pt idx="42">
                  <c:v>0.92922800009084539</c:v>
                </c:pt>
                <c:pt idx="43">
                  <c:v>0.95083795358133016</c:v>
                </c:pt>
                <c:pt idx="44">
                  <c:v>0.97244790707181494</c:v>
                </c:pt>
                <c:pt idx="45">
                  <c:v>0.99405786056229972</c:v>
                </c:pt>
                <c:pt idx="46">
                  <c:v>1.0156678140527844</c:v>
                </c:pt>
                <c:pt idx="47">
                  <c:v>1.0372777675432692</c:v>
                </c:pt>
                <c:pt idx="48">
                  <c:v>1.0588877210337539</c:v>
                </c:pt>
                <c:pt idx="49">
                  <c:v>1.0804976745242387</c:v>
                </c:pt>
                <c:pt idx="50">
                  <c:v>1.1021076280147235</c:v>
                </c:pt>
                <c:pt idx="51">
                  <c:v>1.1237175815052083</c:v>
                </c:pt>
              </c:numCache>
            </c:numRef>
          </c:val>
          <c:smooth val="0"/>
          <c:extLst>
            <c:ext xmlns:c16="http://schemas.microsoft.com/office/drawing/2014/chart" uri="{C3380CC4-5D6E-409C-BE32-E72D297353CC}">
              <c16:uniqueId val="{00000002-5168-4FA4-81E1-8856CFCA83C8}"/>
            </c:ext>
          </c:extLst>
        </c:ser>
        <c:ser>
          <c:idx val="4"/>
          <c:order val="6"/>
          <c:tx>
            <c:strRef>
              <c:f>'OZL Summary'!$BT$6:$BT$7</c:f>
              <c:strCache>
                <c:ptCount val="2"/>
                <c:pt idx="0">
                  <c:v>50th Percentile</c:v>
                </c:pt>
              </c:strCache>
            </c:strRef>
          </c:tx>
          <c:spPr>
            <a:ln w="28575">
              <a:solidFill>
                <a:schemeClr val="bg2"/>
              </a:solidFill>
              <a:prstDash val="sysDot"/>
            </a:ln>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Summary'!$BT$8:$BT$60</c:f>
              <c:numCache>
                <c:formatCode>0.000</c:formatCode>
                <c:ptCount val="53"/>
                <c:pt idx="0">
                  <c:v>2.3469807538576672E-2</c:v>
                </c:pt>
                <c:pt idx="1">
                  <c:v>4.6939615077153343E-2</c:v>
                </c:pt>
                <c:pt idx="2">
                  <c:v>7.0409422615730022E-2</c:v>
                </c:pt>
                <c:pt idx="3">
                  <c:v>9.3879230154306686E-2</c:v>
                </c:pt>
                <c:pt idx="4">
                  <c:v>0.11734903769288335</c:v>
                </c:pt>
                <c:pt idx="5">
                  <c:v>0.14081884523146002</c:v>
                </c:pt>
                <c:pt idx="6">
                  <c:v>0.16428865277003668</c:v>
                </c:pt>
                <c:pt idx="7">
                  <c:v>0.18775846030861335</c:v>
                </c:pt>
                <c:pt idx="8">
                  <c:v>0.21122826784719001</c:v>
                </c:pt>
                <c:pt idx="9">
                  <c:v>0.23469807538576667</c:v>
                </c:pt>
                <c:pt idx="10">
                  <c:v>0.25816788292434334</c:v>
                </c:pt>
                <c:pt idx="11">
                  <c:v>0.28163769046292003</c:v>
                </c:pt>
                <c:pt idx="12">
                  <c:v>0.30510749800149672</c:v>
                </c:pt>
                <c:pt idx="13">
                  <c:v>0.32857730554007342</c:v>
                </c:pt>
                <c:pt idx="14">
                  <c:v>0.35204711307865011</c:v>
                </c:pt>
                <c:pt idx="15">
                  <c:v>0.3755169206172268</c:v>
                </c:pt>
                <c:pt idx="16">
                  <c:v>0.39898672815580349</c:v>
                </c:pt>
                <c:pt idx="17">
                  <c:v>0.42245653569438019</c:v>
                </c:pt>
                <c:pt idx="18">
                  <c:v>0.44592634323295688</c:v>
                </c:pt>
                <c:pt idx="19">
                  <c:v>0.46939615077153357</c:v>
                </c:pt>
                <c:pt idx="20">
                  <c:v>0.49286595831011026</c:v>
                </c:pt>
                <c:pt idx="21">
                  <c:v>0.5163357658486869</c:v>
                </c:pt>
                <c:pt idx="22">
                  <c:v>0.53980557338726354</c:v>
                </c:pt>
                <c:pt idx="23">
                  <c:v>0.56327538092584017</c:v>
                </c:pt>
                <c:pt idx="24">
                  <c:v>0.58674518846441681</c:v>
                </c:pt>
                <c:pt idx="25">
                  <c:v>0.61021499600299345</c:v>
                </c:pt>
                <c:pt idx="26">
                  <c:v>0.63368480354157009</c:v>
                </c:pt>
                <c:pt idx="27">
                  <c:v>0.65715461108014672</c:v>
                </c:pt>
                <c:pt idx="28">
                  <c:v>0.68062441861872336</c:v>
                </c:pt>
                <c:pt idx="29">
                  <c:v>0.7040942261573</c:v>
                </c:pt>
                <c:pt idx="30">
                  <c:v>0.72756403369587663</c:v>
                </c:pt>
                <c:pt idx="31">
                  <c:v>0.75103384123445327</c:v>
                </c:pt>
                <c:pt idx="32">
                  <c:v>0.77450364877302991</c:v>
                </c:pt>
                <c:pt idx="33">
                  <c:v>0.79797345631160654</c:v>
                </c:pt>
                <c:pt idx="34">
                  <c:v>0.82144326385018318</c:v>
                </c:pt>
                <c:pt idx="35">
                  <c:v>0.84491307138875982</c:v>
                </c:pt>
                <c:pt idx="36">
                  <c:v>0.86838287892733645</c:v>
                </c:pt>
                <c:pt idx="37">
                  <c:v>0.89185268646591309</c:v>
                </c:pt>
                <c:pt idx="38">
                  <c:v>0.91532249400448973</c:v>
                </c:pt>
                <c:pt idx="39">
                  <c:v>0.93879230154306637</c:v>
                </c:pt>
                <c:pt idx="40">
                  <c:v>0.962262109081643</c:v>
                </c:pt>
                <c:pt idx="41">
                  <c:v>0.98573191662021964</c:v>
                </c:pt>
                <c:pt idx="42">
                  <c:v>1.0092017241587963</c:v>
                </c:pt>
                <c:pt idx="43">
                  <c:v>1.0326715316973729</c:v>
                </c:pt>
                <c:pt idx="44">
                  <c:v>1.0561413392359496</c:v>
                </c:pt>
                <c:pt idx="45">
                  <c:v>1.0796111467745262</c:v>
                </c:pt>
                <c:pt idx="46">
                  <c:v>1.1030809543131028</c:v>
                </c:pt>
                <c:pt idx="47">
                  <c:v>1.1265507618516795</c:v>
                </c:pt>
                <c:pt idx="48">
                  <c:v>1.1500205693902561</c:v>
                </c:pt>
                <c:pt idx="49">
                  <c:v>1.1734903769288327</c:v>
                </c:pt>
                <c:pt idx="50">
                  <c:v>1.1969601844674094</c:v>
                </c:pt>
                <c:pt idx="51">
                  <c:v>1.220429992005986</c:v>
                </c:pt>
              </c:numCache>
            </c:numRef>
          </c:val>
          <c:smooth val="0"/>
          <c:extLst>
            <c:ext xmlns:c16="http://schemas.microsoft.com/office/drawing/2014/chart" uri="{C3380CC4-5D6E-409C-BE32-E72D297353CC}">
              <c16:uniqueId val="{00000003-5168-4FA4-81E1-8856CFCA83C8}"/>
            </c:ext>
          </c:extLst>
        </c:ser>
        <c:ser>
          <c:idx val="6"/>
          <c:order val="7"/>
          <c:tx>
            <c:strRef>
              <c:f>'OZL Summary'!$BU$6:$BU$7</c:f>
              <c:strCache>
                <c:ptCount val="2"/>
                <c:pt idx="0">
                  <c:v>75th Percentile</c:v>
                </c:pt>
              </c:strCache>
            </c:strRef>
          </c:tx>
          <c:spPr>
            <a:ln w="28575">
              <a:solidFill>
                <a:schemeClr val="bg2"/>
              </a:solidFill>
              <a:prstDash val="sysDot"/>
            </a:ln>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Summary'!$BU$8:$BU$60</c:f>
              <c:numCache>
                <c:formatCode>0.000</c:formatCode>
                <c:ptCount val="53"/>
                <c:pt idx="0">
                  <c:v>2.5540580974329746E-2</c:v>
                </c:pt>
                <c:pt idx="1">
                  <c:v>5.1081161948659491E-2</c:v>
                </c:pt>
                <c:pt idx="2">
                  <c:v>7.6621742922989233E-2</c:v>
                </c:pt>
                <c:pt idx="3">
                  <c:v>0.10216232389731898</c:v>
                </c:pt>
                <c:pt idx="4">
                  <c:v>0.12770290487164873</c:v>
                </c:pt>
                <c:pt idx="5">
                  <c:v>0.15324348584597847</c:v>
                </c:pt>
                <c:pt idx="6">
                  <c:v>0.1787840668203082</c:v>
                </c:pt>
                <c:pt idx="7">
                  <c:v>0.20432464779463794</c:v>
                </c:pt>
                <c:pt idx="8">
                  <c:v>0.22986522876896767</c:v>
                </c:pt>
                <c:pt idx="9">
                  <c:v>0.25540580974329741</c:v>
                </c:pt>
                <c:pt idx="10">
                  <c:v>0.28094639071762717</c:v>
                </c:pt>
                <c:pt idx="11">
                  <c:v>0.30648697169195693</c:v>
                </c:pt>
                <c:pt idx="12">
                  <c:v>0.3320275526662867</c:v>
                </c:pt>
                <c:pt idx="13">
                  <c:v>0.35756813364061646</c:v>
                </c:pt>
                <c:pt idx="14">
                  <c:v>0.38310871461494622</c:v>
                </c:pt>
                <c:pt idx="15">
                  <c:v>0.40864929558927598</c:v>
                </c:pt>
                <c:pt idx="16">
                  <c:v>0.43418987656360575</c:v>
                </c:pt>
                <c:pt idx="17">
                  <c:v>0.45973045753793551</c:v>
                </c:pt>
                <c:pt idx="18">
                  <c:v>0.48527103851226527</c:v>
                </c:pt>
                <c:pt idx="19">
                  <c:v>0.51081161948659504</c:v>
                </c:pt>
                <c:pt idx="20">
                  <c:v>0.5363522004609248</c:v>
                </c:pt>
                <c:pt idx="21">
                  <c:v>0.56189278143525456</c:v>
                </c:pt>
                <c:pt idx="22">
                  <c:v>0.58743336240958433</c:v>
                </c:pt>
                <c:pt idx="23">
                  <c:v>0.61297394338391409</c:v>
                </c:pt>
                <c:pt idx="24">
                  <c:v>0.63851452435824385</c:v>
                </c:pt>
                <c:pt idx="25">
                  <c:v>0.66405510533257361</c:v>
                </c:pt>
                <c:pt idx="26">
                  <c:v>0.68959568630690338</c:v>
                </c:pt>
                <c:pt idx="27">
                  <c:v>0.71513626728123314</c:v>
                </c:pt>
                <c:pt idx="28">
                  <c:v>0.7406768482555629</c:v>
                </c:pt>
                <c:pt idx="29">
                  <c:v>0.76621742922989267</c:v>
                </c:pt>
                <c:pt idx="30">
                  <c:v>0.79175801020422243</c:v>
                </c:pt>
                <c:pt idx="31">
                  <c:v>0.81729859117855219</c:v>
                </c:pt>
                <c:pt idx="32">
                  <c:v>0.84283917215288195</c:v>
                </c:pt>
                <c:pt idx="33">
                  <c:v>0.86837975312721172</c:v>
                </c:pt>
                <c:pt idx="34">
                  <c:v>0.89392033410154148</c:v>
                </c:pt>
                <c:pt idx="35">
                  <c:v>0.91946091507587124</c:v>
                </c:pt>
                <c:pt idx="36">
                  <c:v>0.94500149605020101</c:v>
                </c:pt>
                <c:pt idx="37">
                  <c:v>0.97054207702453077</c:v>
                </c:pt>
                <c:pt idx="38">
                  <c:v>0.99608265799886053</c:v>
                </c:pt>
                <c:pt idx="39">
                  <c:v>1.0216232389731903</c:v>
                </c:pt>
                <c:pt idx="40">
                  <c:v>1.0471638199475199</c:v>
                </c:pt>
                <c:pt idx="41">
                  <c:v>1.0727044009218496</c:v>
                </c:pt>
                <c:pt idx="42">
                  <c:v>1.0982449818961793</c:v>
                </c:pt>
                <c:pt idx="43">
                  <c:v>1.1237855628705089</c:v>
                </c:pt>
                <c:pt idx="44">
                  <c:v>1.1493261438448386</c:v>
                </c:pt>
                <c:pt idx="45">
                  <c:v>1.1748667248191682</c:v>
                </c:pt>
                <c:pt idx="46">
                  <c:v>1.2004073057934979</c:v>
                </c:pt>
                <c:pt idx="47">
                  <c:v>1.2259478867678275</c:v>
                </c:pt>
                <c:pt idx="48">
                  <c:v>1.2514884677421572</c:v>
                </c:pt>
                <c:pt idx="49">
                  <c:v>1.2770290487164868</c:v>
                </c:pt>
                <c:pt idx="50">
                  <c:v>1.3025696296908165</c:v>
                </c:pt>
                <c:pt idx="51">
                  <c:v>1.3281102106651461</c:v>
                </c:pt>
              </c:numCache>
            </c:numRef>
          </c:val>
          <c:smooth val="0"/>
          <c:extLst xmlns:c15="http://schemas.microsoft.com/office/drawing/2012/chart">
            <c:ext xmlns:c16="http://schemas.microsoft.com/office/drawing/2014/chart" uri="{C3380CC4-5D6E-409C-BE32-E72D297353CC}">
              <c16:uniqueId val="{00000004-5168-4FA4-81E1-8856CFCA83C8}"/>
            </c:ext>
          </c:extLst>
        </c:ser>
        <c:ser>
          <c:idx val="9"/>
          <c:order val="9"/>
          <c:tx>
            <c:strRef>
              <c:f>'OZL Summary'!$BW$6:$BW$7</c:f>
              <c:strCache>
                <c:ptCount val="2"/>
                <c:pt idx="0">
                  <c:v>95th Percentile</c:v>
                </c:pt>
              </c:strCache>
            </c:strRef>
          </c:tx>
          <c:spPr>
            <a:ln w="28575">
              <a:solidFill>
                <a:schemeClr val="bg2"/>
              </a:solidFill>
              <a:prstDash val="sysDot"/>
            </a:ln>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Summary'!$BW$8:$BW$60</c:f>
              <c:numCache>
                <c:formatCode>0.000</c:formatCode>
                <c:ptCount val="53"/>
                <c:pt idx="0">
                  <c:v>2.9126260596895739E-2</c:v>
                </c:pt>
                <c:pt idx="1">
                  <c:v>5.8252521193791477E-2</c:v>
                </c:pt>
                <c:pt idx="2">
                  <c:v>8.7378781790687213E-2</c:v>
                </c:pt>
                <c:pt idx="3">
                  <c:v>0.11650504238758295</c:v>
                </c:pt>
                <c:pt idx="4">
                  <c:v>0.14563130298447868</c:v>
                </c:pt>
                <c:pt idx="5">
                  <c:v>0.17475756358137443</c:v>
                </c:pt>
                <c:pt idx="6">
                  <c:v>0.20388382417827017</c:v>
                </c:pt>
                <c:pt idx="7">
                  <c:v>0.23301008477516591</c:v>
                </c:pt>
                <c:pt idx="8">
                  <c:v>0.26213634537206165</c:v>
                </c:pt>
                <c:pt idx="9">
                  <c:v>0.29126260596895737</c:v>
                </c:pt>
                <c:pt idx="10">
                  <c:v>0.32038886656585308</c:v>
                </c:pt>
                <c:pt idx="11">
                  <c:v>0.3495151271627488</c:v>
                </c:pt>
                <c:pt idx="12">
                  <c:v>0.37864138775964451</c:v>
                </c:pt>
                <c:pt idx="13">
                  <c:v>0.40776764835654022</c:v>
                </c:pt>
                <c:pt idx="14">
                  <c:v>0.43689390895343594</c:v>
                </c:pt>
                <c:pt idx="15">
                  <c:v>0.46602016955033165</c:v>
                </c:pt>
                <c:pt idx="16">
                  <c:v>0.49514643014722737</c:v>
                </c:pt>
                <c:pt idx="17">
                  <c:v>0.52427269074412308</c:v>
                </c:pt>
                <c:pt idx="18">
                  <c:v>0.5533989513410188</c:v>
                </c:pt>
                <c:pt idx="19">
                  <c:v>0.58252521193791451</c:v>
                </c:pt>
                <c:pt idx="20">
                  <c:v>0.61165147253481023</c:v>
                </c:pt>
                <c:pt idx="21">
                  <c:v>0.64077773313170594</c:v>
                </c:pt>
                <c:pt idx="22">
                  <c:v>0.66990399372860165</c:v>
                </c:pt>
                <c:pt idx="23">
                  <c:v>0.69903025432549737</c:v>
                </c:pt>
                <c:pt idx="24">
                  <c:v>0.72815651492239308</c:v>
                </c:pt>
                <c:pt idx="25">
                  <c:v>0.7572827755192888</c:v>
                </c:pt>
                <c:pt idx="26">
                  <c:v>0.78640903611618451</c:v>
                </c:pt>
                <c:pt idx="27">
                  <c:v>0.81553529671308023</c:v>
                </c:pt>
                <c:pt idx="28">
                  <c:v>0.84466155730997594</c:v>
                </c:pt>
                <c:pt idx="29">
                  <c:v>0.87378781790687166</c:v>
                </c:pt>
                <c:pt idx="30">
                  <c:v>0.90291407850376737</c:v>
                </c:pt>
                <c:pt idx="31">
                  <c:v>0.93204033910066308</c:v>
                </c:pt>
                <c:pt idx="32">
                  <c:v>0.9611665996975588</c:v>
                </c:pt>
                <c:pt idx="33">
                  <c:v>0.99029286029445451</c:v>
                </c:pt>
                <c:pt idx="34">
                  <c:v>1.0194191208913503</c:v>
                </c:pt>
                <c:pt idx="35">
                  <c:v>1.0485453814882462</c:v>
                </c:pt>
                <c:pt idx="36">
                  <c:v>1.077671642085142</c:v>
                </c:pt>
                <c:pt idx="37">
                  <c:v>1.1067979026820378</c:v>
                </c:pt>
                <c:pt idx="38">
                  <c:v>1.1359241632789336</c:v>
                </c:pt>
                <c:pt idx="39">
                  <c:v>1.1650504238758295</c:v>
                </c:pt>
                <c:pt idx="40">
                  <c:v>1.1941766844727253</c:v>
                </c:pt>
                <c:pt idx="41">
                  <c:v>1.2233029450696211</c:v>
                </c:pt>
                <c:pt idx="42">
                  <c:v>1.2524292056665169</c:v>
                </c:pt>
                <c:pt idx="43">
                  <c:v>1.2815554662634128</c:v>
                </c:pt>
                <c:pt idx="44">
                  <c:v>1.3106817268603086</c:v>
                </c:pt>
                <c:pt idx="45">
                  <c:v>1.3398079874572044</c:v>
                </c:pt>
                <c:pt idx="46">
                  <c:v>1.3689342480541002</c:v>
                </c:pt>
                <c:pt idx="47">
                  <c:v>1.3980605086509961</c:v>
                </c:pt>
                <c:pt idx="48">
                  <c:v>1.4271867692478919</c:v>
                </c:pt>
                <c:pt idx="49">
                  <c:v>1.4563130298447877</c:v>
                </c:pt>
                <c:pt idx="50">
                  <c:v>1.4854392904416835</c:v>
                </c:pt>
                <c:pt idx="51">
                  <c:v>1.5145655510385794</c:v>
                </c:pt>
              </c:numCache>
            </c:numRef>
          </c:val>
          <c:smooth val="0"/>
          <c:extLst xmlns:c15="http://schemas.microsoft.com/office/drawing/2012/chart">
            <c:ext xmlns:c16="http://schemas.microsoft.com/office/drawing/2014/chart" uri="{C3380CC4-5D6E-409C-BE32-E72D297353CC}">
              <c16:uniqueId val="{00000005-5168-4FA4-81E1-8856CFCA83C8}"/>
            </c:ext>
          </c:extLst>
        </c:ser>
        <c:dLbls>
          <c:showLegendKey val="0"/>
          <c:showVal val="0"/>
          <c:showCatName val="0"/>
          <c:showSerName val="0"/>
          <c:showPercent val="0"/>
          <c:showBubbleSize val="0"/>
        </c:dLbls>
        <c:smooth val="0"/>
        <c:axId val="1388952432"/>
        <c:axId val="1388953088"/>
        <c:extLst>
          <c:ext xmlns:c15="http://schemas.microsoft.com/office/drawing/2012/chart" uri="{02D57815-91ED-43cb-92C2-25804820EDAC}">
            <c15:filteredLineSeries>
              <c15:ser>
                <c:idx val="3"/>
                <c:order val="1"/>
                <c:tx>
                  <c:strRef>
                    <c:extLst>
                      <c:ext uri="{02D57815-91ED-43cb-92C2-25804820EDAC}">
                        <c15:formulaRef>
                          <c15:sqref>'OZL Summary'!$BO$6:$BO$7</c15:sqref>
                        </c15:formulaRef>
                      </c:ext>
                    </c:extLst>
                    <c:strCache>
                      <c:ptCount val="2"/>
                      <c:pt idx="0">
                        <c:v>Min</c:v>
                      </c:pt>
                    </c:strCache>
                  </c:strRef>
                </c:tx>
                <c:marker>
                  <c:symbol val="none"/>
                </c:marker>
                <c:cat>
                  <c:numRef>
                    <c:extLst>
                      <c:ex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c:ext uri="{02D57815-91ED-43cb-92C2-25804820EDAC}">
                        <c15:formulaRef>
                          <c15:sqref>'OZL Summary'!$BO$8:$BO$60</c15:sqref>
                        </c15:formulaRef>
                      </c:ext>
                    </c:extLst>
                    <c:numCache>
                      <c:formatCode>0.000</c:formatCode>
                      <c:ptCount val="53"/>
                      <c:pt idx="0">
                        <c:v>1.6032204874777817E-2</c:v>
                      </c:pt>
                      <c:pt idx="1">
                        <c:v>3.2064409749555635E-2</c:v>
                      </c:pt>
                      <c:pt idx="2">
                        <c:v>4.8096614624333456E-2</c:v>
                      </c:pt>
                      <c:pt idx="3">
                        <c:v>6.412881949911127E-2</c:v>
                      </c:pt>
                      <c:pt idx="4">
                        <c:v>8.0161024373889084E-2</c:v>
                      </c:pt>
                      <c:pt idx="5">
                        <c:v>9.6193229248666898E-2</c:v>
                      </c:pt>
                      <c:pt idx="6">
                        <c:v>0.11222543412344471</c:v>
                      </c:pt>
                      <c:pt idx="7">
                        <c:v>0.12825763899822254</c:v>
                      </c:pt>
                      <c:pt idx="8">
                        <c:v>0.14428984387300037</c:v>
                      </c:pt>
                      <c:pt idx="9">
                        <c:v>0.1603220487477782</c:v>
                      </c:pt>
                      <c:pt idx="10">
                        <c:v>0.17635425362255602</c:v>
                      </c:pt>
                      <c:pt idx="11">
                        <c:v>0.19238645849733385</c:v>
                      </c:pt>
                      <c:pt idx="12">
                        <c:v>0.20841866337211168</c:v>
                      </c:pt>
                      <c:pt idx="13">
                        <c:v>0.22445086824688951</c:v>
                      </c:pt>
                      <c:pt idx="14">
                        <c:v>0.24048307312166733</c:v>
                      </c:pt>
                      <c:pt idx="15">
                        <c:v>0.25651527799644513</c:v>
                      </c:pt>
                      <c:pt idx="16">
                        <c:v>0.27254748287122293</c:v>
                      </c:pt>
                      <c:pt idx="17">
                        <c:v>0.28857968774600073</c:v>
                      </c:pt>
                      <c:pt idx="18">
                        <c:v>0.30461189262077853</c:v>
                      </c:pt>
                      <c:pt idx="19">
                        <c:v>0.32064409749555633</c:v>
                      </c:pt>
                      <c:pt idx="20">
                        <c:v>0.33667630237033414</c:v>
                      </c:pt>
                      <c:pt idx="21">
                        <c:v>0.35270850724511194</c:v>
                      </c:pt>
                      <c:pt idx="22">
                        <c:v>0.36874071211988974</c:v>
                      </c:pt>
                      <c:pt idx="23">
                        <c:v>0.38477291699466754</c:v>
                      </c:pt>
                      <c:pt idx="24">
                        <c:v>0.40080512186944534</c:v>
                      </c:pt>
                      <c:pt idx="25">
                        <c:v>0.41683732674422314</c:v>
                      </c:pt>
                      <c:pt idx="26">
                        <c:v>0.43286953161900094</c:v>
                      </c:pt>
                      <c:pt idx="27">
                        <c:v>0.44890173649377874</c:v>
                      </c:pt>
                      <c:pt idx="28">
                        <c:v>0.46493394136855654</c:v>
                      </c:pt>
                      <c:pt idx="29">
                        <c:v>0.48096614624333434</c:v>
                      </c:pt>
                      <c:pt idx="30">
                        <c:v>0.49699835111811214</c:v>
                      </c:pt>
                      <c:pt idx="31">
                        <c:v>0.51303055599288994</c:v>
                      </c:pt>
                      <c:pt idx="32">
                        <c:v>0.52906276086766779</c:v>
                      </c:pt>
                      <c:pt idx="33">
                        <c:v>0.54509496574244565</c:v>
                      </c:pt>
                      <c:pt idx="34">
                        <c:v>0.5611271706172235</c:v>
                      </c:pt>
                      <c:pt idx="35">
                        <c:v>0.57715937549200136</c:v>
                      </c:pt>
                      <c:pt idx="36">
                        <c:v>0.59319158036677921</c:v>
                      </c:pt>
                      <c:pt idx="37">
                        <c:v>0.60922378524155707</c:v>
                      </c:pt>
                      <c:pt idx="38">
                        <c:v>0.62525599011633493</c:v>
                      </c:pt>
                      <c:pt idx="39">
                        <c:v>0.64128819499111278</c:v>
                      </c:pt>
                      <c:pt idx="40">
                        <c:v>0.65732039986589064</c:v>
                      </c:pt>
                      <c:pt idx="41">
                        <c:v>0.67335260474066849</c:v>
                      </c:pt>
                      <c:pt idx="42">
                        <c:v>0.68938480961544635</c:v>
                      </c:pt>
                      <c:pt idx="43">
                        <c:v>0.7054170144902242</c:v>
                      </c:pt>
                      <c:pt idx="44">
                        <c:v>0.72144921936500206</c:v>
                      </c:pt>
                      <c:pt idx="45">
                        <c:v>0.73748142423977991</c:v>
                      </c:pt>
                      <c:pt idx="46">
                        <c:v>0.75351362911455777</c:v>
                      </c:pt>
                      <c:pt idx="47">
                        <c:v>0.76954583398933563</c:v>
                      </c:pt>
                      <c:pt idx="48">
                        <c:v>0.78557803886411348</c:v>
                      </c:pt>
                      <c:pt idx="49">
                        <c:v>0.80161024373889134</c:v>
                      </c:pt>
                      <c:pt idx="50">
                        <c:v>0.81764244861366919</c:v>
                      </c:pt>
                      <c:pt idx="51">
                        <c:v>0.83367465348844705</c:v>
                      </c:pt>
                    </c:numCache>
                  </c:numRef>
                </c:val>
                <c:smooth val="0"/>
                <c:extLst>
                  <c:ext xmlns:c16="http://schemas.microsoft.com/office/drawing/2014/chart" uri="{C3380CC4-5D6E-409C-BE32-E72D297353CC}">
                    <c16:uniqueId val="{00000006-5168-4FA4-81E1-8856CFCA83C8}"/>
                  </c:ext>
                </c:extLst>
              </c15:ser>
            </c15:filteredLineSeries>
            <c15:filteredLineSeries>
              <c15:ser>
                <c:idx val="5"/>
                <c:order val="2"/>
                <c:tx>
                  <c:strRef>
                    <c:extLst xmlns:c15="http://schemas.microsoft.com/office/drawing/2012/chart">
                      <c:ext xmlns:c15="http://schemas.microsoft.com/office/drawing/2012/chart" uri="{02D57815-91ED-43cb-92C2-25804820EDAC}">
                        <c15:formulaRef>
                          <c15:sqref>'OZL Summary'!$BP$6:$BP$7</c15:sqref>
                        </c15:formulaRef>
                      </c:ext>
                    </c:extLst>
                    <c:strCache>
                      <c:ptCount val="2"/>
                      <c:pt idx="0">
                        <c:v>1st Percentile</c:v>
                      </c:pt>
                    </c:strCache>
                  </c:strRef>
                </c:tx>
                <c:spPr>
                  <a:ln w="28575" cap="rnd">
                    <a:solidFill>
                      <a:schemeClr val="accent6"/>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Summary'!$BP$8:$BP$60</c15:sqref>
                        </c15:formulaRef>
                      </c:ext>
                    </c:extLst>
                    <c:numCache>
                      <c:formatCode>0.000</c:formatCode>
                      <c:ptCount val="53"/>
                      <c:pt idx="0">
                        <c:v>1.8223138082807688E-2</c:v>
                      </c:pt>
                      <c:pt idx="1">
                        <c:v>3.6446276165615375E-2</c:v>
                      </c:pt>
                      <c:pt idx="2">
                        <c:v>5.4669414248423059E-2</c:v>
                      </c:pt>
                      <c:pt idx="3">
                        <c:v>7.2892552331230751E-2</c:v>
                      </c:pt>
                      <c:pt idx="4">
                        <c:v>9.1115690414038442E-2</c:v>
                      </c:pt>
                      <c:pt idx="5">
                        <c:v>0.10933882849684613</c:v>
                      </c:pt>
                      <c:pt idx="6">
                        <c:v>0.12756196657965382</c:v>
                      </c:pt>
                      <c:pt idx="7">
                        <c:v>0.1457851046624615</c:v>
                      </c:pt>
                      <c:pt idx="8">
                        <c:v>0.16400824274526918</c:v>
                      </c:pt>
                      <c:pt idx="9">
                        <c:v>0.18223138082807686</c:v>
                      </c:pt>
                      <c:pt idx="10">
                        <c:v>0.20045451891088453</c:v>
                      </c:pt>
                      <c:pt idx="11">
                        <c:v>0.21867765699369221</c:v>
                      </c:pt>
                      <c:pt idx="12">
                        <c:v>0.23690079507649989</c:v>
                      </c:pt>
                      <c:pt idx="13">
                        <c:v>0.25512393315930759</c:v>
                      </c:pt>
                      <c:pt idx="14">
                        <c:v>0.27334707124211527</c:v>
                      </c:pt>
                      <c:pt idx="15">
                        <c:v>0.29157020932492295</c:v>
                      </c:pt>
                      <c:pt idx="16">
                        <c:v>0.30979334740773062</c:v>
                      </c:pt>
                      <c:pt idx="17">
                        <c:v>0.3280164854905383</c:v>
                      </c:pt>
                      <c:pt idx="18">
                        <c:v>0.34623962357334598</c:v>
                      </c:pt>
                      <c:pt idx="19">
                        <c:v>0.36446276165615366</c:v>
                      </c:pt>
                      <c:pt idx="20">
                        <c:v>0.38268589973896133</c:v>
                      </c:pt>
                      <c:pt idx="21">
                        <c:v>0.40090903782176901</c:v>
                      </c:pt>
                      <c:pt idx="22">
                        <c:v>0.41913217590457669</c:v>
                      </c:pt>
                      <c:pt idx="23">
                        <c:v>0.43735531398738436</c:v>
                      </c:pt>
                      <c:pt idx="24">
                        <c:v>0.45557845207019204</c:v>
                      </c:pt>
                      <c:pt idx="25">
                        <c:v>0.47380159015299972</c:v>
                      </c:pt>
                      <c:pt idx="26">
                        <c:v>0.4920247282358074</c:v>
                      </c:pt>
                      <c:pt idx="27">
                        <c:v>0.51024786631861507</c:v>
                      </c:pt>
                      <c:pt idx="28">
                        <c:v>0.52847100440142281</c:v>
                      </c:pt>
                      <c:pt idx="29">
                        <c:v>0.54669414248423054</c:v>
                      </c:pt>
                      <c:pt idx="30">
                        <c:v>0.56491728056703827</c:v>
                      </c:pt>
                      <c:pt idx="31">
                        <c:v>0.583140418649846</c:v>
                      </c:pt>
                      <c:pt idx="32">
                        <c:v>0.60136355673265374</c:v>
                      </c:pt>
                      <c:pt idx="33">
                        <c:v>0.61958669481546147</c:v>
                      </c:pt>
                      <c:pt idx="34">
                        <c:v>0.6378098328982692</c:v>
                      </c:pt>
                      <c:pt idx="35">
                        <c:v>0.65603297098107693</c:v>
                      </c:pt>
                      <c:pt idx="36">
                        <c:v>0.67425610906388467</c:v>
                      </c:pt>
                      <c:pt idx="37">
                        <c:v>0.6924792471466924</c:v>
                      </c:pt>
                      <c:pt idx="38">
                        <c:v>0.71070238522950013</c:v>
                      </c:pt>
                      <c:pt idx="39">
                        <c:v>0.72892552331230787</c:v>
                      </c:pt>
                      <c:pt idx="40">
                        <c:v>0.7471486613951156</c:v>
                      </c:pt>
                      <c:pt idx="41">
                        <c:v>0.76537179947792333</c:v>
                      </c:pt>
                      <c:pt idx="42">
                        <c:v>0.78359493756073106</c:v>
                      </c:pt>
                      <c:pt idx="43">
                        <c:v>0.8018180756435388</c:v>
                      </c:pt>
                      <c:pt idx="44">
                        <c:v>0.82004121372634653</c:v>
                      </c:pt>
                      <c:pt idx="45">
                        <c:v>0.83826435180915426</c:v>
                      </c:pt>
                      <c:pt idx="46">
                        <c:v>0.85648748989196199</c:v>
                      </c:pt>
                      <c:pt idx="47">
                        <c:v>0.87471062797476973</c:v>
                      </c:pt>
                      <c:pt idx="48">
                        <c:v>0.89293376605757746</c:v>
                      </c:pt>
                      <c:pt idx="49">
                        <c:v>0.91115690414038519</c:v>
                      </c:pt>
                      <c:pt idx="50">
                        <c:v>0.92938004222319293</c:v>
                      </c:pt>
                      <c:pt idx="51">
                        <c:v>0.94760318030600066</c:v>
                      </c:pt>
                    </c:numCache>
                  </c:numRef>
                </c:val>
                <c:smooth val="0"/>
                <c:extLst xmlns:c15="http://schemas.microsoft.com/office/drawing/2012/chart">
                  <c:ext xmlns:c16="http://schemas.microsoft.com/office/drawing/2014/chart" uri="{C3380CC4-5D6E-409C-BE32-E72D297353CC}">
                    <c16:uniqueId val="{00000007-5168-4FA4-81E1-8856CFCA83C8}"/>
                  </c:ext>
                </c:extLst>
              </c15:ser>
            </c15:filteredLineSeries>
            <c15:filteredLineSeries>
              <c15:ser>
                <c:idx val="1"/>
                <c:order val="4"/>
                <c:tx>
                  <c:strRef>
                    <c:extLst xmlns:c15="http://schemas.microsoft.com/office/drawing/2012/chart">
                      <c:ext xmlns:c15="http://schemas.microsoft.com/office/drawing/2012/chart" uri="{02D57815-91ED-43cb-92C2-25804820EDAC}">
                        <c15:formulaRef>
                          <c15:sqref>'OZL Summary'!$BR$6:$BR$7</c15:sqref>
                        </c15:formulaRef>
                      </c:ext>
                    </c:extLst>
                    <c:strCache>
                      <c:ptCount val="2"/>
                      <c:pt idx="0">
                        <c:v>10th Percentile</c:v>
                      </c:pt>
                    </c:strCache>
                  </c:strRef>
                </c:tx>
                <c:spPr>
                  <a:ln w="28575" cap="rnd" cmpd="sng">
                    <a:solidFill>
                      <a:schemeClr val="accent2"/>
                    </a:solidFill>
                    <a:prstDash val="sysDot"/>
                    <a:round/>
                    <a:headEnd type="none"/>
                  </a:ln>
                  <a:effectLst/>
                </c:spPr>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Summary'!$BR$8:$BR$60</c15:sqref>
                        </c15:formulaRef>
                      </c:ext>
                    </c:extLst>
                    <c:numCache>
                      <c:formatCode>0.000</c:formatCode>
                      <c:ptCount val="53"/>
                      <c:pt idx="0">
                        <c:v>2.0199848897457344E-2</c:v>
                      </c:pt>
                      <c:pt idx="1">
                        <c:v>4.0399697794914688E-2</c:v>
                      </c:pt>
                      <c:pt idx="2">
                        <c:v>6.0599546692372032E-2</c:v>
                      </c:pt>
                      <c:pt idx="3">
                        <c:v>8.0799395589829376E-2</c:v>
                      </c:pt>
                      <c:pt idx="4">
                        <c:v>0.10099924448728673</c:v>
                      </c:pt>
                      <c:pt idx="5">
                        <c:v>0.12119909338474408</c:v>
                      </c:pt>
                      <c:pt idx="6">
                        <c:v>0.14139894228220143</c:v>
                      </c:pt>
                      <c:pt idx="7">
                        <c:v>0.16159879117965878</c:v>
                      </c:pt>
                      <c:pt idx="8">
                        <c:v>0.18179864007711613</c:v>
                      </c:pt>
                      <c:pt idx="9">
                        <c:v>0.20199848897457348</c:v>
                      </c:pt>
                      <c:pt idx="10">
                        <c:v>0.22219833787203083</c:v>
                      </c:pt>
                      <c:pt idx="11">
                        <c:v>0.24239818676948818</c:v>
                      </c:pt>
                      <c:pt idx="12">
                        <c:v>0.26259803566694551</c:v>
                      </c:pt>
                      <c:pt idx="13">
                        <c:v>0.28279788456440286</c:v>
                      </c:pt>
                      <c:pt idx="14">
                        <c:v>0.30299773346186021</c:v>
                      </c:pt>
                      <c:pt idx="15">
                        <c:v>0.32319758235931756</c:v>
                      </c:pt>
                      <c:pt idx="16">
                        <c:v>0.34339743125677491</c:v>
                      </c:pt>
                      <c:pt idx="17">
                        <c:v>0.36359728015423226</c:v>
                      </c:pt>
                      <c:pt idx="18">
                        <c:v>0.38379712905168961</c:v>
                      </c:pt>
                      <c:pt idx="19">
                        <c:v>0.40399697794914696</c:v>
                      </c:pt>
                      <c:pt idx="20">
                        <c:v>0.42419682684660431</c:v>
                      </c:pt>
                      <c:pt idx="21">
                        <c:v>0.44439667574406166</c:v>
                      </c:pt>
                      <c:pt idx="22">
                        <c:v>0.46459652464151902</c:v>
                      </c:pt>
                      <c:pt idx="23">
                        <c:v>0.48479637353897637</c:v>
                      </c:pt>
                      <c:pt idx="24">
                        <c:v>0.50499622243643372</c:v>
                      </c:pt>
                      <c:pt idx="25">
                        <c:v>0.52519607133389101</c:v>
                      </c:pt>
                      <c:pt idx="26">
                        <c:v>0.54539592023134831</c:v>
                      </c:pt>
                      <c:pt idx="27">
                        <c:v>0.5655957691288056</c:v>
                      </c:pt>
                      <c:pt idx="28">
                        <c:v>0.5857956180262629</c:v>
                      </c:pt>
                      <c:pt idx="29">
                        <c:v>0.60599546692372019</c:v>
                      </c:pt>
                      <c:pt idx="30">
                        <c:v>0.62619531582117749</c:v>
                      </c:pt>
                      <c:pt idx="31">
                        <c:v>0.64639516471863478</c:v>
                      </c:pt>
                      <c:pt idx="32">
                        <c:v>0.66659501361609208</c:v>
                      </c:pt>
                      <c:pt idx="33">
                        <c:v>0.68679486251354938</c:v>
                      </c:pt>
                      <c:pt idx="34">
                        <c:v>0.70699471141100667</c:v>
                      </c:pt>
                      <c:pt idx="35">
                        <c:v>0.72719456030846397</c:v>
                      </c:pt>
                      <c:pt idx="36">
                        <c:v>0.74739440920592126</c:v>
                      </c:pt>
                      <c:pt idx="37">
                        <c:v>0.76759425810337856</c:v>
                      </c:pt>
                      <c:pt idx="38">
                        <c:v>0.78779410700083585</c:v>
                      </c:pt>
                      <c:pt idx="39">
                        <c:v>0.80799395589829315</c:v>
                      </c:pt>
                      <c:pt idx="40">
                        <c:v>0.82819380479575044</c:v>
                      </c:pt>
                      <c:pt idx="41">
                        <c:v>0.84839365369320774</c:v>
                      </c:pt>
                      <c:pt idx="42">
                        <c:v>0.86859350259066503</c:v>
                      </c:pt>
                      <c:pt idx="43">
                        <c:v>0.88879335148812233</c:v>
                      </c:pt>
                      <c:pt idx="44">
                        <c:v>0.90899320038557962</c:v>
                      </c:pt>
                      <c:pt idx="45">
                        <c:v>0.92919304928303692</c:v>
                      </c:pt>
                      <c:pt idx="46">
                        <c:v>0.94939289818049422</c:v>
                      </c:pt>
                      <c:pt idx="47">
                        <c:v>0.96959274707795151</c:v>
                      </c:pt>
                      <c:pt idx="48">
                        <c:v>0.98979259597540881</c:v>
                      </c:pt>
                      <c:pt idx="49">
                        <c:v>1.0099924448728661</c:v>
                      </c:pt>
                      <c:pt idx="50">
                        <c:v>1.0301922937703234</c:v>
                      </c:pt>
                      <c:pt idx="51">
                        <c:v>1.0503921426677807</c:v>
                      </c:pt>
                    </c:numCache>
                  </c:numRef>
                </c:val>
                <c:smooth val="0"/>
                <c:extLst xmlns:c15="http://schemas.microsoft.com/office/drawing/2012/chart">
                  <c:ext xmlns:c16="http://schemas.microsoft.com/office/drawing/2014/chart" uri="{C3380CC4-5D6E-409C-BE32-E72D297353CC}">
                    <c16:uniqueId val="{00000008-5168-4FA4-81E1-8856CFCA83C8}"/>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'OZL Summary'!$BV$6:$BV$7</c15:sqref>
                        </c15:formulaRef>
                      </c:ext>
                    </c:extLst>
                    <c:strCache>
                      <c:ptCount val="2"/>
                      <c:pt idx="0">
                        <c:v>90th Percentile</c:v>
                      </c:pt>
                    </c:strCache>
                  </c:strRef>
                </c:tx>
                <c:spPr>
                  <a:ln w="28575">
                    <a:solidFill>
                      <a:schemeClr val="accent1"/>
                    </a:solidFill>
                    <a:prstDash val="sysDot"/>
                  </a:ln>
                </c:spPr>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Summary'!$BV$8:$BV$60</c15:sqref>
                        </c15:formulaRef>
                      </c:ext>
                    </c:extLst>
                    <c:numCache>
                      <c:formatCode>0.000</c:formatCode>
                      <c:ptCount val="53"/>
                      <c:pt idx="0">
                        <c:v>2.7720420236719803E-2</c:v>
                      </c:pt>
                      <c:pt idx="1">
                        <c:v>5.5440840473439605E-2</c:v>
                      </c:pt>
                      <c:pt idx="2">
                        <c:v>8.3161260710159404E-2</c:v>
                      </c:pt>
                      <c:pt idx="3">
                        <c:v>0.11088168094687921</c:v>
                      </c:pt>
                      <c:pt idx="4">
                        <c:v>0.138602101183599</c:v>
                      </c:pt>
                      <c:pt idx="5">
                        <c:v>0.16632252142031881</c:v>
                      </c:pt>
                      <c:pt idx="6">
                        <c:v>0.19404294165703861</c:v>
                      </c:pt>
                      <c:pt idx="7">
                        <c:v>0.22176336189375842</c:v>
                      </c:pt>
                      <c:pt idx="8">
                        <c:v>0.24948378213047823</c:v>
                      </c:pt>
                      <c:pt idx="9">
                        <c:v>0.277204202367198</c:v>
                      </c:pt>
                      <c:pt idx="10">
                        <c:v>0.30492462260391778</c:v>
                      </c:pt>
                      <c:pt idx="11">
                        <c:v>0.33264504284063756</c:v>
                      </c:pt>
                      <c:pt idx="12">
                        <c:v>0.36036546307735734</c:v>
                      </c:pt>
                      <c:pt idx="13">
                        <c:v>0.38808588331407712</c:v>
                      </c:pt>
                      <c:pt idx="14">
                        <c:v>0.4158063035507969</c:v>
                      </c:pt>
                      <c:pt idx="15">
                        <c:v>0.44352672378751667</c:v>
                      </c:pt>
                      <c:pt idx="16">
                        <c:v>0.47124714402423645</c:v>
                      </c:pt>
                      <c:pt idx="17">
                        <c:v>0.49896756426095623</c:v>
                      </c:pt>
                      <c:pt idx="18">
                        <c:v>0.52668798449767606</c:v>
                      </c:pt>
                      <c:pt idx="19">
                        <c:v>0.5544084047343959</c:v>
                      </c:pt>
                      <c:pt idx="20">
                        <c:v>0.58212882497111573</c:v>
                      </c:pt>
                      <c:pt idx="21">
                        <c:v>0.60984924520783557</c:v>
                      </c:pt>
                      <c:pt idx="22">
                        <c:v>0.6375696654445554</c:v>
                      </c:pt>
                      <c:pt idx="23">
                        <c:v>0.66529008568127523</c:v>
                      </c:pt>
                      <c:pt idx="24">
                        <c:v>0.69301050591799507</c:v>
                      </c:pt>
                      <c:pt idx="25">
                        <c:v>0.7207309261547149</c:v>
                      </c:pt>
                      <c:pt idx="26">
                        <c:v>0.74845134639143474</c:v>
                      </c:pt>
                      <c:pt idx="27">
                        <c:v>0.77617176662815457</c:v>
                      </c:pt>
                      <c:pt idx="28">
                        <c:v>0.8038921868648744</c:v>
                      </c:pt>
                      <c:pt idx="29">
                        <c:v>0.83161260710159424</c:v>
                      </c:pt>
                      <c:pt idx="30">
                        <c:v>0.85933302733831407</c:v>
                      </c:pt>
                      <c:pt idx="31">
                        <c:v>0.8870534475750339</c:v>
                      </c:pt>
                      <c:pt idx="32">
                        <c:v>0.91477386781175374</c:v>
                      </c:pt>
                      <c:pt idx="33">
                        <c:v>0.94249428804847357</c:v>
                      </c:pt>
                      <c:pt idx="34">
                        <c:v>0.97021470828519341</c:v>
                      </c:pt>
                      <c:pt idx="35">
                        <c:v>0.99793512852191324</c:v>
                      </c:pt>
                      <c:pt idx="36">
                        <c:v>1.025655548758633</c:v>
                      </c:pt>
                      <c:pt idx="37">
                        <c:v>1.0533759689953528</c:v>
                      </c:pt>
                      <c:pt idx="38">
                        <c:v>1.0810963892320726</c:v>
                      </c:pt>
                      <c:pt idx="39">
                        <c:v>1.1088168094687925</c:v>
                      </c:pt>
                      <c:pt idx="40">
                        <c:v>1.1365372297055123</c:v>
                      </c:pt>
                      <c:pt idx="41">
                        <c:v>1.1642576499422321</c:v>
                      </c:pt>
                      <c:pt idx="42">
                        <c:v>1.191978070178952</c:v>
                      </c:pt>
                      <c:pt idx="43">
                        <c:v>1.2196984904156718</c:v>
                      </c:pt>
                      <c:pt idx="44">
                        <c:v>1.2474189106523916</c:v>
                      </c:pt>
                      <c:pt idx="45">
                        <c:v>1.2751393308891115</c:v>
                      </c:pt>
                      <c:pt idx="46">
                        <c:v>1.3028597511258313</c:v>
                      </c:pt>
                      <c:pt idx="47">
                        <c:v>1.3305801713625511</c:v>
                      </c:pt>
                      <c:pt idx="48">
                        <c:v>1.358300591599271</c:v>
                      </c:pt>
                      <c:pt idx="49">
                        <c:v>1.3860210118359908</c:v>
                      </c:pt>
                      <c:pt idx="50">
                        <c:v>1.4137414320727106</c:v>
                      </c:pt>
                      <c:pt idx="51">
                        <c:v>1.4414618523094305</c:v>
                      </c:pt>
                    </c:numCache>
                  </c:numRef>
                </c:val>
                <c:smooth val="0"/>
                <c:extLst xmlns:c15="http://schemas.microsoft.com/office/drawing/2012/chart">
                  <c:ext xmlns:c16="http://schemas.microsoft.com/office/drawing/2014/chart" uri="{C3380CC4-5D6E-409C-BE32-E72D297353CC}">
                    <c16:uniqueId val="{00000009-5168-4FA4-81E1-8856CFCA83C8}"/>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'OZL Summary'!$BX$6:$BX$7</c15:sqref>
                        </c15:formulaRef>
                      </c:ext>
                    </c:extLst>
                    <c:strCache>
                      <c:ptCount val="2"/>
                      <c:pt idx="0">
                        <c:v>99th Percentile</c:v>
                      </c:pt>
                    </c:strCache>
                  </c:strRef>
                </c:tx>
                <c:spPr>
                  <a:ln w="28575">
                    <a:solidFill>
                      <a:schemeClr val="accent1"/>
                    </a:solidFill>
                    <a:prstDash val="sysDot"/>
                  </a:ln>
                </c:spPr>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Summary'!$BX$8:$BX$60</c15:sqref>
                        </c15:formulaRef>
                      </c:ext>
                    </c:extLst>
                    <c:numCache>
                      <c:formatCode>0.000</c:formatCode>
                      <c:ptCount val="53"/>
                      <c:pt idx="0">
                        <c:v>3.2006943607976859E-2</c:v>
                      </c:pt>
                      <c:pt idx="1">
                        <c:v>6.4013887215953719E-2</c:v>
                      </c:pt>
                      <c:pt idx="2">
                        <c:v>9.6020830823930578E-2</c:v>
                      </c:pt>
                      <c:pt idx="3">
                        <c:v>0.12802777443190744</c:v>
                      </c:pt>
                      <c:pt idx="4">
                        <c:v>0.16003471803988428</c:v>
                      </c:pt>
                      <c:pt idx="5">
                        <c:v>0.19204166164786113</c:v>
                      </c:pt>
                      <c:pt idx="6">
                        <c:v>0.22404860525583797</c:v>
                      </c:pt>
                      <c:pt idx="7">
                        <c:v>0.25605554886381482</c:v>
                      </c:pt>
                      <c:pt idx="8">
                        <c:v>0.28806249247179166</c:v>
                      </c:pt>
                      <c:pt idx="9">
                        <c:v>0.32006943607976851</c:v>
                      </c:pt>
                      <c:pt idx="10">
                        <c:v>0.35207637968774536</c:v>
                      </c:pt>
                      <c:pt idx="11">
                        <c:v>0.3840833232957222</c:v>
                      </c:pt>
                      <c:pt idx="12">
                        <c:v>0.41609026690369905</c:v>
                      </c:pt>
                      <c:pt idx="13">
                        <c:v>0.44809721051167589</c:v>
                      </c:pt>
                      <c:pt idx="14">
                        <c:v>0.48010415411965274</c:v>
                      </c:pt>
                      <c:pt idx="15">
                        <c:v>0.51211109772762964</c:v>
                      </c:pt>
                      <c:pt idx="16">
                        <c:v>0.54411804133560648</c:v>
                      </c:pt>
                      <c:pt idx="17">
                        <c:v>0.57612498494358333</c:v>
                      </c:pt>
                      <c:pt idx="18">
                        <c:v>0.60813192855156017</c:v>
                      </c:pt>
                      <c:pt idx="19">
                        <c:v>0.64013887215953702</c:v>
                      </c:pt>
                      <c:pt idx="20">
                        <c:v>0.67214581576751387</c:v>
                      </c:pt>
                      <c:pt idx="21">
                        <c:v>0.70415275937549071</c:v>
                      </c:pt>
                      <c:pt idx="22">
                        <c:v>0.73615970298346756</c:v>
                      </c:pt>
                      <c:pt idx="23">
                        <c:v>0.7681666465914444</c:v>
                      </c:pt>
                      <c:pt idx="24">
                        <c:v>0.80017359019942125</c:v>
                      </c:pt>
                      <c:pt idx="25">
                        <c:v>0.83218053380739809</c:v>
                      </c:pt>
                      <c:pt idx="26">
                        <c:v>0.86418747741537494</c:v>
                      </c:pt>
                      <c:pt idx="27">
                        <c:v>0.89619442102335178</c:v>
                      </c:pt>
                      <c:pt idx="28">
                        <c:v>0.92820136463132863</c:v>
                      </c:pt>
                      <c:pt idx="29">
                        <c:v>0.96020830823930547</c:v>
                      </c:pt>
                      <c:pt idx="30">
                        <c:v>0.99221525184728232</c:v>
                      </c:pt>
                      <c:pt idx="31">
                        <c:v>1.0242221954552593</c:v>
                      </c:pt>
                      <c:pt idx="32">
                        <c:v>1.0562291390632361</c:v>
                      </c:pt>
                      <c:pt idx="33">
                        <c:v>1.088236082671213</c:v>
                      </c:pt>
                      <c:pt idx="34">
                        <c:v>1.1202430262791898</c:v>
                      </c:pt>
                      <c:pt idx="35">
                        <c:v>1.1522499698871667</c:v>
                      </c:pt>
                      <c:pt idx="36">
                        <c:v>1.1842569134951435</c:v>
                      </c:pt>
                      <c:pt idx="37">
                        <c:v>1.2162638571031203</c:v>
                      </c:pt>
                      <c:pt idx="38">
                        <c:v>1.2482708007110972</c:v>
                      </c:pt>
                      <c:pt idx="39">
                        <c:v>1.280277744319074</c:v>
                      </c:pt>
                      <c:pt idx="40">
                        <c:v>1.3122846879270509</c:v>
                      </c:pt>
                      <c:pt idx="41">
                        <c:v>1.3442916315350277</c:v>
                      </c:pt>
                      <c:pt idx="42">
                        <c:v>1.3762985751430046</c:v>
                      </c:pt>
                      <c:pt idx="43">
                        <c:v>1.4083055187509814</c:v>
                      </c:pt>
                      <c:pt idx="44">
                        <c:v>1.4403124623589583</c:v>
                      </c:pt>
                      <c:pt idx="45">
                        <c:v>1.4723194059669351</c:v>
                      </c:pt>
                      <c:pt idx="46">
                        <c:v>1.504326349574912</c:v>
                      </c:pt>
                      <c:pt idx="47">
                        <c:v>1.5363332931828888</c:v>
                      </c:pt>
                      <c:pt idx="48">
                        <c:v>1.5683402367908656</c:v>
                      </c:pt>
                      <c:pt idx="49">
                        <c:v>1.6003471803988425</c:v>
                      </c:pt>
                      <c:pt idx="50">
                        <c:v>1.6323541240068193</c:v>
                      </c:pt>
                      <c:pt idx="51">
                        <c:v>1.6643610676147962</c:v>
                      </c:pt>
                    </c:numCache>
                  </c:numRef>
                </c:val>
                <c:smooth val="0"/>
                <c:extLst xmlns:c15="http://schemas.microsoft.com/office/drawing/2012/chart">
                  <c:ext xmlns:c16="http://schemas.microsoft.com/office/drawing/2014/chart" uri="{C3380CC4-5D6E-409C-BE32-E72D297353CC}">
                    <c16:uniqueId val="{0000000A-5168-4FA4-81E1-8856CFCA83C8}"/>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'OZL Summary'!$BY$6:$BY$7</c15:sqref>
                        </c15:formulaRef>
                      </c:ext>
                    </c:extLst>
                    <c:strCache>
                      <c:ptCount val="2"/>
                      <c:pt idx="0">
                        <c:v>Max</c:v>
                      </c:pt>
                    </c:strCache>
                  </c:strRef>
                </c:tx>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Summary'!$BY$8:$BY$60</c15:sqref>
                        </c15:formulaRef>
                      </c:ext>
                    </c:extLst>
                    <c:numCache>
                      <c:formatCode>0.000</c:formatCode>
                      <c:ptCount val="53"/>
                      <c:pt idx="0">
                        <c:v>3.9503586953510528E-2</c:v>
                      </c:pt>
                      <c:pt idx="1">
                        <c:v>7.9007173907021055E-2</c:v>
                      </c:pt>
                      <c:pt idx="2">
                        <c:v>0.11851076086053158</c:v>
                      </c:pt>
                      <c:pt idx="3">
                        <c:v>0.15801434781404211</c:v>
                      </c:pt>
                      <c:pt idx="4">
                        <c:v>0.19751793476755264</c:v>
                      </c:pt>
                      <c:pt idx="5">
                        <c:v>0.23702152172106317</c:v>
                      </c:pt>
                      <c:pt idx="6">
                        <c:v>0.27652510867457369</c:v>
                      </c:pt>
                      <c:pt idx="7">
                        <c:v>0.31602869562808422</c:v>
                      </c:pt>
                      <c:pt idx="8">
                        <c:v>0.35553228258159475</c:v>
                      </c:pt>
                      <c:pt idx="9">
                        <c:v>0.39503586953510528</c:v>
                      </c:pt>
                      <c:pt idx="10">
                        <c:v>0.43453945648861581</c:v>
                      </c:pt>
                      <c:pt idx="11">
                        <c:v>0.47404304344212633</c:v>
                      </c:pt>
                      <c:pt idx="12">
                        <c:v>0.51354663039563686</c:v>
                      </c:pt>
                      <c:pt idx="13">
                        <c:v>0.55305021734914739</c:v>
                      </c:pt>
                      <c:pt idx="14">
                        <c:v>0.59255380430265792</c:v>
                      </c:pt>
                      <c:pt idx="15">
                        <c:v>0.63205739125616844</c:v>
                      </c:pt>
                      <c:pt idx="16">
                        <c:v>0.67156097820967897</c:v>
                      </c:pt>
                      <c:pt idx="17">
                        <c:v>0.7110645651631895</c:v>
                      </c:pt>
                      <c:pt idx="18">
                        <c:v>0.75056815211670003</c:v>
                      </c:pt>
                      <c:pt idx="19">
                        <c:v>0.79007173907021055</c:v>
                      </c:pt>
                      <c:pt idx="20">
                        <c:v>0.82957532602372108</c:v>
                      </c:pt>
                      <c:pt idx="21">
                        <c:v>0.86907891297723161</c:v>
                      </c:pt>
                      <c:pt idx="22">
                        <c:v>0.90858249993074214</c:v>
                      </c:pt>
                      <c:pt idx="23">
                        <c:v>0.94808608688425267</c:v>
                      </c:pt>
                      <c:pt idx="24">
                        <c:v>0.98758967383776319</c:v>
                      </c:pt>
                      <c:pt idx="25">
                        <c:v>1.0270932607912737</c:v>
                      </c:pt>
                      <c:pt idx="26">
                        <c:v>1.0665968477447842</c:v>
                      </c:pt>
                      <c:pt idx="27">
                        <c:v>1.1061004346982948</c:v>
                      </c:pt>
                      <c:pt idx="28">
                        <c:v>1.1456040216518053</c:v>
                      </c:pt>
                      <c:pt idx="29">
                        <c:v>1.1851076086053158</c:v>
                      </c:pt>
                      <c:pt idx="30">
                        <c:v>1.2246111955588264</c:v>
                      </c:pt>
                      <c:pt idx="31">
                        <c:v>1.2641147825123369</c:v>
                      </c:pt>
                      <c:pt idx="32">
                        <c:v>1.3036183694658474</c:v>
                      </c:pt>
                      <c:pt idx="33">
                        <c:v>1.3431219564193579</c:v>
                      </c:pt>
                      <c:pt idx="34">
                        <c:v>1.3826255433728685</c:v>
                      </c:pt>
                      <c:pt idx="35">
                        <c:v>1.422129130326379</c:v>
                      </c:pt>
                      <c:pt idx="36">
                        <c:v>1.4616327172798895</c:v>
                      </c:pt>
                      <c:pt idx="37">
                        <c:v>1.5011363042334001</c:v>
                      </c:pt>
                      <c:pt idx="38">
                        <c:v>1.5406398911869106</c:v>
                      </c:pt>
                      <c:pt idx="39">
                        <c:v>1.5801434781404211</c:v>
                      </c:pt>
                      <c:pt idx="40">
                        <c:v>1.6196470650939316</c:v>
                      </c:pt>
                      <c:pt idx="41">
                        <c:v>1.6591506520474422</c:v>
                      </c:pt>
                      <c:pt idx="42">
                        <c:v>1.6986542390009527</c:v>
                      </c:pt>
                      <c:pt idx="43">
                        <c:v>1.7381578259544632</c:v>
                      </c:pt>
                      <c:pt idx="44">
                        <c:v>1.7776614129079737</c:v>
                      </c:pt>
                      <c:pt idx="45">
                        <c:v>1.8171649998614843</c:v>
                      </c:pt>
                      <c:pt idx="46">
                        <c:v>1.8566685868149948</c:v>
                      </c:pt>
                      <c:pt idx="47">
                        <c:v>1.8961721737685053</c:v>
                      </c:pt>
                      <c:pt idx="48">
                        <c:v>1.9356757607220159</c:v>
                      </c:pt>
                      <c:pt idx="49">
                        <c:v>1.9751793476755264</c:v>
                      </c:pt>
                      <c:pt idx="50">
                        <c:v>2.0146829346290369</c:v>
                      </c:pt>
                      <c:pt idx="51">
                        <c:v>2.0541865215825474</c:v>
                      </c:pt>
                    </c:numCache>
                  </c:numRef>
                </c:val>
                <c:smooth val="0"/>
                <c:extLst xmlns:c15="http://schemas.microsoft.com/office/drawing/2012/chart">
                  <c:ext xmlns:c16="http://schemas.microsoft.com/office/drawing/2014/chart" uri="{C3380CC4-5D6E-409C-BE32-E72D297353CC}">
                    <c16:uniqueId val="{0000000B-5168-4FA4-81E1-8856CFCA83C8}"/>
                  </c:ext>
                </c:extLst>
              </c15:ser>
            </c15:filteredLineSeries>
          </c:ext>
        </c:extLst>
      </c:lineChart>
      <c:dateAx>
        <c:axId val="1388952432"/>
        <c:scaling>
          <c:orientation val="minMax"/>
        </c:scaling>
        <c:delete val="0"/>
        <c:axPos val="b"/>
        <c:numFmt formatCode="mmm\-yy" sourceLinked="0"/>
        <c:majorTickMark val="none"/>
        <c:minorTickMark val="none"/>
        <c:tickLblPos val="nextTo"/>
        <c:spPr>
          <a:noFill/>
          <a:ln w="9525" cap="flat" cmpd="sng" algn="ctr">
            <a:noFill/>
            <a:round/>
          </a:ln>
          <a:effectLst/>
        </c:spPr>
        <c:txPr>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3088"/>
        <c:crosses val="autoZero"/>
        <c:auto val="1"/>
        <c:lblOffset val="100"/>
        <c:baseTimeUnit val="days"/>
        <c:majorUnit val="1"/>
        <c:majorTimeUnit val="months"/>
      </c:dateAx>
      <c:valAx>
        <c:axId val="13889530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2432"/>
        <c:crosses val="autoZero"/>
        <c:crossBetween val="between"/>
      </c:valAx>
    </c:plotArea>
    <c:legend>
      <c:legendPos val="b"/>
      <c:legendEntry>
        <c:idx val="3"/>
        <c:delete val="1"/>
      </c:legendEntry>
      <c:legendEntry>
        <c:idx val="4"/>
        <c:delete val="1"/>
      </c:legendEntry>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orientation="portrait"/>
  </c:printSettings>
</c:chartSpace>
</file>

<file path=xl/charts/chart1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'OZL Summary'!$CM$6</c:f>
              <c:strCache>
                <c:ptCount val="1"/>
                <c:pt idx="0">
                  <c:v>Actual</c:v>
                </c:pt>
              </c:strCache>
            </c:strRef>
          </c:tx>
          <c:spPr>
            <a:ln>
              <a:solidFill>
                <a:schemeClr val="tx2"/>
              </a:solidFill>
            </a:ln>
          </c:spPr>
          <c:marker>
            <c:symbol val="none"/>
          </c:marker>
          <c:cat>
            <c:numRef>
              <c:f>'OZL Summary'!$CL$8:$CL$60</c:f>
              <c:numCache>
                <c:formatCode>d\-mmm\-yy_);\(###0\);"-  ";" "@" "</c:formatCode>
                <c:ptCount val="53"/>
                <c:pt idx="0">
                  <c:v>44747</c:v>
                </c:pt>
                <c:pt idx="1">
                  <c:v>44754</c:v>
                </c:pt>
                <c:pt idx="2">
                  <c:v>44761</c:v>
                </c:pt>
                <c:pt idx="3">
                  <c:v>44768</c:v>
                </c:pt>
                <c:pt idx="4">
                  <c:v>44775</c:v>
                </c:pt>
                <c:pt idx="5">
                  <c:v>44782</c:v>
                </c:pt>
                <c:pt idx="6">
                  <c:v>44789</c:v>
                </c:pt>
                <c:pt idx="7">
                  <c:v>44796</c:v>
                </c:pt>
                <c:pt idx="8">
                  <c:v>44803</c:v>
                </c:pt>
                <c:pt idx="9">
                  <c:v>44810</c:v>
                </c:pt>
                <c:pt idx="10">
                  <c:v>44817</c:v>
                </c:pt>
                <c:pt idx="11">
                  <c:v>44824</c:v>
                </c:pt>
                <c:pt idx="12">
                  <c:v>44831</c:v>
                </c:pt>
                <c:pt idx="13">
                  <c:v>44838</c:v>
                </c:pt>
                <c:pt idx="14">
                  <c:v>44845</c:v>
                </c:pt>
                <c:pt idx="15">
                  <c:v>44852</c:v>
                </c:pt>
                <c:pt idx="16">
                  <c:v>44859</c:v>
                </c:pt>
                <c:pt idx="17">
                  <c:v>44866</c:v>
                </c:pt>
                <c:pt idx="18">
                  <c:v>44873</c:v>
                </c:pt>
                <c:pt idx="19">
                  <c:v>44880</c:v>
                </c:pt>
                <c:pt idx="20">
                  <c:v>44887</c:v>
                </c:pt>
                <c:pt idx="21">
                  <c:v>44894</c:v>
                </c:pt>
                <c:pt idx="22">
                  <c:v>44901</c:v>
                </c:pt>
                <c:pt idx="23">
                  <c:v>44908</c:v>
                </c:pt>
                <c:pt idx="24">
                  <c:v>44915</c:v>
                </c:pt>
                <c:pt idx="25">
                  <c:v>44922</c:v>
                </c:pt>
                <c:pt idx="26">
                  <c:v>44929</c:v>
                </c:pt>
                <c:pt idx="27">
                  <c:v>44936</c:v>
                </c:pt>
                <c:pt idx="28">
                  <c:v>44943</c:v>
                </c:pt>
                <c:pt idx="29">
                  <c:v>44950</c:v>
                </c:pt>
                <c:pt idx="30">
                  <c:v>44957</c:v>
                </c:pt>
                <c:pt idx="31">
                  <c:v>44964</c:v>
                </c:pt>
                <c:pt idx="32">
                  <c:v>44971</c:v>
                </c:pt>
                <c:pt idx="33">
                  <c:v>44978</c:v>
                </c:pt>
                <c:pt idx="34">
                  <c:v>44985</c:v>
                </c:pt>
                <c:pt idx="35">
                  <c:v>44992</c:v>
                </c:pt>
                <c:pt idx="36">
                  <c:v>44999</c:v>
                </c:pt>
                <c:pt idx="37">
                  <c:v>45006</c:v>
                </c:pt>
                <c:pt idx="38">
                  <c:v>45013</c:v>
                </c:pt>
                <c:pt idx="39">
                  <c:v>45020</c:v>
                </c:pt>
                <c:pt idx="40">
                  <c:v>45027</c:v>
                </c:pt>
                <c:pt idx="41">
                  <c:v>45034</c:v>
                </c:pt>
                <c:pt idx="42">
                  <c:v>45041</c:v>
                </c:pt>
                <c:pt idx="43">
                  <c:v>45048</c:v>
                </c:pt>
                <c:pt idx="44">
                  <c:v>45055</c:v>
                </c:pt>
                <c:pt idx="45">
                  <c:v>45062</c:v>
                </c:pt>
                <c:pt idx="46">
                  <c:v>45069</c:v>
                </c:pt>
                <c:pt idx="47">
                  <c:v>45076</c:v>
                </c:pt>
                <c:pt idx="48">
                  <c:v>45083</c:v>
                </c:pt>
                <c:pt idx="49">
                  <c:v>45090</c:v>
                </c:pt>
                <c:pt idx="50">
                  <c:v>45097</c:v>
                </c:pt>
                <c:pt idx="51">
                  <c:v>45104</c:v>
                </c:pt>
              </c:numCache>
            </c:numRef>
          </c:cat>
          <c:val>
            <c:numRef>
              <c:f>'OZL Summary'!$CM$8:$CM$60</c:f>
              <c:numCache>
                <c:formatCode>0.000</c:formatCode>
                <c:ptCount val="53"/>
                <c:pt idx="0">
                  <c:v>3.834938886032449E-2</c:v>
                </c:pt>
                <c:pt idx="1">
                  <c:v>5.123783242153393E-2</c:v>
                </c:pt>
                <c:pt idx="2">
                  <c:v>7.4018441192920351E-2</c:v>
                </c:pt>
                <c:pt idx="3">
                  <c:v>9.6187263530825975E-2</c:v>
                </c:pt>
                <c:pt idx="4">
                  <c:v>0.1279486352824484</c:v>
                </c:pt>
                <c:pt idx="5">
                  <c:v>0.14008847339439529</c:v>
                </c:pt>
                <c:pt idx="6">
                  <c:v>0.15550996784351032</c:v>
                </c:pt>
                <c:pt idx="7">
                  <c:v>0.1781636657277286</c:v>
                </c:pt>
                <c:pt idx="8">
                  <c:v>0.18979947318539822</c:v>
                </c:pt>
                <c:pt idx="9">
                  <c:v>0.20316795796430678</c:v>
                </c:pt>
                <c:pt idx="10">
                  <c:v>0.22458342495752212</c:v>
                </c:pt>
                <c:pt idx="11">
                  <c:v>0.25580603961283188</c:v>
                </c:pt>
                <c:pt idx="12">
                  <c:v>0.29377769196961651</c:v>
                </c:pt>
                <c:pt idx="13">
                  <c:v>0.35323363217492626</c:v>
                </c:pt>
                <c:pt idx="14">
                  <c:v>0.36548244522271389</c:v>
                </c:pt>
                <c:pt idx="15">
                  <c:v>0.37859873767389379</c:v>
                </c:pt>
                <c:pt idx="16">
                  <c:v>0.39719554152758113</c:v>
                </c:pt>
                <c:pt idx="17">
                  <c:v>0.4316567961707965</c:v>
                </c:pt>
                <c:pt idx="18">
                  <c:v>0.44430520610840712</c:v>
                </c:pt>
                <c:pt idx="19">
                  <c:v>0.46444965919601772</c:v>
                </c:pt>
                <c:pt idx="20">
                  <c:v>0.48259203014070801</c:v>
                </c:pt>
                <c:pt idx="21">
                  <c:v>0.51028982039557524</c:v>
                </c:pt>
                <c:pt idx="22">
                  <c:v>0.54471389987168151</c:v>
                </c:pt>
                <c:pt idx="23">
                  <c:v>0.55672420885427742</c:v>
                </c:pt>
                <c:pt idx="24">
                  <c:v>0.56989902180014751</c:v>
                </c:pt>
                <c:pt idx="25">
                  <c:v>0.58579190168259598</c:v>
                </c:pt>
                <c:pt idx="26">
                  <c:v>0.61560164261652994</c:v>
                </c:pt>
                <c:pt idx="27">
                  <c:v>0.62886922832989334</c:v>
                </c:pt>
                <c:pt idx="28">
                  <c:v>0.6415368150007642</c:v>
                </c:pt>
                <c:pt idx="29">
                  <c:v>0.65570691274325665</c:v>
                </c:pt>
                <c:pt idx="30">
                  <c:v>0.6741108383910045</c:v>
                </c:pt>
                <c:pt idx="31">
                  <c:v>0.70317383110091436</c:v>
                </c:pt>
                <c:pt idx="32">
                  <c:v>0.7164699629842477</c:v>
                </c:pt>
                <c:pt idx="33">
                  <c:v>0.73040874440271619</c:v>
                </c:pt>
                <c:pt idx="34">
                  <c:v>0.74918997488349703</c:v>
                </c:pt>
                <c:pt idx="35">
                  <c:v>0.7793860493513648</c:v>
                </c:pt>
                <c:pt idx="36">
                  <c:v>0.792350734537551</c:v>
                </c:pt>
                <c:pt idx="37">
                  <c:v>0.8067648960380015</c:v>
                </c:pt>
                <c:pt idx="38">
                  <c:v>0.82797384641157512</c:v>
                </c:pt>
                <c:pt idx="39">
                  <c:v>0.85720770309595939</c:v>
                </c:pt>
                <c:pt idx="40">
                  <c:v>0.89207466557553894</c:v>
                </c:pt>
                <c:pt idx="41">
                  <c:v>0.90536693215601949</c:v>
                </c:pt>
                <c:pt idx="42">
                  <c:v>0.91931178785842182</c:v>
                </c:pt>
                <c:pt idx="43">
                  <c:v>0.94029749152884223</c:v>
                </c:pt>
                <c:pt idx="44">
                  <c:v>0.97126155342974319</c:v>
                </c:pt>
                <c:pt idx="45">
                  <c:v>1.0131852031892026</c:v>
                </c:pt>
                <c:pt idx="46">
                  <c:v>1.0256646046452087</c:v>
                </c:pt>
                <c:pt idx="47">
                  <c:v>1.0400668378461095</c:v>
                </c:pt>
                <c:pt idx="48">
                  <c:v>1.0596253319545181</c:v>
                </c:pt>
                <c:pt idx="49">
                  <c:v>1.0849019171256893</c:v>
                </c:pt>
                <c:pt idx="50">
                  <c:v>1.0964318200087224</c:v>
                </c:pt>
                <c:pt idx="51">
                  <c:v>1.1117000978259894</c:v>
                </c:pt>
              </c:numCache>
            </c:numRef>
          </c:val>
          <c:smooth val="0"/>
          <c:extLst>
            <c:ext xmlns:c16="http://schemas.microsoft.com/office/drawing/2014/chart" uri="{C3380CC4-5D6E-409C-BE32-E72D297353CC}">
              <c16:uniqueId val="{00000000-019E-4D9F-82A8-A87BB830AA5D}"/>
            </c:ext>
          </c:extLst>
        </c:ser>
        <c:ser>
          <c:idx val="7"/>
          <c:order val="3"/>
          <c:tx>
            <c:strRef>
              <c:f>'OZL Summary'!$CP$6:$CP$7</c:f>
              <c:strCache>
                <c:ptCount val="2"/>
                <c:pt idx="0">
                  <c:v>5th Percentile</c:v>
                </c:pt>
              </c:strCache>
            </c:strRef>
          </c:tx>
          <c:spPr>
            <a:ln>
              <a:solidFill>
                <a:schemeClr val="bg2">
                  <a:lumMod val="60000"/>
                  <a:lumOff val="40000"/>
                </a:schemeClr>
              </a:solidFill>
              <a:prstDash val="sysDot"/>
            </a:ln>
          </c:spPr>
          <c:marker>
            <c:symbol val="none"/>
          </c:marker>
          <c:cat>
            <c:numRef>
              <c:f>'OZL Summary'!$CL$8:$CL$60</c:f>
              <c:numCache>
                <c:formatCode>d\-mmm\-yy_);\(###0\);"-  ";" "@" "</c:formatCode>
                <c:ptCount val="53"/>
                <c:pt idx="0">
                  <c:v>44747</c:v>
                </c:pt>
                <c:pt idx="1">
                  <c:v>44754</c:v>
                </c:pt>
                <c:pt idx="2">
                  <c:v>44761</c:v>
                </c:pt>
                <c:pt idx="3">
                  <c:v>44768</c:v>
                </c:pt>
                <c:pt idx="4">
                  <c:v>44775</c:v>
                </c:pt>
                <c:pt idx="5">
                  <c:v>44782</c:v>
                </c:pt>
                <c:pt idx="6">
                  <c:v>44789</c:v>
                </c:pt>
                <c:pt idx="7">
                  <c:v>44796</c:v>
                </c:pt>
                <c:pt idx="8">
                  <c:v>44803</c:v>
                </c:pt>
                <c:pt idx="9">
                  <c:v>44810</c:v>
                </c:pt>
                <c:pt idx="10">
                  <c:v>44817</c:v>
                </c:pt>
                <c:pt idx="11">
                  <c:v>44824</c:v>
                </c:pt>
                <c:pt idx="12">
                  <c:v>44831</c:v>
                </c:pt>
                <c:pt idx="13">
                  <c:v>44838</c:v>
                </c:pt>
                <c:pt idx="14">
                  <c:v>44845</c:v>
                </c:pt>
                <c:pt idx="15">
                  <c:v>44852</c:v>
                </c:pt>
                <c:pt idx="16">
                  <c:v>44859</c:v>
                </c:pt>
                <c:pt idx="17">
                  <c:v>44866</c:v>
                </c:pt>
                <c:pt idx="18">
                  <c:v>44873</c:v>
                </c:pt>
                <c:pt idx="19">
                  <c:v>44880</c:v>
                </c:pt>
                <c:pt idx="20">
                  <c:v>44887</c:v>
                </c:pt>
                <c:pt idx="21">
                  <c:v>44894</c:v>
                </c:pt>
                <c:pt idx="22">
                  <c:v>44901</c:v>
                </c:pt>
                <c:pt idx="23">
                  <c:v>44908</c:v>
                </c:pt>
                <c:pt idx="24">
                  <c:v>44915</c:v>
                </c:pt>
                <c:pt idx="25">
                  <c:v>44922</c:v>
                </c:pt>
                <c:pt idx="26">
                  <c:v>44929</c:v>
                </c:pt>
                <c:pt idx="27">
                  <c:v>44936</c:v>
                </c:pt>
                <c:pt idx="28">
                  <c:v>44943</c:v>
                </c:pt>
                <c:pt idx="29">
                  <c:v>44950</c:v>
                </c:pt>
                <c:pt idx="30">
                  <c:v>44957</c:v>
                </c:pt>
                <c:pt idx="31">
                  <c:v>44964</c:v>
                </c:pt>
                <c:pt idx="32">
                  <c:v>44971</c:v>
                </c:pt>
                <c:pt idx="33">
                  <c:v>44978</c:v>
                </c:pt>
                <c:pt idx="34">
                  <c:v>44985</c:v>
                </c:pt>
                <c:pt idx="35">
                  <c:v>44992</c:v>
                </c:pt>
                <c:pt idx="36">
                  <c:v>44999</c:v>
                </c:pt>
                <c:pt idx="37">
                  <c:v>45006</c:v>
                </c:pt>
                <c:pt idx="38">
                  <c:v>45013</c:v>
                </c:pt>
                <c:pt idx="39">
                  <c:v>45020</c:v>
                </c:pt>
                <c:pt idx="40">
                  <c:v>45027</c:v>
                </c:pt>
                <c:pt idx="41">
                  <c:v>45034</c:v>
                </c:pt>
                <c:pt idx="42">
                  <c:v>45041</c:v>
                </c:pt>
                <c:pt idx="43">
                  <c:v>45048</c:v>
                </c:pt>
                <c:pt idx="44">
                  <c:v>45055</c:v>
                </c:pt>
                <c:pt idx="45">
                  <c:v>45062</c:v>
                </c:pt>
                <c:pt idx="46">
                  <c:v>45069</c:v>
                </c:pt>
                <c:pt idx="47">
                  <c:v>45076</c:v>
                </c:pt>
                <c:pt idx="48">
                  <c:v>45083</c:v>
                </c:pt>
                <c:pt idx="49">
                  <c:v>45090</c:v>
                </c:pt>
                <c:pt idx="50">
                  <c:v>45097</c:v>
                </c:pt>
                <c:pt idx="51">
                  <c:v>45104</c:v>
                </c:pt>
              </c:numCache>
            </c:numRef>
          </c:cat>
          <c:val>
            <c:numRef>
              <c:f>'OZL Summary'!$CP$8:$CP$60</c:f>
              <c:numCache>
                <c:formatCode>0.000</c:formatCode>
                <c:ptCount val="53"/>
                <c:pt idx="0">
                  <c:v>2.2123388189543756E-2</c:v>
                </c:pt>
                <c:pt idx="1">
                  <c:v>4.4246776379087513E-2</c:v>
                </c:pt>
                <c:pt idx="2">
                  <c:v>6.6370164568631262E-2</c:v>
                </c:pt>
                <c:pt idx="3">
                  <c:v>8.8493552758175026E-2</c:v>
                </c:pt>
                <c:pt idx="4">
                  <c:v>0.11061694094771879</c:v>
                </c:pt>
                <c:pt idx="5">
                  <c:v>0.13274032913726255</c:v>
                </c:pt>
                <c:pt idx="6">
                  <c:v>0.15486371732680632</c:v>
                </c:pt>
                <c:pt idx="7">
                  <c:v>0.17698710551635008</c:v>
                </c:pt>
                <c:pt idx="8">
                  <c:v>0.19911049370589384</c:v>
                </c:pt>
                <c:pt idx="9">
                  <c:v>0.22123388189543761</c:v>
                </c:pt>
                <c:pt idx="10">
                  <c:v>0.24335727008498137</c:v>
                </c:pt>
                <c:pt idx="11">
                  <c:v>0.26548065827452511</c:v>
                </c:pt>
                <c:pt idx="12">
                  <c:v>0.28760404646406884</c:v>
                </c:pt>
                <c:pt idx="13">
                  <c:v>0.30972743465361258</c:v>
                </c:pt>
                <c:pt idx="14">
                  <c:v>0.33185082284315631</c:v>
                </c:pt>
                <c:pt idx="15">
                  <c:v>0.35397421103270005</c:v>
                </c:pt>
                <c:pt idx="16">
                  <c:v>0.37609759922224378</c:v>
                </c:pt>
                <c:pt idx="17">
                  <c:v>0.39822098741178752</c:v>
                </c:pt>
                <c:pt idx="18">
                  <c:v>0.42034437560133125</c:v>
                </c:pt>
                <c:pt idx="19">
                  <c:v>0.44246776379087499</c:v>
                </c:pt>
                <c:pt idx="20">
                  <c:v>0.46459115198041873</c:v>
                </c:pt>
                <c:pt idx="21">
                  <c:v>0.48671454016996246</c:v>
                </c:pt>
                <c:pt idx="22">
                  <c:v>0.50883792835950625</c:v>
                </c:pt>
                <c:pt idx="23">
                  <c:v>0.53096131654904999</c:v>
                </c:pt>
                <c:pt idx="24">
                  <c:v>0.55308470473859372</c:v>
                </c:pt>
                <c:pt idx="25">
                  <c:v>0.57520809292813746</c:v>
                </c:pt>
                <c:pt idx="26">
                  <c:v>0.5973314811176812</c:v>
                </c:pt>
                <c:pt idx="27">
                  <c:v>0.61945486930722493</c:v>
                </c:pt>
                <c:pt idx="28">
                  <c:v>0.64157825749676867</c:v>
                </c:pt>
                <c:pt idx="29">
                  <c:v>0.6637016456863124</c:v>
                </c:pt>
                <c:pt idx="30">
                  <c:v>0.68582503387585614</c:v>
                </c:pt>
                <c:pt idx="31">
                  <c:v>0.70794842206539987</c:v>
                </c:pt>
                <c:pt idx="32">
                  <c:v>0.73007181025494361</c:v>
                </c:pt>
                <c:pt idx="33">
                  <c:v>0.75219519844448735</c:v>
                </c:pt>
                <c:pt idx="34">
                  <c:v>0.77431858663403108</c:v>
                </c:pt>
                <c:pt idx="35">
                  <c:v>0.79644197482357482</c:v>
                </c:pt>
                <c:pt idx="36">
                  <c:v>0.81856536301311855</c:v>
                </c:pt>
                <c:pt idx="37">
                  <c:v>0.84068875120266229</c:v>
                </c:pt>
                <c:pt idx="38">
                  <c:v>0.86281213939220602</c:v>
                </c:pt>
                <c:pt idx="39">
                  <c:v>0.88493552758174976</c:v>
                </c:pt>
                <c:pt idx="40">
                  <c:v>0.90705891577129349</c:v>
                </c:pt>
                <c:pt idx="41">
                  <c:v>0.92918230396083723</c:v>
                </c:pt>
                <c:pt idx="42">
                  <c:v>0.95130569215038097</c:v>
                </c:pt>
                <c:pt idx="43">
                  <c:v>0.9734290803399247</c:v>
                </c:pt>
                <c:pt idx="44">
                  <c:v>0.99555246852946844</c:v>
                </c:pt>
                <c:pt idx="45">
                  <c:v>1.0176758567190123</c:v>
                </c:pt>
                <c:pt idx="46">
                  <c:v>1.039799244908556</c:v>
                </c:pt>
                <c:pt idx="47">
                  <c:v>1.0619226330980998</c:v>
                </c:pt>
                <c:pt idx="48">
                  <c:v>1.0840460212876435</c:v>
                </c:pt>
                <c:pt idx="49">
                  <c:v>1.1061694094771872</c:v>
                </c:pt>
                <c:pt idx="50">
                  <c:v>1.128292797666731</c:v>
                </c:pt>
                <c:pt idx="51">
                  <c:v>1.1504161858562747</c:v>
                </c:pt>
              </c:numCache>
            </c:numRef>
          </c:val>
          <c:smooth val="0"/>
          <c:extLst xmlns:c15="http://schemas.microsoft.com/office/drawing/2012/chart">
            <c:ext xmlns:c16="http://schemas.microsoft.com/office/drawing/2014/chart" uri="{C3380CC4-5D6E-409C-BE32-E72D297353CC}">
              <c16:uniqueId val="{00000001-019E-4D9F-82A8-A87BB830AA5D}"/>
            </c:ext>
          </c:extLst>
        </c:ser>
        <c:ser>
          <c:idx val="2"/>
          <c:order val="5"/>
          <c:tx>
            <c:v>5/25/50/75/95th percentile</c:v>
          </c:tx>
          <c:spPr>
            <a:ln>
              <a:solidFill>
                <a:schemeClr val="bg2">
                  <a:lumMod val="60000"/>
                  <a:lumOff val="40000"/>
                </a:schemeClr>
              </a:solidFill>
              <a:prstDash val="sysDot"/>
            </a:ln>
          </c:spPr>
          <c:marker>
            <c:symbol val="none"/>
          </c:marker>
          <c:cat>
            <c:numRef>
              <c:f>'OZL Summary'!$CL$8:$CL$60</c:f>
              <c:numCache>
                <c:formatCode>d\-mmm\-yy_);\(###0\);"-  ";" "@" "</c:formatCode>
                <c:ptCount val="53"/>
                <c:pt idx="0">
                  <c:v>44747</c:v>
                </c:pt>
                <c:pt idx="1">
                  <c:v>44754</c:v>
                </c:pt>
                <c:pt idx="2">
                  <c:v>44761</c:v>
                </c:pt>
                <c:pt idx="3">
                  <c:v>44768</c:v>
                </c:pt>
                <c:pt idx="4">
                  <c:v>44775</c:v>
                </c:pt>
                <c:pt idx="5">
                  <c:v>44782</c:v>
                </c:pt>
                <c:pt idx="6">
                  <c:v>44789</c:v>
                </c:pt>
                <c:pt idx="7">
                  <c:v>44796</c:v>
                </c:pt>
                <c:pt idx="8">
                  <c:v>44803</c:v>
                </c:pt>
                <c:pt idx="9">
                  <c:v>44810</c:v>
                </c:pt>
                <c:pt idx="10">
                  <c:v>44817</c:v>
                </c:pt>
                <c:pt idx="11">
                  <c:v>44824</c:v>
                </c:pt>
                <c:pt idx="12">
                  <c:v>44831</c:v>
                </c:pt>
                <c:pt idx="13">
                  <c:v>44838</c:v>
                </c:pt>
                <c:pt idx="14">
                  <c:v>44845</c:v>
                </c:pt>
                <c:pt idx="15">
                  <c:v>44852</c:v>
                </c:pt>
                <c:pt idx="16">
                  <c:v>44859</c:v>
                </c:pt>
                <c:pt idx="17">
                  <c:v>44866</c:v>
                </c:pt>
                <c:pt idx="18">
                  <c:v>44873</c:v>
                </c:pt>
                <c:pt idx="19">
                  <c:v>44880</c:v>
                </c:pt>
                <c:pt idx="20">
                  <c:v>44887</c:v>
                </c:pt>
                <c:pt idx="21">
                  <c:v>44894</c:v>
                </c:pt>
                <c:pt idx="22">
                  <c:v>44901</c:v>
                </c:pt>
                <c:pt idx="23">
                  <c:v>44908</c:v>
                </c:pt>
                <c:pt idx="24">
                  <c:v>44915</c:v>
                </c:pt>
                <c:pt idx="25">
                  <c:v>44922</c:v>
                </c:pt>
                <c:pt idx="26">
                  <c:v>44929</c:v>
                </c:pt>
                <c:pt idx="27">
                  <c:v>44936</c:v>
                </c:pt>
                <c:pt idx="28">
                  <c:v>44943</c:v>
                </c:pt>
                <c:pt idx="29">
                  <c:v>44950</c:v>
                </c:pt>
                <c:pt idx="30">
                  <c:v>44957</c:v>
                </c:pt>
                <c:pt idx="31">
                  <c:v>44964</c:v>
                </c:pt>
                <c:pt idx="32">
                  <c:v>44971</c:v>
                </c:pt>
                <c:pt idx="33">
                  <c:v>44978</c:v>
                </c:pt>
                <c:pt idx="34">
                  <c:v>44985</c:v>
                </c:pt>
                <c:pt idx="35">
                  <c:v>44992</c:v>
                </c:pt>
                <c:pt idx="36">
                  <c:v>44999</c:v>
                </c:pt>
                <c:pt idx="37">
                  <c:v>45006</c:v>
                </c:pt>
                <c:pt idx="38">
                  <c:v>45013</c:v>
                </c:pt>
                <c:pt idx="39">
                  <c:v>45020</c:v>
                </c:pt>
                <c:pt idx="40">
                  <c:v>45027</c:v>
                </c:pt>
                <c:pt idx="41">
                  <c:v>45034</c:v>
                </c:pt>
                <c:pt idx="42">
                  <c:v>45041</c:v>
                </c:pt>
                <c:pt idx="43">
                  <c:v>45048</c:v>
                </c:pt>
                <c:pt idx="44">
                  <c:v>45055</c:v>
                </c:pt>
                <c:pt idx="45">
                  <c:v>45062</c:v>
                </c:pt>
                <c:pt idx="46">
                  <c:v>45069</c:v>
                </c:pt>
                <c:pt idx="47">
                  <c:v>45076</c:v>
                </c:pt>
                <c:pt idx="48">
                  <c:v>45083</c:v>
                </c:pt>
                <c:pt idx="49">
                  <c:v>45090</c:v>
                </c:pt>
                <c:pt idx="50">
                  <c:v>45097</c:v>
                </c:pt>
                <c:pt idx="51">
                  <c:v>45104</c:v>
                </c:pt>
              </c:numCache>
            </c:numRef>
          </c:cat>
          <c:val>
            <c:numRef>
              <c:f>'OZL Summary'!$CR$8:$CR$60</c:f>
              <c:numCache>
                <c:formatCode>0.000</c:formatCode>
                <c:ptCount val="53"/>
                <c:pt idx="0">
                  <c:v>2.5085393476016016E-2</c:v>
                </c:pt>
                <c:pt idx="1">
                  <c:v>5.0170786952032032E-2</c:v>
                </c:pt>
                <c:pt idx="2">
                  <c:v>7.5256180428048047E-2</c:v>
                </c:pt>
                <c:pt idx="3">
                  <c:v>0.10034157390406406</c:v>
                </c:pt>
                <c:pt idx="4">
                  <c:v>0.12542696738008008</c:v>
                </c:pt>
                <c:pt idx="5">
                  <c:v>0.15051236085609609</c:v>
                </c:pt>
                <c:pt idx="6">
                  <c:v>0.17559775433211211</c:v>
                </c:pt>
                <c:pt idx="7">
                  <c:v>0.20068314780812813</c:v>
                </c:pt>
                <c:pt idx="8">
                  <c:v>0.22576854128414414</c:v>
                </c:pt>
                <c:pt idx="9">
                  <c:v>0.25085393476016016</c:v>
                </c:pt>
                <c:pt idx="10">
                  <c:v>0.27593932823617617</c:v>
                </c:pt>
                <c:pt idx="11">
                  <c:v>0.30102472171219219</c:v>
                </c:pt>
                <c:pt idx="12">
                  <c:v>0.3261101151882082</c:v>
                </c:pt>
                <c:pt idx="13">
                  <c:v>0.35119550866422422</c:v>
                </c:pt>
                <c:pt idx="14">
                  <c:v>0.37628090214024024</c:v>
                </c:pt>
                <c:pt idx="15">
                  <c:v>0.40136629561625625</c:v>
                </c:pt>
                <c:pt idx="16">
                  <c:v>0.42645168909227227</c:v>
                </c:pt>
                <c:pt idx="17">
                  <c:v>0.45153708256828828</c:v>
                </c:pt>
                <c:pt idx="18">
                  <c:v>0.4766224760443043</c:v>
                </c:pt>
                <c:pt idx="19">
                  <c:v>0.50170786952032032</c:v>
                </c:pt>
                <c:pt idx="20">
                  <c:v>0.52679326299633633</c:v>
                </c:pt>
                <c:pt idx="21">
                  <c:v>0.55187865647235235</c:v>
                </c:pt>
                <c:pt idx="22">
                  <c:v>0.57696404994836836</c:v>
                </c:pt>
                <c:pt idx="23">
                  <c:v>0.60204944342438438</c:v>
                </c:pt>
                <c:pt idx="24">
                  <c:v>0.62713483690040039</c:v>
                </c:pt>
                <c:pt idx="25">
                  <c:v>0.65222023037641641</c:v>
                </c:pt>
                <c:pt idx="26">
                  <c:v>0.67730562385243243</c:v>
                </c:pt>
                <c:pt idx="27">
                  <c:v>0.70239101732844844</c:v>
                </c:pt>
                <c:pt idx="28">
                  <c:v>0.72747641080446446</c:v>
                </c:pt>
                <c:pt idx="29">
                  <c:v>0.75256180428048047</c:v>
                </c:pt>
                <c:pt idx="30">
                  <c:v>0.77764719775649649</c:v>
                </c:pt>
                <c:pt idx="31">
                  <c:v>0.8027325912325125</c:v>
                </c:pt>
                <c:pt idx="32">
                  <c:v>0.82781798470852852</c:v>
                </c:pt>
                <c:pt idx="33">
                  <c:v>0.85290337818454454</c:v>
                </c:pt>
                <c:pt idx="34">
                  <c:v>0.87798877166056055</c:v>
                </c:pt>
                <c:pt idx="35">
                  <c:v>0.90307416513657657</c:v>
                </c:pt>
                <c:pt idx="36">
                  <c:v>0.92815955861259258</c:v>
                </c:pt>
                <c:pt idx="37">
                  <c:v>0.9532449520886086</c:v>
                </c:pt>
                <c:pt idx="38">
                  <c:v>0.97833034556462461</c:v>
                </c:pt>
                <c:pt idx="39">
                  <c:v>1.0034157390406406</c:v>
                </c:pt>
                <c:pt idx="40">
                  <c:v>1.0285011325166566</c:v>
                </c:pt>
                <c:pt idx="41">
                  <c:v>1.0535865259926727</c:v>
                </c:pt>
                <c:pt idx="42">
                  <c:v>1.0786719194686887</c:v>
                </c:pt>
                <c:pt idx="43">
                  <c:v>1.1037573129447047</c:v>
                </c:pt>
                <c:pt idx="44">
                  <c:v>1.1288427064207207</c:v>
                </c:pt>
                <c:pt idx="45">
                  <c:v>1.1539280998967367</c:v>
                </c:pt>
                <c:pt idx="46">
                  <c:v>1.1790134933727527</c:v>
                </c:pt>
                <c:pt idx="47">
                  <c:v>1.2040988868487688</c:v>
                </c:pt>
                <c:pt idx="48">
                  <c:v>1.2291842803247848</c:v>
                </c:pt>
                <c:pt idx="49">
                  <c:v>1.2542696738008008</c:v>
                </c:pt>
                <c:pt idx="50">
                  <c:v>1.2793550672768168</c:v>
                </c:pt>
                <c:pt idx="51">
                  <c:v>1.3044404607528328</c:v>
                </c:pt>
              </c:numCache>
            </c:numRef>
          </c:val>
          <c:smooth val="0"/>
          <c:extLst>
            <c:ext xmlns:c16="http://schemas.microsoft.com/office/drawing/2014/chart" uri="{C3380CC4-5D6E-409C-BE32-E72D297353CC}">
              <c16:uniqueId val="{00000002-019E-4D9F-82A8-A87BB830AA5D}"/>
            </c:ext>
          </c:extLst>
        </c:ser>
        <c:ser>
          <c:idx val="4"/>
          <c:order val="6"/>
          <c:tx>
            <c:strRef>
              <c:f>'OZL Summary'!$CS$6:$CS$7</c:f>
              <c:strCache>
                <c:ptCount val="2"/>
                <c:pt idx="0">
                  <c:v>50th Percentile</c:v>
                </c:pt>
              </c:strCache>
            </c:strRef>
          </c:tx>
          <c:spPr>
            <a:ln>
              <a:solidFill>
                <a:schemeClr val="bg2">
                  <a:lumMod val="60000"/>
                  <a:lumOff val="40000"/>
                </a:schemeClr>
              </a:solidFill>
              <a:prstDash val="sysDot"/>
            </a:ln>
          </c:spPr>
          <c:marker>
            <c:symbol val="none"/>
          </c:marker>
          <c:dLbls>
            <c:dLbl>
              <c:idx val="51"/>
              <c:layout>
                <c:manualLayout>
                  <c:x val="-0.18909763095796783"/>
                  <c:y val="-0.1018756944444444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19E-4D9F-82A8-A87BB830AA5D}"/>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'OZL Summary'!$CL$8:$CL$60</c:f>
              <c:numCache>
                <c:formatCode>d\-mmm\-yy_);\(###0\);"-  ";" "@" "</c:formatCode>
                <c:ptCount val="53"/>
                <c:pt idx="0">
                  <c:v>44747</c:v>
                </c:pt>
                <c:pt idx="1">
                  <c:v>44754</c:v>
                </c:pt>
                <c:pt idx="2">
                  <c:v>44761</c:v>
                </c:pt>
                <c:pt idx="3">
                  <c:v>44768</c:v>
                </c:pt>
                <c:pt idx="4">
                  <c:v>44775</c:v>
                </c:pt>
                <c:pt idx="5">
                  <c:v>44782</c:v>
                </c:pt>
                <c:pt idx="6">
                  <c:v>44789</c:v>
                </c:pt>
                <c:pt idx="7">
                  <c:v>44796</c:v>
                </c:pt>
                <c:pt idx="8">
                  <c:v>44803</c:v>
                </c:pt>
                <c:pt idx="9">
                  <c:v>44810</c:v>
                </c:pt>
                <c:pt idx="10">
                  <c:v>44817</c:v>
                </c:pt>
                <c:pt idx="11">
                  <c:v>44824</c:v>
                </c:pt>
                <c:pt idx="12">
                  <c:v>44831</c:v>
                </c:pt>
                <c:pt idx="13">
                  <c:v>44838</c:v>
                </c:pt>
                <c:pt idx="14">
                  <c:v>44845</c:v>
                </c:pt>
                <c:pt idx="15">
                  <c:v>44852</c:v>
                </c:pt>
                <c:pt idx="16">
                  <c:v>44859</c:v>
                </c:pt>
                <c:pt idx="17">
                  <c:v>44866</c:v>
                </c:pt>
                <c:pt idx="18">
                  <c:v>44873</c:v>
                </c:pt>
                <c:pt idx="19">
                  <c:v>44880</c:v>
                </c:pt>
                <c:pt idx="20">
                  <c:v>44887</c:v>
                </c:pt>
                <c:pt idx="21">
                  <c:v>44894</c:v>
                </c:pt>
                <c:pt idx="22">
                  <c:v>44901</c:v>
                </c:pt>
                <c:pt idx="23">
                  <c:v>44908</c:v>
                </c:pt>
                <c:pt idx="24">
                  <c:v>44915</c:v>
                </c:pt>
                <c:pt idx="25">
                  <c:v>44922</c:v>
                </c:pt>
                <c:pt idx="26">
                  <c:v>44929</c:v>
                </c:pt>
                <c:pt idx="27">
                  <c:v>44936</c:v>
                </c:pt>
                <c:pt idx="28">
                  <c:v>44943</c:v>
                </c:pt>
                <c:pt idx="29">
                  <c:v>44950</c:v>
                </c:pt>
                <c:pt idx="30">
                  <c:v>44957</c:v>
                </c:pt>
                <c:pt idx="31">
                  <c:v>44964</c:v>
                </c:pt>
                <c:pt idx="32">
                  <c:v>44971</c:v>
                </c:pt>
                <c:pt idx="33">
                  <c:v>44978</c:v>
                </c:pt>
                <c:pt idx="34">
                  <c:v>44985</c:v>
                </c:pt>
                <c:pt idx="35">
                  <c:v>44992</c:v>
                </c:pt>
                <c:pt idx="36">
                  <c:v>44999</c:v>
                </c:pt>
                <c:pt idx="37">
                  <c:v>45006</c:v>
                </c:pt>
                <c:pt idx="38">
                  <c:v>45013</c:v>
                </c:pt>
                <c:pt idx="39">
                  <c:v>45020</c:v>
                </c:pt>
                <c:pt idx="40">
                  <c:v>45027</c:v>
                </c:pt>
                <c:pt idx="41">
                  <c:v>45034</c:v>
                </c:pt>
                <c:pt idx="42">
                  <c:v>45041</c:v>
                </c:pt>
                <c:pt idx="43">
                  <c:v>45048</c:v>
                </c:pt>
                <c:pt idx="44">
                  <c:v>45055</c:v>
                </c:pt>
                <c:pt idx="45">
                  <c:v>45062</c:v>
                </c:pt>
                <c:pt idx="46">
                  <c:v>45069</c:v>
                </c:pt>
                <c:pt idx="47">
                  <c:v>45076</c:v>
                </c:pt>
                <c:pt idx="48">
                  <c:v>45083</c:v>
                </c:pt>
                <c:pt idx="49">
                  <c:v>45090</c:v>
                </c:pt>
                <c:pt idx="50">
                  <c:v>45097</c:v>
                </c:pt>
                <c:pt idx="51">
                  <c:v>45104</c:v>
                </c:pt>
              </c:numCache>
            </c:numRef>
          </c:cat>
          <c:val>
            <c:numRef>
              <c:f>'OZL Summary'!$CS$8:$CS$60</c:f>
              <c:numCache>
                <c:formatCode>0.000</c:formatCode>
                <c:ptCount val="53"/>
                <c:pt idx="0">
                  <c:v>2.7849777595389986E-2</c:v>
                </c:pt>
                <c:pt idx="1">
                  <c:v>5.5699555190779973E-2</c:v>
                </c:pt>
                <c:pt idx="2">
                  <c:v>8.3549332786169966E-2</c:v>
                </c:pt>
                <c:pt idx="3">
                  <c:v>0.11139911038155995</c:v>
                </c:pt>
                <c:pt idx="4">
                  <c:v>0.13924888797694993</c:v>
                </c:pt>
                <c:pt idx="5">
                  <c:v>0.16709866557233991</c:v>
                </c:pt>
                <c:pt idx="6">
                  <c:v>0.19494844316772988</c:v>
                </c:pt>
                <c:pt idx="7">
                  <c:v>0.22279822076311986</c:v>
                </c:pt>
                <c:pt idx="8">
                  <c:v>0.25064799835850987</c:v>
                </c:pt>
                <c:pt idx="9">
                  <c:v>0.27849777595389985</c:v>
                </c:pt>
                <c:pt idx="10">
                  <c:v>0.30634755354928983</c:v>
                </c:pt>
                <c:pt idx="11">
                  <c:v>0.33419733114467981</c:v>
                </c:pt>
                <c:pt idx="12">
                  <c:v>0.36204710874006979</c:v>
                </c:pt>
                <c:pt idx="13">
                  <c:v>0.38989688633545977</c:v>
                </c:pt>
                <c:pt idx="14">
                  <c:v>0.41774666393084975</c:v>
                </c:pt>
                <c:pt idx="15">
                  <c:v>0.44559644152623973</c:v>
                </c:pt>
                <c:pt idx="16">
                  <c:v>0.47344621912162971</c:v>
                </c:pt>
                <c:pt idx="17">
                  <c:v>0.50129599671701974</c:v>
                </c:pt>
                <c:pt idx="18">
                  <c:v>0.52914577431240972</c:v>
                </c:pt>
                <c:pt idx="19">
                  <c:v>0.5569955519077997</c:v>
                </c:pt>
                <c:pt idx="20">
                  <c:v>0.58484532950318968</c:v>
                </c:pt>
                <c:pt idx="21">
                  <c:v>0.61269510709857966</c:v>
                </c:pt>
                <c:pt idx="22">
                  <c:v>0.64054488469396964</c:v>
                </c:pt>
                <c:pt idx="23">
                  <c:v>0.66839466228935962</c:v>
                </c:pt>
                <c:pt idx="24">
                  <c:v>0.6962444398847496</c:v>
                </c:pt>
                <c:pt idx="25">
                  <c:v>0.72409421748013958</c:v>
                </c:pt>
                <c:pt idx="26">
                  <c:v>0.75194399507552956</c:v>
                </c:pt>
                <c:pt idx="27">
                  <c:v>0.77979377267091954</c:v>
                </c:pt>
                <c:pt idx="28">
                  <c:v>0.80764355026630952</c:v>
                </c:pt>
                <c:pt idx="29">
                  <c:v>0.8354933278616995</c:v>
                </c:pt>
                <c:pt idx="30">
                  <c:v>0.86334310545708948</c:v>
                </c:pt>
                <c:pt idx="31">
                  <c:v>0.89119288305247946</c:v>
                </c:pt>
                <c:pt idx="32">
                  <c:v>0.91904266064786944</c:v>
                </c:pt>
                <c:pt idx="33">
                  <c:v>0.94689243824325942</c:v>
                </c:pt>
                <c:pt idx="34">
                  <c:v>0.9747422158386494</c:v>
                </c:pt>
                <c:pt idx="35">
                  <c:v>1.0025919934340395</c:v>
                </c:pt>
                <c:pt idx="36">
                  <c:v>1.0304417710294296</c:v>
                </c:pt>
                <c:pt idx="37">
                  <c:v>1.0582915486248197</c:v>
                </c:pt>
                <c:pt idx="38">
                  <c:v>1.0861413262202098</c:v>
                </c:pt>
                <c:pt idx="39">
                  <c:v>1.1139911038155998</c:v>
                </c:pt>
                <c:pt idx="40">
                  <c:v>1.1418408814109899</c:v>
                </c:pt>
                <c:pt idx="41">
                  <c:v>1.16969065900638</c:v>
                </c:pt>
                <c:pt idx="42">
                  <c:v>1.1975404366017701</c:v>
                </c:pt>
                <c:pt idx="43">
                  <c:v>1.2253902141971602</c:v>
                </c:pt>
                <c:pt idx="44">
                  <c:v>1.2532399917925503</c:v>
                </c:pt>
                <c:pt idx="45">
                  <c:v>1.2810897693879404</c:v>
                </c:pt>
                <c:pt idx="46">
                  <c:v>1.3089395469833305</c:v>
                </c:pt>
                <c:pt idx="47">
                  <c:v>1.3367893245787206</c:v>
                </c:pt>
                <c:pt idx="48">
                  <c:v>1.3646391021741107</c:v>
                </c:pt>
                <c:pt idx="49">
                  <c:v>1.3924888797695008</c:v>
                </c:pt>
                <c:pt idx="50">
                  <c:v>1.4203386573648908</c:v>
                </c:pt>
                <c:pt idx="51">
                  <c:v>1.4481884349602809</c:v>
                </c:pt>
              </c:numCache>
            </c:numRef>
          </c:val>
          <c:smooth val="0"/>
          <c:extLst>
            <c:ext xmlns:c16="http://schemas.microsoft.com/office/drawing/2014/chart" uri="{C3380CC4-5D6E-409C-BE32-E72D297353CC}">
              <c16:uniqueId val="{00000004-019E-4D9F-82A8-A87BB830AA5D}"/>
            </c:ext>
          </c:extLst>
        </c:ser>
        <c:ser>
          <c:idx val="6"/>
          <c:order val="7"/>
          <c:tx>
            <c:strRef>
              <c:f>'OZL Summary'!$CT$6:$CT$7</c:f>
              <c:strCache>
                <c:ptCount val="2"/>
                <c:pt idx="0">
                  <c:v>75th Percentile</c:v>
                </c:pt>
              </c:strCache>
            </c:strRef>
          </c:tx>
          <c:spPr>
            <a:ln>
              <a:solidFill>
                <a:schemeClr val="bg2">
                  <a:lumMod val="60000"/>
                  <a:lumOff val="40000"/>
                </a:schemeClr>
              </a:solidFill>
              <a:prstDash val="sysDot"/>
            </a:ln>
          </c:spPr>
          <c:marker>
            <c:symbol val="none"/>
          </c:marker>
          <c:cat>
            <c:numRef>
              <c:f>'OZL Summary'!$CL$8:$CL$60</c:f>
              <c:numCache>
                <c:formatCode>d\-mmm\-yy_);\(###0\);"-  ";" "@" "</c:formatCode>
                <c:ptCount val="53"/>
                <c:pt idx="0">
                  <c:v>44747</c:v>
                </c:pt>
                <c:pt idx="1">
                  <c:v>44754</c:v>
                </c:pt>
                <c:pt idx="2">
                  <c:v>44761</c:v>
                </c:pt>
                <c:pt idx="3">
                  <c:v>44768</c:v>
                </c:pt>
                <c:pt idx="4">
                  <c:v>44775</c:v>
                </c:pt>
                <c:pt idx="5">
                  <c:v>44782</c:v>
                </c:pt>
                <c:pt idx="6">
                  <c:v>44789</c:v>
                </c:pt>
                <c:pt idx="7">
                  <c:v>44796</c:v>
                </c:pt>
                <c:pt idx="8">
                  <c:v>44803</c:v>
                </c:pt>
                <c:pt idx="9">
                  <c:v>44810</c:v>
                </c:pt>
                <c:pt idx="10">
                  <c:v>44817</c:v>
                </c:pt>
                <c:pt idx="11">
                  <c:v>44824</c:v>
                </c:pt>
                <c:pt idx="12">
                  <c:v>44831</c:v>
                </c:pt>
                <c:pt idx="13">
                  <c:v>44838</c:v>
                </c:pt>
                <c:pt idx="14">
                  <c:v>44845</c:v>
                </c:pt>
                <c:pt idx="15">
                  <c:v>44852</c:v>
                </c:pt>
                <c:pt idx="16">
                  <c:v>44859</c:v>
                </c:pt>
                <c:pt idx="17">
                  <c:v>44866</c:v>
                </c:pt>
                <c:pt idx="18">
                  <c:v>44873</c:v>
                </c:pt>
                <c:pt idx="19">
                  <c:v>44880</c:v>
                </c:pt>
                <c:pt idx="20">
                  <c:v>44887</c:v>
                </c:pt>
                <c:pt idx="21">
                  <c:v>44894</c:v>
                </c:pt>
                <c:pt idx="22">
                  <c:v>44901</c:v>
                </c:pt>
                <c:pt idx="23">
                  <c:v>44908</c:v>
                </c:pt>
                <c:pt idx="24">
                  <c:v>44915</c:v>
                </c:pt>
                <c:pt idx="25">
                  <c:v>44922</c:v>
                </c:pt>
                <c:pt idx="26">
                  <c:v>44929</c:v>
                </c:pt>
                <c:pt idx="27">
                  <c:v>44936</c:v>
                </c:pt>
                <c:pt idx="28">
                  <c:v>44943</c:v>
                </c:pt>
                <c:pt idx="29">
                  <c:v>44950</c:v>
                </c:pt>
                <c:pt idx="30">
                  <c:v>44957</c:v>
                </c:pt>
                <c:pt idx="31">
                  <c:v>44964</c:v>
                </c:pt>
                <c:pt idx="32">
                  <c:v>44971</c:v>
                </c:pt>
                <c:pt idx="33">
                  <c:v>44978</c:v>
                </c:pt>
                <c:pt idx="34">
                  <c:v>44985</c:v>
                </c:pt>
                <c:pt idx="35">
                  <c:v>44992</c:v>
                </c:pt>
                <c:pt idx="36">
                  <c:v>44999</c:v>
                </c:pt>
                <c:pt idx="37">
                  <c:v>45006</c:v>
                </c:pt>
                <c:pt idx="38">
                  <c:v>45013</c:v>
                </c:pt>
                <c:pt idx="39">
                  <c:v>45020</c:v>
                </c:pt>
                <c:pt idx="40">
                  <c:v>45027</c:v>
                </c:pt>
                <c:pt idx="41">
                  <c:v>45034</c:v>
                </c:pt>
                <c:pt idx="42">
                  <c:v>45041</c:v>
                </c:pt>
                <c:pt idx="43">
                  <c:v>45048</c:v>
                </c:pt>
                <c:pt idx="44">
                  <c:v>45055</c:v>
                </c:pt>
                <c:pt idx="45">
                  <c:v>45062</c:v>
                </c:pt>
                <c:pt idx="46">
                  <c:v>45069</c:v>
                </c:pt>
                <c:pt idx="47">
                  <c:v>45076</c:v>
                </c:pt>
                <c:pt idx="48">
                  <c:v>45083</c:v>
                </c:pt>
                <c:pt idx="49">
                  <c:v>45090</c:v>
                </c:pt>
                <c:pt idx="50">
                  <c:v>45097</c:v>
                </c:pt>
                <c:pt idx="51">
                  <c:v>45104</c:v>
                </c:pt>
              </c:numCache>
            </c:numRef>
          </c:cat>
          <c:val>
            <c:numRef>
              <c:f>'OZL Summary'!$CT$8:$CT$60</c:f>
              <c:numCache>
                <c:formatCode>0.000</c:formatCode>
                <c:ptCount val="53"/>
                <c:pt idx="0">
                  <c:v>3.0926849530240552E-2</c:v>
                </c:pt>
                <c:pt idx="1">
                  <c:v>6.1853699060481104E-2</c:v>
                </c:pt>
                <c:pt idx="2">
                  <c:v>9.2780548590721656E-2</c:v>
                </c:pt>
                <c:pt idx="3">
                  <c:v>0.12370739812096221</c:v>
                </c:pt>
                <c:pt idx="4">
                  <c:v>0.15463424765120276</c:v>
                </c:pt>
                <c:pt idx="5">
                  <c:v>0.18556109718144331</c:v>
                </c:pt>
                <c:pt idx="6">
                  <c:v>0.21648794671168387</c:v>
                </c:pt>
                <c:pt idx="7">
                  <c:v>0.24741479624192442</c:v>
                </c:pt>
                <c:pt idx="8">
                  <c:v>0.27834164577216497</c:v>
                </c:pt>
                <c:pt idx="9">
                  <c:v>0.30926849530240552</c:v>
                </c:pt>
                <c:pt idx="10">
                  <c:v>0.34019534483264607</c:v>
                </c:pt>
                <c:pt idx="11">
                  <c:v>0.37112219436288663</c:v>
                </c:pt>
                <c:pt idx="12">
                  <c:v>0.40204904389312718</c:v>
                </c:pt>
                <c:pt idx="13">
                  <c:v>0.43297589342336773</c:v>
                </c:pt>
                <c:pt idx="14">
                  <c:v>0.46390274295360828</c:v>
                </c:pt>
                <c:pt idx="15">
                  <c:v>0.49482959248384883</c:v>
                </c:pt>
                <c:pt idx="16">
                  <c:v>0.52575644201408944</c:v>
                </c:pt>
                <c:pt idx="17">
                  <c:v>0.55668329154433005</c:v>
                </c:pt>
                <c:pt idx="18">
                  <c:v>0.58761014107457066</c:v>
                </c:pt>
                <c:pt idx="19">
                  <c:v>0.61853699060481127</c:v>
                </c:pt>
                <c:pt idx="20">
                  <c:v>0.64946384013505187</c:v>
                </c:pt>
                <c:pt idx="21">
                  <c:v>0.68039068966529248</c:v>
                </c:pt>
                <c:pt idx="22">
                  <c:v>0.71131753919553309</c:v>
                </c:pt>
                <c:pt idx="23">
                  <c:v>0.7422443887257737</c:v>
                </c:pt>
                <c:pt idx="24">
                  <c:v>0.7731712382560143</c:v>
                </c:pt>
                <c:pt idx="25">
                  <c:v>0.80409808778625491</c:v>
                </c:pt>
                <c:pt idx="26">
                  <c:v>0.83502493731649552</c:v>
                </c:pt>
                <c:pt idx="27">
                  <c:v>0.86595178684673613</c:v>
                </c:pt>
                <c:pt idx="28">
                  <c:v>0.89687863637697673</c:v>
                </c:pt>
                <c:pt idx="29">
                  <c:v>0.92780548590721734</c:v>
                </c:pt>
                <c:pt idx="30">
                  <c:v>0.95873233543745795</c:v>
                </c:pt>
                <c:pt idx="31">
                  <c:v>0.98965918496769856</c:v>
                </c:pt>
                <c:pt idx="32">
                  <c:v>1.0205860344979392</c:v>
                </c:pt>
                <c:pt idx="33">
                  <c:v>1.0515128840281798</c:v>
                </c:pt>
                <c:pt idx="34">
                  <c:v>1.0824397335584204</c:v>
                </c:pt>
                <c:pt idx="35">
                  <c:v>1.113366583088661</c:v>
                </c:pt>
                <c:pt idx="36">
                  <c:v>1.1442934326189016</c:v>
                </c:pt>
                <c:pt idx="37">
                  <c:v>1.1752202821491422</c:v>
                </c:pt>
                <c:pt idx="38">
                  <c:v>1.2061471316793828</c:v>
                </c:pt>
                <c:pt idx="39">
                  <c:v>1.2370739812096234</c:v>
                </c:pt>
                <c:pt idx="40">
                  <c:v>1.268000830739864</c:v>
                </c:pt>
                <c:pt idx="41">
                  <c:v>1.2989276802701046</c:v>
                </c:pt>
                <c:pt idx="42">
                  <c:v>1.3298545298003452</c:v>
                </c:pt>
                <c:pt idx="43">
                  <c:v>1.3607813793305858</c:v>
                </c:pt>
                <c:pt idx="44">
                  <c:v>1.3917082288608265</c:v>
                </c:pt>
                <c:pt idx="45">
                  <c:v>1.4226350783910671</c:v>
                </c:pt>
                <c:pt idx="46">
                  <c:v>1.4535619279213077</c:v>
                </c:pt>
                <c:pt idx="47">
                  <c:v>1.4844887774515483</c:v>
                </c:pt>
                <c:pt idx="48">
                  <c:v>1.5154156269817889</c:v>
                </c:pt>
                <c:pt idx="49">
                  <c:v>1.5463424765120295</c:v>
                </c:pt>
                <c:pt idx="50">
                  <c:v>1.5772693260422701</c:v>
                </c:pt>
                <c:pt idx="51">
                  <c:v>1.6081961755725107</c:v>
                </c:pt>
              </c:numCache>
            </c:numRef>
          </c:val>
          <c:smooth val="0"/>
          <c:extLst xmlns:c15="http://schemas.microsoft.com/office/drawing/2012/chart">
            <c:ext xmlns:c16="http://schemas.microsoft.com/office/drawing/2014/chart" uri="{C3380CC4-5D6E-409C-BE32-E72D297353CC}">
              <c16:uniqueId val="{00000005-019E-4D9F-82A8-A87BB830AA5D}"/>
            </c:ext>
          </c:extLst>
        </c:ser>
        <c:ser>
          <c:idx val="9"/>
          <c:order val="9"/>
          <c:tx>
            <c:strRef>
              <c:f>'OZL Summary'!$CV$6:$CV$7</c:f>
              <c:strCache>
                <c:ptCount val="2"/>
                <c:pt idx="0">
                  <c:v>95th Percentile</c:v>
                </c:pt>
              </c:strCache>
            </c:strRef>
          </c:tx>
          <c:spPr>
            <a:ln>
              <a:solidFill>
                <a:schemeClr val="bg2">
                  <a:lumMod val="60000"/>
                  <a:lumOff val="40000"/>
                </a:schemeClr>
              </a:solidFill>
              <a:prstDash val="sysDot"/>
            </a:ln>
          </c:spPr>
          <c:marker>
            <c:symbol val="none"/>
          </c:marker>
          <c:cat>
            <c:numRef>
              <c:f>'OZL Summary'!$CL$8:$CL$60</c:f>
              <c:numCache>
                <c:formatCode>d\-mmm\-yy_);\(###0\);"-  ";" "@" "</c:formatCode>
                <c:ptCount val="53"/>
                <c:pt idx="0">
                  <c:v>44747</c:v>
                </c:pt>
                <c:pt idx="1">
                  <c:v>44754</c:v>
                </c:pt>
                <c:pt idx="2">
                  <c:v>44761</c:v>
                </c:pt>
                <c:pt idx="3">
                  <c:v>44768</c:v>
                </c:pt>
                <c:pt idx="4">
                  <c:v>44775</c:v>
                </c:pt>
                <c:pt idx="5">
                  <c:v>44782</c:v>
                </c:pt>
                <c:pt idx="6">
                  <c:v>44789</c:v>
                </c:pt>
                <c:pt idx="7">
                  <c:v>44796</c:v>
                </c:pt>
                <c:pt idx="8">
                  <c:v>44803</c:v>
                </c:pt>
                <c:pt idx="9">
                  <c:v>44810</c:v>
                </c:pt>
                <c:pt idx="10">
                  <c:v>44817</c:v>
                </c:pt>
                <c:pt idx="11">
                  <c:v>44824</c:v>
                </c:pt>
                <c:pt idx="12">
                  <c:v>44831</c:v>
                </c:pt>
                <c:pt idx="13">
                  <c:v>44838</c:v>
                </c:pt>
                <c:pt idx="14">
                  <c:v>44845</c:v>
                </c:pt>
                <c:pt idx="15">
                  <c:v>44852</c:v>
                </c:pt>
                <c:pt idx="16">
                  <c:v>44859</c:v>
                </c:pt>
                <c:pt idx="17">
                  <c:v>44866</c:v>
                </c:pt>
                <c:pt idx="18">
                  <c:v>44873</c:v>
                </c:pt>
                <c:pt idx="19">
                  <c:v>44880</c:v>
                </c:pt>
                <c:pt idx="20">
                  <c:v>44887</c:v>
                </c:pt>
                <c:pt idx="21">
                  <c:v>44894</c:v>
                </c:pt>
                <c:pt idx="22">
                  <c:v>44901</c:v>
                </c:pt>
                <c:pt idx="23">
                  <c:v>44908</c:v>
                </c:pt>
                <c:pt idx="24">
                  <c:v>44915</c:v>
                </c:pt>
                <c:pt idx="25">
                  <c:v>44922</c:v>
                </c:pt>
                <c:pt idx="26">
                  <c:v>44929</c:v>
                </c:pt>
                <c:pt idx="27">
                  <c:v>44936</c:v>
                </c:pt>
                <c:pt idx="28">
                  <c:v>44943</c:v>
                </c:pt>
                <c:pt idx="29">
                  <c:v>44950</c:v>
                </c:pt>
                <c:pt idx="30">
                  <c:v>44957</c:v>
                </c:pt>
                <c:pt idx="31">
                  <c:v>44964</c:v>
                </c:pt>
                <c:pt idx="32">
                  <c:v>44971</c:v>
                </c:pt>
                <c:pt idx="33">
                  <c:v>44978</c:v>
                </c:pt>
                <c:pt idx="34">
                  <c:v>44985</c:v>
                </c:pt>
                <c:pt idx="35">
                  <c:v>44992</c:v>
                </c:pt>
                <c:pt idx="36">
                  <c:v>44999</c:v>
                </c:pt>
                <c:pt idx="37">
                  <c:v>45006</c:v>
                </c:pt>
                <c:pt idx="38">
                  <c:v>45013</c:v>
                </c:pt>
                <c:pt idx="39">
                  <c:v>45020</c:v>
                </c:pt>
                <c:pt idx="40">
                  <c:v>45027</c:v>
                </c:pt>
                <c:pt idx="41">
                  <c:v>45034</c:v>
                </c:pt>
                <c:pt idx="42">
                  <c:v>45041</c:v>
                </c:pt>
                <c:pt idx="43">
                  <c:v>45048</c:v>
                </c:pt>
                <c:pt idx="44">
                  <c:v>45055</c:v>
                </c:pt>
                <c:pt idx="45">
                  <c:v>45062</c:v>
                </c:pt>
                <c:pt idx="46">
                  <c:v>45069</c:v>
                </c:pt>
                <c:pt idx="47">
                  <c:v>45076</c:v>
                </c:pt>
                <c:pt idx="48">
                  <c:v>45083</c:v>
                </c:pt>
                <c:pt idx="49">
                  <c:v>45090</c:v>
                </c:pt>
                <c:pt idx="50">
                  <c:v>45097</c:v>
                </c:pt>
                <c:pt idx="51">
                  <c:v>45104</c:v>
                </c:pt>
              </c:numCache>
            </c:numRef>
          </c:cat>
          <c:val>
            <c:numRef>
              <c:f>'OZL Summary'!$CV$8:$CV$60</c:f>
              <c:numCache>
                <c:formatCode>0.000</c:formatCode>
                <c:ptCount val="53"/>
                <c:pt idx="0">
                  <c:v>3.653071055718194E-2</c:v>
                </c:pt>
                <c:pt idx="1">
                  <c:v>7.3061421114363881E-2</c:v>
                </c:pt>
                <c:pt idx="2">
                  <c:v>0.10959213167154583</c:v>
                </c:pt>
                <c:pt idx="3">
                  <c:v>0.14612284222872776</c:v>
                </c:pt>
                <c:pt idx="4">
                  <c:v>0.1826535527859097</c:v>
                </c:pt>
                <c:pt idx="5">
                  <c:v>0.21918426334309163</c:v>
                </c:pt>
                <c:pt idx="6">
                  <c:v>0.25571497390027359</c:v>
                </c:pt>
                <c:pt idx="7">
                  <c:v>0.29224568445745552</c:v>
                </c:pt>
                <c:pt idx="8">
                  <c:v>0.32877639501463746</c:v>
                </c:pt>
                <c:pt idx="9">
                  <c:v>0.36530710557181939</c:v>
                </c:pt>
                <c:pt idx="10">
                  <c:v>0.40183781612900132</c:v>
                </c:pt>
                <c:pt idx="11">
                  <c:v>0.43836852668618326</c:v>
                </c:pt>
                <c:pt idx="12">
                  <c:v>0.47489923724336519</c:v>
                </c:pt>
                <c:pt idx="13">
                  <c:v>0.51142994780054718</c:v>
                </c:pt>
                <c:pt idx="14">
                  <c:v>0.54796065835772911</c:v>
                </c:pt>
                <c:pt idx="15">
                  <c:v>0.58449136891491105</c:v>
                </c:pt>
                <c:pt idx="16">
                  <c:v>0.62102207947209298</c:v>
                </c:pt>
                <c:pt idx="17">
                  <c:v>0.65755279002927491</c:v>
                </c:pt>
                <c:pt idx="18">
                  <c:v>0.69408350058645685</c:v>
                </c:pt>
                <c:pt idx="19">
                  <c:v>0.73061421114363878</c:v>
                </c:pt>
                <c:pt idx="20">
                  <c:v>0.76714492170082071</c:v>
                </c:pt>
                <c:pt idx="21">
                  <c:v>0.80367563225800265</c:v>
                </c:pt>
                <c:pt idx="22">
                  <c:v>0.84020634281518458</c:v>
                </c:pt>
                <c:pt idx="23">
                  <c:v>0.87673705337236651</c:v>
                </c:pt>
                <c:pt idx="24">
                  <c:v>0.91326776392954845</c:v>
                </c:pt>
                <c:pt idx="25">
                  <c:v>0.94979847448673038</c:v>
                </c:pt>
                <c:pt idx="26">
                  <c:v>0.98632918504391232</c:v>
                </c:pt>
                <c:pt idx="27">
                  <c:v>1.0228598956010944</c:v>
                </c:pt>
                <c:pt idx="28">
                  <c:v>1.0593906061582763</c:v>
                </c:pt>
                <c:pt idx="29">
                  <c:v>1.0959213167154582</c:v>
                </c:pt>
                <c:pt idx="30">
                  <c:v>1.1324520272726402</c:v>
                </c:pt>
                <c:pt idx="31">
                  <c:v>1.1689827378298221</c:v>
                </c:pt>
                <c:pt idx="32">
                  <c:v>1.205513448387004</c:v>
                </c:pt>
                <c:pt idx="33">
                  <c:v>1.242044158944186</c:v>
                </c:pt>
                <c:pt idx="34">
                  <c:v>1.2785748695013679</c:v>
                </c:pt>
                <c:pt idx="35">
                  <c:v>1.3151055800585498</c:v>
                </c:pt>
                <c:pt idx="36">
                  <c:v>1.3516362906157318</c:v>
                </c:pt>
                <c:pt idx="37">
                  <c:v>1.3881670011729137</c:v>
                </c:pt>
                <c:pt idx="38">
                  <c:v>1.4246977117300956</c:v>
                </c:pt>
                <c:pt idx="39">
                  <c:v>1.4612284222872776</c:v>
                </c:pt>
                <c:pt idx="40">
                  <c:v>1.4977591328444595</c:v>
                </c:pt>
                <c:pt idx="41">
                  <c:v>1.5342898434016414</c:v>
                </c:pt>
                <c:pt idx="42">
                  <c:v>1.5708205539588234</c:v>
                </c:pt>
                <c:pt idx="43">
                  <c:v>1.6073512645160053</c:v>
                </c:pt>
                <c:pt idx="44">
                  <c:v>1.6438819750731872</c:v>
                </c:pt>
                <c:pt idx="45">
                  <c:v>1.6804126856303692</c:v>
                </c:pt>
                <c:pt idx="46">
                  <c:v>1.7169433961875511</c:v>
                </c:pt>
                <c:pt idx="47">
                  <c:v>1.753474106744733</c:v>
                </c:pt>
                <c:pt idx="48">
                  <c:v>1.790004817301915</c:v>
                </c:pt>
                <c:pt idx="49">
                  <c:v>1.8265355278590969</c:v>
                </c:pt>
                <c:pt idx="50">
                  <c:v>1.8630662384162788</c:v>
                </c:pt>
                <c:pt idx="51">
                  <c:v>1.8995969489734608</c:v>
                </c:pt>
              </c:numCache>
            </c:numRef>
          </c:val>
          <c:smooth val="0"/>
          <c:extLst xmlns:c15="http://schemas.microsoft.com/office/drawing/2012/chart">
            <c:ext xmlns:c16="http://schemas.microsoft.com/office/drawing/2014/chart" uri="{C3380CC4-5D6E-409C-BE32-E72D297353CC}">
              <c16:uniqueId val="{00000006-019E-4D9F-82A8-A87BB830AA5D}"/>
            </c:ext>
          </c:extLst>
        </c:ser>
        <c:dLbls>
          <c:showLegendKey val="0"/>
          <c:showVal val="0"/>
          <c:showCatName val="0"/>
          <c:showSerName val="0"/>
          <c:showPercent val="0"/>
          <c:showBubbleSize val="0"/>
        </c:dLbls>
        <c:smooth val="0"/>
        <c:axId val="1388952432"/>
        <c:axId val="1388953088"/>
        <c:extLst>
          <c:ext xmlns:c15="http://schemas.microsoft.com/office/drawing/2012/chart" uri="{02D57815-91ED-43cb-92C2-25804820EDAC}">
            <c15:filteredLineSeries>
              <c15:ser>
                <c:idx val="3"/>
                <c:order val="1"/>
                <c:tx>
                  <c:strRef>
                    <c:extLst>
                      <c:ext uri="{02D57815-91ED-43cb-92C2-25804820EDAC}">
                        <c15:formulaRef>
                          <c15:sqref>'OZL Summary'!$BO$6:$BO$7</c15:sqref>
                        </c15:formulaRef>
                      </c:ext>
                    </c:extLst>
                    <c:strCache>
                      <c:ptCount val="2"/>
                      <c:pt idx="0">
                        <c:v>Min</c:v>
                      </c:pt>
                    </c:strCache>
                  </c:strRef>
                </c:tx>
                <c:marker>
                  <c:symbol val="none"/>
                </c:marker>
                <c:cat>
                  <c:numRef>
                    <c:extLst>
                      <c:ext uri="{02D57815-91ED-43cb-92C2-25804820EDAC}">
                        <c15:formulaRef>
                          <c15:sqref>'OZL Summary'!$CL$8:$CL$60</c15:sqref>
                        </c15:formulaRef>
                      </c:ext>
                    </c:extLst>
                    <c:numCache>
                      <c:formatCode>d\-mmm\-yy_);\(###0\);"-  ";" "@" "</c:formatCode>
                      <c:ptCount val="53"/>
                      <c:pt idx="0">
                        <c:v>44747</c:v>
                      </c:pt>
                      <c:pt idx="1">
                        <c:v>44754</c:v>
                      </c:pt>
                      <c:pt idx="2">
                        <c:v>44761</c:v>
                      </c:pt>
                      <c:pt idx="3">
                        <c:v>44768</c:v>
                      </c:pt>
                      <c:pt idx="4">
                        <c:v>44775</c:v>
                      </c:pt>
                      <c:pt idx="5">
                        <c:v>44782</c:v>
                      </c:pt>
                      <c:pt idx="6">
                        <c:v>44789</c:v>
                      </c:pt>
                      <c:pt idx="7">
                        <c:v>44796</c:v>
                      </c:pt>
                      <c:pt idx="8">
                        <c:v>44803</c:v>
                      </c:pt>
                      <c:pt idx="9">
                        <c:v>44810</c:v>
                      </c:pt>
                      <c:pt idx="10">
                        <c:v>44817</c:v>
                      </c:pt>
                      <c:pt idx="11">
                        <c:v>44824</c:v>
                      </c:pt>
                      <c:pt idx="12">
                        <c:v>44831</c:v>
                      </c:pt>
                      <c:pt idx="13">
                        <c:v>44838</c:v>
                      </c:pt>
                      <c:pt idx="14">
                        <c:v>44845</c:v>
                      </c:pt>
                      <c:pt idx="15">
                        <c:v>44852</c:v>
                      </c:pt>
                      <c:pt idx="16">
                        <c:v>44859</c:v>
                      </c:pt>
                      <c:pt idx="17">
                        <c:v>44866</c:v>
                      </c:pt>
                      <c:pt idx="18">
                        <c:v>44873</c:v>
                      </c:pt>
                      <c:pt idx="19">
                        <c:v>44880</c:v>
                      </c:pt>
                      <c:pt idx="20">
                        <c:v>44887</c:v>
                      </c:pt>
                      <c:pt idx="21">
                        <c:v>44894</c:v>
                      </c:pt>
                      <c:pt idx="22">
                        <c:v>44901</c:v>
                      </c:pt>
                      <c:pt idx="23">
                        <c:v>44908</c:v>
                      </c:pt>
                      <c:pt idx="24">
                        <c:v>44915</c:v>
                      </c:pt>
                      <c:pt idx="25">
                        <c:v>44922</c:v>
                      </c:pt>
                      <c:pt idx="26">
                        <c:v>44929</c:v>
                      </c:pt>
                      <c:pt idx="27">
                        <c:v>44936</c:v>
                      </c:pt>
                      <c:pt idx="28">
                        <c:v>44943</c:v>
                      </c:pt>
                      <c:pt idx="29">
                        <c:v>44950</c:v>
                      </c:pt>
                      <c:pt idx="30">
                        <c:v>44957</c:v>
                      </c:pt>
                      <c:pt idx="31">
                        <c:v>44964</c:v>
                      </c:pt>
                      <c:pt idx="32">
                        <c:v>44971</c:v>
                      </c:pt>
                      <c:pt idx="33">
                        <c:v>44978</c:v>
                      </c:pt>
                      <c:pt idx="34">
                        <c:v>44985</c:v>
                      </c:pt>
                      <c:pt idx="35">
                        <c:v>44992</c:v>
                      </c:pt>
                      <c:pt idx="36">
                        <c:v>44999</c:v>
                      </c:pt>
                      <c:pt idx="37">
                        <c:v>45006</c:v>
                      </c:pt>
                      <c:pt idx="38">
                        <c:v>45013</c:v>
                      </c:pt>
                      <c:pt idx="39">
                        <c:v>45020</c:v>
                      </c:pt>
                      <c:pt idx="40">
                        <c:v>45027</c:v>
                      </c:pt>
                      <c:pt idx="41">
                        <c:v>45034</c:v>
                      </c:pt>
                      <c:pt idx="42">
                        <c:v>45041</c:v>
                      </c:pt>
                      <c:pt idx="43">
                        <c:v>45048</c:v>
                      </c:pt>
                      <c:pt idx="44">
                        <c:v>45055</c:v>
                      </c:pt>
                      <c:pt idx="45">
                        <c:v>45062</c:v>
                      </c:pt>
                      <c:pt idx="46">
                        <c:v>45069</c:v>
                      </c:pt>
                      <c:pt idx="47">
                        <c:v>45076</c:v>
                      </c:pt>
                      <c:pt idx="48">
                        <c:v>45083</c:v>
                      </c:pt>
                      <c:pt idx="49">
                        <c:v>45090</c:v>
                      </c:pt>
                      <c:pt idx="50">
                        <c:v>45097</c:v>
                      </c:pt>
                      <c:pt idx="51">
                        <c:v>45104</c:v>
                      </c:pt>
                    </c:numCache>
                  </c:numRef>
                </c:cat>
                <c:val>
                  <c:numRef>
                    <c:extLst>
                      <c:ext uri="{02D57815-91ED-43cb-92C2-25804820EDAC}">
                        <c15:formulaRef>
                          <c15:sqref>'OZL Summary'!$BO$8:$BO$60</c15:sqref>
                        </c15:formulaRef>
                      </c:ext>
                    </c:extLst>
                    <c:numCache>
                      <c:formatCode>0.000</c:formatCode>
                      <c:ptCount val="53"/>
                      <c:pt idx="0">
                        <c:v>1.6032204874777817E-2</c:v>
                      </c:pt>
                      <c:pt idx="1">
                        <c:v>3.2064409749555635E-2</c:v>
                      </c:pt>
                      <c:pt idx="2">
                        <c:v>4.8096614624333456E-2</c:v>
                      </c:pt>
                      <c:pt idx="3">
                        <c:v>6.412881949911127E-2</c:v>
                      </c:pt>
                      <c:pt idx="4">
                        <c:v>8.0161024373889084E-2</c:v>
                      </c:pt>
                      <c:pt idx="5">
                        <c:v>9.6193229248666898E-2</c:v>
                      </c:pt>
                      <c:pt idx="6">
                        <c:v>0.11222543412344471</c:v>
                      </c:pt>
                      <c:pt idx="7">
                        <c:v>0.12825763899822254</c:v>
                      </c:pt>
                      <c:pt idx="8">
                        <c:v>0.14428984387300037</c:v>
                      </c:pt>
                      <c:pt idx="9">
                        <c:v>0.1603220487477782</c:v>
                      </c:pt>
                      <c:pt idx="10">
                        <c:v>0.17635425362255602</c:v>
                      </c:pt>
                      <c:pt idx="11">
                        <c:v>0.19238645849733385</c:v>
                      </c:pt>
                      <c:pt idx="12">
                        <c:v>0.20841866337211168</c:v>
                      </c:pt>
                      <c:pt idx="13">
                        <c:v>0.22445086824688951</c:v>
                      </c:pt>
                      <c:pt idx="14">
                        <c:v>0.24048307312166733</c:v>
                      </c:pt>
                      <c:pt idx="15">
                        <c:v>0.25651527799644513</c:v>
                      </c:pt>
                      <c:pt idx="16">
                        <c:v>0.27254748287122293</c:v>
                      </c:pt>
                      <c:pt idx="17">
                        <c:v>0.28857968774600073</c:v>
                      </c:pt>
                      <c:pt idx="18">
                        <c:v>0.30461189262077853</c:v>
                      </c:pt>
                      <c:pt idx="19">
                        <c:v>0.32064409749555633</c:v>
                      </c:pt>
                      <c:pt idx="20">
                        <c:v>0.33667630237033414</c:v>
                      </c:pt>
                      <c:pt idx="21">
                        <c:v>0.35270850724511194</c:v>
                      </c:pt>
                      <c:pt idx="22">
                        <c:v>0.36874071211988974</c:v>
                      </c:pt>
                      <c:pt idx="23">
                        <c:v>0.38477291699466754</c:v>
                      </c:pt>
                      <c:pt idx="24">
                        <c:v>0.40080512186944534</c:v>
                      </c:pt>
                      <c:pt idx="25">
                        <c:v>0.41683732674422314</c:v>
                      </c:pt>
                      <c:pt idx="26">
                        <c:v>0.43286953161900094</c:v>
                      </c:pt>
                      <c:pt idx="27">
                        <c:v>0.44890173649377874</c:v>
                      </c:pt>
                      <c:pt idx="28">
                        <c:v>0.46493394136855654</c:v>
                      </c:pt>
                      <c:pt idx="29">
                        <c:v>0.48096614624333434</c:v>
                      </c:pt>
                      <c:pt idx="30">
                        <c:v>0.49699835111811214</c:v>
                      </c:pt>
                      <c:pt idx="31">
                        <c:v>0.51303055599288994</c:v>
                      </c:pt>
                      <c:pt idx="32">
                        <c:v>0.52906276086766779</c:v>
                      </c:pt>
                      <c:pt idx="33">
                        <c:v>0.54509496574244565</c:v>
                      </c:pt>
                      <c:pt idx="34">
                        <c:v>0.5611271706172235</c:v>
                      </c:pt>
                      <c:pt idx="35">
                        <c:v>0.57715937549200136</c:v>
                      </c:pt>
                      <c:pt idx="36">
                        <c:v>0.59319158036677921</c:v>
                      </c:pt>
                      <c:pt idx="37">
                        <c:v>0.60922378524155707</c:v>
                      </c:pt>
                      <c:pt idx="38">
                        <c:v>0.62525599011633493</c:v>
                      </c:pt>
                      <c:pt idx="39">
                        <c:v>0.64128819499111278</c:v>
                      </c:pt>
                      <c:pt idx="40">
                        <c:v>0.65732039986589064</c:v>
                      </c:pt>
                      <c:pt idx="41">
                        <c:v>0.67335260474066849</c:v>
                      </c:pt>
                      <c:pt idx="42">
                        <c:v>0.68938480961544635</c:v>
                      </c:pt>
                      <c:pt idx="43">
                        <c:v>0.7054170144902242</c:v>
                      </c:pt>
                      <c:pt idx="44">
                        <c:v>0.72144921936500206</c:v>
                      </c:pt>
                      <c:pt idx="45">
                        <c:v>0.73748142423977991</c:v>
                      </c:pt>
                      <c:pt idx="46">
                        <c:v>0.75351362911455777</c:v>
                      </c:pt>
                      <c:pt idx="47">
                        <c:v>0.76954583398933563</c:v>
                      </c:pt>
                      <c:pt idx="48">
                        <c:v>0.78557803886411348</c:v>
                      </c:pt>
                      <c:pt idx="49">
                        <c:v>0.80161024373889134</c:v>
                      </c:pt>
                      <c:pt idx="50">
                        <c:v>0.81764244861366919</c:v>
                      </c:pt>
                      <c:pt idx="51">
                        <c:v>0.83367465348844705</c:v>
                      </c:pt>
                    </c:numCache>
                  </c:numRef>
                </c:val>
                <c:smooth val="0"/>
                <c:extLst>
                  <c:ext xmlns:c16="http://schemas.microsoft.com/office/drawing/2014/chart" uri="{C3380CC4-5D6E-409C-BE32-E72D297353CC}">
                    <c16:uniqueId val="{00000007-019E-4D9F-82A8-A87BB830AA5D}"/>
                  </c:ext>
                </c:extLst>
              </c15:ser>
            </c15:filteredLineSeries>
            <c15:filteredLineSeries>
              <c15:ser>
                <c:idx val="5"/>
                <c:order val="2"/>
                <c:tx>
                  <c:strRef>
                    <c:extLst xmlns:c15="http://schemas.microsoft.com/office/drawing/2012/chart">
                      <c:ext xmlns:c15="http://schemas.microsoft.com/office/drawing/2012/chart" uri="{02D57815-91ED-43cb-92C2-25804820EDAC}">
                        <c15:formulaRef>
                          <c15:sqref>'OZL Summary'!$BP$6:$BP$7</c15:sqref>
                        </c15:formulaRef>
                      </c:ext>
                    </c:extLst>
                    <c:strCache>
                      <c:ptCount val="2"/>
                      <c:pt idx="0">
                        <c:v>1st Percentile</c:v>
                      </c:pt>
                    </c:strCache>
                  </c:strRef>
                </c:tx>
                <c:spPr>
                  <a:ln w="28575" cap="rnd">
                    <a:solidFill>
                      <a:schemeClr val="accent6"/>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'OZL Summary'!$CL$8:$CL$60</c15:sqref>
                        </c15:formulaRef>
                      </c:ext>
                    </c:extLst>
                    <c:numCache>
                      <c:formatCode>d\-mmm\-yy_);\(###0\);"-  ";" "@" "</c:formatCode>
                      <c:ptCount val="53"/>
                      <c:pt idx="0">
                        <c:v>44747</c:v>
                      </c:pt>
                      <c:pt idx="1">
                        <c:v>44754</c:v>
                      </c:pt>
                      <c:pt idx="2">
                        <c:v>44761</c:v>
                      </c:pt>
                      <c:pt idx="3">
                        <c:v>44768</c:v>
                      </c:pt>
                      <c:pt idx="4">
                        <c:v>44775</c:v>
                      </c:pt>
                      <c:pt idx="5">
                        <c:v>44782</c:v>
                      </c:pt>
                      <c:pt idx="6">
                        <c:v>44789</c:v>
                      </c:pt>
                      <c:pt idx="7">
                        <c:v>44796</c:v>
                      </c:pt>
                      <c:pt idx="8">
                        <c:v>44803</c:v>
                      </c:pt>
                      <c:pt idx="9">
                        <c:v>44810</c:v>
                      </c:pt>
                      <c:pt idx="10">
                        <c:v>44817</c:v>
                      </c:pt>
                      <c:pt idx="11">
                        <c:v>44824</c:v>
                      </c:pt>
                      <c:pt idx="12">
                        <c:v>44831</c:v>
                      </c:pt>
                      <c:pt idx="13">
                        <c:v>44838</c:v>
                      </c:pt>
                      <c:pt idx="14">
                        <c:v>44845</c:v>
                      </c:pt>
                      <c:pt idx="15">
                        <c:v>44852</c:v>
                      </c:pt>
                      <c:pt idx="16">
                        <c:v>44859</c:v>
                      </c:pt>
                      <c:pt idx="17">
                        <c:v>44866</c:v>
                      </c:pt>
                      <c:pt idx="18">
                        <c:v>44873</c:v>
                      </c:pt>
                      <c:pt idx="19">
                        <c:v>44880</c:v>
                      </c:pt>
                      <c:pt idx="20">
                        <c:v>44887</c:v>
                      </c:pt>
                      <c:pt idx="21">
                        <c:v>44894</c:v>
                      </c:pt>
                      <c:pt idx="22">
                        <c:v>44901</c:v>
                      </c:pt>
                      <c:pt idx="23">
                        <c:v>44908</c:v>
                      </c:pt>
                      <c:pt idx="24">
                        <c:v>44915</c:v>
                      </c:pt>
                      <c:pt idx="25">
                        <c:v>44922</c:v>
                      </c:pt>
                      <c:pt idx="26">
                        <c:v>44929</c:v>
                      </c:pt>
                      <c:pt idx="27">
                        <c:v>44936</c:v>
                      </c:pt>
                      <c:pt idx="28">
                        <c:v>44943</c:v>
                      </c:pt>
                      <c:pt idx="29">
                        <c:v>44950</c:v>
                      </c:pt>
                      <c:pt idx="30">
                        <c:v>44957</c:v>
                      </c:pt>
                      <c:pt idx="31">
                        <c:v>44964</c:v>
                      </c:pt>
                      <c:pt idx="32">
                        <c:v>44971</c:v>
                      </c:pt>
                      <c:pt idx="33">
                        <c:v>44978</c:v>
                      </c:pt>
                      <c:pt idx="34">
                        <c:v>44985</c:v>
                      </c:pt>
                      <c:pt idx="35">
                        <c:v>44992</c:v>
                      </c:pt>
                      <c:pt idx="36">
                        <c:v>44999</c:v>
                      </c:pt>
                      <c:pt idx="37">
                        <c:v>45006</c:v>
                      </c:pt>
                      <c:pt idx="38">
                        <c:v>45013</c:v>
                      </c:pt>
                      <c:pt idx="39">
                        <c:v>45020</c:v>
                      </c:pt>
                      <c:pt idx="40">
                        <c:v>45027</c:v>
                      </c:pt>
                      <c:pt idx="41">
                        <c:v>45034</c:v>
                      </c:pt>
                      <c:pt idx="42">
                        <c:v>45041</c:v>
                      </c:pt>
                      <c:pt idx="43">
                        <c:v>45048</c:v>
                      </c:pt>
                      <c:pt idx="44">
                        <c:v>45055</c:v>
                      </c:pt>
                      <c:pt idx="45">
                        <c:v>45062</c:v>
                      </c:pt>
                      <c:pt idx="46">
                        <c:v>45069</c:v>
                      </c:pt>
                      <c:pt idx="47">
                        <c:v>45076</c:v>
                      </c:pt>
                      <c:pt idx="48">
                        <c:v>45083</c:v>
                      </c:pt>
                      <c:pt idx="49">
                        <c:v>45090</c:v>
                      </c:pt>
                      <c:pt idx="50">
                        <c:v>45097</c:v>
                      </c:pt>
                      <c:pt idx="51">
                        <c:v>45104</c:v>
                      </c:pt>
                    </c:numCache>
                  </c:numRef>
                </c:cat>
                <c:val>
                  <c:numRef>
                    <c:extLst xmlns:c15="http://schemas.microsoft.com/office/drawing/2012/chart">
                      <c:ext xmlns:c15="http://schemas.microsoft.com/office/drawing/2012/chart" uri="{02D57815-91ED-43cb-92C2-25804820EDAC}">
                        <c15:formulaRef>
                          <c15:sqref>'OZL Summary'!$BP$8:$BP$60</c15:sqref>
                        </c15:formulaRef>
                      </c:ext>
                    </c:extLst>
                    <c:numCache>
                      <c:formatCode>0.000</c:formatCode>
                      <c:ptCount val="53"/>
                      <c:pt idx="0">
                        <c:v>1.8223138082807688E-2</c:v>
                      </c:pt>
                      <c:pt idx="1">
                        <c:v>3.6446276165615375E-2</c:v>
                      </c:pt>
                      <c:pt idx="2">
                        <c:v>5.4669414248423059E-2</c:v>
                      </c:pt>
                      <c:pt idx="3">
                        <c:v>7.2892552331230751E-2</c:v>
                      </c:pt>
                      <c:pt idx="4">
                        <c:v>9.1115690414038442E-2</c:v>
                      </c:pt>
                      <c:pt idx="5">
                        <c:v>0.10933882849684613</c:v>
                      </c:pt>
                      <c:pt idx="6">
                        <c:v>0.12756196657965382</c:v>
                      </c:pt>
                      <c:pt idx="7">
                        <c:v>0.1457851046624615</c:v>
                      </c:pt>
                      <c:pt idx="8">
                        <c:v>0.16400824274526918</c:v>
                      </c:pt>
                      <c:pt idx="9">
                        <c:v>0.18223138082807686</c:v>
                      </c:pt>
                      <c:pt idx="10">
                        <c:v>0.20045451891088453</c:v>
                      </c:pt>
                      <c:pt idx="11">
                        <c:v>0.21867765699369221</c:v>
                      </c:pt>
                      <c:pt idx="12">
                        <c:v>0.23690079507649989</c:v>
                      </c:pt>
                      <c:pt idx="13">
                        <c:v>0.25512393315930759</c:v>
                      </c:pt>
                      <c:pt idx="14">
                        <c:v>0.27334707124211527</c:v>
                      </c:pt>
                      <c:pt idx="15">
                        <c:v>0.29157020932492295</c:v>
                      </c:pt>
                      <c:pt idx="16">
                        <c:v>0.30979334740773062</c:v>
                      </c:pt>
                      <c:pt idx="17">
                        <c:v>0.3280164854905383</c:v>
                      </c:pt>
                      <c:pt idx="18">
                        <c:v>0.34623962357334598</c:v>
                      </c:pt>
                      <c:pt idx="19">
                        <c:v>0.36446276165615366</c:v>
                      </c:pt>
                      <c:pt idx="20">
                        <c:v>0.38268589973896133</c:v>
                      </c:pt>
                      <c:pt idx="21">
                        <c:v>0.40090903782176901</c:v>
                      </c:pt>
                      <c:pt idx="22">
                        <c:v>0.41913217590457669</c:v>
                      </c:pt>
                      <c:pt idx="23">
                        <c:v>0.43735531398738436</c:v>
                      </c:pt>
                      <c:pt idx="24">
                        <c:v>0.45557845207019204</c:v>
                      </c:pt>
                      <c:pt idx="25">
                        <c:v>0.47380159015299972</c:v>
                      </c:pt>
                      <c:pt idx="26">
                        <c:v>0.4920247282358074</c:v>
                      </c:pt>
                      <c:pt idx="27">
                        <c:v>0.51024786631861507</c:v>
                      </c:pt>
                      <c:pt idx="28">
                        <c:v>0.52847100440142281</c:v>
                      </c:pt>
                      <c:pt idx="29">
                        <c:v>0.54669414248423054</c:v>
                      </c:pt>
                      <c:pt idx="30">
                        <c:v>0.56491728056703827</c:v>
                      </c:pt>
                      <c:pt idx="31">
                        <c:v>0.583140418649846</c:v>
                      </c:pt>
                      <c:pt idx="32">
                        <c:v>0.60136355673265374</c:v>
                      </c:pt>
                      <c:pt idx="33">
                        <c:v>0.61958669481546147</c:v>
                      </c:pt>
                      <c:pt idx="34">
                        <c:v>0.6378098328982692</c:v>
                      </c:pt>
                      <c:pt idx="35">
                        <c:v>0.65603297098107693</c:v>
                      </c:pt>
                      <c:pt idx="36">
                        <c:v>0.67425610906388467</c:v>
                      </c:pt>
                      <c:pt idx="37">
                        <c:v>0.6924792471466924</c:v>
                      </c:pt>
                      <c:pt idx="38">
                        <c:v>0.71070238522950013</c:v>
                      </c:pt>
                      <c:pt idx="39">
                        <c:v>0.72892552331230787</c:v>
                      </c:pt>
                      <c:pt idx="40">
                        <c:v>0.7471486613951156</c:v>
                      </c:pt>
                      <c:pt idx="41">
                        <c:v>0.76537179947792333</c:v>
                      </c:pt>
                      <c:pt idx="42">
                        <c:v>0.78359493756073106</c:v>
                      </c:pt>
                      <c:pt idx="43">
                        <c:v>0.8018180756435388</c:v>
                      </c:pt>
                      <c:pt idx="44">
                        <c:v>0.82004121372634653</c:v>
                      </c:pt>
                      <c:pt idx="45">
                        <c:v>0.83826435180915426</c:v>
                      </c:pt>
                      <c:pt idx="46">
                        <c:v>0.85648748989196199</c:v>
                      </c:pt>
                      <c:pt idx="47">
                        <c:v>0.87471062797476973</c:v>
                      </c:pt>
                      <c:pt idx="48">
                        <c:v>0.89293376605757746</c:v>
                      </c:pt>
                      <c:pt idx="49">
                        <c:v>0.91115690414038519</c:v>
                      </c:pt>
                      <c:pt idx="50">
                        <c:v>0.92938004222319293</c:v>
                      </c:pt>
                      <c:pt idx="51">
                        <c:v>0.94760318030600066</c:v>
                      </c:pt>
                    </c:numCache>
                  </c:numRef>
                </c:val>
                <c:smooth val="0"/>
                <c:extLst xmlns:c15="http://schemas.microsoft.com/office/drawing/2012/chart">
                  <c:ext xmlns:c16="http://schemas.microsoft.com/office/drawing/2014/chart" uri="{C3380CC4-5D6E-409C-BE32-E72D297353CC}">
                    <c16:uniqueId val="{00000008-019E-4D9F-82A8-A87BB830AA5D}"/>
                  </c:ext>
                </c:extLst>
              </c15:ser>
            </c15:filteredLineSeries>
            <c15:filteredLineSeries>
              <c15:ser>
                <c:idx val="1"/>
                <c:order val="4"/>
                <c:tx>
                  <c:strRef>
                    <c:extLst xmlns:c15="http://schemas.microsoft.com/office/drawing/2012/chart">
                      <c:ext xmlns:c15="http://schemas.microsoft.com/office/drawing/2012/chart" uri="{02D57815-91ED-43cb-92C2-25804820EDAC}">
                        <c15:formulaRef>
                          <c15:sqref>'OZL Summary'!$BR$6:$BR$7</c15:sqref>
                        </c15:formulaRef>
                      </c:ext>
                    </c:extLst>
                    <c:strCache>
                      <c:ptCount val="2"/>
                      <c:pt idx="0">
                        <c:v>10th Percentile</c:v>
                      </c:pt>
                    </c:strCache>
                  </c:strRef>
                </c:tx>
                <c:spPr>
                  <a:ln w="28575" cap="rnd" cmpd="sng">
                    <a:solidFill>
                      <a:schemeClr val="accent2"/>
                    </a:solidFill>
                    <a:prstDash val="sysDot"/>
                    <a:round/>
                    <a:headEnd type="none"/>
                  </a:ln>
                  <a:effectLst/>
                </c:spPr>
                <c:marker>
                  <c:symbol val="none"/>
                </c:marker>
                <c:cat>
                  <c:numRef>
                    <c:extLst xmlns:c15="http://schemas.microsoft.com/office/drawing/2012/chart">
                      <c:ext xmlns:c15="http://schemas.microsoft.com/office/drawing/2012/chart" uri="{02D57815-91ED-43cb-92C2-25804820EDAC}">
                        <c15:formulaRef>
                          <c15:sqref>'OZL Summary'!$CL$8:$CL$60</c15:sqref>
                        </c15:formulaRef>
                      </c:ext>
                    </c:extLst>
                    <c:numCache>
                      <c:formatCode>d\-mmm\-yy_);\(###0\);"-  ";" "@" "</c:formatCode>
                      <c:ptCount val="53"/>
                      <c:pt idx="0">
                        <c:v>44747</c:v>
                      </c:pt>
                      <c:pt idx="1">
                        <c:v>44754</c:v>
                      </c:pt>
                      <c:pt idx="2">
                        <c:v>44761</c:v>
                      </c:pt>
                      <c:pt idx="3">
                        <c:v>44768</c:v>
                      </c:pt>
                      <c:pt idx="4">
                        <c:v>44775</c:v>
                      </c:pt>
                      <c:pt idx="5">
                        <c:v>44782</c:v>
                      </c:pt>
                      <c:pt idx="6">
                        <c:v>44789</c:v>
                      </c:pt>
                      <c:pt idx="7">
                        <c:v>44796</c:v>
                      </c:pt>
                      <c:pt idx="8">
                        <c:v>44803</c:v>
                      </c:pt>
                      <c:pt idx="9">
                        <c:v>44810</c:v>
                      </c:pt>
                      <c:pt idx="10">
                        <c:v>44817</c:v>
                      </c:pt>
                      <c:pt idx="11">
                        <c:v>44824</c:v>
                      </c:pt>
                      <c:pt idx="12">
                        <c:v>44831</c:v>
                      </c:pt>
                      <c:pt idx="13">
                        <c:v>44838</c:v>
                      </c:pt>
                      <c:pt idx="14">
                        <c:v>44845</c:v>
                      </c:pt>
                      <c:pt idx="15">
                        <c:v>44852</c:v>
                      </c:pt>
                      <c:pt idx="16">
                        <c:v>44859</c:v>
                      </c:pt>
                      <c:pt idx="17">
                        <c:v>44866</c:v>
                      </c:pt>
                      <c:pt idx="18">
                        <c:v>44873</c:v>
                      </c:pt>
                      <c:pt idx="19">
                        <c:v>44880</c:v>
                      </c:pt>
                      <c:pt idx="20">
                        <c:v>44887</c:v>
                      </c:pt>
                      <c:pt idx="21">
                        <c:v>44894</c:v>
                      </c:pt>
                      <c:pt idx="22">
                        <c:v>44901</c:v>
                      </c:pt>
                      <c:pt idx="23">
                        <c:v>44908</c:v>
                      </c:pt>
                      <c:pt idx="24">
                        <c:v>44915</c:v>
                      </c:pt>
                      <c:pt idx="25">
                        <c:v>44922</c:v>
                      </c:pt>
                      <c:pt idx="26">
                        <c:v>44929</c:v>
                      </c:pt>
                      <c:pt idx="27">
                        <c:v>44936</c:v>
                      </c:pt>
                      <c:pt idx="28">
                        <c:v>44943</c:v>
                      </c:pt>
                      <c:pt idx="29">
                        <c:v>44950</c:v>
                      </c:pt>
                      <c:pt idx="30">
                        <c:v>44957</c:v>
                      </c:pt>
                      <c:pt idx="31">
                        <c:v>44964</c:v>
                      </c:pt>
                      <c:pt idx="32">
                        <c:v>44971</c:v>
                      </c:pt>
                      <c:pt idx="33">
                        <c:v>44978</c:v>
                      </c:pt>
                      <c:pt idx="34">
                        <c:v>44985</c:v>
                      </c:pt>
                      <c:pt idx="35">
                        <c:v>44992</c:v>
                      </c:pt>
                      <c:pt idx="36">
                        <c:v>44999</c:v>
                      </c:pt>
                      <c:pt idx="37">
                        <c:v>45006</c:v>
                      </c:pt>
                      <c:pt idx="38">
                        <c:v>45013</c:v>
                      </c:pt>
                      <c:pt idx="39">
                        <c:v>45020</c:v>
                      </c:pt>
                      <c:pt idx="40">
                        <c:v>45027</c:v>
                      </c:pt>
                      <c:pt idx="41">
                        <c:v>45034</c:v>
                      </c:pt>
                      <c:pt idx="42">
                        <c:v>45041</c:v>
                      </c:pt>
                      <c:pt idx="43">
                        <c:v>45048</c:v>
                      </c:pt>
                      <c:pt idx="44">
                        <c:v>45055</c:v>
                      </c:pt>
                      <c:pt idx="45">
                        <c:v>45062</c:v>
                      </c:pt>
                      <c:pt idx="46">
                        <c:v>45069</c:v>
                      </c:pt>
                      <c:pt idx="47">
                        <c:v>45076</c:v>
                      </c:pt>
                      <c:pt idx="48">
                        <c:v>45083</c:v>
                      </c:pt>
                      <c:pt idx="49">
                        <c:v>45090</c:v>
                      </c:pt>
                      <c:pt idx="50">
                        <c:v>45097</c:v>
                      </c:pt>
                      <c:pt idx="51">
                        <c:v>45104</c:v>
                      </c:pt>
                    </c:numCache>
                  </c:numRef>
                </c:cat>
                <c:val>
                  <c:numRef>
                    <c:extLst xmlns:c15="http://schemas.microsoft.com/office/drawing/2012/chart">
                      <c:ext xmlns:c15="http://schemas.microsoft.com/office/drawing/2012/chart" uri="{02D57815-91ED-43cb-92C2-25804820EDAC}">
                        <c15:formulaRef>
                          <c15:sqref>'OZL Summary'!$BR$8:$BR$60</c15:sqref>
                        </c15:formulaRef>
                      </c:ext>
                    </c:extLst>
                    <c:numCache>
                      <c:formatCode>0.000</c:formatCode>
                      <c:ptCount val="53"/>
                      <c:pt idx="0">
                        <c:v>2.0199848897457344E-2</c:v>
                      </c:pt>
                      <c:pt idx="1">
                        <c:v>4.0399697794914688E-2</c:v>
                      </c:pt>
                      <c:pt idx="2">
                        <c:v>6.0599546692372032E-2</c:v>
                      </c:pt>
                      <c:pt idx="3">
                        <c:v>8.0799395589829376E-2</c:v>
                      </c:pt>
                      <c:pt idx="4">
                        <c:v>0.10099924448728673</c:v>
                      </c:pt>
                      <c:pt idx="5">
                        <c:v>0.12119909338474408</c:v>
                      </c:pt>
                      <c:pt idx="6">
                        <c:v>0.14139894228220143</c:v>
                      </c:pt>
                      <c:pt idx="7">
                        <c:v>0.16159879117965878</c:v>
                      </c:pt>
                      <c:pt idx="8">
                        <c:v>0.18179864007711613</c:v>
                      </c:pt>
                      <c:pt idx="9">
                        <c:v>0.20199848897457348</c:v>
                      </c:pt>
                      <c:pt idx="10">
                        <c:v>0.22219833787203083</c:v>
                      </c:pt>
                      <c:pt idx="11">
                        <c:v>0.24239818676948818</c:v>
                      </c:pt>
                      <c:pt idx="12">
                        <c:v>0.26259803566694551</c:v>
                      </c:pt>
                      <c:pt idx="13">
                        <c:v>0.28279788456440286</c:v>
                      </c:pt>
                      <c:pt idx="14">
                        <c:v>0.30299773346186021</c:v>
                      </c:pt>
                      <c:pt idx="15">
                        <c:v>0.32319758235931756</c:v>
                      </c:pt>
                      <c:pt idx="16">
                        <c:v>0.34339743125677491</c:v>
                      </c:pt>
                      <c:pt idx="17">
                        <c:v>0.36359728015423226</c:v>
                      </c:pt>
                      <c:pt idx="18">
                        <c:v>0.38379712905168961</c:v>
                      </c:pt>
                      <c:pt idx="19">
                        <c:v>0.40399697794914696</c:v>
                      </c:pt>
                      <c:pt idx="20">
                        <c:v>0.42419682684660431</c:v>
                      </c:pt>
                      <c:pt idx="21">
                        <c:v>0.44439667574406166</c:v>
                      </c:pt>
                      <c:pt idx="22">
                        <c:v>0.46459652464151902</c:v>
                      </c:pt>
                      <c:pt idx="23">
                        <c:v>0.48479637353897637</c:v>
                      </c:pt>
                      <c:pt idx="24">
                        <c:v>0.50499622243643372</c:v>
                      </c:pt>
                      <c:pt idx="25">
                        <c:v>0.52519607133389101</c:v>
                      </c:pt>
                      <c:pt idx="26">
                        <c:v>0.54539592023134831</c:v>
                      </c:pt>
                      <c:pt idx="27">
                        <c:v>0.5655957691288056</c:v>
                      </c:pt>
                      <c:pt idx="28">
                        <c:v>0.5857956180262629</c:v>
                      </c:pt>
                      <c:pt idx="29">
                        <c:v>0.60599546692372019</c:v>
                      </c:pt>
                      <c:pt idx="30">
                        <c:v>0.62619531582117749</c:v>
                      </c:pt>
                      <c:pt idx="31">
                        <c:v>0.64639516471863478</c:v>
                      </c:pt>
                      <c:pt idx="32">
                        <c:v>0.66659501361609208</c:v>
                      </c:pt>
                      <c:pt idx="33">
                        <c:v>0.68679486251354938</c:v>
                      </c:pt>
                      <c:pt idx="34">
                        <c:v>0.70699471141100667</c:v>
                      </c:pt>
                      <c:pt idx="35">
                        <c:v>0.72719456030846397</c:v>
                      </c:pt>
                      <c:pt idx="36">
                        <c:v>0.74739440920592126</c:v>
                      </c:pt>
                      <c:pt idx="37">
                        <c:v>0.76759425810337856</c:v>
                      </c:pt>
                      <c:pt idx="38">
                        <c:v>0.78779410700083585</c:v>
                      </c:pt>
                      <c:pt idx="39">
                        <c:v>0.80799395589829315</c:v>
                      </c:pt>
                      <c:pt idx="40">
                        <c:v>0.82819380479575044</c:v>
                      </c:pt>
                      <c:pt idx="41">
                        <c:v>0.84839365369320774</c:v>
                      </c:pt>
                      <c:pt idx="42">
                        <c:v>0.86859350259066503</c:v>
                      </c:pt>
                      <c:pt idx="43">
                        <c:v>0.88879335148812233</c:v>
                      </c:pt>
                      <c:pt idx="44">
                        <c:v>0.90899320038557962</c:v>
                      </c:pt>
                      <c:pt idx="45">
                        <c:v>0.92919304928303692</c:v>
                      </c:pt>
                      <c:pt idx="46">
                        <c:v>0.94939289818049422</c:v>
                      </c:pt>
                      <c:pt idx="47">
                        <c:v>0.96959274707795151</c:v>
                      </c:pt>
                      <c:pt idx="48">
                        <c:v>0.98979259597540881</c:v>
                      </c:pt>
                      <c:pt idx="49">
                        <c:v>1.0099924448728661</c:v>
                      </c:pt>
                      <c:pt idx="50">
                        <c:v>1.0301922937703234</c:v>
                      </c:pt>
                      <c:pt idx="51">
                        <c:v>1.0503921426677807</c:v>
                      </c:pt>
                    </c:numCache>
                  </c:numRef>
                </c:val>
                <c:smooth val="0"/>
                <c:extLst xmlns:c15="http://schemas.microsoft.com/office/drawing/2012/chart">
                  <c:ext xmlns:c16="http://schemas.microsoft.com/office/drawing/2014/chart" uri="{C3380CC4-5D6E-409C-BE32-E72D297353CC}">
                    <c16:uniqueId val="{00000009-019E-4D9F-82A8-A87BB830AA5D}"/>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'OZL Summary'!$BV$6:$BV$7</c15:sqref>
                        </c15:formulaRef>
                      </c:ext>
                    </c:extLst>
                    <c:strCache>
                      <c:ptCount val="2"/>
                      <c:pt idx="0">
                        <c:v>90th Percentile</c:v>
                      </c:pt>
                    </c:strCache>
                  </c:strRef>
                </c:tx>
                <c:spPr>
                  <a:ln w="28575">
                    <a:solidFill>
                      <a:schemeClr val="accent1"/>
                    </a:solidFill>
                    <a:prstDash val="sysDot"/>
                  </a:ln>
                </c:spPr>
                <c:marker>
                  <c:symbol val="none"/>
                </c:marker>
                <c:cat>
                  <c:numRef>
                    <c:extLst xmlns:c15="http://schemas.microsoft.com/office/drawing/2012/chart">
                      <c:ext xmlns:c15="http://schemas.microsoft.com/office/drawing/2012/chart" uri="{02D57815-91ED-43cb-92C2-25804820EDAC}">
                        <c15:formulaRef>
                          <c15:sqref>'OZL Summary'!$CL$8:$CL$60</c15:sqref>
                        </c15:formulaRef>
                      </c:ext>
                    </c:extLst>
                    <c:numCache>
                      <c:formatCode>d\-mmm\-yy_);\(###0\);"-  ";" "@" "</c:formatCode>
                      <c:ptCount val="53"/>
                      <c:pt idx="0">
                        <c:v>44747</c:v>
                      </c:pt>
                      <c:pt idx="1">
                        <c:v>44754</c:v>
                      </c:pt>
                      <c:pt idx="2">
                        <c:v>44761</c:v>
                      </c:pt>
                      <c:pt idx="3">
                        <c:v>44768</c:v>
                      </c:pt>
                      <c:pt idx="4">
                        <c:v>44775</c:v>
                      </c:pt>
                      <c:pt idx="5">
                        <c:v>44782</c:v>
                      </c:pt>
                      <c:pt idx="6">
                        <c:v>44789</c:v>
                      </c:pt>
                      <c:pt idx="7">
                        <c:v>44796</c:v>
                      </c:pt>
                      <c:pt idx="8">
                        <c:v>44803</c:v>
                      </c:pt>
                      <c:pt idx="9">
                        <c:v>44810</c:v>
                      </c:pt>
                      <c:pt idx="10">
                        <c:v>44817</c:v>
                      </c:pt>
                      <c:pt idx="11">
                        <c:v>44824</c:v>
                      </c:pt>
                      <c:pt idx="12">
                        <c:v>44831</c:v>
                      </c:pt>
                      <c:pt idx="13">
                        <c:v>44838</c:v>
                      </c:pt>
                      <c:pt idx="14">
                        <c:v>44845</c:v>
                      </c:pt>
                      <c:pt idx="15">
                        <c:v>44852</c:v>
                      </c:pt>
                      <c:pt idx="16">
                        <c:v>44859</c:v>
                      </c:pt>
                      <c:pt idx="17">
                        <c:v>44866</c:v>
                      </c:pt>
                      <c:pt idx="18">
                        <c:v>44873</c:v>
                      </c:pt>
                      <c:pt idx="19">
                        <c:v>44880</c:v>
                      </c:pt>
                      <c:pt idx="20">
                        <c:v>44887</c:v>
                      </c:pt>
                      <c:pt idx="21">
                        <c:v>44894</c:v>
                      </c:pt>
                      <c:pt idx="22">
                        <c:v>44901</c:v>
                      </c:pt>
                      <c:pt idx="23">
                        <c:v>44908</c:v>
                      </c:pt>
                      <c:pt idx="24">
                        <c:v>44915</c:v>
                      </c:pt>
                      <c:pt idx="25">
                        <c:v>44922</c:v>
                      </c:pt>
                      <c:pt idx="26">
                        <c:v>44929</c:v>
                      </c:pt>
                      <c:pt idx="27">
                        <c:v>44936</c:v>
                      </c:pt>
                      <c:pt idx="28">
                        <c:v>44943</c:v>
                      </c:pt>
                      <c:pt idx="29">
                        <c:v>44950</c:v>
                      </c:pt>
                      <c:pt idx="30">
                        <c:v>44957</c:v>
                      </c:pt>
                      <c:pt idx="31">
                        <c:v>44964</c:v>
                      </c:pt>
                      <c:pt idx="32">
                        <c:v>44971</c:v>
                      </c:pt>
                      <c:pt idx="33">
                        <c:v>44978</c:v>
                      </c:pt>
                      <c:pt idx="34">
                        <c:v>44985</c:v>
                      </c:pt>
                      <c:pt idx="35">
                        <c:v>44992</c:v>
                      </c:pt>
                      <c:pt idx="36">
                        <c:v>44999</c:v>
                      </c:pt>
                      <c:pt idx="37">
                        <c:v>45006</c:v>
                      </c:pt>
                      <c:pt idx="38">
                        <c:v>45013</c:v>
                      </c:pt>
                      <c:pt idx="39">
                        <c:v>45020</c:v>
                      </c:pt>
                      <c:pt idx="40">
                        <c:v>45027</c:v>
                      </c:pt>
                      <c:pt idx="41">
                        <c:v>45034</c:v>
                      </c:pt>
                      <c:pt idx="42">
                        <c:v>45041</c:v>
                      </c:pt>
                      <c:pt idx="43">
                        <c:v>45048</c:v>
                      </c:pt>
                      <c:pt idx="44">
                        <c:v>45055</c:v>
                      </c:pt>
                      <c:pt idx="45">
                        <c:v>45062</c:v>
                      </c:pt>
                      <c:pt idx="46">
                        <c:v>45069</c:v>
                      </c:pt>
                      <c:pt idx="47">
                        <c:v>45076</c:v>
                      </c:pt>
                      <c:pt idx="48">
                        <c:v>45083</c:v>
                      </c:pt>
                      <c:pt idx="49">
                        <c:v>45090</c:v>
                      </c:pt>
                      <c:pt idx="50">
                        <c:v>45097</c:v>
                      </c:pt>
                      <c:pt idx="51">
                        <c:v>45104</c:v>
                      </c:pt>
                    </c:numCache>
                  </c:numRef>
                </c:cat>
                <c:val>
                  <c:numRef>
                    <c:extLst xmlns:c15="http://schemas.microsoft.com/office/drawing/2012/chart">
                      <c:ext xmlns:c15="http://schemas.microsoft.com/office/drawing/2012/chart" uri="{02D57815-91ED-43cb-92C2-25804820EDAC}">
                        <c15:formulaRef>
                          <c15:sqref>'OZL Summary'!$BV$8:$BV$60</c15:sqref>
                        </c15:formulaRef>
                      </c:ext>
                    </c:extLst>
                    <c:numCache>
                      <c:formatCode>0.000</c:formatCode>
                      <c:ptCount val="53"/>
                      <c:pt idx="0">
                        <c:v>2.7720420236719803E-2</c:v>
                      </c:pt>
                      <c:pt idx="1">
                        <c:v>5.5440840473439605E-2</c:v>
                      </c:pt>
                      <c:pt idx="2">
                        <c:v>8.3161260710159404E-2</c:v>
                      </c:pt>
                      <c:pt idx="3">
                        <c:v>0.11088168094687921</c:v>
                      </c:pt>
                      <c:pt idx="4">
                        <c:v>0.138602101183599</c:v>
                      </c:pt>
                      <c:pt idx="5">
                        <c:v>0.16632252142031881</c:v>
                      </c:pt>
                      <c:pt idx="6">
                        <c:v>0.19404294165703861</c:v>
                      </c:pt>
                      <c:pt idx="7">
                        <c:v>0.22176336189375842</c:v>
                      </c:pt>
                      <c:pt idx="8">
                        <c:v>0.24948378213047823</c:v>
                      </c:pt>
                      <c:pt idx="9">
                        <c:v>0.277204202367198</c:v>
                      </c:pt>
                      <c:pt idx="10">
                        <c:v>0.30492462260391778</c:v>
                      </c:pt>
                      <c:pt idx="11">
                        <c:v>0.33264504284063756</c:v>
                      </c:pt>
                      <c:pt idx="12">
                        <c:v>0.36036546307735734</c:v>
                      </c:pt>
                      <c:pt idx="13">
                        <c:v>0.38808588331407712</c:v>
                      </c:pt>
                      <c:pt idx="14">
                        <c:v>0.4158063035507969</c:v>
                      </c:pt>
                      <c:pt idx="15">
                        <c:v>0.44352672378751667</c:v>
                      </c:pt>
                      <c:pt idx="16">
                        <c:v>0.47124714402423645</c:v>
                      </c:pt>
                      <c:pt idx="17">
                        <c:v>0.49896756426095623</c:v>
                      </c:pt>
                      <c:pt idx="18">
                        <c:v>0.52668798449767606</c:v>
                      </c:pt>
                      <c:pt idx="19">
                        <c:v>0.5544084047343959</c:v>
                      </c:pt>
                      <c:pt idx="20">
                        <c:v>0.58212882497111573</c:v>
                      </c:pt>
                      <c:pt idx="21">
                        <c:v>0.60984924520783557</c:v>
                      </c:pt>
                      <c:pt idx="22">
                        <c:v>0.6375696654445554</c:v>
                      </c:pt>
                      <c:pt idx="23">
                        <c:v>0.66529008568127523</c:v>
                      </c:pt>
                      <c:pt idx="24">
                        <c:v>0.69301050591799507</c:v>
                      </c:pt>
                      <c:pt idx="25">
                        <c:v>0.7207309261547149</c:v>
                      </c:pt>
                      <c:pt idx="26">
                        <c:v>0.74845134639143474</c:v>
                      </c:pt>
                      <c:pt idx="27">
                        <c:v>0.77617176662815457</c:v>
                      </c:pt>
                      <c:pt idx="28">
                        <c:v>0.8038921868648744</c:v>
                      </c:pt>
                      <c:pt idx="29">
                        <c:v>0.83161260710159424</c:v>
                      </c:pt>
                      <c:pt idx="30">
                        <c:v>0.85933302733831407</c:v>
                      </c:pt>
                      <c:pt idx="31">
                        <c:v>0.8870534475750339</c:v>
                      </c:pt>
                      <c:pt idx="32">
                        <c:v>0.91477386781175374</c:v>
                      </c:pt>
                      <c:pt idx="33">
                        <c:v>0.94249428804847357</c:v>
                      </c:pt>
                      <c:pt idx="34">
                        <c:v>0.97021470828519341</c:v>
                      </c:pt>
                      <c:pt idx="35">
                        <c:v>0.99793512852191324</c:v>
                      </c:pt>
                      <c:pt idx="36">
                        <c:v>1.025655548758633</c:v>
                      </c:pt>
                      <c:pt idx="37">
                        <c:v>1.0533759689953528</c:v>
                      </c:pt>
                      <c:pt idx="38">
                        <c:v>1.0810963892320726</c:v>
                      </c:pt>
                      <c:pt idx="39">
                        <c:v>1.1088168094687925</c:v>
                      </c:pt>
                      <c:pt idx="40">
                        <c:v>1.1365372297055123</c:v>
                      </c:pt>
                      <c:pt idx="41">
                        <c:v>1.1642576499422321</c:v>
                      </c:pt>
                      <c:pt idx="42">
                        <c:v>1.191978070178952</c:v>
                      </c:pt>
                      <c:pt idx="43">
                        <c:v>1.2196984904156718</c:v>
                      </c:pt>
                      <c:pt idx="44">
                        <c:v>1.2474189106523916</c:v>
                      </c:pt>
                      <c:pt idx="45">
                        <c:v>1.2751393308891115</c:v>
                      </c:pt>
                      <c:pt idx="46">
                        <c:v>1.3028597511258313</c:v>
                      </c:pt>
                      <c:pt idx="47">
                        <c:v>1.3305801713625511</c:v>
                      </c:pt>
                      <c:pt idx="48">
                        <c:v>1.358300591599271</c:v>
                      </c:pt>
                      <c:pt idx="49">
                        <c:v>1.3860210118359908</c:v>
                      </c:pt>
                      <c:pt idx="50">
                        <c:v>1.4137414320727106</c:v>
                      </c:pt>
                      <c:pt idx="51">
                        <c:v>1.4414618523094305</c:v>
                      </c:pt>
                    </c:numCache>
                  </c:numRef>
                </c:val>
                <c:smooth val="0"/>
                <c:extLst xmlns:c15="http://schemas.microsoft.com/office/drawing/2012/chart">
                  <c:ext xmlns:c16="http://schemas.microsoft.com/office/drawing/2014/chart" uri="{C3380CC4-5D6E-409C-BE32-E72D297353CC}">
                    <c16:uniqueId val="{0000000A-019E-4D9F-82A8-A87BB830AA5D}"/>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'OZL Summary'!$BX$6:$BX$7</c15:sqref>
                        </c15:formulaRef>
                      </c:ext>
                    </c:extLst>
                    <c:strCache>
                      <c:ptCount val="2"/>
                      <c:pt idx="0">
                        <c:v>99th Percentile</c:v>
                      </c:pt>
                    </c:strCache>
                  </c:strRef>
                </c:tx>
                <c:spPr>
                  <a:ln w="28575">
                    <a:solidFill>
                      <a:schemeClr val="accent1"/>
                    </a:solidFill>
                    <a:prstDash val="sysDot"/>
                  </a:ln>
                </c:spPr>
                <c:marker>
                  <c:symbol val="none"/>
                </c:marker>
                <c:cat>
                  <c:numRef>
                    <c:extLst xmlns:c15="http://schemas.microsoft.com/office/drawing/2012/chart">
                      <c:ext xmlns:c15="http://schemas.microsoft.com/office/drawing/2012/chart" uri="{02D57815-91ED-43cb-92C2-25804820EDAC}">
                        <c15:formulaRef>
                          <c15:sqref>'OZL Summary'!$CL$8:$CL$60</c15:sqref>
                        </c15:formulaRef>
                      </c:ext>
                    </c:extLst>
                    <c:numCache>
                      <c:formatCode>d\-mmm\-yy_);\(###0\);"-  ";" "@" "</c:formatCode>
                      <c:ptCount val="53"/>
                      <c:pt idx="0">
                        <c:v>44747</c:v>
                      </c:pt>
                      <c:pt idx="1">
                        <c:v>44754</c:v>
                      </c:pt>
                      <c:pt idx="2">
                        <c:v>44761</c:v>
                      </c:pt>
                      <c:pt idx="3">
                        <c:v>44768</c:v>
                      </c:pt>
                      <c:pt idx="4">
                        <c:v>44775</c:v>
                      </c:pt>
                      <c:pt idx="5">
                        <c:v>44782</c:v>
                      </c:pt>
                      <c:pt idx="6">
                        <c:v>44789</c:v>
                      </c:pt>
                      <c:pt idx="7">
                        <c:v>44796</c:v>
                      </c:pt>
                      <c:pt idx="8">
                        <c:v>44803</c:v>
                      </c:pt>
                      <c:pt idx="9">
                        <c:v>44810</c:v>
                      </c:pt>
                      <c:pt idx="10">
                        <c:v>44817</c:v>
                      </c:pt>
                      <c:pt idx="11">
                        <c:v>44824</c:v>
                      </c:pt>
                      <c:pt idx="12">
                        <c:v>44831</c:v>
                      </c:pt>
                      <c:pt idx="13">
                        <c:v>44838</c:v>
                      </c:pt>
                      <c:pt idx="14">
                        <c:v>44845</c:v>
                      </c:pt>
                      <c:pt idx="15">
                        <c:v>44852</c:v>
                      </c:pt>
                      <c:pt idx="16">
                        <c:v>44859</c:v>
                      </c:pt>
                      <c:pt idx="17">
                        <c:v>44866</c:v>
                      </c:pt>
                      <c:pt idx="18">
                        <c:v>44873</c:v>
                      </c:pt>
                      <c:pt idx="19">
                        <c:v>44880</c:v>
                      </c:pt>
                      <c:pt idx="20">
                        <c:v>44887</c:v>
                      </c:pt>
                      <c:pt idx="21">
                        <c:v>44894</c:v>
                      </c:pt>
                      <c:pt idx="22">
                        <c:v>44901</c:v>
                      </c:pt>
                      <c:pt idx="23">
                        <c:v>44908</c:v>
                      </c:pt>
                      <c:pt idx="24">
                        <c:v>44915</c:v>
                      </c:pt>
                      <c:pt idx="25">
                        <c:v>44922</c:v>
                      </c:pt>
                      <c:pt idx="26">
                        <c:v>44929</c:v>
                      </c:pt>
                      <c:pt idx="27">
                        <c:v>44936</c:v>
                      </c:pt>
                      <c:pt idx="28">
                        <c:v>44943</c:v>
                      </c:pt>
                      <c:pt idx="29">
                        <c:v>44950</c:v>
                      </c:pt>
                      <c:pt idx="30">
                        <c:v>44957</c:v>
                      </c:pt>
                      <c:pt idx="31">
                        <c:v>44964</c:v>
                      </c:pt>
                      <c:pt idx="32">
                        <c:v>44971</c:v>
                      </c:pt>
                      <c:pt idx="33">
                        <c:v>44978</c:v>
                      </c:pt>
                      <c:pt idx="34">
                        <c:v>44985</c:v>
                      </c:pt>
                      <c:pt idx="35">
                        <c:v>44992</c:v>
                      </c:pt>
                      <c:pt idx="36">
                        <c:v>44999</c:v>
                      </c:pt>
                      <c:pt idx="37">
                        <c:v>45006</c:v>
                      </c:pt>
                      <c:pt idx="38">
                        <c:v>45013</c:v>
                      </c:pt>
                      <c:pt idx="39">
                        <c:v>45020</c:v>
                      </c:pt>
                      <c:pt idx="40">
                        <c:v>45027</c:v>
                      </c:pt>
                      <c:pt idx="41">
                        <c:v>45034</c:v>
                      </c:pt>
                      <c:pt idx="42">
                        <c:v>45041</c:v>
                      </c:pt>
                      <c:pt idx="43">
                        <c:v>45048</c:v>
                      </c:pt>
                      <c:pt idx="44">
                        <c:v>45055</c:v>
                      </c:pt>
                      <c:pt idx="45">
                        <c:v>45062</c:v>
                      </c:pt>
                      <c:pt idx="46">
                        <c:v>45069</c:v>
                      </c:pt>
                      <c:pt idx="47">
                        <c:v>45076</c:v>
                      </c:pt>
                      <c:pt idx="48">
                        <c:v>45083</c:v>
                      </c:pt>
                      <c:pt idx="49">
                        <c:v>45090</c:v>
                      </c:pt>
                      <c:pt idx="50">
                        <c:v>45097</c:v>
                      </c:pt>
                      <c:pt idx="51">
                        <c:v>45104</c:v>
                      </c:pt>
                    </c:numCache>
                  </c:numRef>
                </c:cat>
                <c:val>
                  <c:numRef>
                    <c:extLst xmlns:c15="http://schemas.microsoft.com/office/drawing/2012/chart">
                      <c:ext xmlns:c15="http://schemas.microsoft.com/office/drawing/2012/chart" uri="{02D57815-91ED-43cb-92C2-25804820EDAC}">
                        <c15:formulaRef>
                          <c15:sqref>'OZL Summary'!$BX$8:$BX$60</c15:sqref>
                        </c15:formulaRef>
                      </c:ext>
                    </c:extLst>
                    <c:numCache>
                      <c:formatCode>0.000</c:formatCode>
                      <c:ptCount val="53"/>
                      <c:pt idx="0">
                        <c:v>3.2006943607976859E-2</c:v>
                      </c:pt>
                      <c:pt idx="1">
                        <c:v>6.4013887215953719E-2</c:v>
                      </c:pt>
                      <c:pt idx="2">
                        <c:v>9.6020830823930578E-2</c:v>
                      </c:pt>
                      <c:pt idx="3">
                        <c:v>0.12802777443190744</c:v>
                      </c:pt>
                      <c:pt idx="4">
                        <c:v>0.16003471803988428</c:v>
                      </c:pt>
                      <c:pt idx="5">
                        <c:v>0.19204166164786113</c:v>
                      </c:pt>
                      <c:pt idx="6">
                        <c:v>0.22404860525583797</c:v>
                      </c:pt>
                      <c:pt idx="7">
                        <c:v>0.25605554886381482</c:v>
                      </c:pt>
                      <c:pt idx="8">
                        <c:v>0.28806249247179166</c:v>
                      </c:pt>
                      <c:pt idx="9">
                        <c:v>0.32006943607976851</c:v>
                      </c:pt>
                      <c:pt idx="10">
                        <c:v>0.35207637968774536</c:v>
                      </c:pt>
                      <c:pt idx="11">
                        <c:v>0.3840833232957222</c:v>
                      </c:pt>
                      <c:pt idx="12">
                        <c:v>0.41609026690369905</c:v>
                      </c:pt>
                      <c:pt idx="13">
                        <c:v>0.44809721051167589</c:v>
                      </c:pt>
                      <c:pt idx="14">
                        <c:v>0.48010415411965274</c:v>
                      </c:pt>
                      <c:pt idx="15">
                        <c:v>0.51211109772762964</c:v>
                      </c:pt>
                      <c:pt idx="16">
                        <c:v>0.54411804133560648</c:v>
                      </c:pt>
                      <c:pt idx="17">
                        <c:v>0.57612498494358333</c:v>
                      </c:pt>
                      <c:pt idx="18">
                        <c:v>0.60813192855156017</c:v>
                      </c:pt>
                      <c:pt idx="19">
                        <c:v>0.64013887215953702</c:v>
                      </c:pt>
                      <c:pt idx="20">
                        <c:v>0.67214581576751387</c:v>
                      </c:pt>
                      <c:pt idx="21">
                        <c:v>0.70415275937549071</c:v>
                      </c:pt>
                      <c:pt idx="22">
                        <c:v>0.73615970298346756</c:v>
                      </c:pt>
                      <c:pt idx="23">
                        <c:v>0.7681666465914444</c:v>
                      </c:pt>
                      <c:pt idx="24">
                        <c:v>0.80017359019942125</c:v>
                      </c:pt>
                      <c:pt idx="25">
                        <c:v>0.83218053380739809</c:v>
                      </c:pt>
                      <c:pt idx="26">
                        <c:v>0.86418747741537494</c:v>
                      </c:pt>
                      <c:pt idx="27">
                        <c:v>0.89619442102335178</c:v>
                      </c:pt>
                      <c:pt idx="28">
                        <c:v>0.92820136463132863</c:v>
                      </c:pt>
                      <c:pt idx="29">
                        <c:v>0.96020830823930547</c:v>
                      </c:pt>
                      <c:pt idx="30">
                        <c:v>0.99221525184728232</c:v>
                      </c:pt>
                      <c:pt idx="31">
                        <c:v>1.0242221954552593</c:v>
                      </c:pt>
                      <c:pt idx="32">
                        <c:v>1.0562291390632361</c:v>
                      </c:pt>
                      <c:pt idx="33">
                        <c:v>1.088236082671213</c:v>
                      </c:pt>
                      <c:pt idx="34">
                        <c:v>1.1202430262791898</c:v>
                      </c:pt>
                      <c:pt idx="35">
                        <c:v>1.1522499698871667</c:v>
                      </c:pt>
                      <c:pt idx="36">
                        <c:v>1.1842569134951435</c:v>
                      </c:pt>
                      <c:pt idx="37">
                        <c:v>1.2162638571031203</c:v>
                      </c:pt>
                      <c:pt idx="38">
                        <c:v>1.2482708007110972</c:v>
                      </c:pt>
                      <c:pt idx="39">
                        <c:v>1.280277744319074</c:v>
                      </c:pt>
                      <c:pt idx="40">
                        <c:v>1.3122846879270509</c:v>
                      </c:pt>
                      <c:pt idx="41">
                        <c:v>1.3442916315350277</c:v>
                      </c:pt>
                      <c:pt idx="42">
                        <c:v>1.3762985751430046</c:v>
                      </c:pt>
                      <c:pt idx="43">
                        <c:v>1.4083055187509814</c:v>
                      </c:pt>
                      <c:pt idx="44">
                        <c:v>1.4403124623589583</c:v>
                      </c:pt>
                      <c:pt idx="45">
                        <c:v>1.4723194059669351</c:v>
                      </c:pt>
                      <c:pt idx="46">
                        <c:v>1.504326349574912</c:v>
                      </c:pt>
                      <c:pt idx="47">
                        <c:v>1.5363332931828888</c:v>
                      </c:pt>
                      <c:pt idx="48">
                        <c:v>1.5683402367908656</c:v>
                      </c:pt>
                      <c:pt idx="49">
                        <c:v>1.6003471803988425</c:v>
                      </c:pt>
                      <c:pt idx="50">
                        <c:v>1.6323541240068193</c:v>
                      </c:pt>
                      <c:pt idx="51">
                        <c:v>1.6643610676147962</c:v>
                      </c:pt>
                    </c:numCache>
                  </c:numRef>
                </c:val>
                <c:smooth val="0"/>
                <c:extLst xmlns:c15="http://schemas.microsoft.com/office/drawing/2012/chart">
                  <c:ext xmlns:c16="http://schemas.microsoft.com/office/drawing/2014/chart" uri="{C3380CC4-5D6E-409C-BE32-E72D297353CC}">
                    <c16:uniqueId val="{0000000B-019E-4D9F-82A8-A87BB830AA5D}"/>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'OZL Summary'!$BY$6:$BY$7</c15:sqref>
                        </c15:formulaRef>
                      </c:ext>
                    </c:extLst>
                    <c:strCache>
                      <c:ptCount val="2"/>
                      <c:pt idx="0">
                        <c:v>Max</c:v>
                      </c:pt>
                    </c:strCache>
                  </c:strRef>
                </c:tx>
                <c:marker>
                  <c:symbol val="none"/>
                </c:marker>
                <c:cat>
                  <c:numRef>
                    <c:extLst xmlns:c15="http://schemas.microsoft.com/office/drawing/2012/chart">
                      <c:ext xmlns:c15="http://schemas.microsoft.com/office/drawing/2012/chart" uri="{02D57815-91ED-43cb-92C2-25804820EDAC}">
                        <c15:formulaRef>
                          <c15:sqref>'OZL Summary'!$CL$8:$CL$60</c15:sqref>
                        </c15:formulaRef>
                      </c:ext>
                    </c:extLst>
                    <c:numCache>
                      <c:formatCode>d\-mmm\-yy_);\(###0\);"-  ";" "@" "</c:formatCode>
                      <c:ptCount val="53"/>
                      <c:pt idx="0">
                        <c:v>44747</c:v>
                      </c:pt>
                      <c:pt idx="1">
                        <c:v>44754</c:v>
                      </c:pt>
                      <c:pt idx="2">
                        <c:v>44761</c:v>
                      </c:pt>
                      <c:pt idx="3">
                        <c:v>44768</c:v>
                      </c:pt>
                      <c:pt idx="4">
                        <c:v>44775</c:v>
                      </c:pt>
                      <c:pt idx="5">
                        <c:v>44782</c:v>
                      </c:pt>
                      <c:pt idx="6">
                        <c:v>44789</c:v>
                      </c:pt>
                      <c:pt idx="7">
                        <c:v>44796</c:v>
                      </c:pt>
                      <c:pt idx="8">
                        <c:v>44803</c:v>
                      </c:pt>
                      <c:pt idx="9">
                        <c:v>44810</c:v>
                      </c:pt>
                      <c:pt idx="10">
                        <c:v>44817</c:v>
                      </c:pt>
                      <c:pt idx="11">
                        <c:v>44824</c:v>
                      </c:pt>
                      <c:pt idx="12">
                        <c:v>44831</c:v>
                      </c:pt>
                      <c:pt idx="13">
                        <c:v>44838</c:v>
                      </c:pt>
                      <c:pt idx="14">
                        <c:v>44845</c:v>
                      </c:pt>
                      <c:pt idx="15">
                        <c:v>44852</c:v>
                      </c:pt>
                      <c:pt idx="16">
                        <c:v>44859</c:v>
                      </c:pt>
                      <c:pt idx="17">
                        <c:v>44866</c:v>
                      </c:pt>
                      <c:pt idx="18">
                        <c:v>44873</c:v>
                      </c:pt>
                      <c:pt idx="19">
                        <c:v>44880</c:v>
                      </c:pt>
                      <c:pt idx="20">
                        <c:v>44887</c:v>
                      </c:pt>
                      <c:pt idx="21">
                        <c:v>44894</c:v>
                      </c:pt>
                      <c:pt idx="22">
                        <c:v>44901</c:v>
                      </c:pt>
                      <c:pt idx="23">
                        <c:v>44908</c:v>
                      </c:pt>
                      <c:pt idx="24">
                        <c:v>44915</c:v>
                      </c:pt>
                      <c:pt idx="25">
                        <c:v>44922</c:v>
                      </c:pt>
                      <c:pt idx="26">
                        <c:v>44929</c:v>
                      </c:pt>
                      <c:pt idx="27">
                        <c:v>44936</c:v>
                      </c:pt>
                      <c:pt idx="28">
                        <c:v>44943</c:v>
                      </c:pt>
                      <c:pt idx="29">
                        <c:v>44950</c:v>
                      </c:pt>
                      <c:pt idx="30">
                        <c:v>44957</c:v>
                      </c:pt>
                      <c:pt idx="31">
                        <c:v>44964</c:v>
                      </c:pt>
                      <c:pt idx="32">
                        <c:v>44971</c:v>
                      </c:pt>
                      <c:pt idx="33">
                        <c:v>44978</c:v>
                      </c:pt>
                      <c:pt idx="34">
                        <c:v>44985</c:v>
                      </c:pt>
                      <c:pt idx="35">
                        <c:v>44992</c:v>
                      </c:pt>
                      <c:pt idx="36">
                        <c:v>44999</c:v>
                      </c:pt>
                      <c:pt idx="37">
                        <c:v>45006</c:v>
                      </c:pt>
                      <c:pt idx="38">
                        <c:v>45013</c:v>
                      </c:pt>
                      <c:pt idx="39">
                        <c:v>45020</c:v>
                      </c:pt>
                      <c:pt idx="40">
                        <c:v>45027</c:v>
                      </c:pt>
                      <c:pt idx="41">
                        <c:v>45034</c:v>
                      </c:pt>
                      <c:pt idx="42">
                        <c:v>45041</c:v>
                      </c:pt>
                      <c:pt idx="43">
                        <c:v>45048</c:v>
                      </c:pt>
                      <c:pt idx="44">
                        <c:v>45055</c:v>
                      </c:pt>
                      <c:pt idx="45">
                        <c:v>45062</c:v>
                      </c:pt>
                      <c:pt idx="46">
                        <c:v>45069</c:v>
                      </c:pt>
                      <c:pt idx="47">
                        <c:v>45076</c:v>
                      </c:pt>
                      <c:pt idx="48">
                        <c:v>45083</c:v>
                      </c:pt>
                      <c:pt idx="49">
                        <c:v>45090</c:v>
                      </c:pt>
                      <c:pt idx="50">
                        <c:v>45097</c:v>
                      </c:pt>
                      <c:pt idx="51">
                        <c:v>45104</c:v>
                      </c:pt>
                    </c:numCache>
                  </c:numRef>
                </c:cat>
                <c:val>
                  <c:numRef>
                    <c:extLst xmlns:c15="http://schemas.microsoft.com/office/drawing/2012/chart">
                      <c:ext xmlns:c15="http://schemas.microsoft.com/office/drawing/2012/chart" uri="{02D57815-91ED-43cb-92C2-25804820EDAC}">
                        <c15:formulaRef>
                          <c15:sqref>'OZL Summary'!$BY$8:$BY$60</c15:sqref>
                        </c15:formulaRef>
                      </c:ext>
                    </c:extLst>
                    <c:numCache>
                      <c:formatCode>0.000</c:formatCode>
                      <c:ptCount val="53"/>
                      <c:pt idx="0">
                        <c:v>3.9503586953510528E-2</c:v>
                      </c:pt>
                      <c:pt idx="1">
                        <c:v>7.9007173907021055E-2</c:v>
                      </c:pt>
                      <c:pt idx="2">
                        <c:v>0.11851076086053158</c:v>
                      </c:pt>
                      <c:pt idx="3">
                        <c:v>0.15801434781404211</c:v>
                      </c:pt>
                      <c:pt idx="4">
                        <c:v>0.19751793476755264</c:v>
                      </c:pt>
                      <c:pt idx="5">
                        <c:v>0.23702152172106317</c:v>
                      </c:pt>
                      <c:pt idx="6">
                        <c:v>0.27652510867457369</c:v>
                      </c:pt>
                      <c:pt idx="7">
                        <c:v>0.31602869562808422</c:v>
                      </c:pt>
                      <c:pt idx="8">
                        <c:v>0.35553228258159475</c:v>
                      </c:pt>
                      <c:pt idx="9">
                        <c:v>0.39503586953510528</c:v>
                      </c:pt>
                      <c:pt idx="10">
                        <c:v>0.43453945648861581</c:v>
                      </c:pt>
                      <c:pt idx="11">
                        <c:v>0.47404304344212633</c:v>
                      </c:pt>
                      <c:pt idx="12">
                        <c:v>0.51354663039563686</c:v>
                      </c:pt>
                      <c:pt idx="13">
                        <c:v>0.55305021734914739</c:v>
                      </c:pt>
                      <c:pt idx="14">
                        <c:v>0.59255380430265792</c:v>
                      </c:pt>
                      <c:pt idx="15">
                        <c:v>0.63205739125616844</c:v>
                      </c:pt>
                      <c:pt idx="16">
                        <c:v>0.67156097820967897</c:v>
                      </c:pt>
                      <c:pt idx="17">
                        <c:v>0.7110645651631895</c:v>
                      </c:pt>
                      <c:pt idx="18">
                        <c:v>0.75056815211670003</c:v>
                      </c:pt>
                      <c:pt idx="19">
                        <c:v>0.79007173907021055</c:v>
                      </c:pt>
                      <c:pt idx="20">
                        <c:v>0.82957532602372108</c:v>
                      </c:pt>
                      <c:pt idx="21">
                        <c:v>0.86907891297723161</c:v>
                      </c:pt>
                      <c:pt idx="22">
                        <c:v>0.90858249993074214</c:v>
                      </c:pt>
                      <c:pt idx="23">
                        <c:v>0.94808608688425267</c:v>
                      </c:pt>
                      <c:pt idx="24">
                        <c:v>0.98758967383776319</c:v>
                      </c:pt>
                      <c:pt idx="25">
                        <c:v>1.0270932607912737</c:v>
                      </c:pt>
                      <c:pt idx="26">
                        <c:v>1.0665968477447842</c:v>
                      </c:pt>
                      <c:pt idx="27">
                        <c:v>1.1061004346982948</c:v>
                      </c:pt>
                      <c:pt idx="28">
                        <c:v>1.1456040216518053</c:v>
                      </c:pt>
                      <c:pt idx="29">
                        <c:v>1.1851076086053158</c:v>
                      </c:pt>
                      <c:pt idx="30">
                        <c:v>1.2246111955588264</c:v>
                      </c:pt>
                      <c:pt idx="31">
                        <c:v>1.2641147825123369</c:v>
                      </c:pt>
                      <c:pt idx="32">
                        <c:v>1.3036183694658474</c:v>
                      </c:pt>
                      <c:pt idx="33">
                        <c:v>1.3431219564193579</c:v>
                      </c:pt>
                      <c:pt idx="34">
                        <c:v>1.3826255433728685</c:v>
                      </c:pt>
                      <c:pt idx="35">
                        <c:v>1.422129130326379</c:v>
                      </c:pt>
                      <c:pt idx="36">
                        <c:v>1.4616327172798895</c:v>
                      </c:pt>
                      <c:pt idx="37">
                        <c:v>1.5011363042334001</c:v>
                      </c:pt>
                      <c:pt idx="38">
                        <c:v>1.5406398911869106</c:v>
                      </c:pt>
                      <c:pt idx="39">
                        <c:v>1.5801434781404211</c:v>
                      </c:pt>
                      <c:pt idx="40">
                        <c:v>1.6196470650939316</c:v>
                      </c:pt>
                      <c:pt idx="41">
                        <c:v>1.6591506520474422</c:v>
                      </c:pt>
                      <c:pt idx="42">
                        <c:v>1.6986542390009527</c:v>
                      </c:pt>
                      <c:pt idx="43">
                        <c:v>1.7381578259544632</c:v>
                      </c:pt>
                      <c:pt idx="44">
                        <c:v>1.7776614129079737</c:v>
                      </c:pt>
                      <c:pt idx="45">
                        <c:v>1.8171649998614843</c:v>
                      </c:pt>
                      <c:pt idx="46">
                        <c:v>1.8566685868149948</c:v>
                      </c:pt>
                      <c:pt idx="47">
                        <c:v>1.8961721737685053</c:v>
                      </c:pt>
                      <c:pt idx="48">
                        <c:v>1.9356757607220159</c:v>
                      </c:pt>
                      <c:pt idx="49">
                        <c:v>1.9751793476755264</c:v>
                      </c:pt>
                      <c:pt idx="50">
                        <c:v>2.0146829346290369</c:v>
                      </c:pt>
                      <c:pt idx="51">
                        <c:v>2.0541865215825474</c:v>
                      </c:pt>
                    </c:numCache>
                  </c:numRef>
                </c:val>
                <c:smooth val="0"/>
                <c:extLst xmlns:c15="http://schemas.microsoft.com/office/drawing/2012/chart">
                  <c:ext xmlns:c16="http://schemas.microsoft.com/office/drawing/2014/chart" uri="{C3380CC4-5D6E-409C-BE32-E72D297353CC}">
                    <c16:uniqueId val="{0000000C-019E-4D9F-82A8-A87BB830AA5D}"/>
                  </c:ext>
                </c:extLst>
              </c15:ser>
            </c15:filteredLineSeries>
          </c:ext>
        </c:extLst>
      </c:lineChart>
      <c:dateAx>
        <c:axId val="1388952432"/>
        <c:scaling>
          <c:orientation val="minMax"/>
        </c:scaling>
        <c:delete val="0"/>
        <c:axPos val="b"/>
        <c:numFmt formatCode="mmm\-yy" sourceLinked="0"/>
        <c:majorTickMark val="none"/>
        <c:minorTickMark val="none"/>
        <c:tickLblPos val="nextTo"/>
        <c:spPr>
          <a:noFill/>
          <a:ln w="9525" cap="flat" cmpd="sng" algn="ctr">
            <a:noFill/>
            <a:round/>
          </a:ln>
          <a:effectLst/>
        </c:spPr>
        <c:txPr>
          <a:bodyPr rot="-5400000" vert="horz"/>
          <a:lstStyle/>
          <a:p>
            <a:pPr>
              <a:defRPr/>
            </a:pPr>
            <a:endParaRPr lang="en-US"/>
          </a:p>
        </c:txPr>
        <c:crossAx val="1388953088"/>
        <c:crosses val="autoZero"/>
        <c:auto val="1"/>
        <c:lblOffset val="100"/>
        <c:baseTimeUnit val="days"/>
        <c:majorUnit val="1"/>
        <c:majorTimeUnit val="months"/>
      </c:dateAx>
      <c:valAx>
        <c:axId val="13889530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vert="horz"/>
          <a:lstStyle/>
          <a:p>
            <a:pPr>
              <a:defRPr/>
            </a:pPr>
            <a:endParaRPr lang="en-US"/>
          </a:p>
        </c:txPr>
        <c:crossAx val="1388952432"/>
        <c:crosses val="autoZero"/>
        <c:crossBetween val="between"/>
        <c:majorUnit val="0.5"/>
      </c:valAx>
    </c:plotArea>
    <c:legend>
      <c:legendPos val="b"/>
      <c:legendEntry>
        <c:idx val="1"/>
        <c:delete val="1"/>
      </c:legendEntry>
      <c:legendEntry>
        <c:idx val="3"/>
        <c:delete val="1"/>
      </c:legendEntry>
      <c:legendEntry>
        <c:idx val="4"/>
        <c:delete val="1"/>
      </c:legendEntry>
      <c:legendEntry>
        <c:idx val="5"/>
        <c:delete val="1"/>
      </c:legendEntry>
      <c:overlay val="0"/>
      <c:spPr>
        <a:noFill/>
        <a:ln>
          <a:noFill/>
        </a:ln>
        <a:effectLst/>
      </c:spPr>
      <c:txPr>
        <a:bodyPr rot="0" vert="horz"/>
        <a:lstStyle/>
        <a:p>
          <a:pPr>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sz="900">
          <a:solidFill>
            <a:sysClr val="windowText" lastClr="000000"/>
          </a:solidFill>
        </a:defRPr>
      </a:pPr>
      <a:endParaRPr lang="en-US"/>
    </a:p>
  </c:txPr>
  <c:printSettings>
    <c:headerFooter/>
    <c:pageMargins b="0.75" l="0.7" r="0.7" t="0.75" header="0.3" footer="0.3"/>
    <c:pageSetup orientation="portrait"/>
  </c:printSettings>
</c:chartSpace>
</file>

<file path=xl/charts/chart1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'OZL Summary'!$BN$6:$BN$7</c:f>
              <c:strCache>
                <c:ptCount val="2"/>
                <c:pt idx="0">
                  <c:v>Actual</c:v>
                </c:pt>
              </c:strCache>
            </c:strRef>
          </c:tx>
          <c:spPr>
            <a:ln w="28575" cap="rnd">
              <a:solidFill>
                <a:schemeClr val="tx2"/>
              </a:solidFill>
              <a:round/>
            </a:ln>
            <a:effectLst/>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Summary'!$BN$8:$BN$60</c:f>
              <c:numCache>
                <c:formatCode>0.000</c:formatCode>
                <c:ptCount val="53"/>
                <c:pt idx="0">
                  <c:v>3.4282144018799997E-2</c:v>
                </c:pt>
                <c:pt idx="1">
                  <c:v>4.61727482976E-2</c:v>
                </c:pt>
                <c:pt idx="2">
                  <c:v>6.0744925144799997E-2</c:v>
                </c:pt>
                <c:pt idx="3">
                  <c:v>7.9887071887199998E-2</c:v>
                </c:pt>
                <c:pt idx="4">
                  <c:v>9.0591598206000004E-2</c:v>
                </c:pt>
                <c:pt idx="5">
                  <c:v>0.10471594425839999</c:v>
                </c:pt>
                <c:pt idx="6">
                  <c:v>0.13024126318319998</c:v>
                </c:pt>
                <c:pt idx="7">
                  <c:v>0.14299494069599997</c:v>
                </c:pt>
                <c:pt idx="8">
                  <c:v>0.15712274134439999</c:v>
                </c:pt>
                <c:pt idx="9">
                  <c:v>0.18211939192799997</c:v>
                </c:pt>
                <c:pt idx="10">
                  <c:v>0.21562528822559998</c:v>
                </c:pt>
                <c:pt idx="11">
                  <c:v>0.26312805598319994</c:v>
                </c:pt>
                <c:pt idx="12">
                  <c:v>0.27559419595559997</c:v>
                </c:pt>
                <c:pt idx="13">
                  <c:v>0.29338294713839996</c:v>
                </c:pt>
                <c:pt idx="14">
                  <c:v>0.31479798774239992</c:v>
                </c:pt>
                <c:pt idx="15">
                  <c:v>0.34138237064759991</c:v>
                </c:pt>
                <c:pt idx="16">
                  <c:v>0.38401116406199992</c:v>
                </c:pt>
                <c:pt idx="17">
                  <c:v>0.45353502371519994</c:v>
                </c:pt>
                <c:pt idx="18">
                  <c:v>0.46636884785519994</c:v>
                </c:pt>
                <c:pt idx="19">
                  <c:v>0.48057414660719988</c:v>
                </c:pt>
                <c:pt idx="20">
                  <c:v>0.50512031787239997</c:v>
                </c:pt>
                <c:pt idx="21">
                  <c:v>0.53195446806839985</c:v>
                </c:pt>
                <c:pt idx="22">
                  <c:v>0.57374874624239991</c:v>
                </c:pt>
                <c:pt idx="23">
                  <c:v>0.58543426267199994</c:v>
                </c:pt>
                <c:pt idx="24">
                  <c:v>0.59798193110999986</c:v>
                </c:pt>
                <c:pt idx="25">
                  <c:v>0.60953824564919989</c:v>
                </c:pt>
                <c:pt idx="26">
                  <c:v>0.62793005414039982</c:v>
                </c:pt>
                <c:pt idx="27">
                  <c:v>0.66085868744639986</c:v>
                </c:pt>
                <c:pt idx="28">
                  <c:v>0.70280784667439988</c:v>
                </c:pt>
                <c:pt idx="29">
                  <c:v>0.76647478426919979</c:v>
                </c:pt>
                <c:pt idx="30">
                  <c:v>0.77875598820239988</c:v>
                </c:pt>
                <c:pt idx="31">
                  <c:v>0.79341798454559986</c:v>
                </c:pt>
                <c:pt idx="32">
                  <c:v>0.81253514304359986</c:v>
                </c:pt>
                <c:pt idx="33">
                  <c:v>0.82340606573639985</c:v>
                </c:pt>
                <c:pt idx="34">
                  <c:v>0.84006470341439987</c:v>
                </c:pt>
                <c:pt idx="35">
                  <c:v>0.86433934343399987</c:v>
                </c:pt>
                <c:pt idx="36">
                  <c:v>0.87578580182039989</c:v>
                </c:pt>
                <c:pt idx="37">
                  <c:v>0.89565744408479986</c:v>
                </c:pt>
                <c:pt idx="38">
                  <c:v>0.90846581936759985</c:v>
                </c:pt>
                <c:pt idx="39">
                  <c:v>0.91858582836759983</c:v>
                </c:pt>
                <c:pt idx="40">
                  <c:v>0.93370152831879982</c:v>
                </c:pt>
                <c:pt idx="41">
                  <c:v>0.95559030918759991</c:v>
                </c:pt>
                <c:pt idx="42">
                  <c:v>0.98300771034159995</c:v>
                </c:pt>
                <c:pt idx="43">
                  <c:v>0.99330666708999993</c:v>
                </c:pt>
                <c:pt idx="44">
                  <c:v>1.0075762213275998</c:v>
                </c:pt>
                <c:pt idx="45">
                  <c:v>1.0281208537475999</c:v>
                </c:pt>
                <c:pt idx="46">
                  <c:v>1.0382225415931998</c:v>
                </c:pt>
                <c:pt idx="47">
                  <c:v>1.0541579684225999</c:v>
                </c:pt>
                <c:pt idx="48">
                  <c:v>1.0687637971379997</c:v>
                </c:pt>
                <c:pt idx="49">
                  <c:v>1.0815684581785998</c:v>
                </c:pt>
                <c:pt idx="50">
                  <c:v>1.0986668252266998</c:v>
                </c:pt>
                <c:pt idx="51">
                  <c:v>1.1194431701510998</c:v>
                </c:pt>
              </c:numCache>
            </c:numRef>
          </c:val>
          <c:smooth val="0"/>
          <c:extLst>
            <c:ext xmlns:c16="http://schemas.microsoft.com/office/drawing/2014/chart" uri="{C3380CC4-5D6E-409C-BE32-E72D297353CC}">
              <c16:uniqueId val="{00000000-074B-413A-A8D5-925D459C25F7}"/>
            </c:ext>
          </c:extLst>
        </c:ser>
        <c:ser>
          <c:idx val="1"/>
          <c:order val="4"/>
          <c:tx>
            <c:strRef>
              <c:f>'OZL Summary'!$BR$6:$BR$7</c:f>
              <c:strCache>
                <c:ptCount val="2"/>
                <c:pt idx="0">
                  <c:v>10th Percentile</c:v>
                </c:pt>
              </c:strCache>
            </c:strRef>
          </c:tx>
          <c:spPr>
            <a:ln w="28575" cap="rnd" cmpd="sng">
              <a:solidFill>
                <a:schemeClr val="accent6"/>
              </a:solidFill>
              <a:prstDash val="sysDot"/>
              <a:round/>
              <a:headEnd type="none"/>
            </a:ln>
            <a:effectLst/>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Summary'!$BR$8:$BR$60</c:f>
              <c:numCache>
                <c:formatCode>0.000</c:formatCode>
                <c:ptCount val="53"/>
                <c:pt idx="0">
                  <c:v>2.0199848897457344E-2</c:v>
                </c:pt>
                <c:pt idx="1">
                  <c:v>4.0399697794914688E-2</c:v>
                </c:pt>
                <c:pt idx="2">
                  <c:v>6.0599546692372032E-2</c:v>
                </c:pt>
                <c:pt idx="3">
                  <c:v>8.0799395589829376E-2</c:v>
                </c:pt>
                <c:pt idx="4">
                  <c:v>0.10099924448728673</c:v>
                </c:pt>
                <c:pt idx="5">
                  <c:v>0.12119909338474408</c:v>
                </c:pt>
                <c:pt idx="6">
                  <c:v>0.14139894228220143</c:v>
                </c:pt>
                <c:pt idx="7">
                  <c:v>0.16159879117965878</c:v>
                </c:pt>
                <c:pt idx="8">
                  <c:v>0.18179864007711613</c:v>
                </c:pt>
                <c:pt idx="9">
                  <c:v>0.20199848897457348</c:v>
                </c:pt>
                <c:pt idx="10">
                  <c:v>0.22219833787203083</c:v>
                </c:pt>
                <c:pt idx="11">
                  <c:v>0.24239818676948818</c:v>
                </c:pt>
                <c:pt idx="12">
                  <c:v>0.26259803566694551</c:v>
                </c:pt>
                <c:pt idx="13">
                  <c:v>0.28279788456440286</c:v>
                </c:pt>
                <c:pt idx="14">
                  <c:v>0.30299773346186021</c:v>
                </c:pt>
                <c:pt idx="15">
                  <c:v>0.32319758235931756</c:v>
                </c:pt>
                <c:pt idx="16">
                  <c:v>0.34339743125677491</c:v>
                </c:pt>
                <c:pt idx="17">
                  <c:v>0.36359728015423226</c:v>
                </c:pt>
                <c:pt idx="18">
                  <c:v>0.38379712905168961</c:v>
                </c:pt>
                <c:pt idx="19">
                  <c:v>0.40399697794914696</c:v>
                </c:pt>
                <c:pt idx="20">
                  <c:v>0.42419682684660431</c:v>
                </c:pt>
                <c:pt idx="21">
                  <c:v>0.44439667574406166</c:v>
                </c:pt>
                <c:pt idx="22">
                  <c:v>0.46459652464151902</c:v>
                </c:pt>
                <c:pt idx="23">
                  <c:v>0.48479637353897637</c:v>
                </c:pt>
                <c:pt idx="24">
                  <c:v>0.50499622243643372</c:v>
                </c:pt>
                <c:pt idx="25">
                  <c:v>0.52519607133389101</c:v>
                </c:pt>
                <c:pt idx="26">
                  <c:v>0.54539592023134831</c:v>
                </c:pt>
                <c:pt idx="27">
                  <c:v>0.5655957691288056</c:v>
                </c:pt>
                <c:pt idx="28">
                  <c:v>0.5857956180262629</c:v>
                </c:pt>
                <c:pt idx="29">
                  <c:v>0.60599546692372019</c:v>
                </c:pt>
                <c:pt idx="30">
                  <c:v>0.62619531582117749</c:v>
                </c:pt>
                <c:pt idx="31">
                  <c:v>0.64639516471863478</c:v>
                </c:pt>
                <c:pt idx="32">
                  <c:v>0.66659501361609208</c:v>
                </c:pt>
                <c:pt idx="33">
                  <c:v>0.68679486251354938</c:v>
                </c:pt>
                <c:pt idx="34">
                  <c:v>0.70699471141100667</c:v>
                </c:pt>
                <c:pt idx="35">
                  <c:v>0.72719456030846397</c:v>
                </c:pt>
                <c:pt idx="36">
                  <c:v>0.74739440920592126</c:v>
                </c:pt>
                <c:pt idx="37">
                  <c:v>0.76759425810337856</c:v>
                </c:pt>
                <c:pt idx="38">
                  <c:v>0.78779410700083585</c:v>
                </c:pt>
                <c:pt idx="39">
                  <c:v>0.80799395589829315</c:v>
                </c:pt>
                <c:pt idx="40">
                  <c:v>0.82819380479575044</c:v>
                </c:pt>
                <c:pt idx="41">
                  <c:v>0.84839365369320774</c:v>
                </c:pt>
                <c:pt idx="42">
                  <c:v>0.86859350259066503</c:v>
                </c:pt>
                <c:pt idx="43">
                  <c:v>0.88879335148812233</c:v>
                </c:pt>
                <c:pt idx="44">
                  <c:v>0.90899320038557962</c:v>
                </c:pt>
                <c:pt idx="45">
                  <c:v>0.92919304928303692</c:v>
                </c:pt>
                <c:pt idx="46">
                  <c:v>0.94939289818049422</c:v>
                </c:pt>
                <c:pt idx="47">
                  <c:v>0.96959274707795151</c:v>
                </c:pt>
                <c:pt idx="48">
                  <c:v>0.98979259597540881</c:v>
                </c:pt>
                <c:pt idx="49">
                  <c:v>1.0099924448728661</c:v>
                </c:pt>
                <c:pt idx="50">
                  <c:v>1.0301922937703234</c:v>
                </c:pt>
                <c:pt idx="51">
                  <c:v>1.0503921426677807</c:v>
                </c:pt>
              </c:numCache>
            </c:numRef>
          </c:val>
          <c:smooth val="0"/>
          <c:extLst xmlns:c15="http://schemas.microsoft.com/office/drawing/2012/chart">
            <c:ext xmlns:c16="http://schemas.microsoft.com/office/drawing/2014/chart" uri="{C3380CC4-5D6E-409C-BE32-E72D297353CC}">
              <c16:uniqueId val="{00000001-074B-413A-A8D5-925D459C25F7}"/>
            </c:ext>
          </c:extLst>
        </c:ser>
        <c:ser>
          <c:idx val="4"/>
          <c:order val="6"/>
          <c:tx>
            <c:strRef>
              <c:f>'OZL Summary'!$BT$6:$BT$7</c:f>
              <c:strCache>
                <c:ptCount val="2"/>
                <c:pt idx="0">
                  <c:v>50th Percentile</c:v>
                </c:pt>
              </c:strCache>
            </c:strRef>
          </c:tx>
          <c:spPr>
            <a:ln w="28575">
              <a:solidFill>
                <a:schemeClr val="bg2"/>
              </a:solidFill>
              <a:prstDash val="sysDot"/>
            </a:ln>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Summary'!$BT$8:$BT$60</c:f>
              <c:numCache>
                <c:formatCode>0.000</c:formatCode>
                <c:ptCount val="53"/>
                <c:pt idx="0">
                  <c:v>2.3469807538576672E-2</c:v>
                </c:pt>
                <c:pt idx="1">
                  <c:v>4.6939615077153343E-2</c:v>
                </c:pt>
                <c:pt idx="2">
                  <c:v>7.0409422615730022E-2</c:v>
                </c:pt>
                <c:pt idx="3">
                  <c:v>9.3879230154306686E-2</c:v>
                </c:pt>
                <c:pt idx="4">
                  <c:v>0.11734903769288335</c:v>
                </c:pt>
                <c:pt idx="5">
                  <c:v>0.14081884523146002</c:v>
                </c:pt>
                <c:pt idx="6">
                  <c:v>0.16428865277003668</c:v>
                </c:pt>
                <c:pt idx="7">
                  <c:v>0.18775846030861335</c:v>
                </c:pt>
                <c:pt idx="8">
                  <c:v>0.21122826784719001</c:v>
                </c:pt>
                <c:pt idx="9">
                  <c:v>0.23469807538576667</c:v>
                </c:pt>
                <c:pt idx="10">
                  <c:v>0.25816788292434334</c:v>
                </c:pt>
                <c:pt idx="11">
                  <c:v>0.28163769046292003</c:v>
                </c:pt>
                <c:pt idx="12">
                  <c:v>0.30510749800149672</c:v>
                </c:pt>
                <c:pt idx="13">
                  <c:v>0.32857730554007342</c:v>
                </c:pt>
                <c:pt idx="14">
                  <c:v>0.35204711307865011</c:v>
                </c:pt>
                <c:pt idx="15">
                  <c:v>0.3755169206172268</c:v>
                </c:pt>
                <c:pt idx="16">
                  <c:v>0.39898672815580349</c:v>
                </c:pt>
                <c:pt idx="17">
                  <c:v>0.42245653569438019</c:v>
                </c:pt>
                <c:pt idx="18">
                  <c:v>0.44592634323295688</c:v>
                </c:pt>
                <c:pt idx="19">
                  <c:v>0.46939615077153357</c:v>
                </c:pt>
                <c:pt idx="20">
                  <c:v>0.49286595831011026</c:v>
                </c:pt>
                <c:pt idx="21">
                  <c:v>0.5163357658486869</c:v>
                </c:pt>
                <c:pt idx="22">
                  <c:v>0.53980557338726354</c:v>
                </c:pt>
                <c:pt idx="23">
                  <c:v>0.56327538092584017</c:v>
                </c:pt>
                <c:pt idx="24">
                  <c:v>0.58674518846441681</c:v>
                </c:pt>
                <c:pt idx="25">
                  <c:v>0.61021499600299345</c:v>
                </c:pt>
                <c:pt idx="26">
                  <c:v>0.63368480354157009</c:v>
                </c:pt>
                <c:pt idx="27">
                  <c:v>0.65715461108014672</c:v>
                </c:pt>
                <c:pt idx="28">
                  <c:v>0.68062441861872336</c:v>
                </c:pt>
                <c:pt idx="29">
                  <c:v>0.7040942261573</c:v>
                </c:pt>
                <c:pt idx="30">
                  <c:v>0.72756403369587663</c:v>
                </c:pt>
                <c:pt idx="31">
                  <c:v>0.75103384123445327</c:v>
                </c:pt>
                <c:pt idx="32">
                  <c:v>0.77450364877302991</c:v>
                </c:pt>
                <c:pt idx="33">
                  <c:v>0.79797345631160654</c:v>
                </c:pt>
                <c:pt idx="34">
                  <c:v>0.82144326385018318</c:v>
                </c:pt>
                <c:pt idx="35">
                  <c:v>0.84491307138875982</c:v>
                </c:pt>
                <c:pt idx="36">
                  <c:v>0.86838287892733645</c:v>
                </c:pt>
                <c:pt idx="37">
                  <c:v>0.89185268646591309</c:v>
                </c:pt>
                <c:pt idx="38">
                  <c:v>0.91532249400448973</c:v>
                </c:pt>
                <c:pt idx="39">
                  <c:v>0.93879230154306637</c:v>
                </c:pt>
                <c:pt idx="40">
                  <c:v>0.962262109081643</c:v>
                </c:pt>
                <c:pt idx="41">
                  <c:v>0.98573191662021964</c:v>
                </c:pt>
                <c:pt idx="42">
                  <c:v>1.0092017241587963</c:v>
                </c:pt>
                <c:pt idx="43">
                  <c:v>1.0326715316973729</c:v>
                </c:pt>
                <c:pt idx="44">
                  <c:v>1.0561413392359496</c:v>
                </c:pt>
                <c:pt idx="45">
                  <c:v>1.0796111467745262</c:v>
                </c:pt>
                <c:pt idx="46">
                  <c:v>1.1030809543131028</c:v>
                </c:pt>
                <c:pt idx="47">
                  <c:v>1.1265507618516795</c:v>
                </c:pt>
                <c:pt idx="48">
                  <c:v>1.1500205693902561</c:v>
                </c:pt>
                <c:pt idx="49">
                  <c:v>1.1734903769288327</c:v>
                </c:pt>
                <c:pt idx="50">
                  <c:v>1.1969601844674094</c:v>
                </c:pt>
                <c:pt idx="51">
                  <c:v>1.220429992005986</c:v>
                </c:pt>
              </c:numCache>
            </c:numRef>
          </c:val>
          <c:smooth val="0"/>
          <c:extLst xmlns:c15="http://schemas.microsoft.com/office/drawing/2012/chart">
            <c:ext xmlns:c16="http://schemas.microsoft.com/office/drawing/2014/chart" uri="{C3380CC4-5D6E-409C-BE32-E72D297353CC}">
              <c16:uniqueId val="{00000002-074B-413A-A8D5-925D459C25F7}"/>
            </c:ext>
          </c:extLst>
        </c:ser>
        <c:ser>
          <c:idx val="8"/>
          <c:order val="8"/>
          <c:tx>
            <c:strRef>
              <c:f>'OZL Summary'!$BV$6:$BV$7</c:f>
              <c:strCache>
                <c:ptCount val="2"/>
                <c:pt idx="0">
                  <c:v>90th Percentile</c:v>
                </c:pt>
              </c:strCache>
            </c:strRef>
          </c:tx>
          <c:spPr>
            <a:ln w="28575">
              <a:solidFill>
                <a:schemeClr val="accent1"/>
              </a:solidFill>
              <a:prstDash val="sysDot"/>
            </a:ln>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Summary'!$BV$8:$BV$60</c:f>
              <c:numCache>
                <c:formatCode>0.000</c:formatCode>
                <c:ptCount val="53"/>
                <c:pt idx="0">
                  <c:v>2.7720420236719803E-2</c:v>
                </c:pt>
                <c:pt idx="1">
                  <c:v>5.5440840473439605E-2</c:v>
                </c:pt>
                <c:pt idx="2">
                  <c:v>8.3161260710159404E-2</c:v>
                </c:pt>
                <c:pt idx="3">
                  <c:v>0.11088168094687921</c:v>
                </c:pt>
                <c:pt idx="4">
                  <c:v>0.138602101183599</c:v>
                </c:pt>
                <c:pt idx="5">
                  <c:v>0.16632252142031881</c:v>
                </c:pt>
                <c:pt idx="6">
                  <c:v>0.19404294165703861</c:v>
                </c:pt>
                <c:pt idx="7">
                  <c:v>0.22176336189375842</c:v>
                </c:pt>
                <c:pt idx="8">
                  <c:v>0.24948378213047823</c:v>
                </c:pt>
                <c:pt idx="9">
                  <c:v>0.277204202367198</c:v>
                </c:pt>
                <c:pt idx="10">
                  <c:v>0.30492462260391778</c:v>
                </c:pt>
                <c:pt idx="11">
                  <c:v>0.33264504284063756</c:v>
                </c:pt>
                <c:pt idx="12">
                  <c:v>0.36036546307735734</c:v>
                </c:pt>
                <c:pt idx="13">
                  <c:v>0.38808588331407712</c:v>
                </c:pt>
                <c:pt idx="14">
                  <c:v>0.4158063035507969</c:v>
                </c:pt>
                <c:pt idx="15">
                  <c:v>0.44352672378751667</c:v>
                </c:pt>
                <c:pt idx="16">
                  <c:v>0.47124714402423645</c:v>
                </c:pt>
                <c:pt idx="17">
                  <c:v>0.49896756426095623</c:v>
                </c:pt>
                <c:pt idx="18">
                  <c:v>0.52668798449767606</c:v>
                </c:pt>
                <c:pt idx="19">
                  <c:v>0.5544084047343959</c:v>
                </c:pt>
                <c:pt idx="20">
                  <c:v>0.58212882497111573</c:v>
                </c:pt>
                <c:pt idx="21">
                  <c:v>0.60984924520783557</c:v>
                </c:pt>
                <c:pt idx="22">
                  <c:v>0.6375696654445554</c:v>
                </c:pt>
                <c:pt idx="23">
                  <c:v>0.66529008568127523</c:v>
                </c:pt>
                <c:pt idx="24">
                  <c:v>0.69301050591799507</c:v>
                </c:pt>
                <c:pt idx="25">
                  <c:v>0.7207309261547149</c:v>
                </c:pt>
                <c:pt idx="26">
                  <c:v>0.74845134639143474</c:v>
                </c:pt>
                <c:pt idx="27">
                  <c:v>0.77617176662815457</c:v>
                </c:pt>
                <c:pt idx="28">
                  <c:v>0.8038921868648744</c:v>
                </c:pt>
                <c:pt idx="29">
                  <c:v>0.83161260710159424</c:v>
                </c:pt>
                <c:pt idx="30">
                  <c:v>0.85933302733831407</c:v>
                </c:pt>
                <c:pt idx="31">
                  <c:v>0.8870534475750339</c:v>
                </c:pt>
                <c:pt idx="32">
                  <c:v>0.91477386781175374</c:v>
                </c:pt>
                <c:pt idx="33">
                  <c:v>0.94249428804847357</c:v>
                </c:pt>
                <c:pt idx="34">
                  <c:v>0.97021470828519341</c:v>
                </c:pt>
                <c:pt idx="35">
                  <c:v>0.99793512852191324</c:v>
                </c:pt>
                <c:pt idx="36">
                  <c:v>1.025655548758633</c:v>
                </c:pt>
                <c:pt idx="37">
                  <c:v>1.0533759689953528</c:v>
                </c:pt>
                <c:pt idx="38">
                  <c:v>1.0810963892320726</c:v>
                </c:pt>
                <c:pt idx="39">
                  <c:v>1.1088168094687925</c:v>
                </c:pt>
                <c:pt idx="40">
                  <c:v>1.1365372297055123</c:v>
                </c:pt>
                <c:pt idx="41">
                  <c:v>1.1642576499422321</c:v>
                </c:pt>
                <c:pt idx="42">
                  <c:v>1.191978070178952</c:v>
                </c:pt>
                <c:pt idx="43">
                  <c:v>1.2196984904156718</c:v>
                </c:pt>
                <c:pt idx="44">
                  <c:v>1.2474189106523916</c:v>
                </c:pt>
                <c:pt idx="45">
                  <c:v>1.2751393308891115</c:v>
                </c:pt>
                <c:pt idx="46">
                  <c:v>1.3028597511258313</c:v>
                </c:pt>
                <c:pt idx="47">
                  <c:v>1.3305801713625511</c:v>
                </c:pt>
                <c:pt idx="48">
                  <c:v>1.358300591599271</c:v>
                </c:pt>
                <c:pt idx="49">
                  <c:v>1.3860210118359908</c:v>
                </c:pt>
                <c:pt idx="50">
                  <c:v>1.4137414320727106</c:v>
                </c:pt>
                <c:pt idx="51">
                  <c:v>1.4414618523094305</c:v>
                </c:pt>
              </c:numCache>
            </c:numRef>
          </c:val>
          <c:smooth val="0"/>
          <c:extLst xmlns:c15="http://schemas.microsoft.com/office/drawing/2012/chart">
            <c:ext xmlns:c16="http://schemas.microsoft.com/office/drawing/2014/chart" uri="{C3380CC4-5D6E-409C-BE32-E72D297353CC}">
              <c16:uniqueId val="{00000003-074B-413A-A8D5-925D459C25F7}"/>
            </c:ext>
          </c:extLst>
        </c:ser>
        <c:dLbls>
          <c:showLegendKey val="0"/>
          <c:showVal val="0"/>
          <c:showCatName val="0"/>
          <c:showSerName val="0"/>
          <c:showPercent val="0"/>
          <c:showBubbleSize val="0"/>
        </c:dLbls>
        <c:smooth val="0"/>
        <c:axId val="1388952432"/>
        <c:axId val="1388953088"/>
        <c:extLst>
          <c:ext xmlns:c15="http://schemas.microsoft.com/office/drawing/2012/chart" uri="{02D57815-91ED-43cb-92C2-25804820EDAC}">
            <c15:filteredLineSeries>
              <c15:ser>
                <c:idx val="3"/>
                <c:order val="1"/>
                <c:tx>
                  <c:strRef>
                    <c:extLst>
                      <c:ext uri="{02D57815-91ED-43cb-92C2-25804820EDAC}">
                        <c15:formulaRef>
                          <c15:sqref>'OZL Summary'!$BO$6:$BO$7</c15:sqref>
                        </c15:formulaRef>
                      </c:ext>
                    </c:extLst>
                    <c:strCache>
                      <c:ptCount val="2"/>
                      <c:pt idx="0">
                        <c:v>Min</c:v>
                      </c:pt>
                    </c:strCache>
                  </c:strRef>
                </c:tx>
                <c:marker>
                  <c:symbol val="none"/>
                </c:marker>
                <c:cat>
                  <c:numRef>
                    <c:extLst>
                      <c:ex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c:ext uri="{02D57815-91ED-43cb-92C2-25804820EDAC}">
                        <c15:formulaRef>
                          <c15:sqref>'OZL Summary'!$BO$8:$BO$60</c15:sqref>
                        </c15:formulaRef>
                      </c:ext>
                    </c:extLst>
                    <c:numCache>
                      <c:formatCode>0.000</c:formatCode>
                      <c:ptCount val="53"/>
                      <c:pt idx="0">
                        <c:v>1.6032204874777817E-2</c:v>
                      </c:pt>
                      <c:pt idx="1">
                        <c:v>3.2064409749555635E-2</c:v>
                      </c:pt>
                      <c:pt idx="2">
                        <c:v>4.8096614624333456E-2</c:v>
                      </c:pt>
                      <c:pt idx="3">
                        <c:v>6.412881949911127E-2</c:v>
                      </c:pt>
                      <c:pt idx="4">
                        <c:v>8.0161024373889084E-2</c:v>
                      </c:pt>
                      <c:pt idx="5">
                        <c:v>9.6193229248666898E-2</c:v>
                      </c:pt>
                      <c:pt idx="6">
                        <c:v>0.11222543412344471</c:v>
                      </c:pt>
                      <c:pt idx="7">
                        <c:v>0.12825763899822254</c:v>
                      </c:pt>
                      <c:pt idx="8">
                        <c:v>0.14428984387300037</c:v>
                      </c:pt>
                      <c:pt idx="9">
                        <c:v>0.1603220487477782</c:v>
                      </c:pt>
                      <c:pt idx="10">
                        <c:v>0.17635425362255602</c:v>
                      </c:pt>
                      <c:pt idx="11">
                        <c:v>0.19238645849733385</c:v>
                      </c:pt>
                      <c:pt idx="12">
                        <c:v>0.20841866337211168</c:v>
                      </c:pt>
                      <c:pt idx="13">
                        <c:v>0.22445086824688951</c:v>
                      </c:pt>
                      <c:pt idx="14">
                        <c:v>0.24048307312166733</c:v>
                      </c:pt>
                      <c:pt idx="15">
                        <c:v>0.25651527799644513</c:v>
                      </c:pt>
                      <c:pt idx="16">
                        <c:v>0.27254748287122293</c:v>
                      </c:pt>
                      <c:pt idx="17">
                        <c:v>0.28857968774600073</c:v>
                      </c:pt>
                      <c:pt idx="18">
                        <c:v>0.30461189262077853</c:v>
                      </c:pt>
                      <c:pt idx="19">
                        <c:v>0.32064409749555633</c:v>
                      </c:pt>
                      <c:pt idx="20">
                        <c:v>0.33667630237033414</c:v>
                      </c:pt>
                      <c:pt idx="21">
                        <c:v>0.35270850724511194</c:v>
                      </c:pt>
                      <c:pt idx="22">
                        <c:v>0.36874071211988974</c:v>
                      </c:pt>
                      <c:pt idx="23">
                        <c:v>0.38477291699466754</c:v>
                      </c:pt>
                      <c:pt idx="24">
                        <c:v>0.40080512186944534</c:v>
                      </c:pt>
                      <c:pt idx="25">
                        <c:v>0.41683732674422314</c:v>
                      </c:pt>
                      <c:pt idx="26">
                        <c:v>0.43286953161900094</c:v>
                      </c:pt>
                      <c:pt idx="27">
                        <c:v>0.44890173649377874</c:v>
                      </c:pt>
                      <c:pt idx="28">
                        <c:v>0.46493394136855654</c:v>
                      </c:pt>
                      <c:pt idx="29">
                        <c:v>0.48096614624333434</c:v>
                      </c:pt>
                      <c:pt idx="30">
                        <c:v>0.49699835111811214</c:v>
                      </c:pt>
                      <c:pt idx="31">
                        <c:v>0.51303055599288994</c:v>
                      </c:pt>
                      <c:pt idx="32">
                        <c:v>0.52906276086766779</c:v>
                      </c:pt>
                      <c:pt idx="33">
                        <c:v>0.54509496574244565</c:v>
                      </c:pt>
                      <c:pt idx="34">
                        <c:v>0.5611271706172235</c:v>
                      </c:pt>
                      <c:pt idx="35">
                        <c:v>0.57715937549200136</c:v>
                      </c:pt>
                      <c:pt idx="36">
                        <c:v>0.59319158036677921</c:v>
                      </c:pt>
                      <c:pt idx="37">
                        <c:v>0.60922378524155707</c:v>
                      </c:pt>
                      <c:pt idx="38">
                        <c:v>0.62525599011633493</c:v>
                      </c:pt>
                      <c:pt idx="39">
                        <c:v>0.64128819499111278</c:v>
                      </c:pt>
                      <c:pt idx="40">
                        <c:v>0.65732039986589064</c:v>
                      </c:pt>
                      <c:pt idx="41">
                        <c:v>0.67335260474066849</c:v>
                      </c:pt>
                      <c:pt idx="42">
                        <c:v>0.68938480961544635</c:v>
                      </c:pt>
                      <c:pt idx="43">
                        <c:v>0.7054170144902242</c:v>
                      </c:pt>
                      <c:pt idx="44">
                        <c:v>0.72144921936500206</c:v>
                      </c:pt>
                      <c:pt idx="45">
                        <c:v>0.73748142423977991</c:v>
                      </c:pt>
                      <c:pt idx="46">
                        <c:v>0.75351362911455777</c:v>
                      </c:pt>
                      <c:pt idx="47">
                        <c:v>0.76954583398933563</c:v>
                      </c:pt>
                      <c:pt idx="48">
                        <c:v>0.78557803886411348</c:v>
                      </c:pt>
                      <c:pt idx="49">
                        <c:v>0.80161024373889134</c:v>
                      </c:pt>
                      <c:pt idx="50">
                        <c:v>0.81764244861366919</c:v>
                      </c:pt>
                      <c:pt idx="51">
                        <c:v>0.83367465348844705</c:v>
                      </c:pt>
                    </c:numCache>
                  </c:numRef>
                </c:val>
                <c:smooth val="0"/>
                <c:extLst>
                  <c:ext xmlns:c16="http://schemas.microsoft.com/office/drawing/2014/chart" uri="{C3380CC4-5D6E-409C-BE32-E72D297353CC}">
                    <c16:uniqueId val="{00000004-074B-413A-A8D5-925D459C25F7}"/>
                  </c:ext>
                </c:extLst>
              </c15:ser>
            </c15:filteredLineSeries>
            <c15:filteredLineSeries>
              <c15:ser>
                <c:idx val="5"/>
                <c:order val="2"/>
                <c:tx>
                  <c:strRef>
                    <c:extLst xmlns:c15="http://schemas.microsoft.com/office/drawing/2012/chart">
                      <c:ext xmlns:c15="http://schemas.microsoft.com/office/drawing/2012/chart" uri="{02D57815-91ED-43cb-92C2-25804820EDAC}">
                        <c15:formulaRef>
                          <c15:sqref>'OZL Summary'!$BP$6:$BP$7</c15:sqref>
                        </c15:formulaRef>
                      </c:ext>
                    </c:extLst>
                    <c:strCache>
                      <c:ptCount val="2"/>
                      <c:pt idx="0">
                        <c:v>1st Percentile</c:v>
                      </c:pt>
                    </c:strCache>
                  </c:strRef>
                </c:tx>
                <c:spPr>
                  <a:ln w="28575" cap="rnd">
                    <a:solidFill>
                      <a:schemeClr val="accent2"/>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Summary'!$BP$8:$BP$60</c15:sqref>
                        </c15:formulaRef>
                      </c:ext>
                    </c:extLst>
                    <c:numCache>
                      <c:formatCode>0.000</c:formatCode>
                      <c:ptCount val="53"/>
                      <c:pt idx="0">
                        <c:v>1.8223138082807688E-2</c:v>
                      </c:pt>
                      <c:pt idx="1">
                        <c:v>3.6446276165615375E-2</c:v>
                      </c:pt>
                      <c:pt idx="2">
                        <c:v>5.4669414248423059E-2</c:v>
                      </c:pt>
                      <c:pt idx="3">
                        <c:v>7.2892552331230751E-2</c:v>
                      </c:pt>
                      <c:pt idx="4">
                        <c:v>9.1115690414038442E-2</c:v>
                      </c:pt>
                      <c:pt idx="5">
                        <c:v>0.10933882849684613</c:v>
                      </c:pt>
                      <c:pt idx="6">
                        <c:v>0.12756196657965382</c:v>
                      </c:pt>
                      <c:pt idx="7">
                        <c:v>0.1457851046624615</c:v>
                      </c:pt>
                      <c:pt idx="8">
                        <c:v>0.16400824274526918</c:v>
                      </c:pt>
                      <c:pt idx="9">
                        <c:v>0.18223138082807686</c:v>
                      </c:pt>
                      <c:pt idx="10">
                        <c:v>0.20045451891088453</c:v>
                      </c:pt>
                      <c:pt idx="11">
                        <c:v>0.21867765699369221</c:v>
                      </c:pt>
                      <c:pt idx="12">
                        <c:v>0.23690079507649989</c:v>
                      </c:pt>
                      <c:pt idx="13">
                        <c:v>0.25512393315930759</c:v>
                      </c:pt>
                      <c:pt idx="14">
                        <c:v>0.27334707124211527</c:v>
                      </c:pt>
                      <c:pt idx="15">
                        <c:v>0.29157020932492295</c:v>
                      </c:pt>
                      <c:pt idx="16">
                        <c:v>0.30979334740773062</c:v>
                      </c:pt>
                      <c:pt idx="17">
                        <c:v>0.3280164854905383</c:v>
                      </c:pt>
                      <c:pt idx="18">
                        <c:v>0.34623962357334598</c:v>
                      </c:pt>
                      <c:pt idx="19">
                        <c:v>0.36446276165615366</c:v>
                      </c:pt>
                      <c:pt idx="20">
                        <c:v>0.38268589973896133</c:v>
                      </c:pt>
                      <c:pt idx="21">
                        <c:v>0.40090903782176901</c:v>
                      </c:pt>
                      <c:pt idx="22">
                        <c:v>0.41913217590457669</c:v>
                      </c:pt>
                      <c:pt idx="23">
                        <c:v>0.43735531398738436</c:v>
                      </c:pt>
                      <c:pt idx="24">
                        <c:v>0.45557845207019204</c:v>
                      </c:pt>
                      <c:pt idx="25">
                        <c:v>0.47380159015299972</c:v>
                      </c:pt>
                      <c:pt idx="26">
                        <c:v>0.4920247282358074</c:v>
                      </c:pt>
                      <c:pt idx="27">
                        <c:v>0.51024786631861507</c:v>
                      </c:pt>
                      <c:pt idx="28">
                        <c:v>0.52847100440142281</c:v>
                      </c:pt>
                      <c:pt idx="29">
                        <c:v>0.54669414248423054</c:v>
                      </c:pt>
                      <c:pt idx="30">
                        <c:v>0.56491728056703827</c:v>
                      </c:pt>
                      <c:pt idx="31">
                        <c:v>0.583140418649846</c:v>
                      </c:pt>
                      <c:pt idx="32">
                        <c:v>0.60136355673265374</c:v>
                      </c:pt>
                      <c:pt idx="33">
                        <c:v>0.61958669481546147</c:v>
                      </c:pt>
                      <c:pt idx="34">
                        <c:v>0.6378098328982692</c:v>
                      </c:pt>
                      <c:pt idx="35">
                        <c:v>0.65603297098107693</c:v>
                      </c:pt>
                      <c:pt idx="36">
                        <c:v>0.67425610906388467</c:v>
                      </c:pt>
                      <c:pt idx="37">
                        <c:v>0.6924792471466924</c:v>
                      </c:pt>
                      <c:pt idx="38">
                        <c:v>0.71070238522950013</c:v>
                      </c:pt>
                      <c:pt idx="39">
                        <c:v>0.72892552331230787</c:v>
                      </c:pt>
                      <c:pt idx="40">
                        <c:v>0.7471486613951156</c:v>
                      </c:pt>
                      <c:pt idx="41">
                        <c:v>0.76537179947792333</c:v>
                      </c:pt>
                      <c:pt idx="42">
                        <c:v>0.78359493756073106</c:v>
                      </c:pt>
                      <c:pt idx="43">
                        <c:v>0.8018180756435388</c:v>
                      </c:pt>
                      <c:pt idx="44">
                        <c:v>0.82004121372634653</c:v>
                      </c:pt>
                      <c:pt idx="45">
                        <c:v>0.83826435180915426</c:v>
                      </c:pt>
                      <c:pt idx="46">
                        <c:v>0.85648748989196199</c:v>
                      </c:pt>
                      <c:pt idx="47">
                        <c:v>0.87471062797476973</c:v>
                      </c:pt>
                      <c:pt idx="48">
                        <c:v>0.89293376605757746</c:v>
                      </c:pt>
                      <c:pt idx="49">
                        <c:v>0.91115690414038519</c:v>
                      </c:pt>
                      <c:pt idx="50">
                        <c:v>0.92938004222319293</c:v>
                      </c:pt>
                      <c:pt idx="51">
                        <c:v>0.94760318030600066</c:v>
                      </c:pt>
                    </c:numCache>
                  </c:numRef>
                </c:val>
                <c:smooth val="0"/>
                <c:extLst xmlns:c15="http://schemas.microsoft.com/office/drawing/2012/chart">
                  <c:ext xmlns:c16="http://schemas.microsoft.com/office/drawing/2014/chart" uri="{C3380CC4-5D6E-409C-BE32-E72D297353CC}">
                    <c16:uniqueId val="{00000005-074B-413A-A8D5-925D459C25F7}"/>
                  </c:ext>
                </c:extLst>
              </c15:ser>
            </c15:filteredLineSeries>
            <c15:filteredLineSeries>
              <c15:ser>
                <c:idx val="7"/>
                <c:order val="3"/>
                <c:tx>
                  <c:strRef>
                    <c:extLst xmlns:c15="http://schemas.microsoft.com/office/drawing/2012/chart">
                      <c:ext xmlns:c15="http://schemas.microsoft.com/office/drawing/2012/chart" uri="{02D57815-91ED-43cb-92C2-25804820EDAC}">
                        <c15:formulaRef>
                          <c15:sqref>'OZL Summary'!$BQ$6:$BQ$7</c15:sqref>
                        </c15:formulaRef>
                      </c:ext>
                    </c:extLst>
                    <c:strCache>
                      <c:ptCount val="2"/>
                      <c:pt idx="0">
                        <c:v>5th Percentile</c:v>
                      </c:pt>
                    </c:strCache>
                  </c:strRef>
                </c:tx>
                <c:spPr>
                  <a:ln w="28575" cap="rnd">
                    <a:solidFill>
                      <a:schemeClr val="bg2"/>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Summary'!$BQ$8:$BQ$60</c15:sqref>
                        </c15:formulaRef>
                      </c:ext>
                    </c:extLst>
                    <c:numCache>
                      <c:formatCode>0.000</c:formatCode>
                      <c:ptCount val="53"/>
                      <c:pt idx="0">
                        <c:v>1.9443728141978436E-2</c:v>
                      </c:pt>
                      <c:pt idx="1">
                        <c:v>3.8887456283956873E-2</c:v>
                      </c:pt>
                      <c:pt idx="2">
                        <c:v>5.8331184425935309E-2</c:v>
                      </c:pt>
                      <c:pt idx="3">
                        <c:v>7.7774912567913745E-2</c:v>
                      </c:pt>
                      <c:pt idx="4">
                        <c:v>9.7218640709892182E-2</c:v>
                      </c:pt>
                      <c:pt idx="5">
                        <c:v>0.11666236885187062</c:v>
                      </c:pt>
                      <c:pt idx="6">
                        <c:v>0.13610609699384907</c:v>
                      </c:pt>
                      <c:pt idx="7">
                        <c:v>0.15554982513582749</c:v>
                      </c:pt>
                      <c:pt idx="8">
                        <c:v>0.17499355327780591</c:v>
                      </c:pt>
                      <c:pt idx="9">
                        <c:v>0.19443728141978434</c:v>
                      </c:pt>
                      <c:pt idx="10">
                        <c:v>0.21388100956176276</c:v>
                      </c:pt>
                      <c:pt idx="11">
                        <c:v>0.23332473770374118</c:v>
                      </c:pt>
                      <c:pt idx="12">
                        <c:v>0.2527684658457196</c:v>
                      </c:pt>
                      <c:pt idx="13">
                        <c:v>0.27221219398769803</c:v>
                      </c:pt>
                      <c:pt idx="14">
                        <c:v>0.29165592212967645</c:v>
                      </c:pt>
                      <c:pt idx="15">
                        <c:v>0.31109965027165487</c:v>
                      </c:pt>
                      <c:pt idx="16">
                        <c:v>0.33054337841363329</c:v>
                      </c:pt>
                      <c:pt idx="17">
                        <c:v>0.34998710655561172</c:v>
                      </c:pt>
                      <c:pt idx="18">
                        <c:v>0.36943083469759014</c:v>
                      </c:pt>
                      <c:pt idx="19">
                        <c:v>0.38887456283956856</c:v>
                      </c:pt>
                      <c:pt idx="20">
                        <c:v>0.40831829098154698</c:v>
                      </c:pt>
                      <c:pt idx="21">
                        <c:v>0.42776201912352541</c:v>
                      </c:pt>
                      <c:pt idx="22">
                        <c:v>0.44720574726550383</c:v>
                      </c:pt>
                      <c:pt idx="23">
                        <c:v>0.46664947540748225</c:v>
                      </c:pt>
                      <c:pt idx="24">
                        <c:v>0.48609320354946067</c:v>
                      </c:pt>
                      <c:pt idx="25">
                        <c:v>0.5055369316914391</c:v>
                      </c:pt>
                      <c:pt idx="26">
                        <c:v>0.52498065983341757</c:v>
                      </c:pt>
                      <c:pt idx="27">
                        <c:v>0.54442438797539605</c:v>
                      </c:pt>
                      <c:pt idx="28">
                        <c:v>0.56386811611737453</c:v>
                      </c:pt>
                      <c:pt idx="29">
                        <c:v>0.58331184425935301</c:v>
                      </c:pt>
                      <c:pt idx="30">
                        <c:v>0.60275557240133149</c:v>
                      </c:pt>
                      <c:pt idx="31">
                        <c:v>0.62219930054330996</c:v>
                      </c:pt>
                      <c:pt idx="32">
                        <c:v>0.64164302868528844</c:v>
                      </c:pt>
                      <c:pt idx="33">
                        <c:v>0.66108675682726692</c:v>
                      </c:pt>
                      <c:pt idx="34">
                        <c:v>0.6805304849692454</c:v>
                      </c:pt>
                      <c:pt idx="35">
                        <c:v>0.69997421311122388</c:v>
                      </c:pt>
                      <c:pt idx="36">
                        <c:v>0.71941794125320235</c:v>
                      </c:pt>
                      <c:pt idx="37">
                        <c:v>0.73886166939518083</c:v>
                      </c:pt>
                      <c:pt idx="38">
                        <c:v>0.75830539753715931</c:v>
                      </c:pt>
                      <c:pt idx="39">
                        <c:v>0.77774912567913779</c:v>
                      </c:pt>
                      <c:pt idx="40">
                        <c:v>0.79719285382111627</c:v>
                      </c:pt>
                      <c:pt idx="41">
                        <c:v>0.81663658196309474</c:v>
                      </c:pt>
                      <c:pt idx="42">
                        <c:v>0.83608031010507322</c:v>
                      </c:pt>
                      <c:pt idx="43">
                        <c:v>0.8555240382470517</c:v>
                      </c:pt>
                      <c:pt idx="44">
                        <c:v>0.87496776638903018</c:v>
                      </c:pt>
                      <c:pt idx="45">
                        <c:v>0.89441149453100866</c:v>
                      </c:pt>
                      <c:pt idx="46">
                        <c:v>0.91385522267298713</c:v>
                      </c:pt>
                      <c:pt idx="47">
                        <c:v>0.93329895081496561</c:v>
                      </c:pt>
                      <c:pt idx="48">
                        <c:v>0.95274267895694409</c:v>
                      </c:pt>
                      <c:pt idx="49">
                        <c:v>0.97218640709892257</c:v>
                      </c:pt>
                      <c:pt idx="50">
                        <c:v>0.99163013524090105</c:v>
                      </c:pt>
                      <c:pt idx="51">
                        <c:v>1.0110738633828795</c:v>
                      </c:pt>
                    </c:numCache>
                  </c:numRef>
                </c:val>
                <c:smooth val="0"/>
                <c:extLst xmlns:c15="http://schemas.microsoft.com/office/drawing/2012/chart">
                  <c:ext xmlns:c16="http://schemas.microsoft.com/office/drawing/2014/chart" uri="{C3380CC4-5D6E-409C-BE32-E72D297353CC}">
                    <c16:uniqueId val="{00000006-074B-413A-A8D5-925D459C25F7}"/>
                  </c:ext>
                </c:extLst>
              </c15:ser>
            </c15:filteredLineSeries>
            <c15:filteredLineSeries>
              <c15:ser>
                <c:idx val="2"/>
                <c:order val="5"/>
                <c:tx>
                  <c:strRef>
                    <c:extLst xmlns:c15="http://schemas.microsoft.com/office/drawing/2012/chart">
                      <c:ext xmlns:c15="http://schemas.microsoft.com/office/drawing/2012/chart" uri="{02D57815-91ED-43cb-92C2-25804820EDAC}">
                        <c15:formulaRef>
                          <c15:sqref>'OZL Summary'!$BS$6:$BS$7</c15:sqref>
                        </c15:formulaRef>
                      </c:ext>
                    </c:extLst>
                    <c:strCache>
                      <c:ptCount val="2"/>
                      <c:pt idx="0">
                        <c:v>25th Percentile</c:v>
                      </c:pt>
                    </c:strCache>
                  </c:strRef>
                </c:tx>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Summary'!$BS$8:$BS$60</c15:sqref>
                        </c15:formulaRef>
                      </c:ext>
                    </c:extLst>
                    <c:numCache>
                      <c:formatCode>0.000</c:formatCode>
                      <c:ptCount val="53"/>
                      <c:pt idx="0">
                        <c:v>2.1609953490484776E-2</c:v>
                      </c:pt>
                      <c:pt idx="1">
                        <c:v>4.3219906980969551E-2</c:v>
                      </c:pt>
                      <c:pt idx="2">
                        <c:v>6.4829860471454323E-2</c:v>
                      </c:pt>
                      <c:pt idx="3">
                        <c:v>8.6439813961939102E-2</c:v>
                      </c:pt>
                      <c:pt idx="4">
                        <c:v>0.10804976745242388</c:v>
                      </c:pt>
                      <c:pt idx="5">
                        <c:v>0.12965972094290865</c:v>
                      </c:pt>
                      <c:pt idx="6">
                        <c:v>0.15126967443339343</c:v>
                      </c:pt>
                      <c:pt idx="7">
                        <c:v>0.1728796279238782</c:v>
                      </c:pt>
                      <c:pt idx="8">
                        <c:v>0.19448958141436298</c:v>
                      </c:pt>
                      <c:pt idx="9">
                        <c:v>0.21609953490484776</c:v>
                      </c:pt>
                      <c:pt idx="10">
                        <c:v>0.23770948839533254</c:v>
                      </c:pt>
                      <c:pt idx="11">
                        <c:v>0.25931944188581729</c:v>
                      </c:pt>
                      <c:pt idx="12">
                        <c:v>0.28092939537630207</c:v>
                      </c:pt>
                      <c:pt idx="13">
                        <c:v>0.30253934886678685</c:v>
                      </c:pt>
                      <c:pt idx="14">
                        <c:v>0.32414930235727163</c:v>
                      </c:pt>
                      <c:pt idx="15">
                        <c:v>0.34575925584775641</c:v>
                      </c:pt>
                      <c:pt idx="16">
                        <c:v>0.36736920933824119</c:v>
                      </c:pt>
                      <c:pt idx="17">
                        <c:v>0.38897916282872597</c:v>
                      </c:pt>
                      <c:pt idx="18">
                        <c:v>0.41058911631921075</c:v>
                      </c:pt>
                      <c:pt idx="19">
                        <c:v>0.43219906980969552</c:v>
                      </c:pt>
                      <c:pt idx="20">
                        <c:v>0.4538090233001803</c:v>
                      </c:pt>
                      <c:pt idx="21">
                        <c:v>0.47541897679066508</c:v>
                      </c:pt>
                      <c:pt idx="22">
                        <c:v>0.49702893028114986</c:v>
                      </c:pt>
                      <c:pt idx="23">
                        <c:v>0.51863888377163458</c:v>
                      </c:pt>
                      <c:pt idx="24">
                        <c:v>0.54024883726211936</c:v>
                      </c:pt>
                      <c:pt idx="25">
                        <c:v>0.56185879075260414</c:v>
                      </c:pt>
                      <c:pt idx="26">
                        <c:v>0.58346874424308892</c:v>
                      </c:pt>
                      <c:pt idx="27">
                        <c:v>0.6050786977335737</c:v>
                      </c:pt>
                      <c:pt idx="28">
                        <c:v>0.62668865122405848</c:v>
                      </c:pt>
                      <c:pt idx="29">
                        <c:v>0.64829860471454326</c:v>
                      </c:pt>
                      <c:pt idx="30">
                        <c:v>0.66990855820502804</c:v>
                      </c:pt>
                      <c:pt idx="31">
                        <c:v>0.69151851169551282</c:v>
                      </c:pt>
                      <c:pt idx="32">
                        <c:v>0.7131284651859976</c:v>
                      </c:pt>
                      <c:pt idx="33">
                        <c:v>0.73473841867648237</c:v>
                      </c:pt>
                      <c:pt idx="34">
                        <c:v>0.75634837216696715</c:v>
                      </c:pt>
                      <c:pt idx="35">
                        <c:v>0.77795832565745193</c:v>
                      </c:pt>
                      <c:pt idx="36">
                        <c:v>0.79956827914793671</c:v>
                      </c:pt>
                      <c:pt idx="37">
                        <c:v>0.82117823263842149</c:v>
                      </c:pt>
                      <c:pt idx="38">
                        <c:v>0.84278818612890627</c:v>
                      </c:pt>
                      <c:pt idx="39">
                        <c:v>0.86439813961939105</c:v>
                      </c:pt>
                      <c:pt idx="40">
                        <c:v>0.88600809310987583</c:v>
                      </c:pt>
                      <c:pt idx="41">
                        <c:v>0.90761804660036061</c:v>
                      </c:pt>
                      <c:pt idx="42">
                        <c:v>0.92922800009084539</c:v>
                      </c:pt>
                      <c:pt idx="43">
                        <c:v>0.95083795358133016</c:v>
                      </c:pt>
                      <c:pt idx="44">
                        <c:v>0.97244790707181494</c:v>
                      </c:pt>
                      <c:pt idx="45">
                        <c:v>0.99405786056229972</c:v>
                      </c:pt>
                      <c:pt idx="46">
                        <c:v>1.0156678140527844</c:v>
                      </c:pt>
                      <c:pt idx="47">
                        <c:v>1.0372777675432692</c:v>
                      </c:pt>
                      <c:pt idx="48">
                        <c:v>1.0588877210337539</c:v>
                      </c:pt>
                      <c:pt idx="49">
                        <c:v>1.0804976745242387</c:v>
                      </c:pt>
                      <c:pt idx="50">
                        <c:v>1.1021076280147235</c:v>
                      </c:pt>
                      <c:pt idx="51">
                        <c:v>1.1237175815052083</c:v>
                      </c:pt>
                    </c:numCache>
                  </c:numRef>
                </c:val>
                <c:smooth val="0"/>
                <c:extLst xmlns:c15="http://schemas.microsoft.com/office/drawing/2012/chart">
                  <c:ext xmlns:c16="http://schemas.microsoft.com/office/drawing/2014/chart" uri="{C3380CC4-5D6E-409C-BE32-E72D297353CC}">
                    <c16:uniqueId val="{00000007-074B-413A-A8D5-925D459C25F7}"/>
                  </c:ext>
                </c:extLst>
              </c15:ser>
            </c15:filteredLineSeries>
            <c15:filteredLineSeries>
              <c15:ser>
                <c:idx val="6"/>
                <c:order val="7"/>
                <c:tx>
                  <c:strRef>
                    <c:extLst xmlns:c15="http://schemas.microsoft.com/office/drawing/2012/chart">
                      <c:ext xmlns:c15="http://schemas.microsoft.com/office/drawing/2012/chart" uri="{02D57815-91ED-43cb-92C2-25804820EDAC}">
                        <c15:formulaRef>
                          <c15:sqref>'OZL Summary'!$BU$6:$BU$7</c15:sqref>
                        </c15:formulaRef>
                      </c:ext>
                    </c:extLst>
                    <c:strCache>
                      <c:ptCount val="2"/>
                      <c:pt idx="0">
                        <c:v>75th Percentile</c:v>
                      </c:pt>
                    </c:strCache>
                  </c:strRef>
                </c:tx>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Summary'!$BU$8:$BU$60</c15:sqref>
                        </c15:formulaRef>
                      </c:ext>
                    </c:extLst>
                    <c:numCache>
                      <c:formatCode>0.000</c:formatCode>
                      <c:ptCount val="53"/>
                      <c:pt idx="0">
                        <c:v>2.5540580974329746E-2</c:v>
                      </c:pt>
                      <c:pt idx="1">
                        <c:v>5.1081161948659491E-2</c:v>
                      </c:pt>
                      <c:pt idx="2">
                        <c:v>7.6621742922989233E-2</c:v>
                      </c:pt>
                      <c:pt idx="3">
                        <c:v>0.10216232389731898</c:v>
                      </c:pt>
                      <c:pt idx="4">
                        <c:v>0.12770290487164873</c:v>
                      </c:pt>
                      <c:pt idx="5">
                        <c:v>0.15324348584597847</c:v>
                      </c:pt>
                      <c:pt idx="6">
                        <c:v>0.1787840668203082</c:v>
                      </c:pt>
                      <c:pt idx="7">
                        <c:v>0.20432464779463794</c:v>
                      </c:pt>
                      <c:pt idx="8">
                        <c:v>0.22986522876896767</c:v>
                      </c:pt>
                      <c:pt idx="9">
                        <c:v>0.25540580974329741</c:v>
                      </c:pt>
                      <c:pt idx="10">
                        <c:v>0.28094639071762717</c:v>
                      </c:pt>
                      <c:pt idx="11">
                        <c:v>0.30648697169195693</c:v>
                      </c:pt>
                      <c:pt idx="12">
                        <c:v>0.3320275526662867</c:v>
                      </c:pt>
                      <c:pt idx="13">
                        <c:v>0.35756813364061646</c:v>
                      </c:pt>
                      <c:pt idx="14">
                        <c:v>0.38310871461494622</c:v>
                      </c:pt>
                      <c:pt idx="15">
                        <c:v>0.40864929558927598</c:v>
                      </c:pt>
                      <c:pt idx="16">
                        <c:v>0.43418987656360575</c:v>
                      </c:pt>
                      <c:pt idx="17">
                        <c:v>0.45973045753793551</c:v>
                      </c:pt>
                      <c:pt idx="18">
                        <c:v>0.48527103851226527</c:v>
                      </c:pt>
                      <c:pt idx="19">
                        <c:v>0.51081161948659504</c:v>
                      </c:pt>
                      <c:pt idx="20">
                        <c:v>0.5363522004609248</c:v>
                      </c:pt>
                      <c:pt idx="21">
                        <c:v>0.56189278143525456</c:v>
                      </c:pt>
                      <c:pt idx="22">
                        <c:v>0.58743336240958433</c:v>
                      </c:pt>
                      <c:pt idx="23">
                        <c:v>0.61297394338391409</c:v>
                      </c:pt>
                      <c:pt idx="24">
                        <c:v>0.63851452435824385</c:v>
                      </c:pt>
                      <c:pt idx="25">
                        <c:v>0.66405510533257361</c:v>
                      </c:pt>
                      <c:pt idx="26">
                        <c:v>0.68959568630690338</c:v>
                      </c:pt>
                      <c:pt idx="27">
                        <c:v>0.71513626728123314</c:v>
                      </c:pt>
                      <c:pt idx="28">
                        <c:v>0.7406768482555629</c:v>
                      </c:pt>
                      <c:pt idx="29">
                        <c:v>0.76621742922989267</c:v>
                      </c:pt>
                      <c:pt idx="30">
                        <c:v>0.79175801020422243</c:v>
                      </c:pt>
                      <c:pt idx="31">
                        <c:v>0.81729859117855219</c:v>
                      </c:pt>
                      <c:pt idx="32">
                        <c:v>0.84283917215288195</c:v>
                      </c:pt>
                      <c:pt idx="33">
                        <c:v>0.86837975312721172</c:v>
                      </c:pt>
                      <c:pt idx="34">
                        <c:v>0.89392033410154148</c:v>
                      </c:pt>
                      <c:pt idx="35">
                        <c:v>0.91946091507587124</c:v>
                      </c:pt>
                      <c:pt idx="36">
                        <c:v>0.94500149605020101</c:v>
                      </c:pt>
                      <c:pt idx="37">
                        <c:v>0.97054207702453077</c:v>
                      </c:pt>
                      <c:pt idx="38">
                        <c:v>0.99608265799886053</c:v>
                      </c:pt>
                      <c:pt idx="39">
                        <c:v>1.0216232389731903</c:v>
                      </c:pt>
                      <c:pt idx="40">
                        <c:v>1.0471638199475199</c:v>
                      </c:pt>
                      <c:pt idx="41">
                        <c:v>1.0727044009218496</c:v>
                      </c:pt>
                      <c:pt idx="42">
                        <c:v>1.0982449818961793</c:v>
                      </c:pt>
                      <c:pt idx="43">
                        <c:v>1.1237855628705089</c:v>
                      </c:pt>
                      <c:pt idx="44">
                        <c:v>1.1493261438448386</c:v>
                      </c:pt>
                      <c:pt idx="45">
                        <c:v>1.1748667248191682</c:v>
                      </c:pt>
                      <c:pt idx="46">
                        <c:v>1.2004073057934979</c:v>
                      </c:pt>
                      <c:pt idx="47">
                        <c:v>1.2259478867678275</c:v>
                      </c:pt>
                      <c:pt idx="48">
                        <c:v>1.2514884677421572</c:v>
                      </c:pt>
                      <c:pt idx="49">
                        <c:v>1.2770290487164868</c:v>
                      </c:pt>
                      <c:pt idx="50">
                        <c:v>1.3025696296908165</c:v>
                      </c:pt>
                      <c:pt idx="51">
                        <c:v>1.3281102106651461</c:v>
                      </c:pt>
                    </c:numCache>
                  </c:numRef>
                </c:val>
                <c:smooth val="0"/>
                <c:extLst xmlns:c15="http://schemas.microsoft.com/office/drawing/2012/chart">
                  <c:ext xmlns:c16="http://schemas.microsoft.com/office/drawing/2014/chart" uri="{C3380CC4-5D6E-409C-BE32-E72D297353CC}">
                    <c16:uniqueId val="{00000008-074B-413A-A8D5-925D459C25F7}"/>
                  </c:ext>
                </c:extLst>
              </c15:ser>
            </c15:filteredLineSeries>
            <c15:filteredLineSeries>
              <c15:ser>
                <c:idx val="9"/>
                <c:order val="9"/>
                <c:tx>
                  <c:strRef>
                    <c:extLst xmlns:c15="http://schemas.microsoft.com/office/drawing/2012/chart">
                      <c:ext xmlns:c15="http://schemas.microsoft.com/office/drawing/2012/chart" uri="{02D57815-91ED-43cb-92C2-25804820EDAC}">
                        <c15:formulaRef>
                          <c15:sqref>'OZL Summary'!$BW$6:$BW$7</c15:sqref>
                        </c15:formulaRef>
                      </c:ext>
                    </c:extLst>
                    <c:strCache>
                      <c:ptCount val="2"/>
                      <c:pt idx="0">
                        <c:v>95th Percentile</c:v>
                      </c:pt>
                    </c:strCache>
                  </c:strRef>
                </c:tx>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Summary'!$BW$8:$BW$60</c15:sqref>
                        </c15:formulaRef>
                      </c:ext>
                    </c:extLst>
                    <c:numCache>
                      <c:formatCode>0.000</c:formatCode>
                      <c:ptCount val="53"/>
                      <c:pt idx="0">
                        <c:v>2.9126260596895739E-2</c:v>
                      </c:pt>
                      <c:pt idx="1">
                        <c:v>5.8252521193791477E-2</c:v>
                      </c:pt>
                      <c:pt idx="2">
                        <c:v>8.7378781790687213E-2</c:v>
                      </c:pt>
                      <c:pt idx="3">
                        <c:v>0.11650504238758295</c:v>
                      </c:pt>
                      <c:pt idx="4">
                        <c:v>0.14563130298447868</c:v>
                      </c:pt>
                      <c:pt idx="5">
                        <c:v>0.17475756358137443</c:v>
                      </c:pt>
                      <c:pt idx="6">
                        <c:v>0.20388382417827017</c:v>
                      </c:pt>
                      <c:pt idx="7">
                        <c:v>0.23301008477516591</c:v>
                      </c:pt>
                      <c:pt idx="8">
                        <c:v>0.26213634537206165</c:v>
                      </c:pt>
                      <c:pt idx="9">
                        <c:v>0.29126260596895737</c:v>
                      </c:pt>
                      <c:pt idx="10">
                        <c:v>0.32038886656585308</c:v>
                      </c:pt>
                      <c:pt idx="11">
                        <c:v>0.3495151271627488</c:v>
                      </c:pt>
                      <c:pt idx="12">
                        <c:v>0.37864138775964451</c:v>
                      </c:pt>
                      <c:pt idx="13">
                        <c:v>0.40776764835654022</c:v>
                      </c:pt>
                      <c:pt idx="14">
                        <c:v>0.43689390895343594</c:v>
                      </c:pt>
                      <c:pt idx="15">
                        <c:v>0.46602016955033165</c:v>
                      </c:pt>
                      <c:pt idx="16">
                        <c:v>0.49514643014722737</c:v>
                      </c:pt>
                      <c:pt idx="17">
                        <c:v>0.52427269074412308</c:v>
                      </c:pt>
                      <c:pt idx="18">
                        <c:v>0.5533989513410188</c:v>
                      </c:pt>
                      <c:pt idx="19">
                        <c:v>0.58252521193791451</c:v>
                      </c:pt>
                      <c:pt idx="20">
                        <c:v>0.61165147253481023</c:v>
                      </c:pt>
                      <c:pt idx="21">
                        <c:v>0.64077773313170594</c:v>
                      </c:pt>
                      <c:pt idx="22">
                        <c:v>0.66990399372860165</c:v>
                      </c:pt>
                      <c:pt idx="23">
                        <c:v>0.69903025432549737</c:v>
                      </c:pt>
                      <c:pt idx="24">
                        <c:v>0.72815651492239308</c:v>
                      </c:pt>
                      <c:pt idx="25">
                        <c:v>0.7572827755192888</c:v>
                      </c:pt>
                      <c:pt idx="26">
                        <c:v>0.78640903611618451</c:v>
                      </c:pt>
                      <c:pt idx="27">
                        <c:v>0.81553529671308023</c:v>
                      </c:pt>
                      <c:pt idx="28">
                        <c:v>0.84466155730997594</c:v>
                      </c:pt>
                      <c:pt idx="29">
                        <c:v>0.87378781790687166</c:v>
                      </c:pt>
                      <c:pt idx="30">
                        <c:v>0.90291407850376737</c:v>
                      </c:pt>
                      <c:pt idx="31">
                        <c:v>0.93204033910066308</c:v>
                      </c:pt>
                      <c:pt idx="32">
                        <c:v>0.9611665996975588</c:v>
                      </c:pt>
                      <c:pt idx="33">
                        <c:v>0.99029286029445451</c:v>
                      </c:pt>
                      <c:pt idx="34">
                        <c:v>1.0194191208913503</c:v>
                      </c:pt>
                      <c:pt idx="35">
                        <c:v>1.0485453814882462</c:v>
                      </c:pt>
                      <c:pt idx="36">
                        <c:v>1.077671642085142</c:v>
                      </c:pt>
                      <c:pt idx="37">
                        <c:v>1.1067979026820378</c:v>
                      </c:pt>
                      <c:pt idx="38">
                        <c:v>1.1359241632789336</c:v>
                      </c:pt>
                      <c:pt idx="39">
                        <c:v>1.1650504238758295</c:v>
                      </c:pt>
                      <c:pt idx="40">
                        <c:v>1.1941766844727253</c:v>
                      </c:pt>
                      <c:pt idx="41">
                        <c:v>1.2233029450696211</c:v>
                      </c:pt>
                      <c:pt idx="42">
                        <c:v>1.2524292056665169</c:v>
                      </c:pt>
                      <c:pt idx="43">
                        <c:v>1.2815554662634128</c:v>
                      </c:pt>
                      <c:pt idx="44">
                        <c:v>1.3106817268603086</c:v>
                      </c:pt>
                      <c:pt idx="45">
                        <c:v>1.3398079874572044</c:v>
                      </c:pt>
                      <c:pt idx="46">
                        <c:v>1.3689342480541002</c:v>
                      </c:pt>
                      <c:pt idx="47">
                        <c:v>1.3980605086509961</c:v>
                      </c:pt>
                      <c:pt idx="48">
                        <c:v>1.4271867692478919</c:v>
                      </c:pt>
                      <c:pt idx="49">
                        <c:v>1.4563130298447877</c:v>
                      </c:pt>
                      <c:pt idx="50">
                        <c:v>1.4854392904416835</c:v>
                      </c:pt>
                      <c:pt idx="51">
                        <c:v>1.5145655510385794</c:v>
                      </c:pt>
                    </c:numCache>
                  </c:numRef>
                </c:val>
                <c:smooth val="0"/>
                <c:extLst xmlns:c15="http://schemas.microsoft.com/office/drawing/2012/chart">
                  <c:ext xmlns:c16="http://schemas.microsoft.com/office/drawing/2014/chart" uri="{C3380CC4-5D6E-409C-BE32-E72D297353CC}">
                    <c16:uniqueId val="{00000009-074B-413A-A8D5-925D459C25F7}"/>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'OZL Summary'!$BX$6:$BX$7</c15:sqref>
                        </c15:formulaRef>
                      </c:ext>
                    </c:extLst>
                    <c:strCache>
                      <c:ptCount val="2"/>
                      <c:pt idx="0">
                        <c:v>99th Percentile</c:v>
                      </c:pt>
                    </c:strCache>
                  </c:strRef>
                </c:tx>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Summary'!$BX$8:$BX$60</c15:sqref>
                        </c15:formulaRef>
                      </c:ext>
                    </c:extLst>
                    <c:numCache>
                      <c:formatCode>0.000</c:formatCode>
                      <c:ptCount val="53"/>
                      <c:pt idx="0">
                        <c:v>3.2006943607976859E-2</c:v>
                      </c:pt>
                      <c:pt idx="1">
                        <c:v>6.4013887215953719E-2</c:v>
                      </c:pt>
                      <c:pt idx="2">
                        <c:v>9.6020830823930578E-2</c:v>
                      </c:pt>
                      <c:pt idx="3">
                        <c:v>0.12802777443190744</c:v>
                      </c:pt>
                      <c:pt idx="4">
                        <c:v>0.16003471803988428</c:v>
                      </c:pt>
                      <c:pt idx="5">
                        <c:v>0.19204166164786113</c:v>
                      </c:pt>
                      <c:pt idx="6">
                        <c:v>0.22404860525583797</c:v>
                      </c:pt>
                      <c:pt idx="7">
                        <c:v>0.25605554886381482</c:v>
                      </c:pt>
                      <c:pt idx="8">
                        <c:v>0.28806249247179166</c:v>
                      </c:pt>
                      <c:pt idx="9">
                        <c:v>0.32006943607976851</c:v>
                      </c:pt>
                      <c:pt idx="10">
                        <c:v>0.35207637968774536</c:v>
                      </c:pt>
                      <c:pt idx="11">
                        <c:v>0.3840833232957222</c:v>
                      </c:pt>
                      <c:pt idx="12">
                        <c:v>0.41609026690369905</c:v>
                      </c:pt>
                      <c:pt idx="13">
                        <c:v>0.44809721051167589</c:v>
                      </c:pt>
                      <c:pt idx="14">
                        <c:v>0.48010415411965274</c:v>
                      </c:pt>
                      <c:pt idx="15">
                        <c:v>0.51211109772762964</c:v>
                      </c:pt>
                      <c:pt idx="16">
                        <c:v>0.54411804133560648</c:v>
                      </c:pt>
                      <c:pt idx="17">
                        <c:v>0.57612498494358333</c:v>
                      </c:pt>
                      <c:pt idx="18">
                        <c:v>0.60813192855156017</c:v>
                      </c:pt>
                      <c:pt idx="19">
                        <c:v>0.64013887215953702</c:v>
                      </c:pt>
                      <c:pt idx="20">
                        <c:v>0.67214581576751387</c:v>
                      </c:pt>
                      <c:pt idx="21">
                        <c:v>0.70415275937549071</c:v>
                      </c:pt>
                      <c:pt idx="22">
                        <c:v>0.73615970298346756</c:v>
                      </c:pt>
                      <c:pt idx="23">
                        <c:v>0.7681666465914444</c:v>
                      </c:pt>
                      <c:pt idx="24">
                        <c:v>0.80017359019942125</c:v>
                      </c:pt>
                      <c:pt idx="25">
                        <c:v>0.83218053380739809</c:v>
                      </c:pt>
                      <c:pt idx="26">
                        <c:v>0.86418747741537494</c:v>
                      </c:pt>
                      <c:pt idx="27">
                        <c:v>0.89619442102335178</c:v>
                      </c:pt>
                      <c:pt idx="28">
                        <c:v>0.92820136463132863</c:v>
                      </c:pt>
                      <c:pt idx="29">
                        <c:v>0.96020830823930547</c:v>
                      </c:pt>
                      <c:pt idx="30">
                        <c:v>0.99221525184728232</c:v>
                      </c:pt>
                      <c:pt idx="31">
                        <c:v>1.0242221954552593</c:v>
                      </c:pt>
                      <c:pt idx="32">
                        <c:v>1.0562291390632361</c:v>
                      </c:pt>
                      <c:pt idx="33">
                        <c:v>1.088236082671213</c:v>
                      </c:pt>
                      <c:pt idx="34">
                        <c:v>1.1202430262791898</c:v>
                      </c:pt>
                      <c:pt idx="35">
                        <c:v>1.1522499698871667</c:v>
                      </c:pt>
                      <c:pt idx="36">
                        <c:v>1.1842569134951435</c:v>
                      </c:pt>
                      <c:pt idx="37">
                        <c:v>1.2162638571031203</c:v>
                      </c:pt>
                      <c:pt idx="38">
                        <c:v>1.2482708007110972</c:v>
                      </c:pt>
                      <c:pt idx="39">
                        <c:v>1.280277744319074</c:v>
                      </c:pt>
                      <c:pt idx="40">
                        <c:v>1.3122846879270509</c:v>
                      </c:pt>
                      <c:pt idx="41">
                        <c:v>1.3442916315350277</c:v>
                      </c:pt>
                      <c:pt idx="42">
                        <c:v>1.3762985751430046</c:v>
                      </c:pt>
                      <c:pt idx="43">
                        <c:v>1.4083055187509814</c:v>
                      </c:pt>
                      <c:pt idx="44">
                        <c:v>1.4403124623589583</c:v>
                      </c:pt>
                      <c:pt idx="45">
                        <c:v>1.4723194059669351</c:v>
                      </c:pt>
                      <c:pt idx="46">
                        <c:v>1.504326349574912</c:v>
                      </c:pt>
                      <c:pt idx="47">
                        <c:v>1.5363332931828888</c:v>
                      </c:pt>
                      <c:pt idx="48">
                        <c:v>1.5683402367908656</c:v>
                      </c:pt>
                      <c:pt idx="49">
                        <c:v>1.6003471803988425</c:v>
                      </c:pt>
                      <c:pt idx="50">
                        <c:v>1.6323541240068193</c:v>
                      </c:pt>
                      <c:pt idx="51">
                        <c:v>1.6643610676147962</c:v>
                      </c:pt>
                    </c:numCache>
                  </c:numRef>
                </c:val>
                <c:smooth val="0"/>
                <c:extLst xmlns:c15="http://schemas.microsoft.com/office/drawing/2012/chart">
                  <c:ext xmlns:c16="http://schemas.microsoft.com/office/drawing/2014/chart" uri="{C3380CC4-5D6E-409C-BE32-E72D297353CC}">
                    <c16:uniqueId val="{0000000A-074B-413A-A8D5-925D459C25F7}"/>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'OZL Summary'!$BY$6:$BY$7</c15:sqref>
                        </c15:formulaRef>
                      </c:ext>
                    </c:extLst>
                    <c:strCache>
                      <c:ptCount val="2"/>
                      <c:pt idx="0">
                        <c:v>Max</c:v>
                      </c:pt>
                    </c:strCache>
                  </c:strRef>
                </c:tx>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Summary'!$BY$8:$BY$60</c15:sqref>
                        </c15:formulaRef>
                      </c:ext>
                    </c:extLst>
                    <c:numCache>
                      <c:formatCode>0.000</c:formatCode>
                      <c:ptCount val="53"/>
                      <c:pt idx="0">
                        <c:v>3.9503586953510528E-2</c:v>
                      </c:pt>
                      <c:pt idx="1">
                        <c:v>7.9007173907021055E-2</c:v>
                      </c:pt>
                      <c:pt idx="2">
                        <c:v>0.11851076086053158</c:v>
                      </c:pt>
                      <c:pt idx="3">
                        <c:v>0.15801434781404211</c:v>
                      </c:pt>
                      <c:pt idx="4">
                        <c:v>0.19751793476755264</c:v>
                      </c:pt>
                      <c:pt idx="5">
                        <c:v>0.23702152172106317</c:v>
                      </c:pt>
                      <c:pt idx="6">
                        <c:v>0.27652510867457369</c:v>
                      </c:pt>
                      <c:pt idx="7">
                        <c:v>0.31602869562808422</c:v>
                      </c:pt>
                      <c:pt idx="8">
                        <c:v>0.35553228258159475</c:v>
                      </c:pt>
                      <c:pt idx="9">
                        <c:v>0.39503586953510528</c:v>
                      </c:pt>
                      <c:pt idx="10">
                        <c:v>0.43453945648861581</c:v>
                      </c:pt>
                      <c:pt idx="11">
                        <c:v>0.47404304344212633</c:v>
                      </c:pt>
                      <c:pt idx="12">
                        <c:v>0.51354663039563686</c:v>
                      </c:pt>
                      <c:pt idx="13">
                        <c:v>0.55305021734914739</c:v>
                      </c:pt>
                      <c:pt idx="14">
                        <c:v>0.59255380430265792</c:v>
                      </c:pt>
                      <c:pt idx="15">
                        <c:v>0.63205739125616844</c:v>
                      </c:pt>
                      <c:pt idx="16">
                        <c:v>0.67156097820967897</c:v>
                      </c:pt>
                      <c:pt idx="17">
                        <c:v>0.7110645651631895</c:v>
                      </c:pt>
                      <c:pt idx="18">
                        <c:v>0.75056815211670003</c:v>
                      </c:pt>
                      <c:pt idx="19">
                        <c:v>0.79007173907021055</c:v>
                      </c:pt>
                      <c:pt idx="20">
                        <c:v>0.82957532602372108</c:v>
                      </c:pt>
                      <c:pt idx="21">
                        <c:v>0.86907891297723161</c:v>
                      </c:pt>
                      <c:pt idx="22">
                        <c:v>0.90858249993074214</c:v>
                      </c:pt>
                      <c:pt idx="23">
                        <c:v>0.94808608688425267</c:v>
                      </c:pt>
                      <c:pt idx="24">
                        <c:v>0.98758967383776319</c:v>
                      </c:pt>
                      <c:pt idx="25">
                        <c:v>1.0270932607912737</c:v>
                      </c:pt>
                      <c:pt idx="26">
                        <c:v>1.0665968477447842</c:v>
                      </c:pt>
                      <c:pt idx="27">
                        <c:v>1.1061004346982948</c:v>
                      </c:pt>
                      <c:pt idx="28">
                        <c:v>1.1456040216518053</c:v>
                      </c:pt>
                      <c:pt idx="29">
                        <c:v>1.1851076086053158</c:v>
                      </c:pt>
                      <c:pt idx="30">
                        <c:v>1.2246111955588264</c:v>
                      </c:pt>
                      <c:pt idx="31">
                        <c:v>1.2641147825123369</c:v>
                      </c:pt>
                      <c:pt idx="32">
                        <c:v>1.3036183694658474</c:v>
                      </c:pt>
                      <c:pt idx="33">
                        <c:v>1.3431219564193579</c:v>
                      </c:pt>
                      <c:pt idx="34">
                        <c:v>1.3826255433728685</c:v>
                      </c:pt>
                      <c:pt idx="35">
                        <c:v>1.422129130326379</c:v>
                      </c:pt>
                      <c:pt idx="36">
                        <c:v>1.4616327172798895</c:v>
                      </c:pt>
                      <c:pt idx="37">
                        <c:v>1.5011363042334001</c:v>
                      </c:pt>
                      <c:pt idx="38">
                        <c:v>1.5406398911869106</c:v>
                      </c:pt>
                      <c:pt idx="39">
                        <c:v>1.5801434781404211</c:v>
                      </c:pt>
                      <c:pt idx="40">
                        <c:v>1.6196470650939316</c:v>
                      </c:pt>
                      <c:pt idx="41">
                        <c:v>1.6591506520474422</c:v>
                      </c:pt>
                      <c:pt idx="42">
                        <c:v>1.6986542390009527</c:v>
                      </c:pt>
                      <c:pt idx="43">
                        <c:v>1.7381578259544632</c:v>
                      </c:pt>
                      <c:pt idx="44">
                        <c:v>1.7776614129079737</c:v>
                      </c:pt>
                      <c:pt idx="45">
                        <c:v>1.8171649998614843</c:v>
                      </c:pt>
                      <c:pt idx="46">
                        <c:v>1.8566685868149948</c:v>
                      </c:pt>
                      <c:pt idx="47">
                        <c:v>1.8961721737685053</c:v>
                      </c:pt>
                      <c:pt idx="48">
                        <c:v>1.9356757607220159</c:v>
                      </c:pt>
                      <c:pt idx="49">
                        <c:v>1.9751793476755264</c:v>
                      </c:pt>
                      <c:pt idx="50">
                        <c:v>2.0146829346290369</c:v>
                      </c:pt>
                      <c:pt idx="51">
                        <c:v>2.0541865215825474</c:v>
                      </c:pt>
                    </c:numCache>
                  </c:numRef>
                </c:val>
                <c:smooth val="0"/>
                <c:extLst xmlns:c15="http://schemas.microsoft.com/office/drawing/2012/chart">
                  <c:ext xmlns:c16="http://schemas.microsoft.com/office/drawing/2014/chart" uri="{C3380CC4-5D6E-409C-BE32-E72D297353CC}">
                    <c16:uniqueId val="{0000000B-074B-413A-A8D5-925D459C25F7}"/>
                  </c:ext>
                </c:extLst>
              </c15:ser>
            </c15:filteredLineSeries>
          </c:ext>
        </c:extLst>
      </c:lineChart>
      <c:dateAx>
        <c:axId val="1388952432"/>
        <c:scaling>
          <c:orientation val="minMax"/>
        </c:scaling>
        <c:delete val="0"/>
        <c:axPos val="b"/>
        <c:numFmt formatCode="d\-mmm\-yy_);\(###0\);&quot;-  &quot;;&quot; &quot;@&quot; &quot;"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3088"/>
        <c:crosses val="autoZero"/>
        <c:auto val="1"/>
        <c:lblOffset val="100"/>
        <c:baseTimeUnit val="days"/>
        <c:majorUnit val="3"/>
        <c:majorTimeUnit val="months"/>
      </c:dateAx>
      <c:valAx>
        <c:axId val="1388953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Ticket Sales ($b)</a:t>
                </a:r>
              </a:p>
            </c:rich>
          </c:tx>
          <c:overlay val="0"/>
          <c:spPr>
            <a:noFill/>
            <a:ln>
              <a:noFill/>
            </a:ln>
            <a:effectLst/>
          </c:sp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2432"/>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'OZL Summary'!$BN$6:$BN$7</c:f>
              <c:strCache>
                <c:ptCount val="2"/>
                <c:pt idx="0">
                  <c:v>Actual</c:v>
                </c:pt>
              </c:strCache>
            </c:strRef>
          </c:tx>
          <c:spPr>
            <a:ln w="28575" cap="rnd">
              <a:solidFill>
                <a:schemeClr val="tx2"/>
              </a:solidFill>
              <a:round/>
            </a:ln>
            <a:effectLst/>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Summary'!$BN$8:$BN$60</c:f>
              <c:numCache>
                <c:formatCode>0.000</c:formatCode>
                <c:ptCount val="53"/>
                <c:pt idx="0">
                  <c:v>3.4282144018799997E-2</c:v>
                </c:pt>
                <c:pt idx="1">
                  <c:v>4.61727482976E-2</c:v>
                </c:pt>
                <c:pt idx="2">
                  <c:v>6.0744925144799997E-2</c:v>
                </c:pt>
                <c:pt idx="3">
                  <c:v>7.9887071887199998E-2</c:v>
                </c:pt>
                <c:pt idx="4">
                  <c:v>9.0591598206000004E-2</c:v>
                </c:pt>
                <c:pt idx="5">
                  <c:v>0.10471594425839999</c:v>
                </c:pt>
                <c:pt idx="6">
                  <c:v>0.13024126318319998</c:v>
                </c:pt>
                <c:pt idx="7">
                  <c:v>0.14299494069599997</c:v>
                </c:pt>
                <c:pt idx="8">
                  <c:v>0.15712274134439999</c:v>
                </c:pt>
                <c:pt idx="9">
                  <c:v>0.18211939192799997</c:v>
                </c:pt>
                <c:pt idx="10">
                  <c:v>0.21562528822559998</c:v>
                </c:pt>
                <c:pt idx="11">
                  <c:v>0.26312805598319994</c:v>
                </c:pt>
                <c:pt idx="12">
                  <c:v>0.27559419595559997</c:v>
                </c:pt>
                <c:pt idx="13">
                  <c:v>0.29338294713839996</c:v>
                </c:pt>
                <c:pt idx="14">
                  <c:v>0.31479798774239992</c:v>
                </c:pt>
                <c:pt idx="15">
                  <c:v>0.34138237064759991</c:v>
                </c:pt>
                <c:pt idx="16">
                  <c:v>0.38401116406199992</c:v>
                </c:pt>
                <c:pt idx="17">
                  <c:v>0.45353502371519994</c:v>
                </c:pt>
                <c:pt idx="18">
                  <c:v>0.46636884785519994</c:v>
                </c:pt>
                <c:pt idx="19">
                  <c:v>0.48057414660719988</c:v>
                </c:pt>
                <c:pt idx="20">
                  <c:v>0.50512031787239997</c:v>
                </c:pt>
                <c:pt idx="21">
                  <c:v>0.53195446806839985</c:v>
                </c:pt>
                <c:pt idx="22">
                  <c:v>0.57374874624239991</c:v>
                </c:pt>
                <c:pt idx="23">
                  <c:v>0.58543426267199994</c:v>
                </c:pt>
                <c:pt idx="24">
                  <c:v>0.59798193110999986</c:v>
                </c:pt>
                <c:pt idx="25">
                  <c:v>0.60953824564919989</c:v>
                </c:pt>
                <c:pt idx="26">
                  <c:v>0.62793005414039982</c:v>
                </c:pt>
                <c:pt idx="27">
                  <c:v>0.66085868744639986</c:v>
                </c:pt>
                <c:pt idx="28">
                  <c:v>0.70280784667439988</c:v>
                </c:pt>
                <c:pt idx="29">
                  <c:v>0.76647478426919979</c:v>
                </c:pt>
                <c:pt idx="30">
                  <c:v>0.77875598820239988</c:v>
                </c:pt>
                <c:pt idx="31">
                  <c:v>0.79341798454559986</c:v>
                </c:pt>
                <c:pt idx="32">
                  <c:v>0.81253514304359986</c:v>
                </c:pt>
                <c:pt idx="33">
                  <c:v>0.82340606573639985</c:v>
                </c:pt>
                <c:pt idx="34">
                  <c:v>0.84006470341439987</c:v>
                </c:pt>
                <c:pt idx="35">
                  <c:v>0.86433934343399987</c:v>
                </c:pt>
                <c:pt idx="36">
                  <c:v>0.87578580182039989</c:v>
                </c:pt>
                <c:pt idx="37">
                  <c:v>0.89565744408479986</c:v>
                </c:pt>
                <c:pt idx="38">
                  <c:v>0.90846581936759985</c:v>
                </c:pt>
                <c:pt idx="39">
                  <c:v>0.91858582836759983</c:v>
                </c:pt>
                <c:pt idx="40">
                  <c:v>0.93370152831879982</c:v>
                </c:pt>
                <c:pt idx="41">
                  <c:v>0.95559030918759991</c:v>
                </c:pt>
                <c:pt idx="42">
                  <c:v>0.98300771034159995</c:v>
                </c:pt>
                <c:pt idx="43">
                  <c:v>0.99330666708999993</c:v>
                </c:pt>
                <c:pt idx="44">
                  <c:v>1.0075762213275998</c:v>
                </c:pt>
                <c:pt idx="45">
                  <c:v>1.0281208537475999</c:v>
                </c:pt>
                <c:pt idx="46">
                  <c:v>1.0382225415931998</c:v>
                </c:pt>
                <c:pt idx="47">
                  <c:v>1.0541579684225999</c:v>
                </c:pt>
                <c:pt idx="48">
                  <c:v>1.0687637971379997</c:v>
                </c:pt>
                <c:pt idx="49">
                  <c:v>1.0815684581785998</c:v>
                </c:pt>
                <c:pt idx="50">
                  <c:v>1.0986668252266998</c:v>
                </c:pt>
                <c:pt idx="51">
                  <c:v>1.1194431701510998</c:v>
                </c:pt>
              </c:numCache>
            </c:numRef>
          </c:val>
          <c:smooth val="0"/>
          <c:extLst>
            <c:ext xmlns:c16="http://schemas.microsoft.com/office/drawing/2014/chart" uri="{C3380CC4-5D6E-409C-BE32-E72D297353CC}">
              <c16:uniqueId val="{00000000-FE09-4970-A180-09FD42146773}"/>
            </c:ext>
          </c:extLst>
        </c:ser>
        <c:ser>
          <c:idx val="7"/>
          <c:order val="3"/>
          <c:tx>
            <c:strRef>
              <c:f>'OZL Summary'!$BQ$6:$BQ$7</c:f>
              <c:strCache>
                <c:ptCount val="2"/>
                <c:pt idx="0">
                  <c:v>5th Percentile</c:v>
                </c:pt>
              </c:strCache>
            </c:strRef>
          </c:tx>
          <c:spPr>
            <a:ln w="28575" cap="rnd">
              <a:solidFill>
                <a:schemeClr val="accent6"/>
              </a:solidFill>
              <a:prstDash val="sysDot"/>
              <a:round/>
            </a:ln>
            <a:effectLst/>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Summary'!$BQ$8:$BQ$60</c:f>
              <c:numCache>
                <c:formatCode>0.000</c:formatCode>
                <c:ptCount val="53"/>
                <c:pt idx="0">
                  <c:v>1.9443728141978436E-2</c:v>
                </c:pt>
                <c:pt idx="1">
                  <c:v>3.8887456283956873E-2</c:v>
                </c:pt>
                <c:pt idx="2">
                  <c:v>5.8331184425935309E-2</c:v>
                </c:pt>
                <c:pt idx="3">
                  <c:v>7.7774912567913745E-2</c:v>
                </c:pt>
                <c:pt idx="4">
                  <c:v>9.7218640709892182E-2</c:v>
                </c:pt>
                <c:pt idx="5">
                  <c:v>0.11666236885187062</c:v>
                </c:pt>
                <c:pt idx="6">
                  <c:v>0.13610609699384907</c:v>
                </c:pt>
                <c:pt idx="7">
                  <c:v>0.15554982513582749</c:v>
                </c:pt>
                <c:pt idx="8">
                  <c:v>0.17499355327780591</c:v>
                </c:pt>
                <c:pt idx="9">
                  <c:v>0.19443728141978434</c:v>
                </c:pt>
                <c:pt idx="10">
                  <c:v>0.21388100956176276</c:v>
                </c:pt>
                <c:pt idx="11">
                  <c:v>0.23332473770374118</c:v>
                </c:pt>
                <c:pt idx="12">
                  <c:v>0.2527684658457196</c:v>
                </c:pt>
                <c:pt idx="13">
                  <c:v>0.27221219398769803</c:v>
                </c:pt>
                <c:pt idx="14">
                  <c:v>0.29165592212967645</c:v>
                </c:pt>
                <c:pt idx="15">
                  <c:v>0.31109965027165487</c:v>
                </c:pt>
                <c:pt idx="16">
                  <c:v>0.33054337841363329</c:v>
                </c:pt>
                <c:pt idx="17">
                  <c:v>0.34998710655561172</c:v>
                </c:pt>
                <c:pt idx="18">
                  <c:v>0.36943083469759014</c:v>
                </c:pt>
                <c:pt idx="19">
                  <c:v>0.38887456283956856</c:v>
                </c:pt>
                <c:pt idx="20">
                  <c:v>0.40831829098154698</c:v>
                </c:pt>
                <c:pt idx="21">
                  <c:v>0.42776201912352541</c:v>
                </c:pt>
                <c:pt idx="22">
                  <c:v>0.44720574726550383</c:v>
                </c:pt>
                <c:pt idx="23">
                  <c:v>0.46664947540748225</c:v>
                </c:pt>
                <c:pt idx="24">
                  <c:v>0.48609320354946067</c:v>
                </c:pt>
                <c:pt idx="25">
                  <c:v>0.5055369316914391</c:v>
                </c:pt>
                <c:pt idx="26">
                  <c:v>0.52498065983341757</c:v>
                </c:pt>
                <c:pt idx="27">
                  <c:v>0.54442438797539605</c:v>
                </c:pt>
                <c:pt idx="28">
                  <c:v>0.56386811611737453</c:v>
                </c:pt>
                <c:pt idx="29">
                  <c:v>0.58331184425935301</c:v>
                </c:pt>
                <c:pt idx="30">
                  <c:v>0.60275557240133149</c:v>
                </c:pt>
                <c:pt idx="31">
                  <c:v>0.62219930054330996</c:v>
                </c:pt>
                <c:pt idx="32">
                  <c:v>0.64164302868528844</c:v>
                </c:pt>
                <c:pt idx="33">
                  <c:v>0.66108675682726692</c:v>
                </c:pt>
                <c:pt idx="34">
                  <c:v>0.6805304849692454</c:v>
                </c:pt>
                <c:pt idx="35">
                  <c:v>0.69997421311122388</c:v>
                </c:pt>
                <c:pt idx="36">
                  <c:v>0.71941794125320235</c:v>
                </c:pt>
                <c:pt idx="37">
                  <c:v>0.73886166939518083</c:v>
                </c:pt>
                <c:pt idx="38">
                  <c:v>0.75830539753715931</c:v>
                </c:pt>
                <c:pt idx="39">
                  <c:v>0.77774912567913779</c:v>
                </c:pt>
                <c:pt idx="40">
                  <c:v>0.79719285382111627</c:v>
                </c:pt>
                <c:pt idx="41">
                  <c:v>0.81663658196309474</c:v>
                </c:pt>
                <c:pt idx="42">
                  <c:v>0.83608031010507322</c:v>
                </c:pt>
                <c:pt idx="43">
                  <c:v>0.8555240382470517</c:v>
                </c:pt>
                <c:pt idx="44">
                  <c:v>0.87496776638903018</c:v>
                </c:pt>
                <c:pt idx="45">
                  <c:v>0.89441149453100866</c:v>
                </c:pt>
                <c:pt idx="46">
                  <c:v>0.91385522267298713</c:v>
                </c:pt>
                <c:pt idx="47">
                  <c:v>0.93329895081496561</c:v>
                </c:pt>
                <c:pt idx="48">
                  <c:v>0.95274267895694409</c:v>
                </c:pt>
                <c:pt idx="49">
                  <c:v>0.97218640709892257</c:v>
                </c:pt>
                <c:pt idx="50">
                  <c:v>0.99163013524090105</c:v>
                </c:pt>
                <c:pt idx="51">
                  <c:v>1.0110738633828795</c:v>
                </c:pt>
              </c:numCache>
            </c:numRef>
          </c:val>
          <c:smooth val="0"/>
          <c:extLst xmlns:c15="http://schemas.microsoft.com/office/drawing/2012/chart">
            <c:ext xmlns:c16="http://schemas.microsoft.com/office/drawing/2014/chart" uri="{C3380CC4-5D6E-409C-BE32-E72D297353CC}">
              <c16:uniqueId val="{00000001-FE09-4970-A180-09FD42146773}"/>
            </c:ext>
          </c:extLst>
        </c:ser>
        <c:ser>
          <c:idx val="2"/>
          <c:order val="5"/>
          <c:tx>
            <c:strRef>
              <c:f>'OZL Summary'!$BS$6:$BS$7</c:f>
              <c:strCache>
                <c:ptCount val="2"/>
                <c:pt idx="0">
                  <c:v>25th Percentile</c:v>
                </c:pt>
              </c:strCache>
            </c:strRef>
          </c:tx>
          <c:spPr>
            <a:ln w="28575">
              <a:solidFill>
                <a:schemeClr val="accent5"/>
              </a:solidFill>
              <a:prstDash val="sysDot"/>
            </a:ln>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Summary'!$BS$8:$BS$60</c:f>
              <c:numCache>
                <c:formatCode>0.000</c:formatCode>
                <c:ptCount val="53"/>
                <c:pt idx="0">
                  <c:v>2.1609953490484776E-2</c:v>
                </c:pt>
                <c:pt idx="1">
                  <c:v>4.3219906980969551E-2</c:v>
                </c:pt>
                <c:pt idx="2">
                  <c:v>6.4829860471454323E-2</c:v>
                </c:pt>
                <c:pt idx="3">
                  <c:v>8.6439813961939102E-2</c:v>
                </c:pt>
                <c:pt idx="4">
                  <c:v>0.10804976745242388</c:v>
                </c:pt>
                <c:pt idx="5">
                  <c:v>0.12965972094290865</c:v>
                </c:pt>
                <c:pt idx="6">
                  <c:v>0.15126967443339343</c:v>
                </c:pt>
                <c:pt idx="7">
                  <c:v>0.1728796279238782</c:v>
                </c:pt>
                <c:pt idx="8">
                  <c:v>0.19448958141436298</c:v>
                </c:pt>
                <c:pt idx="9">
                  <c:v>0.21609953490484776</c:v>
                </c:pt>
                <c:pt idx="10">
                  <c:v>0.23770948839533254</c:v>
                </c:pt>
                <c:pt idx="11">
                  <c:v>0.25931944188581729</c:v>
                </c:pt>
                <c:pt idx="12">
                  <c:v>0.28092939537630207</c:v>
                </c:pt>
                <c:pt idx="13">
                  <c:v>0.30253934886678685</c:v>
                </c:pt>
                <c:pt idx="14">
                  <c:v>0.32414930235727163</c:v>
                </c:pt>
                <c:pt idx="15">
                  <c:v>0.34575925584775641</c:v>
                </c:pt>
                <c:pt idx="16">
                  <c:v>0.36736920933824119</c:v>
                </c:pt>
                <c:pt idx="17">
                  <c:v>0.38897916282872597</c:v>
                </c:pt>
                <c:pt idx="18">
                  <c:v>0.41058911631921075</c:v>
                </c:pt>
                <c:pt idx="19">
                  <c:v>0.43219906980969552</c:v>
                </c:pt>
                <c:pt idx="20">
                  <c:v>0.4538090233001803</c:v>
                </c:pt>
                <c:pt idx="21">
                  <c:v>0.47541897679066508</c:v>
                </c:pt>
                <c:pt idx="22">
                  <c:v>0.49702893028114986</c:v>
                </c:pt>
                <c:pt idx="23">
                  <c:v>0.51863888377163458</c:v>
                </c:pt>
                <c:pt idx="24">
                  <c:v>0.54024883726211936</c:v>
                </c:pt>
                <c:pt idx="25">
                  <c:v>0.56185879075260414</c:v>
                </c:pt>
                <c:pt idx="26">
                  <c:v>0.58346874424308892</c:v>
                </c:pt>
                <c:pt idx="27">
                  <c:v>0.6050786977335737</c:v>
                </c:pt>
                <c:pt idx="28">
                  <c:v>0.62668865122405848</c:v>
                </c:pt>
                <c:pt idx="29">
                  <c:v>0.64829860471454326</c:v>
                </c:pt>
                <c:pt idx="30">
                  <c:v>0.66990855820502804</c:v>
                </c:pt>
                <c:pt idx="31">
                  <c:v>0.69151851169551282</c:v>
                </c:pt>
                <c:pt idx="32">
                  <c:v>0.7131284651859976</c:v>
                </c:pt>
                <c:pt idx="33">
                  <c:v>0.73473841867648237</c:v>
                </c:pt>
                <c:pt idx="34">
                  <c:v>0.75634837216696715</c:v>
                </c:pt>
                <c:pt idx="35">
                  <c:v>0.77795832565745193</c:v>
                </c:pt>
                <c:pt idx="36">
                  <c:v>0.79956827914793671</c:v>
                </c:pt>
                <c:pt idx="37">
                  <c:v>0.82117823263842149</c:v>
                </c:pt>
                <c:pt idx="38">
                  <c:v>0.84278818612890627</c:v>
                </c:pt>
                <c:pt idx="39">
                  <c:v>0.86439813961939105</c:v>
                </c:pt>
                <c:pt idx="40">
                  <c:v>0.88600809310987583</c:v>
                </c:pt>
                <c:pt idx="41">
                  <c:v>0.90761804660036061</c:v>
                </c:pt>
                <c:pt idx="42">
                  <c:v>0.92922800009084539</c:v>
                </c:pt>
                <c:pt idx="43">
                  <c:v>0.95083795358133016</c:v>
                </c:pt>
                <c:pt idx="44">
                  <c:v>0.97244790707181494</c:v>
                </c:pt>
                <c:pt idx="45">
                  <c:v>0.99405786056229972</c:v>
                </c:pt>
                <c:pt idx="46">
                  <c:v>1.0156678140527844</c:v>
                </c:pt>
                <c:pt idx="47">
                  <c:v>1.0372777675432692</c:v>
                </c:pt>
                <c:pt idx="48">
                  <c:v>1.0588877210337539</c:v>
                </c:pt>
                <c:pt idx="49">
                  <c:v>1.0804976745242387</c:v>
                </c:pt>
                <c:pt idx="50">
                  <c:v>1.1021076280147235</c:v>
                </c:pt>
                <c:pt idx="51">
                  <c:v>1.1237175815052083</c:v>
                </c:pt>
              </c:numCache>
            </c:numRef>
          </c:val>
          <c:smooth val="0"/>
          <c:extLst>
            <c:ext xmlns:c16="http://schemas.microsoft.com/office/drawing/2014/chart" uri="{C3380CC4-5D6E-409C-BE32-E72D297353CC}">
              <c16:uniqueId val="{00000002-FE09-4970-A180-09FD42146773}"/>
            </c:ext>
          </c:extLst>
        </c:ser>
        <c:ser>
          <c:idx val="4"/>
          <c:order val="6"/>
          <c:tx>
            <c:strRef>
              <c:f>'OZL Summary'!$BT$6:$BT$7</c:f>
              <c:strCache>
                <c:ptCount val="2"/>
                <c:pt idx="0">
                  <c:v>50th Percentile</c:v>
                </c:pt>
              </c:strCache>
            </c:strRef>
          </c:tx>
          <c:spPr>
            <a:ln w="28575">
              <a:solidFill>
                <a:schemeClr val="accent2"/>
              </a:solidFill>
              <a:prstDash val="sysDot"/>
            </a:ln>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Summary'!$BT$8:$BT$60</c:f>
              <c:numCache>
                <c:formatCode>0.000</c:formatCode>
                <c:ptCount val="53"/>
                <c:pt idx="0">
                  <c:v>2.3469807538576672E-2</c:v>
                </c:pt>
                <c:pt idx="1">
                  <c:v>4.6939615077153343E-2</c:v>
                </c:pt>
                <c:pt idx="2">
                  <c:v>7.0409422615730022E-2</c:v>
                </c:pt>
                <c:pt idx="3">
                  <c:v>9.3879230154306686E-2</c:v>
                </c:pt>
                <c:pt idx="4">
                  <c:v>0.11734903769288335</c:v>
                </c:pt>
                <c:pt idx="5">
                  <c:v>0.14081884523146002</c:v>
                </c:pt>
                <c:pt idx="6">
                  <c:v>0.16428865277003668</c:v>
                </c:pt>
                <c:pt idx="7">
                  <c:v>0.18775846030861335</c:v>
                </c:pt>
                <c:pt idx="8">
                  <c:v>0.21122826784719001</c:v>
                </c:pt>
                <c:pt idx="9">
                  <c:v>0.23469807538576667</c:v>
                </c:pt>
                <c:pt idx="10">
                  <c:v>0.25816788292434334</c:v>
                </c:pt>
                <c:pt idx="11">
                  <c:v>0.28163769046292003</c:v>
                </c:pt>
                <c:pt idx="12">
                  <c:v>0.30510749800149672</c:v>
                </c:pt>
                <c:pt idx="13">
                  <c:v>0.32857730554007342</c:v>
                </c:pt>
                <c:pt idx="14">
                  <c:v>0.35204711307865011</c:v>
                </c:pt>
                <c:pt idx="15">
                  <c:v>0.3755169206172268</c:v>
                </c:pt>
                <c:pt idx="16">
                  <c:v>0.39898672815580349</c:v>
                </c:pt>
                <c:pt idx="17">
                  <c:v>0.42245653569438019</c:v>
                </c:pt>
                <c:pt idx="18">
                  <c:v>0.44592634323295688</c:v>
                </c:pt>
                <c:pt idx="19">
                  <c:v>0.46939615077153357</c:v>
                </c:pt>
                <c:pt idx="20">
                  <c:v>0.49286595831011026</c:v>
                </c:pt>
                <c:pt idx="21">
                  <c:v>0.5163357658486869</c:v>
                </c:pt>
                <c:pt idx="22">
                  <c:v>0.53980557338726354</c:v>
                </c:pt>
                <c:pt idx="23">
                  <c:v>0.56327538092584017</c:v>
                </c:pt>
                <c:pt idx="24">
                  <c:v>0.58674518846441681</c:v>
                </c:pt>
                <c:pt idx="25">
                  <c:v>0.61021499600299345</c:v>
                </c:pt>
                <c:pt idx="26">
                  <c:v>0.63368480354157009</c:v>
                </c:pt>
                <c:pt idx="27">
                  <c:v>0.65715461108014672</c:v>
                </c:pt>
                <c:pt idx="28">
                  <c:v>0.68062441861872336</c:v>
                </c:pt>
                <c:pt idx="29">
                  <c:v>0.7040942261573</c:v>
                </c:pt>
                <c:pt idx="30">
                  <c:v>0.72756403369587663</c:v>
                </c:pt>
                <c:pt idx="31">
                  <c:v>0.75103384123445327</c:v>
                </c:pt>
                <c:pt idx="32">
                  <c:v>0.77450364877302991</c:v>
                </c:pt>
                <c:pt idx="33">
                  <c:v>0.79797345631160654</c:v>
                </c:pt>
                <c:pt idx="34">
                  <c:v>0.82144326385018318</c:v>
                </c:pt>
                <c:pt idx="35">
                  <c:v>0.84491307138875982</c:v>
                </c:pt>
                <c:pt idx="36">
                  <c:v>0.86838287892733645</c:v>
                </c:pt>
                <c:pt idx="37">
                  <c:v>0.89185268646591309</c:v>
                </c:pt>
                <c:pt idx="38">
                  <c:v>0.91532249400448973</c:v>
                </c:pt>
                <c:pt idx="39">
                  <c:v>0.93879230154306637</c:v>
                </c:pt>
                <c:pt idx="40">
                  <c:v>0.962262109081643</c:v>
                </c:pt>
                <c:pt idx="41">
                  <c:v>0.98573191662021964</c:v>
                </c:pt>
                <c:pt idx="42">
                  <c:v>1.0092017241587963</c:v>
                </c:pt>
                <c:pt idx="43">
                  <c:v>1.0326715316973729</c:v>
                </c:pt>
                <c:pt idx="44">
                  <c:v>1.0561413392359496</c:v>
                </c:pt>
                <c:pt idx="45">
                  <c:v>1.0796111467745262</c:v>
                </c:pt>
                <c:pt idx="46">
                  <c:v>1.1030809543131028</c:v>
                </c:pt>
                <c:pt idx="47">
                  <c:v>1.1265507618516795</c:v>
                </c:pt>
                <c:pt idx="48">
                  <c:v>1.1500205693902561</c:v>
                </c:pt>
                <c:pt idx="49">
                  <c:v>1.1734903769288327</c:v>
                </c:pt>
                <c:pt idx="50">
                  <c:v>1.1969601844674094</c:v>
                </c:pt>
                <c:pt idx="51">
                  <c:v>1.220429992005986</c:v>
                </c:pt>
              </c:numCache>
            </c:numRef>
          </c:val>
          <c:smooth val="0"/>
          <c:extLst>
            <c:ext xmlns:c16="http://schemas.microsoft.com/office/drawing/2014/chart" uri="{C3380CC4-5D6E-409C-BE32-E72D297353CC}">
              <c16:uniqueId val="{00000003-FE09-4970-A180-09FD42146773}"/>
            </c:ext>
          </c:extLst>
        </c:ser>
        <c:ser>
          <c:idx val="6"/>
          <c:order val="7"/>
          <c:tx>
            <c:strRef>
              <c:f>'OZL Summary'!$BU$6:$BU$7</c:f>
              <c:strCache>
                <c:ptCount val="2"/>
                <c:pt idx="0">
                  <c:v>75th Percentile</c:v>
                </c:pt>
              </c:strCache>
            </c:strRef>
          </c:tx>
          <c:spPr>
            <a:ln w="28575">
              <a:solidFill>
                <a:schemeClr val="bg2"/>
              </a:solidFill>
              <a:prstDash val="sysDot"/>
            </a:ln>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Summary'!$BU$8:$BU$60</c:f>
              <c:numCache>
                <c:formatCode>0.000</c:formatCode>
                <c:ptCount val="53"/>
                <c:pt idx="0">
                  <c:v>2.5540580974329746E-2</c:v>
                </c:pt>
                <c:pt idx="1">
                  <c:v>5.1081161948659491E-2</c:v>
                </c:pt>
                <c:pt idx="2">
                  <c:v>7.6621742922989233E-2</c:v>
                </c:pt>
                <c:pt idx="3">
                  <c:v>0.10216232389731898</c:v>
                </c:pt>
                <c:pt idx="4">
                  <c:v>0.12770290487164873</c:v>
                </c:pt>
                <c:pt idx="5">
                  <c:v>0.15324348584597847</c:v>
                </c:pt>
                <c:pt idx="6">
                  <c:v>0.1787840668203082</c:v>
                </c:pt>
                <c:pt idx="7">
                  <c:v>0.20432464779463794</c:v>
                </c:pt>
                <c:pt idx="8">
                  <c:v>0.22986522876896767</c:v>
                </c:pt>
                <c:pt idx="9">
                  <c:v>0.25540580974329741</c:v>
                </c:pt>
                <c:pt idx="10">
                  <c:v>0.28094639071762717</c:v>
                </c:pt>
                <c:pt idx="11">
                  <c:v>0.30648697169195693</c:v>
                </c:pt>
                <c:pt idx="12">
                  <c:v>0.3320275526662867</c:v>
                </c:pt>
                <c:pt idx="13">
                  <c:v>0.35756813364061646</c:v>
                </c:pt>
                <c:pt idx="14">
                  <c:v>0.38310871461494622</c:v>
                </c:pt>
                <c:pt idx="15">
                  <c:v>0.40864929558927598</c:v>
                </c:pt>
                <c:pt idx="16">
                  <c:v>0.43418987656360575</c:v>
                </c:pt>
                <c:pt idx="17">
                  <c:v>0.45973045753793551</c:v>
                </c:pt>
                <c:pt idx="18">
                  <c:v>0.48527103851226527</c:v>
                </c:pt>
                <c:pt idx="19">
                  <c:v>0.51081161948659504</c:v>
                </c:pt>
                <c:pt idx="20">
                  <c:v>0.5363522004609248</c:v>
                </c:pt>
                <c:pt idx="21">
                  <c:v>0.56189278143525456</c:v>
                </c:pt>
                <c:pt idx="22">
                  <c:v>0.58743336240958433</c:v>
                </c:pt>
                <c:pt idx="23">
                  <c:v>0.61297394338391409</c:v>
                </c:pt>
                <c:pt idx="24">
                  <c:v>0.63851452435824385</c:v>
                </c:pt>
                <c:pt idx="25">
                  <c:v>0.66405510533257361</c:v>
                </c:pt>
                <c:pt idx="26">
                  <c:v>0.68959568630690338</c:v>
                </c:pt>
                <c:pt idx="27">
                  <c:v>0.71513626728123314</c:v>
                </c:pt>
                <c:pt idx="28">
                  <c:v>0.7406768482555629</c:v>
                </c:pt>
                <c:pt idx="29">
                  <c:v>0.76621742922989267</c:v>
                </c:pt>
                <c:pt idx="30">
                  <c:v>0.79175801020422243</c:v>
                </c:pt>
                <c:pt idx="31">
                  <c:v>0.81729859117855219</c:v>
                </c:pt>
                <c:pt idx="32">
                  <c:v>0.84283917215288195</c:v>
                </c:pt>
                <c:pt idx="33">
                  <c:v>0.86837975312721172</c:v>
                </c:pt>
                <c:pt idx="34">
                  <c:v>0.89392033410154148</c:v>
                </c:pt>
                <c:pt idx="35">
                  <c:v>0.91946091507587124</c:v>
                </c:pt>
                <c:pt idx="36">
                  <c:v>0.94500149605020101</c:v>
                </c:pt>
                <c:pt idx="37">
                  <c:v>0.97054207702453077</c:v>
                </c:pt>
                <c:pt idx="38">
                  <c:v>0.99608265799886053</c:v>
                </c:pt>
                <c:pt idx="39">
                  <c:v>1.0216232389731903</c:v>
                </c:pt>
                <c:pt idx="40">
                  <c:v>1.0471638199475199</c:v>
                </c:pt>
                <c:pt idx="41">
                  <c:v>1.0727044009218496</c:v>
                </c:pt>
                <c:pt idx="42">
                  <c:v>1.0982449818961793</c:v>
                </c:pt>
                <c:pt idx="43">
                  <c:v>1.1237855628705089</c:v>
                </c:pt>
                <c:pt idx="44">
                  <c:v>1.1493261438448386</c:v>
                </c:pt>
                <c:pt idx="45">
                  <c:v>1.1748667248191682</c:v>
                </c:pt>
                <c:pt idx="46">
                  <c:v>1.2004073057934979</c:v>
                </c:pt>
                <c:pt idx="47">
                  <c:v>1.2259478867678275</c:v>
                </c:pt>
                <c:pt idx="48">
                  <c:v>1.2514884677421572</c:v>
                </c:pt>
                <c:pt idx="49">
                  <c:v>1.2770290487164868</c:v>
                </c:pt>
                <c:pt idx="50">
                  <c:v>1.3025696296908165</c:v>
                </c:pt>
                <c:pt idx="51">
                  <c:v>1.3281102106651461</c:v>
                </c:pt>
              </c:numCache>
            </c:numRef>
          </c:val>
          <c:smooth val="0"/>
          <c:extLst xmlns:c15="http://schemas.microsoft.com/office/drawing/2012/chart">
            <c:ext xmlns:c16="http://schemas.microsoft.com/office/drawing/2014/chart" uri="{C3380CC4-5D6E-409C-BE32-E72D297353CC}">
              <c16:uniqueId val="{00000004-FE09-4970-A180-09FD42146773}"/>
            </c:ext>
          </c:extLst>
        </c:ser>
        <c:ser>
          <c:idx val="9"/>
          <c:order val="9"/>
          <c:tx>
            <c:strRef>
              <c:f>'OZL Summary'!$BW$6:$BW$7</c:f>
              <c:strCache>
                <c:ptCount val="2"/>
                <c:pt idx="0">
                  <c:v>95th Percentile</c:v>
                </c:pt>
              </c:strCache>
            </c:strRef>
          </c:tx>
          <c:spPr>
            <a:ln w="28575">
              <a:solidFill>
                <a:schemeClr val="accent1"/>
              </a:solidFill>
              <a:prstDash val="sysDot"/>
            </a:ln>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Summary'!$BW$8:$BW$60</c:f>
              <c:numCache>
                <c:formatCode>0.000</c:formatCode>
                <c:ptCount val="53"/>
                <c:pt idx="0">
                  <c:v>2.9126260596895739E-2</c:v>
                </c:pt>
                <c:pt idx="1">
                  <c:v>5.8252521193791477E-2</c:v>
                </c:pt>
                <c:pt idx="2">
                  <c:v>8.7378781790687213E-2</c:v>
                </c:pt>
                <c:pt idx="3">
                  <c:v>0.11650504238758295</c:v>
                </c:pt>
                <c:pt idx="4">
                  <c:v>0.14563130298447868</c:v>
                </c:pt>
                <c:pt idx="5">
                  <c:v>0.17475756358137443</c:v>
                </c:pt>
                <c:pt idx="6">
                  <c:v>0.20388382417827017</c:v>
                </c:pt>
                <c:pt idx="7">
                  <c:v>0.23301008477516591</c:v>
                </c:pt>
                <c:pt idx="8">
                  <c:v>0.26213634537206165</c:v>
                </c:pt>
                <c:pt idx="9">
                  <c:v>0.29126260596895737</c:v>
                </c:pt>
                <c:pt idx="10">
                  <c:v>0.32038886656585308</c:v>
                </c:pt>
                <c:pt idx="11">
                  <c:v>0.3495151271627488</c:v>
                </c:pt>
                <c:pt idx="12">
                  <c:v>0.37864138775964451</c:v>
                </c:pt>
                <c:pt idx="13">
                  <c:v>0.40776764835654022</c:v>
                </c:pt>
                <c:pt idx="14">
                  <c:v>0.43689390895343594</c:v>
                </c:pt>
                <c:pt idx="15">
                  <c:v>0.46602016955033165</c:v>
                </c:pt>
                <c:pt idx="16">
                  <c:v>0.49514643014722737</c:v>
                </c:pt>
                <c:pt idx="17">
                  <c:v>0.52427269074412308</c:v>
                </c:pt>
                <c:pt idx="18">
                  <c:v>0.5533989513410188</c:v>
                </c:pt>
                <c:pt idx="19">
                  <c:v>0.58252521193791451</c:v>
                </c:pt>
                <c:pt idx="20">
                  <c:v>0.61165147253481023</c:v>
                </c:pt>
                <c:pt idx="21">
                  <c:v>0.64077773313170594</c:v>
                </c:pt>
                <c:pt idx="22">
                  <c:v>0.66990399372860165</c:v>
                </c:pt>
                <c:pt idx="23">
                  <c:v>0.69903025432549737</c:v>
                </c:pt>
                <c:pt idx="24">
                  <c:v>0.72815651492239308</c:v>
                </c:pt>
                <c:pt idx="25">
                  <c:v>0.7572827755192888</c:v>
                </c:pt>
                <c:pt idx="26">
                  <c:v>0.78640903611618451</c:v>
                </c:pt>
                <c:pt idx="27">
                  <c:v>0.81553529671308023</c:v>
                </c:pt>
                <c:pt idx="28">
                  <c:v>0.84466155730997594</c:v>
                </c:pt>
                <c:pt idx="29">
                  <c:v>0.87378781790687166</c:v>
                </c:pt>
                <c:pt idx="30">
                  <c:v>0.90291407850376737</c:v>
                </c:pt>
                <c:pt idx="31">
                  <c:v>0.93204033910066308</c:v>
                </c:pt>
                <c:pt idx="32">
                  <c:v>0.9611665996975588</c:v>
                </c:pt>
                <c:pt idx="33">
                  <c:v>0.99029286029445451</c:v>
                </c:pt>
                <c:pt idx="34">
                  <c:v>1.0194191208913503</c:v>
                </c:pt>
                <c:pt idx="35">
                  <c:v>1.0485453814882462</c:v>
                </c:pt>
                <c:pt idx="36">
                  <c:v>1.077671642085142</c:v>
                </c:pt>
                <c:pt idx="37">
                  <c:v>1.1067979026820378</c:v>
                </c:pt>
                <c:pt idx="38">
                  <c:v>1.1359241632789336</c:v>
                </c:pt>
                <c:pt idx="39">
                  <c:v>1.1650504238758295</c:v>
                </c:pt>
                <c:pt idx="40">
                  <c:v>1.1941766844727253</c:v>
                </c:pt>
                <c:pt idx="41">
                  <c:v>1.2233029450696211</c:v>
                </c:pt>
                <c:pt idx="42">
                  <c:v>1.2524292056665169</c:v>
                </c:pt>
                <c:pt idx="43">
                  <c:v>1.2815554662634128</c:v>
                </c:pt>
                <c:pt idx="44">
                  <c:v>1.3106817268603086</c:v>
                </c:pt>
                <c:pt idx="45">
                  <c:v>1.3398079874572044</c:v>
                </c:pt>
                <c:pt idx="46">
                  <c:v>1.3689342480541002</c:v>
                </c:pt>
                <c:pt idx="47">
                  <c:v>1.3980605086509961</c:v>
                </c:pt>
                <c:pt idx="48">
                  <c:v>1.4271867692478919</c:v>
                </c:pt>
                <c:pt idx="49">
                  <c:v>1.4563130298447877</c:v>
                </c:pt>
                <c:pt idx="50">
                  <c:v>1.4854392904416835</c:v>
                </c:pt>
                <c:pt idx="51">
                  <c:v>1.5145655510385794</c:v>
                </c:pt>
              </c:numCache>
            </c:numRef>
          </c:val>
          <c:smooth val="0"/>
          <c:extLst xmlns:c15="http://schemas.microsoft.com/office/drawing/2012/chart">
            <c:ext xmlns:c16="http://schemas.microsoft.com/office/drawing/2014/chart" uri="{C3380CC4-5D6E-409C-BE32-E72D297353CC}">
              <c16:uniqueId val="{00000005-FE09-4970-A180-09FD42146773}"/>
            </c:ext>
          </c:extLst>
        </c:ser>
        <c:dLbls>
          <c:showLegendKey val="0"/>
          <c:showVal val="0"/>
          <c:showCatName val="0"/>
          <c:showSerName val="0"/>
          <c:showPercent val="0"/>
          <c:showBubbleSize val="0"/>
        </c:dLbls>
        <c:smooth val="0"/>
        <c:axId val="1388952432"/>
        <c:axId val="1388953088"/>
        <c:extLst>
          <c:ext xmlns:c15="http://schemas.microsoft.com/office/drawing/2012/chart" uri="{02D57815-91ED-43cb-92C2-25804820EDAC}">
            <c15:filteredLineSeries>
              <c15:ser>
                <c:idx val="3"/>
                <c:order val="1"/>
                <c:tx>
                  <c:strRef>
                    <c:extLst>
                      <c:ext uri="{02D57815-91ED-43cb-92C2-25804820EDAC}">
                        <c15:formulaRef>
                          <c15:sqref>'OZL Summary'!$BO$6:$BO$7</c15:sqref>
                        </c15:formulaRef>
                      </c:ext>
                    </c:extLst>
                    <c:strCache>
                      <c:ptCount val="2"/>
                      <c:pt idx="0">
                        <c:v>Min</c:v>
                      </c:pt>
                    </c:strCache>
                  </c:strRef>
                </c:tx>
                <c:marker>
                  <c:symbol val="none"/>
                </c:marker>
                <c:cat>
                  <c:numRef>
                    <c:extLst>
                      <c:ex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c:ext uri="{02D57815-91ED-43cb-92C2-25804820EDAC}">
                        <c15:formulaRef>
                          <c15:sqref>'OZL Summary'!$BO$8:$BO$60</c15:sqref>
                        </c15:formulaRef>
                      </c:ext>
                    </c:extLst>
                    <c:numCache>
                      <c:formatCode>0.000</c:formatCode>
                      <c:ptCount val="53"/>
                      <c:pt idx="0">
                        <c:v>1.6032204874777817E-2</c:v>
                      </c:pt>
                      <c:pt idx="1">
                        <c:v>3.2064409749555635E-2</c:v>
                      </c:pt>
                      <c:pt idx="2">
                        <c:v>4.8096614624333456E-2</c:v>
                      </c:pt>
                      <c:pt idx="3">
                        <c:v>6.412881949911127E-2</c:v>
                      </c:pt>
                      <c:pt idx="4">
                        <c:v>8.0161024373889084E-2</c:v>
                      </c:pt>
                      <c:pt idx="5">
                        <c:v>9.6193229248666898E-2</c:v>
                      </c:pt>
                      <c:pt idx="6">
                        <c:v>0.11222543412344471</c:v>
                      </c:pt>
                      <c:pt idx="7">
                        <c:v>0.12825763899822254</c:v>
                      </c:pt>
                      <c:pt idx="8">
                        <c:v>0.14428984387300037</c:v>
                      </c:pt>
                      <c:pt idx="9">
                        <c:v>0.1603220487477782</c:v>
                      </c:pt>
                      <c:pt idx="10">
                        <c:v>0.17635425362255602</c:v>
                      </c:pt>
                      <c:pt idx="11">
                        <c:v>0.19238645849733385</c:v>
                      </c:pt>
                      <c:pt idx="12">
                        <c:v>0.20841866337211168</c:v>
                      </c:pt>
                      <c:pt idx="13">
                        <c:v>0.22445086824688951</c:v>
                      </c:pt>
                      <c:pt idx="14">
                        <c:v>0.24048307312166733</c:v>
                      </c:pt>
                      <c:pt idx="15">
                        <c:v>0.25651527799644513</c:v>
                      </c:pt>
                      <c:pt idx="16">
                        <c:v>0.27254748287122293</c:v>
                      </c:pt>
                      <c:pt idx="17">
                        <c:v>0.28857968774600073</c:v>
                      </c:pt>
                      <c:pt idx="18">
                        <c:v>0.30461189262077853</c:v>
                      </c:pt>
                      <c:pt idx="19">
                        <c:v>0.32064409749555633</c:v>
                      </c:pt>
                      <c:pt idx="20">
                        <c:v>0.33667630237033414</c:v>
                      </c:pt>
                      <c:pt idx="21">
                        <c:v>0.35270850724511194</c:v>
                      </c:pt>
                      <c:pt idx="22">
                        <c:v>0.36874071211988974</c:v>
                      </c:pt>
                      <c:pt idx="23">
                        <c:v>0.38477291699466754</c:v>
                      </c:pt>
                      <c:pt idx="24">
                        <c:v>0.40080512186944534</c:v>
                      </c:pt>
                      <c:pt idx="25">
                        <c:v>0.41683732674422314</c:v>
                      </c:pt>
                      <c:pt idx="26">
                        <c:v>0.43286953161900094</c:v>
                      </c:pt>
                      <c:pt idx="27">
                        <c:v>0.44890173649377874</c:v>
                      </c:pt>
                      <c:pt idx="28">
                        <c:v>0.46493394136855654</c:v>
                      </c:pt>
                      <c:pt idx="29">
                        <c:v>0.48096614624333434</c:v>
                      </c:pt>
                      <c:pt idx="30">
                        <c:v>0.49699835111811214</c:v>
                      </c:pt>
                      <c:pt idx="31">
                        <c:v>0.51303055599288994</c:v>
                      </c:pt>
                      <c:pt idx="32">
                        <c:v>0.52906276086766779</c:v>
                      </c:pt>
                      <c:pt idx="33">
                        <c:v>0.54509496574244565</c:v>
                      </c:pt>
                      <c:pt idx="34">
                        <c:v>0.5611271706172235</c:v>
                      </c:pt>
                      <c:pt idx="35">
                        <c:v>0.57715937549200136</c:v>
                      </c:pt>
                      <c:pt idx="36">
                        <c:v>0.59319158036677921</c:v>
                      </c:pt>
                      <c:pt idx="37">
                        <c:v>0.60922378524155707</c:v>
                      </c:pt>
                      <c:pt idx="38">
                        <c:v>0.62525599011633493</c:v>
                      </c:pt>
                      <c:pt idx="39">
                        <c:v>0.64128819499111278</c:v>
                      </c:pt>
                      <c:pt idx="40">
                        <c:v>0.65732039986589064</c:v>
                      </c:pt>
                      <c:pt idx="41">
                        <c:v>0.67335260474066849</c:v>
                      </c:pt>
                      <c:pt idx="42">
                        <c:v>0.68938480961544635</c:v>
                      </c:pt>
                      <c:pt idx="43">
                        <c:v>0.7054170144902242</c:v>
                      </c:pt>
                      <c:pt idx="44">
                        <c:v>0.72144921936500206</c:v>
                      </c:pt>
                      <c:pt idx="45">
                        <c:v>0.73748142423977991</c:v>
                      </c:pt>
                      <c:pt idx="46">
                        <c:v>0.75351362911455777</c:v>
                      </c:pt>
                      <c:pt idx="47">
                        <c:v>0.76954583398933563</c:v>
                      </c:pt>
                      <c:pt idx="48">
                        <c:v>0.78557803886411348</c:v>
                      </c:pt>
                      <c:pt idx="49">
                        <c:v>0.80161024373889134</c:v>
                      </c:pt>
                      <c:pt idx="50">
                        <c:v>0.81764244861366919</c:v>
                      </c:pt>
                      <c:pt idx="51">
                        <c:v>0.83367465348844705</c:v>
                      </c:pt>
                    </c:numCache>
                  </c:numRef>
                </c:val>
                <c:smooth val="0"/>
                <c:extLst>
                  <c:ext xmlns:c16="http://schemas.microsoft.com/office/drawing/2014/chart" uri="{C3380CC4-5D6E-409C-BE32-E72D297353CC}">
                    <c16:uniqueId val="{00000006-FE09-4970-A180-09FD42146773}"/>
                  </c:ext>
                </c:extLst>
              </c15:ser>
            </c15:filteredLineSeries>
            <c15:filteredLineSeries>
              <c15:ser>
                <c:idx val="5"/>
                <c:order val="2"/>
                <c:tx>
                  <c:strRef>
                    <c:extLst xmlns:c15="http://schemas.microsoft.com/office/drawing/2012/chart">
                      <c:ext xmlns:c15="http://schemas.microsoft.com/office/drawing/2012/chart" uri="{02D57815-91ED-43cb-92C2-25804820EDAC}">
                        <c15:formulaRef>
                          <c15:sqref>'OZL Summary'!$BP$6:$BP$7</c15:sqref>
                        </c15:formulaRef>
                      </c:ext>
                    </c:extLst>
                    <c:strCache>
                      <c:ptCount val="2"/>
                      <c:pt idx="0">
                        <c:v>1st Percentile</c:v>
                      </c:pt>
                    </c:strCache>
                  </c:strRef>
                </c:tx>
                <c:spPr>
                  <a:ln w="28575" cap="rnd">
                    <a:solidFill>
                      <a:schemeClr val="accent6"/>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Summary'!$BP$8:$BP$60</c15:sqref>
                        </c15:formulaRef>
                      </c:ext>
                    </c:extLst>
                    <c:numCache>
                      <c:formatCode>0.000</c:formatCode>
                      <c:ptCount val="53"/>
                      <c:pt idx="0">
                        <c:v>1.8223138082807688E-2</c:v>
                      </c:pt>
                      <c:pt idx="1">
                        <c:v>3.6446276165615375E-2</c:v>
                      </c:pt>
                      <c:pt idx="2">
                        <c:v>5.4669414248423059E-2</c:v>
                      </c:pt>
                      <c:pt idx="3">
                        <c:v>7.2892552331230751E-2</c:v>
                      </c:pt>
                      <c:pt idx="4">
                        <c:v>9.1115690414038442E-2</c:v>
                      </c:pt>
                      <c:pt idx="5">
                        <c:v>0.10933882849684613</c:v>
                      </c:pt>
                      <c:pt idx="6">
                        <c:v>0.12756196657965382</c:v>
                      </c:pt>
                      <c:pt idx="7">
                        <c:v>0.1457851046624615</c:v>
                      </c:pt>
                      <c:pt idx="8">
                        <c:v>0.16400824274526918</c:v>
                      </c:pt>
                      <c:pt idx="9">
                        <c:v>0.18223138082807686</c:v>
                      </c:pt>
                      <c:pt idx="10">
                        <c:v>0.20045451891088453</c:v>
                      </c:pt>
                      <c:pt idx="11">
                        <c:v>0.21867765699369221</c:v>
                      </c:pt>
                      <c:pt idx="12">
                        <c:v>0.23690079507649989</c:v>
                      </c:pt>
                      <c:pt idx="13">
                        <c:v>0.25512393315930759</c:v>
                      </c:pt>
                      <c:pt idx="14">
                        <c:v>0.27334707124211527</c:v>
                      </c:pt>
                      <c:pt idx="15">
                        <c:v>0.29157020932492295</c:v>
                      </c:pt>
                      <c:pt idx="16">
                        <c:v>0.30979334740773062</c:v>
                      </c:pt>
                      <c:pt idx="17">
                        <c:v>0.3280164854905383</c:v>
                      </c:pt>
                      <c:pt idx="18">
                        <c:v>0.34623962357334598</c:v>
                      </c:pt>
                      <c:pt idx="19">
                        <c:v>0.36446276165615366</c:v>
                      </c:pt>
                      <c:pt idx="20">
                        <c:v>0.38268589973896133</c:v>
                      </c:pt>
                      <c:pt idx="21">
                        <c:v>0.40090903782176901</c:v>
                      </c:pt>
                      <c:pt idx="22">
                        <c:v>0.41913217590457669</c:v>
                      </c:pt>
                      <c:pt idx="23">
                        <c:v>0.43735531398738436</c:v>
                      </c:pt>
                      <c:pt idx="24">
                        <c:v>0.45557845207019204</c:v>
                      </c:pt>
                      <c:pt idx="25">
                        <c:v>0.47380159015299972</c:v>
                      </c:pt>
                      <c:pt idx="26">
                        <c:v>0.4920247282358074</c:v>
                      </c:pt>
                      <c:pt idx="27">
                        <c:v>0.51024786631861507</c:v>
                      </c:pt>
                      <c:pt idx="28">
                        <c:v>0.52847100440142281</c:v>
                      </c:pt>
                      <c:pt idx="29">
                        <c:v>0.54669414248423054</c:v>
                      </c:pt>
                      <c:pt idx="30">
                        <c:v>0.56491728056703827</c:v>
                      </c:pt>
                      <c:pt idx="31">
                        <c:v>0.583140418649846</c:v>
                      </c:pt>
                      <c:pt idx="32">
                        <c:v>0.60136355673265374</c:v>
                      </c:pt>
                      <c:pt idx="33">
                        <c:v>0.61958669481546147</c:v>
                      </c:pt>
                      <c:pt idx="34">
                        <c:v>0.6378098328982692</c:v>
                      </c:pt>
                      <c:pt idx="35">
                        <c:v>0.65603297098107693</c:v>
                      </c:pt>
                      <c:pt idx="36">
                        <c:v>0.67425610906388467</c:v>
                      </c:pt>
                      <c:pt idx="37">
                        <c:v>0.6924792471466924</c:v>
                      </c:pt>
                      <c:pt idx="38">
                        <c:v>0.71070238522950013</c:v>
                      </c:pt>
                      <c:pt idx="39">
                        <c:v>0.72892552331230787</c:v>
                      </c:pt>
                      <c:pt idx="40">
                        <c:v>0.7471486613951156</c:v>
                      </c:pt>
                      <c:pt idx="41">
                        <c:v>0.76537179947792333</c:v>
                      </c:pt>
                      <c:pt idx="42">
                        <c:v>0.78359493756073106</c:v>
                      </c:pt>
                      <c:pt idx="43">
                        <c:v>0.8018180756435388</c:v>
                      </c:pt>
                      <c:pt idx="44">
                        <c:v>0.82004121372634653</c:v>
                      </c:pt>
                      <c:pt idx="45">
                        <c:v>0.83826435180915426</c:v>
                      </c:pt>
                      <c:pt idx="46">
                        <c:v>0.85648748989196199</c:v>
                      </c:pt>
                      <c:pt idx="47">
                        <c:v>0.87471062797476973</c:v>
                      </c:pt>
                      <c:pt idx="48">
                        <c:v>0.89293376605757746</c:v>
                      </c:pt>
                      <c:pt idx="49">
                        <c:v>0.91115690414038519</c:v>
                      </c:pt>
                      <c:pt idx="50">
                        <c:v>0.92938004222319293</c:v>
                      </c:pt>
                      <c:pt idx="51">
                        <c:v>0.94760318030600066</c:v>
                      </c:pt>
                    </c:numCache>
                  </c:numRef>
                </c:val>
                <c:smooth val="0"/>
                <c:extLst xmlns:c15="http://schemas.microsoft.com/office/drawing/2012/chart">
                  <c:ext xmlns:c16="http://schemas.microsoft.com/office/drawing/2014/chart" uri="{C3380CC4-5D6E-409C-BE32-E72D297353CC}">
                    <c16:uniqueId val="{00000007-FE09-4970-A180-09FD42146773}"/>
                  </c:ext>
                </c:extLst>
              </c15:ser>
            </c15:filteredLineSeries>
            <c15:filteredLineSeries>
              <c15:ser>
                <c:idx val="1"/>
                <c:order val="4"/>
                <c:tx>
                  <c:strRef>
                    <c:extLst xmlns:c15="http://schemas.microsoft.com/office/drawing/2012/chart">
                      <c:ext xmlns:c15="http://schemas.microsoft.com/office/drawing/2012/chart" uri="{02D57815-91ED-43cb-92C2-25804820EDAC}">
                        <c15:formulaRef>
                          <c15:sqref>'OZL Summary'!$BR$6:$BR$7</c15:sqref>
                        </c15:formulaRef>
                      </c:ext>
                    </c:extLst>
                    <c:strCache>
                      <c:ptCount val="2"/>
                      <c:pt idx="0">
                        <c:v>10th Percentile</c:v>
                      </c:pt>
                    </c:strCache>
                  </c:strRef>
                </c:tx>
                <c:spPr>
                  <a:ln w="28575" cap="rnd" cmpd="sng">
                    <a:solidFill>
                      <a:schemeClr val="accent2"/>
                    </a:solidFill>
                    <a:prstDash val="sysDot"/>
                    <a:round/>
                    <a:headEnd type="none"/>
                  </a:ln>
                  <a:effectLst/>
                </c:spPr>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Summary'!$BR$8:$BR$60</c15:sqref>
                        </c15:formulaRef>
                      </c:ext>
                    </c:extLst>
                    <c:numCache>
                      <c:formatCode>0.000</c:formatCode>
                      <c:ptCount val="53"/>
                      <c:pt idx="0">
                        <c:v>2.0199848897457344E-2</c:v>
                      </c:pt>
                      <c:pt idx="1">
                        <c:v>4.0399697794914688E-2</c:v>
                      </c:pt>
                      <c:pt idx="2">
                        <c:v>6.0599546692372032E-2</c:v>
                      </c:pt>
                      <c:pt idx="3">
                        <c:v>8.0799395589829376E-2</c:v>
                      </c:pt>
                      <c:pt idx="4">
                        <c:v>0.10099924448728673</c:v>
                      </c:pt>
                      <c:pt idx="5">
                        <c:v>0.12119909338474408</c:v>
                      </c:pt>
                      <c:pt idx="6">
                        <c:v>0.14139894228220143</c:v>
                      </c:pt>
                      <c:pt idx="7">
                        <c:v>0.16159879117965878</c:v>
                      </c:pt>
                      <c:pt idx="8">
                        <c:v>0.18179864007711613</c:v>
                      </c:pt>
                      <c:pt idx="9">
                        <c:v>0.20199848897457348</c:v>
                      </c:pt>
                      <c:pt idx="10">
                        <c:v>0.22219833787203083</c:v>
                      </c:pt>
                      <c:pt idx="11">
                        <c:v>0.24239818676948818</c:v>
                      </c:pt>
                      <c:pt idx="12">
                        <c:v>0.26259803566694551</c:v>
                      </c:pt>
                      <c:pt idx="13">
                        <c:v>0.28279788456440286</c:v>
                      </c:pt>
                      <c:pt idx="14">
                        <c:v>0.30299773346186021</c:v>
                      </c:pt>
                      <c:pt idx="15">
                        <c:v>0.32319758235931756</c:v>
                      </c:pt>
                      <c:pt idx="16">
                        <c:v>0.34339743125677491</c:v>
                      </c:pt>
                      <c:pt idx="17">
                        <c:v>0.36359728015423226</c:v>
                      </c:pt>
                      <c:pt idx="18">
                        <c:v>0.38379712905168961</c:v>
                      </c:pt>
                      <c:pt idx="19">
                        <c:v>0.40399697794914696</c:v>
                      </c:pt>
                      <c:pt idx="20">
                        <c:v>0.42419682684660431</c:v>
                      </c:pt>
                      <c:pt idx="21">
                        <c:v>0.44439667574406166</c:v>
                      </c:pt>
                      <c:pt idx="22">
                        <c:v>0.46459652464151902</c:v>
                      </c:pt>
                      <c:pt idx="23">
                        <c:v>0.48479637353897637</c:v>
                      </c:pt>
                      <c:pt idx="24">
                        <c:v>0.50499622243643372</c:v>
                      </c:pt>
                      <c:pt idx="25">
                        <c:v>0.52519607133389101</c:v>
                      </c:pt>
                      <c:pt idx="26">
                        <c:v>0.54539592023134831</c:v>
                      </c:pt>
                      <c:pt idx="27">
                        <c:v>0.5655957691288056</c:v>
                      </c:pt>
                      <c:pt idx="28">
                        <c:v>0.5857956180262629</c:v>
                      </c:pt>
                      <c:pt idx="29">
                        <c:v>0.60599546692372019</c:v>
                      </c:pt>
                      <c:pt idx="30">
                        <c:v>0.62619531582117749</c:v>
                      </c:pt>
                      <c:pt idx="31">
                        <c:v>0.64639516471863478</c:v>
                      </c:pt>
                      <c:pt idx="32">
                        <c:v>0.66659501361609208</c:v>
                      </c:pt>
                      <c:pt idx="33">
                        <c:v>0.68679486251354938</c:v>
                      </c:pt>
                      <c:pt idx="34">
                        <c:v>0.70699471141100667</c:v>
                      </c:pt>
                      <c:pt idx="35">
                        <c:v>0.72719456030846397</c:v>
                      </c:pt>
                      <c:pt idx="36">
                        <c:v>0.74739440920592126</c:v>
                      </c:pt>
                      <c:pt idx="37">
                        <c:v>0.76759425810337856</c:v>
                      </c:pt>
                      <c:pt idx="38">
                        <c:v>0.78779410700083585</c:v>
                      </c:pt>
                      <c:pt idx="39">
                        <c:v>0.80799395589829315</c:v>
                      </c:pt>
                      <c:pt idx="40">
                        <c:v>0.82819380479575044</c:v>
                      </c:pt>
                      <c:pt idx="41">
                        <c:v>0.84839365369320774</c:v>
                      </c:pt>
                      <c:pt idx="42">
                        <c:v>0.86859350259066503</c:v>
                      </c:pt>
                      <c:pt idx="43">
                        <c:v>0.88879335148812233</c:v>
                      </c:pt>
                      <c:pt idx="44">
                        <c:v>0.90899320038557962</c:v>
                      </c:pt>
                      <c:pt idx="45">
                        <c:v>0.92919304928303692</c:v>
                      </c:pt>
                      <c:pt idx="46">
                        <c:v>0.94939289818049422</c:v>
                      </c:pt>
                      <c:pt idx="47">
                        <c:v>0.96959274707795151</c:v>
                      </c:pt>
                      <c:pt idx="48">
                        <c:v>0.98979259597540881</c:v>
                      </c:pt>
                      <c:pt idx="49">
                        <c:v>1.0099924448728661</c:v>
                      </c:pt>
                      <c:pt idx="50">
                        <c:v>1.0301922937703234</c:v>
                      </c:pt>
                      <c:pt idx="51">
                        <c:v>1.0503921426677807</c:v>
                      </c:pt>
                    </c:numCache>
                  </c:numRef>
                </c:val>
                <c:smooth val="0"/>
                <c:extLst xmlns:c15="http://schemas.microsoft.com/office/drawing/2012/chart">
                  <c:ext xmlns:c16="http://schemas.microsoft.com/office/drawing/2014/chart" uri="{C3380CC4-5D6E-409C-BE32-E72D297353CC}">
                    <c16:uniqueId val="{00000008-FE09-4970-A180-09FD42146773}"/>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'OZL Summary'!$BV$6:$BV$7</c15:sqref>
                        </c15:formulaRef>
                      </c:ext>
                    </c:extLst>
                    <c:strCache>
                      <c:ptCount val="2"/>
                      <c:pt idx="0">
                        <c:v>90th Percentile</c:v>
                      </c:pt>
                    </c:strCache>
                  </c:strRef>
                </c:tx>
                <c:spPr>
                  <a:ln w="28575">
                    <a:solidFill>
                      <a:schemeClr val="accent1"/>
                    </a:solidFill>
                    <a:prstDash val="sysDot"/>
                  </a:ln>
                </c:spPr>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Summary'!$BV$8:$BV$60</c15:sqref>
                        </c15:formulaRef>
                      </c:ext>
                    </c:extLst>
                    <c:numCache>
                      <c:formatCode>0.000</c:formatCode>
                      <c:ptCount val="53"/>
                      <c:pt idx="0">
                        <c:v>2.7720420236719803E-2</c:v>
                      </c:pt>
                      <c:pt idx="1">
                        <c:v>5.5440840473439605E-2</c:v>
                      </c:pt>
                      <c:pt idx="2">
                        <c:v>8.3161260710159404E-2</c:v>
                      </c:pt>
                      <c:pt idx="3">
                        <c:v>0.11088168094687921</c:v>
                      </c:pt>
                      <c:pt idx="4">
                        <c:v>0.138602101183599</c:v>
                      </c:pt>
                      <c:pt idx="5">
                        <c:v>0.16632252142031881</c:v>
                      </c:pt>
                      <c:pt idx="6">
                        <c:v>0.19404294165703861</c:v>
                      </c:pt>
                      <c:pt idx="7">
                        <c:v>0.22176336189375842</c:v>
                      </c:pt>
                      <c:pt idx="8">
                        <c:v>0.24948378213047823</c:v>
                      </c:pt>
                      <c:pt idx="9">
                        <c:v>0.277204202367198</c:v>
                      </c:pt>
                      <c:pt idx="10">
                        <c:v>0.30492462260391778</c:v>
                      </c:pt>
                      <c:pt idx="11">
                        <c:v>0.33264504284063756</c:v>
                      </c:pt>
                      <c:pt idx="12">
                        <c:v>0.36036546307735734</c:v>
                      </c:pt>
                      <c:pt idx="13">
                        <c:v>0.38808588331407712</c:v>
                      </c:pt>
                      <c:pt idx="14">
                        <c:v>0.4158063035507969</c:v>
                      </c:pt>
                      <c:pt idx="15">
                        <c:v>0.44352672378751667</c:v>
                      </c:pt>
                      <c:pt idx="16">
                        <c:v>0.47124714402423645</c:v>
                      </c:pt>
                      <c:pt idx="17">
                        <c:v>0.49896756426095623</c:v>
                      </c:pt>
                      <c:pt idx="18">
                        <c:v>0.52668798449767606</c:v>
                      </c:pt>
                      <c:pt idx="19">
                        <c:v>0.5544084047343959</c:v>
                      </c:pt>
                      <c:pt idx="20">
                        <c:v>0.58212882497111573</c:v>
                      </c:pt>
                      <c:pt idx="21">
                        <c:v>0.60984924520783557</c:v>
                      </c:pt>
                      <c:pt idx="22">
                        <c:v>0.6375696654445554</c:v>
                      </c:pt>
                      <c:pt idx="23">
                        <c:v>0.66529008568127523</c:v>
                      </c:pt>
                      <c:pt idx="24">
                        <c:v>0.69301050591799507</c:v>
                      </c:pt>
                      <c:pt idx="25">
                        <c:v>0.7207309261547149</c:v>
                      </c:pt>
                      <c:pt idx="26">
                        <c:v>0.74845134639143474</c:v>
                      </c:pt>
                      <c:pt idx="27">
                        <c:v>0.77617176662815457</c:v>
                      </c:pt>
                      <c:pt idx="28">
                        <c:v>0.8038921868648744</c:v>
                      </c:pt>
                      <c:pt idx="29">
                        <c:v>0.83161260710159424</c:v>
                      </c:pt>
                      <c:pt idx="30">
                        <c:v>0.85933302733831407</c:v>
                      </c:pt>
                      <c:pt idx="31">
                        <c:v>0.8870534475750339</c:v>
                      </c:pt>
                      <c:pt idx="32">
                        <c:v>0.91477386781175374</c:v>
                      </c:pt>
                      <c:pt idx="33">
                        <c:v>0.94249428804847357</c:v>
                      </c:pt>
                      <c:pt idx="34">
                        <c:v>0.97021470828519341</c:v>
                      </c:pt>
                      <c:pt idx="35">
                        <c:v>0.99793512852191324</c:v>
                      </c:pt>
                      <c:pt idx="36">
                        <c:v>1.025655548758633</c:v>
                      </c:pt>
                      <c:pt idx="37">
                        <c:v>1.0533759689953528</c:v>
                      </c:pt>
                      <c:pt idx="38">
                        <c:v>1.0810963892320726</c:v>
                      </c:pt>
                      <c:pt idx="39">
                        <c:v>1.1088168094687925</c:v>
                      </c:pt>
                      <c:pt idx="40">
                        <c:v>1.1365372297055123</c:v>
                      </c:pt>
                      <c:pt idx="41">
                        <c:v>1.1642576499422321</c:v>
                      </c:pt>
                      <c:pt idx="42">
                        <c:v>1.191978070178952</c:v>
                      </c:pt>
                      <c:pt idx="43">
                        <c:v>1.2196984904156718</c:v>
                      </c:pt>
                      <c:pt idx="44">
                        <c:v>1.2474189106523916</c:v>
                      </c:pt>
                      <c:pt idx="45">
                        <c:v>1.2751393308891115</c:v>
                      </c:pt>
                      <c:pt idx="46">
                        <c:v>1.3028597511258313</c:v>
                      </c:pt>
                      <c:pt idx="47">
                        <c:v>1.3305801713625511</c:v>
                      </c:pt>
                      <c:pt idx="48">
                        <c:v>1.358300591599271</c:v>
                      </c:pt>
                      <c:pt idx="49">
                        <c:v>1.3860210118359908</c:v>
                      </c:pt>
                      <c:pt idx="50">
                        <c:v>1.4137414320727106</c:v>
                      </c:pt>
                      <c:pt idx="51">
                        <c:v>1.4414618523094305</c:v>
                      </c:pt>
                    </c:numCache>
                  </c:numRef>
                </c:val>
                <c:smooth val="0"/>
                <c:extLst xmlns:c15="http://schemas.microsoft.com/office/drawing/2012/chart">
                  <c:ext xmlns:c16="http://schemas.microsoft.com/office/drawing/2014/chart" uri="{C3380CC4-5D6E-409C-BE32-E72D297353CC}">
                    <c16:uniqueId val="{00000009-FE09-4970-A180-09FD42146773}"/>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'OZL Summary'!$BX$6:$BX$7</c15:sqref>
                        </c15:formulaRef>
                      </c:ext>
                    </c:extLst>
                    <c:strCache>
                      <c:ptCount val="2"/>
                      <c:pt idx="0">
                        <c:v>99th Percentile</c:v>
                      </c:pt>
                    </c:strCache>
                  </c:strRef>
                </c:tx>
                <c:spPr>
                  <a:ln w="28575">
                    <a:solidFill>
                      <a:schemeClr val="accent1"/>
                    </a:solidFill>
                    <a:prstDash val="sysDot"/>
                  </a:ln>
                </c:spPr>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Summary'!$BX$8:$BX$60</c15:sqref>
                        </c15:formulaRef>
                      </c:ext>
                    </c:extLst>
                    <c:numCache>
                      <c:formatCode>0.000</c:formatCode>
                      <c:ptCount val="53"/>
                      <c:pt idx="0">
                        <c:v>3.2006943607976859E-2</c:v>
                      </c:pt>
                      <c:pt idx="1">
                        <c:v>6.4013887215953719E-2</c:v>
                      </c:pt>
                      <c:pt idx="2">
                        <c:v>9.6020830823930578E-2</c:v>
                      </c:pt>
                      <c:pt idx="3">
                        <c:v>0.12802777443190744</c:v>
                      </c:pt>
                      <c:pt idx="4">
                        <c:v>0.16003471803988428</c:v>
                      </c:pt>
                      <c:pt idx="5">
                        <c:v>0.19204166164786113</c:v>
                      </c:pt>
                      <c:pt idx="6">
                        <c:v>0.22404860525583797</c:v>
                      </c:pt>
                      <c:pt idx="7">
                        <c:v>0.25605554886381482</c:v>
                      </c:pt>
                      <c:pt idx="8">
                        <c:v>0.28806249247179166</c:v>
                      </c:pt>
                      <c:pt idx="9">
                        <c:v>0.32006943607976851</c:v>
                      </c:pt>
                      <c:pt idx="10">
                        <c:v>0.35207637968774536</c:v>
                      </c:pt>
                      <c:pt idx="11">
                        <c:v>0.3840833232957222</c:v>
                      </c:pt>
                      <c:pt idx="12">
                        <c:v>0.41609026690369905</c:v>
                      </c:pt>
                      <c:pt idx="13">
                        <c:v>0.44809721051167589</c:v>
                      </c:pt>
                      <c:pt idx="14">
                        <c:v>0.48010415411965274</c:v>
                      </c:pt>
                      <c:pt idx="15">
                        <c:v>0.51211109772762964</c:v>
                      </c:pt>
                      <c:pt idx="16">
                        <c:v>0.54411804133560648</c:v>
                      </c:pt>
                      <c:pt idx="17">
                        <c:v>0.57612498494358333</c:v>
                      </c:pt>
                      <c:pt idx="18">
                        <c:v>0.60813192855156017</c:v>
                      </c:pt>
                      <c:pt idx="19">
                        <c:v>0.64013887215953702</c:v>
                      </c:pt>
                      <c:pt idx="20">
                        <c:v>0.67214581576751387</c:v>
                      </c:pt>
                      <c:pt idx="21">
                        <c:v>0.70415275937549071</c:v>
                      </c:pt>
                      <c:pt idx="22">
                        <c:v>0.73615970298346756</c:v>
                      </c:pt>
                      <c:pt idx="23">
                        <c:v>0.7681666465914444</c:v>
                      </c:pt>
                      <c:pt idx="24">
                        <c:v>0.80017359019942125</c:v>
                      </c:pt>
                      <c:pt idx="25">
                        <c:v>0.83218053380739809</c:v>
                      </c:pt>
                      <c:pt idx="26">
                        <c:v>0.86418747741537494</c:v>
                      </c:pt>
                      <c:pt idx="27">
                        <c:v>0.89619442102335178</c:v>
                      </c:pt>
                      <c:pt idx="28">
                        <c:v>0.92820136463132863</c:v>
                      </c:pt>
                      <c:pt idx="29">
                        <c:v>0.96020830823930547</c:v>
                      </c:pt>
                      <c:pt idx="30">
                        <c:v>0.99221525184728232</c:v>
                      </c:pt>
                      <c:pt idx="31">
                        <c:v>1.0242221954552593</c:v>
                      </c:pt>
                      <c:pt idx="32">
                        <c:v>1.0562291390632361</c:v>
                      </c:pt>
                      <c:pt idx="33">
                        <c:v>1.088236082671213</c:v>
                      </c:pt>
                      <c:pt idx="34">
                        <c:v>1.1202430262791898</c:v>
                      </c:pt>
                      <c:pt idx="35">
                        <c:v>1.1522499698871667</c:v>
                      </c:pt>
                      <c:pt idx="36">
                        <c:v>1.1842569134951435</c:v>
                      </c:pt>
                      <c:pt idx="37">
                        <c:v>1.2162638571031203</c:v>
                      </c:pt>
                      <c:pt idx="38">
                        <c:v>1.2482708007110972</c:v>
                      </c:pt>
                      <c:pt idx="39">
                        <c:v>1.280277744319074</c:v>
                      </c:pt>
                      <c:pt idx="40">
                        <c:v>1.3122846879270509</c:v>
                      </c:pt>
                      <c:pt idx="41">
                        <c:v>1.3442916315350277</c:v>
                      </c:pt>
                      <c:pt idx="42">
                        <c:v>1.3762985751430046</c:v>
                      </c:pt>
                      <c:pt idx="43">
                        <c:v>1.4083055187509814</c:v>
                      </c:pt>
                      <c:pt idx="44">
                        <c:v>1.4403124623589583</c:v>
                      </c:pt>
                      <c:pt idx="45">
                        <c:v>1.4723194059669351</c:v>
                      </c:pt>
                      <c:pt idx="46">
                        <c:v>1.504326349574912</c:v>
                      </c:pt>
                      <c:pt idx="47">
                        <c:v>1.5363332931828888</c:v>
                      </c:pt>
                      <c:pt idx="48">
                        <c:v>1.5683402367908656</c:v>
                      </c:pt>
                      <c:pt idx="49">
                        <c:v>1.6003471803988425</c:v>
                      </c:pt>
                      <c:pt idx="50">
                        <c:v>1.6323541240068193</c:v>
                      </c:pt>
                      <c:pt idx="51">
                        <c:v>1.6643610676147962</c:v>
                      </c:pt>
                    </c:numCache>
                  </c:numRef>
                </c:val>
                <c:smooth val="0"/>
                <c:extLst xmlns:c15="http://schemas.microsoft.com/office/drawing/2012/chart">
                  <c:ext xmlns:c16="http://schemas.microsoft.com/office/drawing/2014/chart" uri="{C3380CC4-5D6E-409C-BE32-E72D297353CC}">
                    <c16:uniqueId val="{0000000A-FE09-4970-A180-09FD42146773}"/>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'OZL Summary'!$BY$6:$BY$7</c15:sqref>
                        </c15:formulaRef>
                      </c:ext>
                    </c:extLst>
                    <c:strCache>
                      <c:ptCount val="2"/>
                      <c:pt idx="0">
                        <c:v>Max</c:v>
                      </c:pt>
                    </c:strCache>
                  </c:strRef>
                </c:tx>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Summary'!$BY$8:$BY$60</c15:sqref>
                        </c15:formulaRef>
                      </c:ext>
                    </c:extLst>
                    <c:numCache>
                      <c:formatCode>0.000</c:formatCode>
                      <c:ptCount val="53"/>
                      <c:pt idx="0">
                        <c:v>3.9503586953510528E-2</c:v>
                      </c:pt>
                      <c:pt idx="1">
                        <c:v>7.9007173907021055E-2</c:v>
                      </c:pt>
                      <c:pt idx="2">
                        <c:v>0.11851076086053158</c:v>
                      </c:pt>
                      <c:pt idx="3">
                        <c:v>0.15801434781404211</c:v>
                      </c:pt>
                      <c:pt idx="4">
                        <c:v>0.19751793476755264</c:v>
                      </c:pt>
                      <c:pt idx="5">
                        <c:v>0.23702152172106317</c:v>
                      </c:pt>
                      <c:pt idx="6">
                        <c:v>0.27652510867457369</c:v>
                      </c:pt>
                      <c:pt idx="7">
                        <c:v>0.31602869562808422</c:v>
                      </c:pt>
                      <c:pt idx="8">
                        <c:v>0.35553228258159475</c:v>
                      </c:pt>
                      <c:pt idx="9">
                        <c:v>0.39503586953510528</c:v>
                      </c:pt>
                      <c:pt idx="10">
                        <c:v>0.43453945648861581</c:v>
                      </c:pt>
                      <c:pt idx="11">
                        <c:v>0.47404304344212633</c:v>
                      </c:pt>
                      <c:pt idx="12">
                        <c:v>0.51354663039563686</c:v>
                      </c:pt>
                      <c:pt idx="13">
                        <c:v>0.55305021734914739</c:v>
                      </c:pt>
                      <c:pt idx="14">
                        <c:v>0.59255380430265792</c:v>
                      </c:pt>
                      <c:pt idx="15">
                        <c:v>0.63205739125616844</c:v>
                      </c:pt>
                      <c:pt idx="16">
                        <c:v>0.67156097820967897</c:v>
                      </c:pt>
                      <c:pt idx="17">
                        <c:v>0.7110645651631895</c:v>
                      </c:pt>
                      <c:pt idx="18">
                        <c:v>0.75056815211670003</c:v>
                      </c:pt>
                      <c:pt idx="19">
                        <c:v>0.79007173907021055</c:v>
                      </c:pt>
                      <c:pt idx="20">
                        <c:v>0.82957532602372108</c:v>
                      </c:pt>
                      <c:pt idx="21">
                        <c:v>0.86907891297723161</c:v>
                      </c:pt>
                      <c:pt idx="22">
                        <c:v>0.90858249993074214</c:v>
                      </c:pt>
                      <c:pt idx="23">
                        <c:v>0.94808608688425267</c:v>
                      </c:pt>
                      <c:pt idx="24">
                        <c:v>0.98758967383776319</c:v>
                      </c:pt>
                      <c:pt idx="25">
                        <c:v>1.0270932607912737</c:v>
                      </c:pt>
                      <c:pt idx="26">
                        <c:v>1.0665968477447842</c:v>
                      </c:pt>
                      <c:pt idx="27">
                        <c:v>1.1061004346982948</c:v>
                      </c:pt>
                      <c:pt idx="28">
                        <c:v>1.1456040216518053</c:v>
                      </c:pt>
                      <c:pt idx="29">
                        <c:v>1.1851076086053158</c:v>
                      </c:pt>
                      <c:pt idx="30">
                        <c:v>1.2246111955588264</c:v>
                      </c:pt>
                      <c:pt idx="31">
                        <c:v>1.2641147825123369</c:v>
                      </c:pt>
                      <c:pt idx="32">
                        <c:v>1.3036183694658474</c:v>
                      </c:pt>
                      <c:pt idx="33">
                        <c:v>1.3431219564193579</c:v>
                      </c:pt>
                      <c:pt idx="34">
                        <c:v>1.3826255433728685</c:v>
                      </c:pt>
                      <c:pt idx="35">
                        <c:v>1.422129130326379</c:v>
                      </c:pt>
                      <c:pt idx="36">
                        <c:v>1.4616327172798895</c:v>
                      </c:pt>
                      <c:pt idx="37">
                        <c:v>1.5011363042334001</c:v>
                      </c:pt>
                      <c:pt idx="38">
                        <c:v>1.5406398911869106</c:v>
                      </c:pt>
                      <c:pt idx="39">
                        <c:v>1.5801434781404211</c:v>
                      </c:pt>
                      <c:pt idx="40">
                        <c:v>1.6196470650939316</c:v>
                      </c:pt>
                      <c:pt idx="41">
                        <c:v>1.6591506520474422</c:v>
                      </c:pt>
                      <c:pt idx="42">
                        <c:v>1.6986542390009527</c:v>
                      </c:pt>
                      <c:pt idx="43">
                        <c:v>1.7381578259544632</c:v>
                      </c:pt>
                      <c:pt idx="44">
                        <c:v>1.7776614129079737</c:v>
                      </c:pt>
                      <c:pt idx="45">
                        <c:v>1.8171649998614843</c:v>
                      </c:pt>
                      <c:pt idx="46">
                        <c:v>1.8566685868149948</c:v>
                      </c:pt>
                      <c:pt idx="47">
                        <c:v>1.8961721737685053</c:v>
                      </c:pt>
                      <c:pt idx="48">
                        <c:v>1.9356757607220159</c:v>
                      </c:pt>
                      <c:pt idx="49">
                        <c:v>1.9751793476755264</c:v>
                      </c:pt>
                      <c:pt idx="50">
                        <c:v>2.0146829346290369</c:v>
                      </c:pt>
                      <c:pt idx="51">
                        <c:v>2.0541865215825474</c:v>
                      </c:pt>
                    </c:numCache>
                  </c:numRef>
                </c:val>
                <c:smooth val="0"/>
                <c:extLst xmlns:c15="http://schemas.microsoft.com/office/drawing/2012/chart">
                  <c:ext xmlns:c16="http://schemas.microsoft.com/office/drawing/2014/chart" uri="{C3380CC4-5D6E-409C-BE32-E72D297353CC}">
                    <c16:uniqueId val="{0000000B-FE09-4970-A180-09FD42146773}"/>
                  </c:ext>
                </c:extLst>
              </c15:ser>
            </c15:filteredLineSeries>
          </c:ext>
        </c:extLst>
      </c:lineChart>
      <c:dateAx>
        <c:axId val="1388952432"/>
        <c:scaling>
          <c:orientation val="minMax"/>
        </c:scaling>
        <c:delete val="0"/>
        <c:axPos val="b"/>
        <c:numFmt formatCode="d\-mmm\-yy_);\(###0\);&quot;-  &quot;;&quot; &quot;@&quot; &quot;"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3088"/>
        <c:crosses val="autoZero"/>
        <c:auto val="1"/>
        <c:lblOffset val="100"/>
        <c:baseTimeUnit val="days"/>
        <c:majorUnit val="3"/>
        <c:majorTimeUnit val="months"/>
      </c:dateAx>
      <c:valAx>
        <c:axId val="1388953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Ticket Sales ($b)</a:t>
                </a:r>
              </a:p>
            </c:rich>
          </c:tx>
          <c:overlay val="0"/>
          <c:spPr>
            <a:noFill/>
            <a:ln>
              <a:noFill/>
            </a:ln>
            <a:effectLst/>
          </c:sp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2432"/>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'OZL Summary'!$BN$6:$BN$7</c:f>
              <c:strCache>
                <c:ptCount val="2"/>
                <c:pt idx="0">
                  <c:v>Actual</c:v>
                </c:pt>
              </c:strCache>
            </c:strRef>
          </c:tx>
          <c:spPr>
            <a:ln w="28575" cap="rnd">
              <a:solidFill>
                <a:schemeClr val="tx2"/>
              </a:solidFill>
              <a:round/>
            </a:ln>
            <a:effectLst/>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Summary'!$BN$8:$BN$60</c:f>
              <c:numCache>
                <c:formatCode>0.000</c:formatCode>
                <c:ptCount val="53"/>
                <c:pt idx="0">
                  <c:v>3.4282144018799997E-2</c:v>
                </c:pt>
                <c:pt idx="1">
                  <c:v>4.61727482976E-2</c:v>
                </c:pt>
                <c:pt idx="2">
                  <c:v>6.0744925144799997E-2</c:v>
                </c:pt>
                <c:pt idx="3">
                  <c:v>7.9887071887199998E-2</c:v>
                </c:pt>
                <c:pt idx="4">
                  <c:v>9.0591598206000004E-2</c:v>
                </c:pt>
                <c:pt idx="5">
                  <c:v>0.10471594425839999</c:v>
                </c:pt>
                <c:pt idx="6">
                  <c:v>0.13024126318319998</c:v>
                </c:pt>
                <c:pt idx="7">
                  <c:v>0.14299494069599997</c:v>
                </c:pt>
                <c:pt idx="8">
                  <c:v>0.15712274134439999</c:v>
                </c:pt>
                <c:pt idx="9">
                  <c:v>0.18211939192799997</c:v>
                </c:pt>
                <c:pt idx="10">
                  <c:v>0.21562528822559998</c:v>
                </c:pt>
                <c:pt idx="11">
                  <c:v>0.26312805598319994</c:v>
                </c:pt>
                <c:pt idx="12">
                  <c:v>0.27559419595559997</c:v>
                </c:pt>
                <c:pt idx="13">
                  <c:v>0.29338294713839996</c:v>
                </c:pt>
                <c:pt idx="14">
                  <c:v>0.31479798774239992</c:v>
                </c:pt>
                <c:pt idx="15">
                  <c:v>0.34138237064759991</c:v>
                </c:pt>
                <c:pt idx="16">
                  <c:v>0.38401116406199992</c:v>
                </c:pt>
                <c:pt idx="17">
                  <c:v>0.45353502371519994</c:v>
                </c:pt>
                <c:pt idx="18">
                  <c:v>0.46636884785519994</c:v>
                </c:pt>
                <c:pt idx="19">
                  <c:v>0.48057414660719988</c:v>
                </c:pt>
                <c:pt idx="20">
                  <c:v>0.50512031787239997</c:v>
                </c:pt>
                <c:pt idx="21">
                  <c:v>0.53195446806839985</c:v>
                </c:pt>
                <c:pt idx="22">
                  <c:v>0.57374874624239991</c:v>
                </c:pt>
                <c:pt idx="23">
                  <c:v>0.58543426267199994</c:v>
                </c:pt>
                <c:pt idx="24">
                  <c:v>0.59798193110999986</c:v>
                </c:pt>
                <c:pt idx="25">
                  <c:v>0.60953824564919989</c:v>
                </c:pt>
                <c:pt idx="26">
                  <c:v>0.62793005414039982</c:v>
                </c:pt>
                <c:pt idx="27">
                  <c:v>0.66085868744639986</c:v>
                </c:pt>
                <c:pt idx="28">
                  <c:v>0.70280784667439988</c:v>
                </c:pt>
                <c:pt idx="29">
                  <c:v>0.76647478426919979</c:v>
                </c:pt>
                <c:pt idx="30">
                  <c:v>0.77875598820239988</c:v>
                </c:pt>
                <c:pt idx="31">
                  <c:v>0.79341798454559986</c:v>
                </c:pt>
                <c:pt idx="32">
                  <c:v>0.81253514304359986</c:v>
                </c:pt>
                <c:pt idx="33">
                  <c:v>0.82340606573639985</c:v>
                </c:pt>
                <c:pt idx="34">
                  <c:v>0.84006470341439987</c:v>
                </c:pt>
                <c:pt idx="35">
                  <c:v>0.86433934343399987</c:v>
                </c:pt>
                <c:pt idx="36">
                  <c:v>0.87578580182039989</c:v>
                </c:pt>
                <c:pt idx="37">
                  <c:v>0.89565744408479986</c:v>
                </c:pt>
                <c:pt idx="38">
                  <c:v>0.90846581936759985</c:v>
                </c:pt>
                <c:pt idx="39">
                  <c:v>0.91858582836759983</c:v>
                </c:pt>
                <c:pt idx="40">
                  <c:v>0.93370152831879982</c:v>
                </c:pt>
                <c:pt idx="41">
                  <c:v>0.95559030918759991</c:v>
                </c:pt>
                <c:pt idx="42">
                  <c:v>0.98300771034159995</c:v>
                </c:pt>
                <c:pt idx="43">
                  <c:v>0.99330666708999993</c:v>
                </c:pt>
                <c:pt idx="44">
                  <c:v>1.0075762213275998</c:v>
                </c:pt>
                <c:pt idx="45">
                  <c:v>1.0281208537475999</c:v>
                </c:pt>
                <c:pt idx="46">
                  <c:v>1.0382225415931998</c:v>
                </c:pt>
                <c:pt idx="47">
                  <c:v>1.0541579684225999</c:v>
                </c:pt>
                <c:pt idx="48">
                  <c:v>1.0687637971379997</c:v>
                </c:pt>
                <c:pt idx="49">
                  <c:v>1.0815684581785998</c:v>
                </c:pt>
                <c:pt idx="50">
                  <c:v>1.0986668252266998</c:v>
                </c:pt>
                <c:pt idx="51">
                  <c:v>1.1194431701510998</c:v>
                </c:pt>
              </c:numCache>
            </c:numRef>
          </c:val>
          <c:smooth val="0"/>
          <c:extLst>
            <c:ext xmlns:c16="http://schemas.microsoft.com/office/drawing/2014/chart" uri="{C3380CC4-5D6E-409C-BE32-E72D297353CC}">
              <c16:uniqueId val="{00000000-5804-49B4-B23B-67A71DA584F9}"/>
            </c:ext>
          </c:extLst>
        </c:ser>
        <c:ser>
          <c:idx val="7"/>
          <c:order val="3"/>
          <c:tx>
            <c:strRef>
              <c:f>'OZL Summary'!$BQ$6:$BQ$7</c:f>
              <c:strCache>
                <c:ptCount val="2"/>
                <c:pt idx="0">
                  <c:v>5th Percentile</c:v>
                </c:pt>
              </c:strCache>
            </c:strRef>
          </c:tx>
          <c:spPr>
            <a:ln w="28575" cap="rnd">
              <a:solidFill>
                <a:schemeClr val="bg2"/>
              </a:solidFill>
              <a:prstDash val="sysDot"/>
              <a:round/>
            </a:ln>
            <a:effectLst/>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Summary'!$BQ$8:$BQ$60</c:f>
              <c:numCache>
                <c:formatCode>0.000</c:formatCode>
                <c:ptCount val="53"/>
                <c:pt idx="0">
                  <c:v>1.9443728141978436E-2</c:v>
                </c:pt>
                <c:pt idx="1">
                  <c:v>3.8887456283956873E-2</c:v>
                </c:pt>
                <c:pt idx="2">
                  <c:v>5.8331184425935309E-2</c:v>
                </c:pt>
                <c:pt idx="3">
                  <c:v>7.7774912567913745E-2</c:v>
                </c:pt>
                <c:pt idx="4">
                  <c:v>9.7218640709892182E-2</c:v>
                </c:pt>
                <c:pt idx="5">
                  <c:v>0.11666236885187062</c:v>
                </c:pt>
                <c:pt idx="6">
                  <c:v>0.13610609699384907</c:v>
                </c:pt>
                <c:pt idx="7">
                  <c:v>0.15554982513582749</c:v>
                </c:pt>
                <c:pt idx="8">
                  <c:v>0.17499355327780591</c:v>
                </c:pt>
                <c:pt idx="9">
                  <c:v>0.19443728141978434</c:v>
                </c:pt>
                <c:pt idx="10">
                  <c:v>0.21388100956176276</c:v>
                </c:pt>
                <c:pt idx="11">
                  <c:v>0.23332473770374118</c:v>
                </c:pt>
                <c:pt idx="12">
                  <c:v>0.2527684658457196</c:v>
                </c:pt>
                <c:pt idx="13">
                  <c:v>0.27221219398769803</c:v>
                </c:pt>
                <c:pt idx="14">
                  <c:v>0.29165592212967645</c:v>
                </c:pt>
                <c:pt idx="15">
                  <c:v>0.31109965027165487</c:v>
                </c:pt>
                <c:pt idx="16">
                  <c:v>0.33054337841363329</c:v>
                </c:pt>
                <c:pt idx="17">
                  <c:v>0.34998710655561172</c:v>
                </c:pt>
                <c:pt idx="18">
                  <c:v>0.36943083469759014</c:v>
                </c:pt>
                <c:pt idx="19">
                  <c:v>0.38887456283956856</c:v>
                </c:pt>
                <c:pt idx="20">
                  <c:v>0.40831829098154698</c:v>
                </c:pt>
                <c:pt idx="21">
                  <c:v>0.42776201912352541</c:v>
                </c:pt>
                <c:pt idx="22">
                  <c:v>0.44720574726550383</c:v>
                </c:pt>
                <c:pt idx="23">
                  <c:v>0.46664947540748225</c:v>
                </c:pt>
                <c:pt idx="24">
                  <c:v>0.48609320354946067</c:v>
                </c:pt>
                <c:pt idx="25">
                  <c:v>0.5055369316914391</c:v>
                </c:pt>
                <c:pt idx="26">
                  <c:v>0.52498065983341757</c:v>
                </c:pt>
                <c:pt idx="27">
                  <c:v>0.54442438797539605</c:v>
                </c:pt>
                <c:pt idx="28">
                  <c:v>0.56386811611737453</c:v>
                </c:pt>
                <c:pt idx="29">
                  <c:v>0.58331184425935301</c:v>
                </c:pt>
                <c:pt idx="30">
                  <c:v>0.60275557240133149</c:v>
                </c:pt>
                <c:pt idx="31">
                  <c:v>0.62219930054330996</c:v>
                </c:pt>
                <c:pt idx="32">
                  <c:v>0.64164302868528844</c:v>
                </c:pt>
                <c:pt idx="33">
                  <c:v>0.66108675682726692</c:v>
                </c:pt>
                <c:pt idx="34">
                  <c:v>0.6805304849692454</c:v>
                </c:pt>
                <c:pt idx="35">
                  <c:v>0.69997421311122388</c:v>
                </c:pt>
                <c:pt idx="36">
                  <c:v>0.71941794125320235</c:v>
                </c:pt>
                <c:pt idx="37">
                  <c:v>0.73886166939518083</c:v>
                </c:pt>
                <c:pt idx="38">
                  <c:v>0.75830539753715931</c:v>
                </c:pt>
                <c:pt idx="39">
                  <c:v>0.77774912567913779</c:v>
                </c:pt>
                <c:pt idx="40">
                  <c:v>0.79719285382111627</c:v>
                </c:pt>
                <c:pt idx="41">
                  <c:v>0.81663658196309474</c:v>
                </c:pt>
                <c:pt idx="42">
                  <c:v>0.83608031010507322</c:v>
                </c:pt>
                <c:pt idx="43">
                  <c:v>0.8555240382470517</c:v>
                </c:pt>
                <c:pt idx="44">
                  <c:v>0.87496776638903018</c:v>
                </c:pt>
                <c:pt idx="45">
                  <c:v>0.89441149453100866</c:v>
                </c:pt>
                <c:pt idx="46">
                  <c:v>0.91385522267298713</c:v>
                </c:pt>
                <c:pt idx="47">
                  <c:v>0.93329895081496561</c:v>
                </c:pt>
                <c:pt idx="48">
                  <c:v>0.95274267895694409</c:v>
                </c:pt>
                <c:pt idx="49">
                  <c:v>0.97218640709892257</c:v>
                </c:pt>
                <c:pt idx="50">
                  <c:v>0.99163013524090105</c:v>
                </c:pt>
                <c:pt idx="51">
                  <c:v>1.0110738633828795</c:v>
                </c:pt>
              </c:numCache>
            </c:numRef>
          </c:val>
          <c:smooth val="0"/>
          <c:extLst xmlns:c15="http://schemas.microsoft.com/office/drawing/2012/chart">
            <c:ext xmlns:c16="http://schemas.microsoft.com/office/drawing/2014/chart" uri="{C3380CC4-5D6E-409C-BE32-E72D297353CC}">
              <c16:uniqueId val="{00000001-5804-49B4-B23B-67A71DA584F9}"/>
            </c:ext>
          </c:extLst>
        </c:ser>
        <c:ser>
          <c:idx val="2"/>
          <c:order val="5"/>
          <c:tx>
            <c:v>25/50/75th percentile</c:v>
          </c:tx>
          <c:spPr>
            <a:ln w="28575">
              <a:solidFill>
                <a:schemeClr val="bg2"/>
              </a:solidFill>
              <a:prstDash val="sysDot"/>
            </a:ln>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Summary'!$BS$8:$BS$60</c:f>
              <c:numCache>
                <c:formatCode>0.000</c:formatCode>
                <c:ptCount val="53"/>
                <c:pt idx="0">
                  <c:v>2.1609953490484776E-2</c:v>
                </c:pt>
                <c:pt idx="1">
                  <c:v>4.3219906980969551E-2</c:v>
                </c:pt>
                <c:pt idx="2">
                  <c:v>6.4829860471454323E-2</c:v>
                </c:pt>
                <c:pt idx="3">
                  <c:v>8.6439813961939102E-2</c:v>
                </c:pt>
                <c:pt idx="4">
                  <c:v>0.10804976745242388</c:v>
                </c:pt>
                <c:pt idx="5">
                  <c:v>0.12965972094290865</c:v>
                </c:pt>
                <c:pt idx="6">
                  <c:v>0.15126967443339343</c:v>
                </c:pt>
                <c:pt idx="7">
                  <c:v>0.1728796279238782</c:v>
                </c:pt>
                <c:pt idx="8">
                  <c:v>0.19448958141436298</c:v>
                </c:pt>
                <c:pt idx="9">
                  <c:v>0.21609953490484776</c:v>
                </c:pt>
                <c:pt idx="10">
                  <c:v>0.23770948839533254</c:v>
                </c:pt>
                <c:pt idx="11">
                  <c:v>0.25931944188581729</c:v>
                </c:pt>
                <c:pt idx="12">
                  <c:v>0.28092939537630207</c:v>
                </c:pt>
                <c:pt idx="13">
                  <c:v>0.30253934886678685</c:v>
                </c:pt>
                <c:pt idx="14">
                  <c:v>0.32414930235727163</c:v>
                </c:pt>
                <c:pt idx="15">
                  <c:v>0.34575925584775641</c:v>
                </c:pt>
                <c:pt idx="16">
                  <c:v>0.36736920933824119</c:v>
                </c:pt>
                <c:pt idx="17">
                  <c:v>0.38897916282872597</c:v>
                </c:pt>
                <c:pt idx="18">
                  <c:v>0.41058911631921075</c:v>
                </c:pt>
                <c:pt idx="19">
                  <c:v>0.43219906980969552</c:v>
                </c:pt>
                <c:pt idx="20">
                  <c:v>0.4538090233001803</c:v>
                </c:pt>
                <c:pt idx="21">
                  <c:v>0.47541897679066508</c:v>
                </c:pt>
                <c:pt idx="22">
                  <c:v>0.49702893028114986</c:v>
                </c:pt>
                <c:pt idx="23">
                  <c:v>0.51863888377163458</c:v>
                </c:pt>
                <c:pt idx="24">
                  <c:v>0.54024883726211936</c:v>
                </c:pt>
                <c:pt idx="25">
                  <c:v>0.56185879075260414</c:v>
                </c:pt>
                <c:pt idx="26">
                  <c:v>0.58346874424308892</c:v>
                </c:pt>
                <c:pt idx="27">
                  <c:v>0.6050786977335737</c:v>
                </c:pt>
                <c:pt idx="28">
                  <c:v>0.62668865122405848</c:v>
                </c:pt>
                <c:pt idx="29">
                  <c:v>0.64829860471454326</c:v>
                </c:pt>
                <c:pt idx="30">
                  <c:v>0.66990855820502804</c:v>
                </c:pt>
                <c:pt idx="31">
                  <c:v>0.69151851169551282</c:v>
                </c:pt>
                <c:pt idx="32">
                  <c:v>0.7131284651859976</c:v>
                </c:pt>
                <c:pt idx="33">
                  <c:v>0.73473841867648237</c:v>
                </c:pt>
                <c:pt idx="34">
                  <c:v>0.75634837216696715</c:v>
                </c:pt>
                <c:pt idx="35">
                  <c:v>0.77795832565745193</c:v>
                </c:pt>
                <c:pt idx="36">
                  <c:v>0.79956827914793671</c:v>
                </c:pt>
                <c:pt idx="37">
                  <c:v>0.82117823263842149</c:v>
                </c:pt>
                <c:pt idx="38">
                  <c:v>0.84278818612890627</c:v>
                </c:pt>
                <c:pt idx="39">
                  <c:v>0.86439813961939105</c:v>
                </c:pt>
                <c:pt idx="40">
                  <c:v>0.88600809310987583</c:v>
                </c:pt>
                <c:pt idx="41">
                  <c:v>0.90761804660036061</c:v>
                </c:pt>
                <c:pt idx="42">
                  <c:v>0.92922800009084539</c:v>
                </c:pt>
                <c:pt idx="43">
                  <c:v>0.95083795358133016</c:v>
                </c:pt>
                <c:pt idx="44">
                  <c:v>0.97244790707181494</c:v>
                </c:pt>
                <c:pt idx="45">
                  <c:v>0.99405786056229972</c:v>
                </c:pt>
                <c:pt idx="46">
                  <c:v>1.0156678140527844</c:v>
                </c:pt>
                <c:pt idx="47">
                  <c:v>1.0372777675432692</c:v>
                </c:pt>
                <c:pt idx="48">
                  <c:v>1.0588877210337539</c:v>
                </c:pt>
                <c:pt idx="49">
                  <c:v>1.0804976745242387</c:v>
                </c:pt>
                <c:pt idx="50">
                  <c:v>1.1021076280147235</c:v>
                </c:pt>
                <c:pt idx="51">
                  <c:v>1.1237175815052083</c:v>
                </c:pt>
              </c:numCache>
            </c:numRef>
          </c:val>
          <c:smooth val="0"/>
          <c:extLst>
            <c:ext xmlns:c16="http://schemas.microsoft.com/office/drawing/2014/chart" uri="{C3380CC4-5D6E-409C-BE32-E72D297353CC}">
              <c16:uniqueId val="{00000002-5804-49B4-B23B-67A71DA584F9}"/>
            </c:ext>
          </c:extLst>
        </c:ser>
        <c:ser>
          <c:idx val="4"/>
          <c:order val="6"/>
          <c:tx>
            <c:strRef>
              <c:f>'OZL Summary'!$BT$6:$BT$7</c:f>
              <c:strCache>
                <c:ptCount val="2"/>
                <c:pt idx="0">
                  <c:v>50th Percentile</c:v>
                </c:pt>
              </c:strCache>
            </c:strRef>
          </c:tx>
          <c:spPr>
            <a:ln w="28575">
              <a:solidFill>
                <a:schemeClr val="bg2"/>
              </a:solidFill>
              <a:prstDash val="sysDot"/>
            </a:ln>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Summary'!$BT$8:$BT$60</c:f>
              <c:numCache>
                <c:formatCode>0.000</c:formatCode>
                <c:ptCount val="53"/>
                <c:pt idx="0">
                  <c:v>2.3469807538576672E-2</c:v>
                </c:pt>
                <c:pt idx="1">
                  <c:v>4.6939615077153343E-2</c:v>
                </c:pt>
                <c:pt idx="2">
                  <c:v>7.0409422615730022E-2</c:v>
                </c:pt>
                <c:pt idx="3">
                  <c:v>9.3879230154306686E-2</c:v>
                </c:pt>
                <c:pt idx="4">
                  <c:v>0.11734903769288335</c:v>
                </c:pt>
                <c:pt idx="5">
                  <c:v>0.14081884523146002</c:v>
                </c:pt>
                <c:pt idx="6">
                  <c:v>0.16428865277003668</c:v>
                </c:pt>
                <c:pt idx="7">
                  <c:v>0.18775846030861335</c:v>
                </c:pt>
                <c:pt idx="8">
                  <c:v>0.21122826784719001</c:v>
                </c:pt>
                <c:pt idx="9">
                  <c:v>0.23469807538576667</c:v>
                </c:pt>
                <c:pt idx="10">
                  <c:v>0.25816788292434334</c:v>
                </c:pt>
                <c:pt idx="11">
                  <c:v>0.28163769046292003</c:v>
                </c:pt>
                <c:pt idx="12">
                  <c:v>0.30510749800149672</c:v>
                </c:pt>
                <c:pt idx="13">
                  <c:v>0.32857730554007342</c:v>
                </c:pt>
                <c:pt idx="14">
                  <c:v>0.35204711307865011</c:v>
                </c:pt>
                <c:pt idx="15">
                  <c:v>0.3755169206172268</c:v>
                </c:pt>
                <c:pt idx="16">
                  <c:v>0.39898672815580349</c:v>
                </c:pt>
                <c:pt idx="17">
                  <c:v>0.42245653569438019</c:v>
                </c:pt>
                <c:pt idx="18">
                  <c:v>0.44592634323295688</c:v>
                </c:pt>
                <c:pt idx="19">
                  <c:v>0.46939615077153357</c:v>
                </c:pt>
                <c:pt idx="20">
                  <c:v>0.49286595831011026</c:v>
                </c:pt>
                <c:pt idx="21">
                  <c:v>0.5163357658486869</c:v>
                </c:pt>
                <c:pt idx="22">
                  <c:v>0.53980557338726354</c:v>
                </c:pt>
                <c:pt idx="23">
                  <c:v>0.56327538092584017</c:v>
                </c:pt>
                <c:pt idx="24">
                  <c:v>0.58674518846441681</c:v>
                </c:pt>
                <c:pt idx="25">
                  <c:v>0.61021499600299345</c:v>
                </c:pt>
                <c:pt idx="26">
                  <c:v>0.63368480354157009</c:v>
                </c:pt>
                <c:pt idx="27">
                  <c:v>0.65715461108014672</c:v>
                </c:pt>
                <c:pt idx="28">
                  <c:v>0.68062441861872336</c:v>
                </c:pt>
                <c:pt idx="29">
                  <c:v>0.7040942261573</c:v>
                </c:pt>
                <c:pt idx="30">
                  <c:v>0.72756403369587663</c:v>
                </c:pt>
                <c:pt idx="31">
                  <c:v>0.75103384123445327</c:v>
                </c:pt>
                <c:pt idx="32">
                  <c:v>0.77450364877302991</c:v>
                </c:pt>
                <c:pt idx="33">
                  <c:v>0.79797345631160654</c:v>
                </c:pt>
                <c:pt idx="34">
                  <c:v>0.82144326385018318</c:v>
                </c:pt>
                <c:pt idx="35">
                  <c:v>0.84491307138875982</c:v>
                </c:pt>
                <c:pt idx="36">
                  <c:v>0.86838287892733645</c:v>
                </c:pt>
                <c:pt idx="37">
                  <c:v>0.89185268646591309</c:v>
                </c:pt>
                <c:pt idx="38">
                  <c:v>0.91532249400448973</c:v>
                </c:pt>
                <c:pt idx="39">
                  <c:v>0.93879230154306637</c:v>
                </c:pt>
                <c:pt idx="40">
                  <c:v>0.962262109081643</c:v>
                </c:pt>
                <c:pt idx="41">
                  <c:v>0.98573191662021964</c:v>
                </c:pt>
                <c:pt idx="42">
                  <c:v>1.0092017241587963</c:v>
                </c:pt>
                <c:pt idx="43">
                  <c:v>1.0326715316973729</c:v>
                </c:pt>
                <c:pt idx="44">
                  <c:v>1.0561413392359496</c:v>
                </c:pt>
                <c:pt idx="45">
                  <c:v>1.0796111467745262</c:v>
                </c:pt>
                <c:pt idx="46">
                  <c:v>1.1030809543131028</c:v>
                </c:pt>
                <c:pt idx="47">
                  <c:v>1.1265507618516795</c:v>
                </c:pt>
                <c:pt idx="48">
                  <c:v>1.1500205693902561</c:v>
                </c:pt>
                <c:pt idx="49">
                  <c:v>1.1734903769288327</c:v>
                </c:pt>
                <c:pt idx="50">
                  <c:v>1.1969601844674094</c:v>
                </c:pt>
                <c:pt idx="51">
                  <c:v>1.220429992005986</c:v>
                </c:pt>
              </c:numCache>
            </c:numRef>
          </c:val>
          <c:smooth val="0"/>
          <c:extLst>
            <c:ext xmlns:c16="http://schemas.microsoft.com/office/drawing/2014/chart" uri="{C3380CC4-5D6E-409C-BE32-E72D297353CC}">
              <c16:uniqueId val="{00000003-5804-49B4-B23B-67A71DA584F9}"/>
            </c:ext>
          </c:extLst>
        </c:ser>
        <c:ser>
          <c:idx val="6"/>
          <c:order val="7"/>
          <c:tx>
            <c:strRef>
              <c:f>'OZL Summary'!$BU$6:$BU$7</c:f>
              <c:strCache>
                <c:ptCount val="2"/>
                <c:pt idx="0">
                  <c:v>75th Percentile</c:v>
                </c:pt>
              </c:strCache>
            </c:strRef>
          </c:tx>
          <c:spPr>
            <a:ln w="28575">
              <a:solidFill>
                <a:schemeClr val="bg2"/>
              </a:solidFill>
              <a:prstDash val="sysDot"/>
            </a:ln>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Summary'!$BU$8:$BU$60</c:f>
              <c:numCache>
                <c:formatCode>0.000</c:formatCode>
                <c:ptCount val="53"/>
                <c:pt idx="0">
                  <c:v>2.5540580974329746E-2</c:v>
                </c:pt>
                <c:pt idx="1">
                  <c:v>5.1081161948659491E-2</c:v>
                </c:pt>
                <c:pt idx="2">
                  <c:v>7.6621742922989233E-2</c:v>
                </c:pt>
                <c:pt idx="3">
                  <c:v>0.10216232389731898</c:v>
                </c:pt>
                <c:pt idx="4">
                  <c:v>0.12770290487164873</c:v>
                </c:pt>
                <c:pt idx="5">
                  <c:v>0.15324348584597847</c:v>
                </c:pt>
                <c:pt idx="6">
                  <c:v>0.1787840668203082</c:v>
                </c:pt>
                <c:pt idx="7">
                  <c:v>0.20432464779463794</c:v>
                </c:pt>
                <c:pt idx="8">
                  <c:v>0.22986522876896767</c:v>
                </c:pt>
                <c:pt idx="9">
                  <c:v>0.25540580974329741</c:v>
                </c:pt>
                <c:pt idx="10">
                  <c:v>0.28094639071762717</c:v>
                </c:pt>
                <c:pt idx="11">
                  <c:v>0.30648697169195693</c:v>
                </c:pt>
                <c:pt idx="12">
                  <c:v>0.3320275526662867</c:v>
                </c:pt>
                <c:pt idx="13">
                  <c:v>0.35756813364061646</c:v>
                </c:pt>
                <c:pt idx="14">
                  <c:v>0.38310871461494622</c:v>
                </c:pt>
                <c:pt idx="15">
                  <c:v>0.40864929558927598</c:v>
                </c:pt>
                <c:pt idx="16">
                  <c:v>0.43418987656360575</c:v>
                </c:pt>
                <c:pt idx="17">
                  <c:v>0.45973045753793551</c:v>
                </c:pt>
                <c:pt idx="18">
                  <c:v>0.48527103851226527</c:v>
                </c:pt>
                <c:pt idx="19">
                  <c:v>0.51081161948659504</c:v>
                </c:pt>
                <c:pt idx="20">
                  <c:v>0.5363522004609248</c:v>
                </c:pt>
                <c:pt idx="21">
                  <c:v>0.56189278143525456</c:v>
                </c:pt>
                <c:pt idx="22">
                  <c:v>0.58743336240958433</c:v>
                </c:pt>
                <c:pt idx="23">
                  <c:v>0.61297394338391409</c:v>
                </c:pt>
                <c:pt idx="24">
                  <c:v>0.63851452435824385</c:v>
                </c:pt>
                <c:pt idx="25">
                  <c:v>0.66405510533257361</c:v>
                </c:pt>
                <c:pt idx="26">
                  <c:v>0.68959568630690338</c:v>
                </c:pt>
                <c:pt idx="27">
                  <c:v>0.71513626728123314</c:v>
                </c:pt>
                <c:pt idx="28">
                  <c:v>0.7406768482555629</c:v>
                </c:pt>
                <c:pt idx="29">
                  <c:v>0.76621742922989267</c:v>
                </c:pt>
                <c:pt idx="30">
                  <c:v>0.79175801020422243</c:v>
                </c:pt>
                <c:pt idx="31">
                  <c:v>0.81729859117855219</c:v>
                </c:pt>
                <c:pt idx="32">
                  <c:v>0.84283917215288195</c:v>
                </c:pt>
                <c:pt idx="33">
                  <c:v>0.86837975312721172</c:v>
                </c:pt>
                <c:pt idx="34">
                  <c:v>0.89392033410154148</c:v>
                </c:pt>
                <c:pt idx="35">
                  <c:v>0.91946091507587124</c:v>
                </c:pt>
                <c:pt idx="36">
                  <c:v>0.94500149605020101</c:v>
                </c:pt>
                <c:pt idx="37">
                  <c:v>0.97054207702453077</c:v>
                </c:pt>
                <c:pt idx="38">
                  <c:v>0.99608265799886053</c:v>
                </c:pt>
                <c:pt idx="39">
                  <c:v>1.0216232389731903</c:v>
                </c:pt>
                <c:pt idx="40">
                  <c:v>1.0471638199475199</c:v>
                </c:pt>
                <c:pt idx="41">
                  <c:v>1.0727044009218496</c:v>
                </c:pt>
                <c:pt idx="42">
                  <c:v>1.0982449818961793</c:v>
                </c:pt>
                <c:pt idx="43">
                  <c:v>1.1237855628705089</c:v>
                </c:pt>
                <c:pt idx="44">
                  <c:v>1.1493261438448386</c:v>
                </c:pt>
                <c:pt idx="45">
                  <c:v>1.1748667248191682</c:v>
                </c:pt>
                <c:pt idx="46">
                  <c:v>1.2004073057934979</c:v>
                </c:pt>
                <c:pt idx="47">
                  <c:v>1.2259478867678275</c:v>
                </c:pt>
                <c:pt idx="48">
                  <c:v>1.2514884677421572</c:v>
                </c:pt>
                <c:pt idx="49">
                  <c:v>1.2770290487164868</c:v>
                </c:pt>
                <c:pt idx="50">
                  <c:v>1.3025696296908165</c:v>
                </c:pt>
                <c:pt idx="51">
                  <c:v>1.3281102106651461</c:v>
                </c:pt>
              </c:numCache>
            </c:numRef>
          </c:val>
          <c:smooth val="0"/>
          <c:extLst xmlns:c15="http://schemas.microsoft.com/office/drawing/2012/chart">
            <c:ext xmlns:c16="http://schemas.microsoft.com/office/drawing/2014/chart" uri="{C3380CC4-5D6E-409C-BE32-E72D297353CC}">
              <c16:uniqueId val="{00000004-5804-49B4-B23B-67A71DA584F9}"/>
            </c:ext>
          </c:extLst>
        </c:ser>
        <c:ser>
          <c:idx val="9"/>
          <c:order val="9"/>
          <c:tx>
            <c:strRef>
              <c:f>'OZL Summary'!$BW$6:$BW$7</c:f>
              <c:strCache>
                <c:ptCount val="2"/>
                <c:pt idx="0">
                  <c:v>95th Percentile</c:v>
                </c:pt>
              </c:strCache>
            </c:strRef>
          </c:tx>
          <c:spPr>
            <a:ln w="28575">
              <a:solidFill>
                <a:schemeClr val="bg2"/>
              </a:solidFill>
              <a:prstDash val="sysDot"/>
            </a:ln>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Summary'!$BW$8:$BW$60</c:f>
              <c:numCache>
                <c:formatCode>0.000</c:formatCode>
                <c:ptCount val="53"/>
                <c:pt idx="0">
                  <c:v>2.9126260596895739E-2</c:v>
                </c:pt>
                <c:pt idx="1">
                  <c:v>5.8252521193791477E-2</c:v>
                </c:pt>
                <c:pt idx="2">
                  <c:v>8.7378781790687213E-2</c:v>
                </c:pt>
                <c:pt idx="3">
                  <c:v>0.11650504238758295</c:v>
                </c:pt>
                <c:pt idx="4">
                  <c:v>0.14563130298447868</c:v>
                </c:pt>
                <c:pt idx="5">
                  <c:v>0.17475756358137443</c:v>
                </c:pt>
                <c:pt idx="6">
                  <c:v>0.20388382417827017</c:v>
                </c:pt>
                <c:pt idx="7">
                  <c:v>0.23301008477516591</c:v>
                </c:pt>
                <c:pt idx="8">
                  <c:v>0.26213634537206165</c:v>
                </c:pt>
                <c:pt idx="9">
                  <c:v>0.29126260596895737</c:v>
                </c:pt>
                <c:pt idx="10">
                  <c:v>0.32038886656585308</c:v>
                </c:pt>
                <c:pt idx="11">
                  <c:v>0.3495151271627488</c:v>
                </c:pt>
                <c:pt idx="12">
                  <c:v>0.37864138775964451</c:v>
                </c:pt>
                <c:pt idx="13">
                  <c:v>0.40776764835654022</c:v>
                </c:pt>
                <c:pt idx="14">
                  <c:v>0.43689390895343594</c:v>
                </c:pt>
                <c:pt idx="15">
                  <c:v>0.46602016955033165</c:v>
                </c:pt>
                <c:pt idx="16">
                  <c:v>0.49514643014722737</c:v>
                </c:pt>
                <c:pt idx="17">
                  <c:v>0.52427269074412308</c:v>
                </c:pt>
                <c:pt idx="18">
                  <c:v>0.5533989513410188</c:v>
                </c:pt>
                <c:pt idx="19">
                  <c:v>0.58252521193791451</c:v>
                </c:pt>
                <c:pt idx="20">
                  <c:v>0.61165147253481023</c:v>
                </c:pt>
                <c:pt idx="21">
                  <c:v>0.64077773313170594</c:v>
                </c:pt>
                <c:pt idx="22">
                  <c:v>0.66990399372860165</c:v>
                </c:pt>
                <c:pt idx="23">
                  <c:v>0.69903025432549737</c:v>
                </c:pt>
                <c:pt idx="24">
                  <c:v>0.72815651492239308</c:v>
                </c:pt>
                <c:pt idx="25">
                  <c:v>0.7572827755192888</c:v>
                </c:pt>
                <c:pt idx="26">
                  <c:v>0.78640903611618451</c:v>
                </c:pt>
                <c:pt idx="27">
                  <c:v>0.81553529671308023</c:v>
                </c:pt>
                <c:pt idx="28">
                  <c:v>0.84466155730997594</c:v>
                </c:pt>
                <c:pt idx="29">
                  <c:v>0.87378781790687166</c:v>
                </c:pt>
                <c:pt idx="30">
                  <c:v>0.90291407850376737</c:v>
                </c:pt>
                <c:pt idx="31">
                  <c:v>0.93204033910066308</c:v>
                </c:pt>
                <c:pt idx="32">
                  <c:v>0.9611665996975588</c:v>
                </c:pt>
                <c:pt idx="33">
                  <c:v>0.99029286029445451</c:v>
                </c:pt>
                <c:pt idx="34">
                  <c:v>1.0194191208913503</c:v>
                </c:pt>
                <c:pt idx="35">
                  <c:v>1.0485453814882462</c:v>
                </c:pt>
                <c:pt idx="36">
                  <c:v>1.077671642085142</c:v>
                </c:pt>
                <c:pt idx="37">
                  <c:v>1.1067979026820378</c:v>
                </c:pt>
                <c:pt idx="38">
                  <c:v>1.1359241632789336</c:v>
                </c:pt>
                <c:pt idx="39">
                  <c:v>1.1650504238758295</c:v>
                </c:pt>
                <c:pt idx="40">
                  <c:v>1.1941766844727253</c:v>
                </c:pt>
                <c:pt idx="41">
                  <c:v>1.2233029450696211</c:v>
                </c:pt>
                <c:pt idx="42">
                  <c:v>1.2524292056665169</c:v>
                </c:pt>
                <c:pt idx="43">
                  <c:v>1.2815554662634128</c:v>
                </c:pt>
                <c:pt idx="44">
                  <c:v>1.3106817268603086</c:v>
                </c:pt>
                <c:pt idx="45">
                  <c:v>1.3398079874572044</c:v>
                </c:pt>
                <c:pt idx="46">
                  <c:v>1.3689342480541002</c:v>
                </c:pt>
                <c:pt idx="47">
                  <c:v>1.3980605086509961</c:v>
                </c:pt>
                <c:pt idx="48">
                  <c:v>1.4271867692478919</c:v>
                </c:pt>
                <c:pt idx="49">
                  <c:v>1.4563130298447877</c:v>
                </c:pt>
                <c:pt idx="50">
                  <c:v>1.4854392904416835</c:v>
                </c:pt>
                <c:pt idx="51">
                  <c:v>1.5145655510385794</c:v>
                </c:pt>
              </c:numCache>
            </c:numRef>
          </c:val>
          <c:smooth val="0"/>
          <c:extLst xmlns:c15="http://schemas.microsoft.com/office/drawing/2012/chart">
            <c:ext xmlns:c16="http://schemas.microsoft.com/office/drawing/2014/chart" uri="{C3380CC4-5D6E-409C-BE32-E72D297353CC}">
              <c16:uniqueId val="{00000005-5804-49B4-B23B-67A71DA584F9}"/>
            </c:ext>
          </c:extLst>
        </c:ser>
        <c:dLbls>
          <c:showLegendKey val="0"/>
          <c:showVal val="0"/>
          <c:showCatName val="0"/>
          <c:showSerName val="0"/>
          <c:showPercent val="0"/>
          <c:showBubbleSize val="0"/>
        </c:dLbls>
        <c:smooth val="0"/>
        <c:axId val="1388952432"/>
        <c:axId val="1388953088"/>
        <c:extLst>
          <c:ext xmlns:c15="http://schemas.microsoft.com/office/drawing/2012/chart" uri="{02D57815-91ED-43cb-92C2-25804820EDAC}">
            <c15:filteredLineSeries>
              <c15:ser>
                <c:idx val="3"/>
                <c:order val="1"/>
                <c:tx>
                  <c:strRef>
                    <c:extLst>
                      <c:ext uri="{02D57815-91ED-43cb-92C2-25804820EDAC}">
                        <c15:formulaRef>
                          <c15:sqref>'OZL Summary'!$BO$6:$BO$7</c15:sqref>
                        </c15:formulaRef>
                      </c:ext>
                    </c:extLst>
                    <c:strCache>
                      <c:ptCount val="2"/>
                      <c:pt idx="0">
                        <c:v>Min</c:v>
                      </c:pt>
                    </c:strCache>
                  </c:strRef>
                </c:tx>
                <c:marker>
                  <c:symbol val="none"/>
                </c:marker>
                <c:cat>
                  <c:numRef>
                    <c:extLst>
                      <c:ex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c:ext uri="{02D57815-91ED-43cb-92C2-25804820EDAC}">
                        <c15:formulaRef>
                          <c15:sqref>'OZL Summary'!$BO$8:$BO$60</c15:sqref>
                        </c15:formulaRef>
                      </c:ext>
                    </c:extLst>
                    <c:numCache>
                      <c:formatCode>0.000</c:formatCode>
                      <c:ptCount val="53"/>
                      <c:pt idx="0">
                        <c:v>1.6032204874777817E-2</c:v>
                      </c:pt>
                      <c:pt idx="1">
                        <c:v>3.2064409749555635E-2</c:v>
                      </c:pt>
                      <c:pt idx="2">
                        <c:v>4.8096614624333456E-2</c:v>
                      </c:pt>
                      <c:pt idx="3">
                        <c:v>6.412881949911127E-2</c:v>
                      </c:pt>
                      <c:pt idx="4">
                        <c:v>8.0161024373889084E-2</c:v>
                      </c:pt>
                      <c:pt idx="5">
                        <c:v>9.6193229248666898E-2</c:v>
                      </c:pt>
                      <c:pt idx="6">
                        <c:v>0.11222543412344471</c:v>
                      </c:pt>
                      <c:pt idx="7">
                        <c:v>0.12825763899822254</c:v>
                      </c:pt>
                      <c:pt idx="8">
                        <c:v>0.14428984387300037</c:v>
                      </c:pt>
                      <c:pt idx="9">
                        <c:v>0.1603220487477782</c:v>
                      </c:pt>
                      <c:pt idx="10">
                        <c:v>0.17635425362255602</c:v>
                      </c:pt>
                      <c:pt idx="11">
                        <c:v>0.19238645849733385</c:v>
                      </c:pt>
                      <c:pt idx="12">
                        <c:v>0.20841866337211168</c:v>
                      </c:pt>
                      <c:pt idx="13">
                        <c:v>0.22445086824688951</c:v>
                      </c:pt>
                      <c:pt idx="14">
                        <c:v>0.24048307312166733</c:v>
                      </c:pt>
                      <c:pt idx="15">
                        <c:v>0.25651527799644513</c:v>
                      </c:pt>
                      <c:pt idx="16">
                        <c:v>0.27254748287122293</c:v>
                      </c:pt>
                      <c:pt idx="17">
                        <c:v>0.28857968774600073</c:v>
                      </c:pt>
                      <c:pt idx="18">
                        <c:v>0.30461189262077853</c:v>
                      </c:pt>
                      <c:pt idx="19">
                        <c:v>0.32064409749555633</c:v>
                      </c:pt>
                      <c:pt idx="20">
                        <c:v>0.33667630237033414</c:v>
                      </c:pt>
                      <c:pt idx="21">
                        <c:v>0.35270850724511194</c:v>
                      </c:pt>
                      <c:pt idx="22">
                        <c:v>0.36874071211988974</c:v>
                      </c:pt>
                      <c:pt idx="23">
                        <c:v>0.38477291699466754</c:v>
                      </c:pt>
                      <c:pt idx="24">
                        <c:v>0.40080512186944534</c:v>
                      </c:pt>
                      <c:pt idx="25">
                        <c:v>0.41683732674422314</c:v>
                      </c:pt>
                      <c:pt idx="26">
                        <c:v>0.43286953161900094</c:v>
                      </c:pt>
                      <c:pt idx="27">
                        <c:v>0.44890173649377874</c:v>
                      </c:pt>
                      <c:pt idx="28">
                        <c:v>0.46493394136855654</c:v>
                      </c:pt>
                      <c:pt idx="29">
                        <c:v>0.48096614624333434</c:v>
                      </c:pt>
                      <c:pt idx="30">
                        <c:v>0.49699835111811214</c:v>
                      </c:pt>
                      <c:pt idx="31">
                        <c:v>0.51303055599288994</c:v>
                      </c:pt>
                      <c:pt idx="32">
                        <c:v>0.52906276086766779</c:v>
                      </c:pt>
                      <c:pt idx="33">
                        <c:v>0.54509496574244565</c:v>
                      </c:pt>
                      <c:pt idx="34">
                        <c:v>0.5611271706172235</c:v>
                      </c:pt>
                      <c:pt idx="35">
                        <c:v>0.57715937549200136</c:v>
                      </c:pt>
                      <c:pt idx="36">
                        <c:v>0.59319158036677921</c:v>
                      </c:pt>
                      <c:pt idx="37">
                        <c:v>0.60922378524155707</c:v>
                      </c:pt>
                      <c:pt idx="38">
                        <c:v>0.62525599011633493</c:v>
                      </c:pt>
                      <c:pt idx="39">
                        <c:v>0.64128819499111278</c:v>
                      </c:pt>
                      <c:pt idx="40">
                        <c:v>0.65732039986589064</c:v>
                      </c:pt>
                      <c:pt idx="41">
                        <c:v>0.67335260474066849</c:v>
                      </c:pt>
                      <c:pt idx="42">
                        <c:v>0.68938480961544635</c:v>
                      </c:pt>
                      <c:pt idx="43">
                        <c:v>0.7054170144902242</c:v>
                      </c:pt>
                      <c:pt idx="44">
                        <c:v>0.72144921936500206</c:v>
                      </c:pt>
                      <c:pt idx="45">
                        <c:v>0.73748142423977991</c:v>
                      </c:pt>
                      <c:pt idx="46">
                        <c:v>0.75351362911455777</c:v>
                      </c:pt>
                      <c:pt idx="47">
                        <c:v>0.76954583398933563</c:v>
                      </c:pt>
                      <c:pt idx="48">
                        <c:v>0.78557803886411348</c:v>
                      </c:pt>
                      <c:pt idx="49">
                        <c:v>0.80161024373889134</c:v>
                      </c:pt>
                      <c:pt idx="50">
                        <c:v>0.81764244861366919</c:v>
                      </c:pt>
                      <c:pt idx="51">
                        <c:v>0.83367465348844705</c:v>
                      </c:pt>
                    </c:numCache>
                  </c:numRef>
                </c:val>
                <c:smooth val="0"/>
                <c:extLst>
                  <c:ext xmlns:c16="http://schemas.microsoft.com/office/drawing/2014/chart" uri="{C3380CC4-5D6E-409C-BE32-E72D297353CC}">
                    <c16:uniqueId val="{00000006-5804-49B4-B23B-67A71DA584F9}"/>
                  </c:ext>
                </c:extLst>
              </c15:ser>
            </c15:filteredLineSeries>
            <c15:filteredLineSeries>
              <c15:ser>
                <c:idx val="5"/>
                <c:order val="2"/>
                <c:tx>
                  <c:strRef>
                    <c:extLst xmlns:c15="http://schemas.microsoft.com/office/drawing/2012/chart">
                      <c:ext xmlns:c15="http://schemas.microsoft.com/office/drawing/2012/chart" uri="{02D57815-91ED-43cb-92C2-25804820EDAC}">
                        <c15:formulaRef>
                          <c15:sqref>'OZL Summary'!$BP$6:$BP$7</c15:sqref>
                        </c15:formulaRef>
                      </c:ext>
                    </c:extLst>
                    <c:strCache>
                      <c:ptCount val="2"/>
                      <c:pt idx="0">
                        <c:v>1st Percentile</c:v>
                      </c:pt>
                    </c:strCache>
                  </c:strRef>
                </c:tx>
                <c:spPr>
                  <a:ln w="28575" cap="rnd">
                    <a:solidFill>
                      <a:schemeClr val="accent6"/>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Summary'!$BP$8:$BP$60</c15:sqref>
                        </c15:formulaRef>
                      </c:ext>
                    </c:extLst>
                    <c:numCache>
                      <c:formatCode>0.000</c:formatCode>
                      <c:ptCount val="53"/>
                      <c:pt idx="0">
                        <c:v>1.8223138082807688E-2</c:v>
                      </c:pt>
                      <c:pt idx="1">
                        <c:v>3.6446276165615375E-2</c:v>
                      </c:pt>
                      <c:pt idx="2">
                        <c:v>5.4669414248423059E-2</c:v>
                      </c:pt>
                      <c:pt idx="3">
                        <c:v>7.2892552331230751E-2</c:v>
                      </c:pt>
                      <c:pt idx="4">
                        <c:v>9.1115690414038442E-2</c:v>
                      </c:pt>
                      <c:pt idx="5">
                        <c:v>0.10933882849684613</c:v>
                      </c:pt>
                      <c:pt idx="6">
                        <c:v>0.12756196657965382</c:v>
                      </c:pt>
                      <c:pt idx="7">
                        <c:v>0.1457851046624615</c:v>
                      </c:pt>
                      <c:pt idx="8">
                        <c:v>0.16400824274526918</c:v>
                      </c:pt>
                      <c:pt idx="9">
                        <c:v>0.18223138082807686</c:v>
                      </c:pt>
                      <c:pt idx="10">
                        <c:v>0.20045451891088453</c:v>
                      </c:pt>
                      <c:pt idx="11">
                        <c:v>0.21867765699369221</c:v>
                      </c:pt>
                      <c:pt idx="12">
                        <c:v>0.23690079507649989</c:v>
                      </c:pt>
                      <c:pt idx="13">
                        <c:v>0.25512393315930759</c:v>
                      </c:pt>
                      <c:pt idx="14">
                        <c:v>0.27334707124211527</c:v>
                      </c:pt>
                      <c:pt idx="15">
                        <c:v>0.29157020932492295</c:v>
                      </c:pt>
                      <c:pt idx="16">
                        <c:v>0.30979334740773062</c:v>
                      </c:pt>
                      <c:pt idx="17">
                        <c:v>0.3280164854905383</c:v>
                      </c:pt>
                      <c:pt idx="18">
                        <c:v>0.34623962357334598</c:v>
                      </c:pt>
                      <c:pt idx="19">
                        <c:v>0.36446276165615366</c:v>
                      </c:pt>
                      <c:pt idx="20">
                        <c:v>0.38268589973896133</c:v>
                      </c:pt>
                      <c:pt idx="21">
                        <c:v>0.40090903782176901</c:v>
                      </c:pt>
                      <c:pt idx="22">
                        <c:v>0.41913217590457669</c:v>
                      </c:pt>
                      <c:pt idx="23">
                        <c:v>0.43735531398738436</c:v>
                      </c:pt>
                      <c:pt idx="24">
                        <c:v>0.45557845207019204</c:v>
                      </c:pt>
                      <c:pt idx="25">
                        <c:v>0.47380159015299972</c:v>
                      </c:pt>
                      <c:pt idx="26">
                        <c:v>0.4920247282358074</c:v>
                      </c:pt>
                      <c:pt idx="27">
                        <c:v>0.51024786631861507</c:v>
                      </c:pt>
                      <c:pt idx="28">
                        <c:v>0.52847100440142281</c:v>
                      </c:pt>
                      <c:pt idx="29">
                        <c:v>0.54669414248423054</c:v>
                      </c:pt>
                      <c:pt idx="30">
                        <c:v>0.56491728056703827</c:v>
                      </c:pt>
                      <c:pt idx="31">
                        <c:v>0.583140418649846</c:v>
                      </c:pt>
                      <c:pt idx="32">
                        <c:v>0.60136355673265374</c:v>
                      </c:pt>
                      <c:pt idx="33">
                        <c:v>0.61958669481546147</c:v>
                      </c:pt>
                      <c:pt idx="34">
                        <c:v>0.6378098328982692</c:v>
                      </c:pt>
                      <c:pt idx="35">
                        <c:v>0.65603297098107693</c:v>
                      </c:pt>
                      <c:pt idx="36">
                        <c:v>0.67425610906388467</c:v>
                      </c:pt>
                      <c:pt idx="37">
                        <c:v>0.6924792471466924</c:v>
                      </c:pt>
                      <c:pt idx="38">
                        <c:v>0.71070238522950013</c:v>
                      </c:pt>
                      <c:pt idx="39">
                        <c:v>0.72892552331230787</c:v>
                      </c:pt>
                      <c:pt idx="40">
                        <c:v>0.7471486613951156</c:v>
                      </c:pt>
                      <c:pt idx="41">
                        <c:v>0.76537179947792333</c:v>
                      </c:pt>
                      <c:pt idx="42">
                        <c:v>0.78359493756073106</c:v>
                      </c:pt>
                      <c:pt idx="43">
                        <c:v>0.8018180756435388</c:v>
                      </c:pt>
                      <c:pt idx="44">
                        <c:v>0.82004121372634653</c:v>
                      </c:pt>
                      <c:pt idx="45">
                        <c:v>0.83826435180915426</c:v>
                      </c:pt>
                      <c:pt idx="46">
                        <c:v>0.85648748989196199</c:v>
                      </c:pt>
                      <c:pt idx="47">
                        <c:v>0.87471062797476973</c:v>
                      </c:pt>
                      <c:pt idx="48">
                        <c:v>0.89293376605757746</c:v>
                      </c:pt>
                      <c:pt idx="49">
                        <c:v>0.91115690414038519</c:v>
                      </c:pt>
                      <c:pt idx="50">
                        <c:v>0.92938004222319293</c:v>
                      </c:pt>
                      <c:pt idx="51">
                        <c:v>0.94760318030600066</c:v>
                      </c:pt>
                    </c:numCache>
                  </c:numRef>
                </c:val>
                <c:smooth val="0"/>
                <c:extLst xmlns:c15="http://schemas.microsoft.com/office/drawing/2012/chart">
                  <c:ext xmlns:c16="http://schemas.microsoft.com/office/drawing/2014/chart" uri="{C3380CC4-5D6E-409C-BE32-E72D297353CC}">
                    <c16:uniqueId val="{00000007-5804-49B4-B23B-67A71DA584F9}"/>
                  </c:ext>
                </c:extLst>
              </c15:ser>
            </c15:filteredLineSeries>
            <c15:filteredLineSeries>
              <c15:ser>
                <c:idx val="1"/>
                <c:order val="4"/>
                <c:tx>
                  <c:strRef>
                    <c:extLst xmlns:c15="http://schemas.microsoft.com/office/drawing/2012/chart">
                      <c:ext xmlns:c15="http://schemas.microsoft.com/office/drawing/2012/chart" uri="{02D57815-91ED-43cb-92C2-25804820EDAC}">
                        <c15:formulaRef>
                          <c15:sqref>'OZL Summary'!$BR$6:$BR$7</c15:sqref>
                        </c15:formulaRef>
                      </c:ext>
                    </c:extLst>
                    <c:strCache>
                      <c:ptCount val="2"/>
                      <c:pt idx="0">
                        <c:v>10th Percentile</c:v>
                      </c:pt>
                    </c:strCache>
                  </c:strRef>
                </c:tx>
                <c:spPr>
                  <a:ln w="28575" cap="rnd" cmpd="sng">
                    <a:solidFill>
                      <a:schemeClr val="accent2"/>
                    </a:solidFill>
                    <a:prstDash val="sysDot"/>
                    <a:round/>
                    <a:headEnd type="none"/>
                  </a:ln>
                  <a:effectLst/>
                </c:spPr>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Summary'!$BR$8:$BR$60</c15:sqref>
                        </c15:formulaRef>
                      </c:ext>
                    </c:extLst>
                    <c:numCache>
                      <c:formatCode>0.000</c:formatCode>
                      <c:ptCount val="53"/>
                      <c:pt idx="0">
                        <c:v>2.0199848897457344E-2</c:v>
                      </c:pt>
                      <c:pt idx="1">
                        <c:v>4.0399697794914688E-2</c:v>
                      </c:pt>
                      <c:pt idx="2">
                        <c:v>6.0599546692372032E-2</c:v>
                      </c:pt>
                      <c:pt idx="3">
                        <c:v>8.0799395589829376E-2</c:v>
                      </c:pt>
                      <c:pt idx="4">
                        <c:v>0.10099924448728673</c:v>
                      </c:pt>
                      <c:pt idx="5">
                        <c:v>0.12119909338474408</c:v>
                      </c:pt>
                      <c:pt idx="6">
                        <c:v>0.14139894228220143</c:v>
                      </c:pt>
                      <c:pt idx="7">
                        <c:v>0.16159879117965878</c:v>
                      </c:pt>
                      <c:pt idx="8">
                        <c:v>0.18179864007711613</c:v>
                      </c:pt>
                      <c:pt idx="9">
                        <c:v>0.20199848897457348</c:v>
                      </c:pt>
                      <c:pt idx="10">
                        <c:v>0.22219833787203083</c:v>
                      </c:pt>
                      <c:pt idx="11">
                        <c:v>0.24239818676948818</c:v>
                      </c:pt>
                      <c:pt idx="12">
                        <c:v>0.26259803566694551</c:v>
                      </c:pt>
                      <c:pt idx="13">
                        <c:v>0.28279788456440286</c:v>
                      </c:pt>
                      <c:pt idx="14">
                        <c:v>0.30299773346186021</c:v>
                      </c:pt>
                      <c:pt idx="15">
                        <c:v>0.32319758235931756</c:v>
                      </c:pt>
                      <c:pt idx="16">
                        <c:v>0.34339743125677491</c:v>
                      </c:pt>
                      <c:pt idx="17">
                        <c:v>0.36359728015423226</c:v>
                      </c:pt>
                      <c:pt idx="18">
                        <c:v>0.38379712905168961</c:v>
                      </c:pt>
                      <c:pt idx="19">
                        <c:v>0.40399697794914696</c:v>
                      </c:pt>
                      <c:pt idx="20">
                        <c:v>0.42419682684660431</c:v>
                      </c:pt>
                      <c:pt idx="21">
                        <c:v>0.44439667574406166</c:v>
                      </c:pt>
                      <c:pt idx="22">
                        <c:v>0.46459652464151902</c:v>
                      </c:pt>
                      <c:pt idx="23">
                        <c:v>0.48479637353897637</c:v>
                      </c:pt>
                      <c:pt idx="24">
                        <c:v>0.50499622243643372</c:v>
                      </c:pt>
                      <c:pt idx="25">
                        <c:v>0.52519607133389101</c:v>
                      </c:pt>
                      <c:pt idx="26">
                        <c:v>0.54539592023134831</c:v>
                      </c:pt>
                      <c:pt idx="27">
                        <c:v>0.5655957691288056</c:v>
                      </c:pt>
                      <c:pt idx="28">
                        <c:v>0.5857956180262629</c:v>
                      </c:pt>
                      <c:pt idx="29">
                        <c:v>0.60599546692372019</c:v>
                      </c:pt>
                      <c:pt idx="30">
                        <c:v>0.62619531582117749</c:v>
                      </c:pt>
                      <c:pt idx="31">
                        <c:v>0.64639516471863478</c:v>
                      </c:pt>
                      <c:pt idx="32">
                        <c:v>0.66659501361609208</c:v>
                      </c:pt>
                      <c:pt idx="33">
                        <c:v>0.68679486251354938</c:v>
                      </c:pt>
                      <c:pt idx="34">
                        <c:v>0.70699471141100667</c:v>
                      </c:pt>
                      <c:pt idx="35">
                        <c:v>0.72719456030846397</c:v>
                      </c:pt>
                      <c:pt idx="36">
                        <c:v>0.74739440920592126</c:v>
                      </c:pt>
                      <c:pt idx="37">
                        <c:v>0.76759425810337856</c:v>
                      </c:pt>
                      <c:pt idx="38">
                        <c:v>0.78779410700083585</c:v>
                      </c:pt>
                      <c:pt idx="39">
                        <c:v>0.80799395589829315</c:v>
                      </c:pt>
                      <c:pt idx="40">
                        <c:v>0.82819380479575044</c:v>
                      </c:pt>
                      <c:pt idx="41">
                        <c:v>0.84839365369320774</c:v>
                      </c:pt>
                      <c:pt idx="42">
                        <c:v>0.86859350259066503</c:v>
                      </c:pt>
                      <c:pt idx="43">
                        <c:v>0.88879335148812233</c:v>
                      </c:pt>
                      <c:pt idx="44">
                        <c:v>0.90899320038557962</c:v>
                      </c:pt>
                      <c:pt idx="45">
                        <c:v>0.92919304928303692</c:v>
                      </c:pt>
                      <c:pt idx="46">
                        <c:v>0.94939289818049422</c:v>
                      </c:pt>
                      <c:pt idx="47">
                        <c:v>0.96959274707795151</c:v>
                      </c:pt>
                      <c:pt idx="48">
                        <c:v>0.98979259597540881</c:v>
                      </c:pt>
                      <c:pt idx="49">
                        <c:v>1.0099924448728661</c:v>
                      </c:pt>
                      <c:pt idx="50">
                        <c:v>1.0301922937703234</c:v>
                      </c:pt>
                      <c:pt idx="51">
                        <c:v>1.0503921426677807</c:v>
                      </c:pt>
                    </c:numCache>
                  </c:numRef>
                </c:val>
                <c:smooth val="0"/>
                <c:extLst xmlns:c15="http://schemas.microsoft.com/office/drawing/2012/chart">
                  <c:ext xmlns:c16="http://schemas.microsoft.com/office/drawing/2014/chart" uri="{C3380CC4-5D6E-409C-BE32-E72D297353CC}">
                    <c16:uniqueId val="{00000008-5804-49B4-B23B-67A71DA584F9}"/>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'OZL Summary'!$BV$6:$BV$7</c15:sqref>
                        </c15:formulaRef>
                      </c:ext>
                    </c:extLst>
                    <c:strCache>
                      <c:ptCount val="2"/>
                      <c:pt idx="0">
                        <c:v>90th Percentile</c:v>
                      </c:pt>
                    </c:strCache>
                  </c:strRef>
                </c:tx>
                <c:spPr>
                  <a:ln w="28575">
                    <a:solidFill>
                      <a:schemeClr val="accent1"/>
                    </a:solidFill>
                    <a:prstDash val="sysDot"/>
                  </a:ln>
                </c:spPr>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Summary'!$BV$8:$BV$60</c15:sqref>
                        </c15:formulaRef>
                      </c:ext>
                    </c:extLst>
                    <c:numCache>
                      <c:formatCode>0.000</c:formatCode>
                      <c:ptCount val="53"/>
                      <c:pt idx="0">
                        <c:v>2.7720420236719803E-2</c:v>
                      </c:pt>
                      <c:pt idx="1">
                        <c:v>5.5440840473439605E-2</c:v>
                      </c:pt>
                      <c:pt idx="2">
                        <c:v>8.3161260710159404E-2</c:v>
                      </c:pt>
                      <c:pt idx="3">
                        <c:v>0.11088168094687921</c:v>
                      </c:pt>
                      <c:pt idx="4">
                        <c:v>0.138602101183599</c:v>
                      </c:pt>
                      <c:pt idx="5">
                        <c:v>0.16632252142031881</c:v>
                      </c:pt>
                      <c:pt idx="6">
                        <c:v>0.19404294165703861</c:v>
                      </c:pt>
                      <c:pt idx="7">
                        <c:v>0.22176336189375842</c:v>
                      </c:pt>
                      <c:pt idx="8">
                        <c:v>0.24948378213047823</c:v>
                      </c:pt>
                      <c:pt idx="9">
                        <c:v>0.277204202367198</c:v>
                      </c:pt>
                      <c:pt idx="10">
                        <c:v>0.30492462260391778</c:v>
                      </c:pt>
                      <c:pt idx="11">
                        <c:v>0.33264504284063756</c:v>
                      </c:pt>
                      <c:pt idx="12">
                        <c:v>0.36036546307735734</c:v>
                      </c:pt>
                      <c:pt idx="13">
                        <c:v>0.38808588331407712</c:v>
                      </c:pt>
                      <c:pt idx="14">
                        <c:v>0.4158063035507969</c:v>
                      </c:pt>
                      <c:pt idx="15">
                        <c:v>0.44352672378751667</c:v>
                      </c:pt>
                      <c:pt idx="16">
                        <c:v>0.47124714402423645</c:v>
                      </c:pt>
                      <c:pt idx="17">
                        <c:v>0.49896756426095623</c:v>
                      </c:pt>
                      <c:pt idx="18">
                        <c:v>0.52668798449767606</c:v>
                      </c:pt>
                      <c:pt idx="19">
                        <c:v>0.5544084047343959</c:v>
                      </c:pt>
                      <c:pt idx="20">
                        <c:v>0.58212882497111573</c:v>
                      </c:pt>
                      <c:pt idx="21">
                        <c:v>0.60984924520783557</c:v>
                      </c:pt>
                      <c:pt idx="22">
                        <c:v>0.6375696654445554</c:v>
                      </c:pt>
                      <c:pt idx="23">
                        <c:v>0.66529008568127523</c:v>
                      </c:pt>
                      <c:pt idx="24">
                        <c:v>0.69301050591799507</c:v>
                      </c:pt>
                      <c:pt idx="25">
                        <c:v>0.7207309261547149</c:v>
                      </c:pt>
                      <c:pt idx="26">
                        <c:v>0.74845134639143474</c:v>
                      </c:pt>
                      <c:pt idx="27">
                        <c:v>0.77617176662815457</c:v>
                      </c:pt>
                      <c:pt idx="28">
                        <c:v>0.8038921868648744</c:v>
                      </c:pt>
                      <c:pt idx="29">
                        <c:v>0.83161260710159424</c:v>
                      </c:pt>
                      <c:pt idx="30">
                        <c:v>0.85933302733831407</c:v>
                      </c:pt>
                      <c:pt idx="31">
                        <c:v>0.8870534475750339</c:v>
                      </c:pt>
                      <c:pt idx="32">
                        <c:v>0.91477386781175374</c:v>
                      </c:pt>
                      <c:pt idx="33">
                        <c:v>0.94249428804847357</c:v>
                      </c:pt>
                      <c:pt idx="34">
                        <c:v>0.97021470828519341</c:v>
                      </c:pt>
                      <c:pt idx="35">
                        <c:v>0.99793512852191324</c:v>
                      </c:pt>
                      <c:pt idx="36">
                        <c:v>1.025655548758633</c:v>
                      </c:pt>
                      <c:pt idx="37">
                        <c:v>1.0533759689953528</c:v>
                      </c:pt>
                      <c:pt idx="38">
                        <c:v>1.0810963892320726</c:v>
                      </c:pt>
                      <c:pt idx="39">
                        <c:v>1.1088168094687925</c:v>
                      </c:pt>
                      <c:pt idx="40">
                        <c:v>1.1365372297055123</c:v>
                      </c:pt>
                      <c:pt idx="41">
                        <c:v>1.1642576499422321</c:v>
                      </c:pt>
                      <c:pt idx="42">
                        <c:v>1.191978070178952</c:v>
                      </c:pt>
                      <c:pt idx="43">
                        <c:v>1.2196984904156718</c:v>
                      </c:pt>
                      <c:pt idx="44">
                        <c:v>1.2474189106523916</c:v>
                      </c:pt>
                      <c:pt idx="45">
                        <c:v>1.2751393308891115</c:v>
                      </c:pt>
                      <c:pt idx="46">
                        <c:v>1.3028597511258313</c:v>
                      </c:pt>
                      <c:pt idx="47">
                        <c:v>1.3305801713625511</c:v>
                      </c:pt>
                      <c:pt idx="48">
                        <c:v>1.358300591599271</c:v>
                      </c:pt>
                      <c:pt idx="49">
                        <c:v>1.3860210118359908</c:v>
                      </c:pt>
                      <c:pt idx="50">
                        <c:v>1.4137414320727106</c:v>
                      </c:pt>
                      <c:pt idx="51">
                        <c:v>1.4414618523094305</c:v>
                      </c:pt>
                    </c:numCache>
                  </c:numRef>
                </c:val>
                <c:smooth val="0"/>
                <c:extLst xmlns:c15="http://schemas.microsoft.com/office/drawing/2012/chart">
                  <c:ext xmlns:c16="http://schemas.microsoft.com/office/drawing/2014/chart" uri="{C3380CC4-5D6E-409C-BE32-E72D297353CC}">
                    <c16:uniqueId val="{00000009-5804-49B4-B23B-67A71DA584F9}"/>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'OZL Summary'!$BX$6:$BX$7</c15:sqref>
                        </c15:formulaRef>
                      </c:ext>
                    </c:extLst>
                    <c:strCache>
                      <c:ptCount val="2"/>
                      <c:pt idx="0">
                        <c:v>99th Percentile</c:v>
                      </c:pt>
                    </c:strCache>
                  </c:strRef>
                </c:tx>
                <c:spPr>
                  <a:ln w="28575">
                    <a:solidFill>
                      <a:schemeClr val="accent1"/>
                    </a:solidFill>
                    <a:prstDash val="sysDot"/>
                  </a:ln>
                </c:spPr>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Summary'!$BX$8:$BX$60</c15:sqref>
                        </c15:formulaRef>
                      </c:ext>
                    </c:extLst>
                    <c:numCache>
                      <c:formatCode>0.000</c:formatCode>
                      <c:ptCount val="53"/>
                      <c:pt idx="0">
                        <c:v>3.2006943607976859E-2</c:v>
                      </c:pt>
                      <c:pt idx="1">
                        <c:v>6.4013887215953719E-2</c:v>
                      </c:pt>
                      <c:pt idx="2">
                        <c:v>9.6020830823930578E-2</c:v>
                      </c:pt>
                      <c:pt idx="3">
                        <c:v>0.12802777443190744</c:v>
                      </c:pt>
                      <c:pt idx="4">
                        <c:v>0.16003471803988428</c:v>
                      </c:pt>
                      <c:pt idx="5">
                        <c:v>0.19204166164786113</c:v>
                      </c:pt>
                      <c:pt idx="6">
                        <c:v>0.22404860525583797</c:v>
                      </c:pt>
                      <c:pt idx="7">
                        <c:v>0.25605554886381482</c:v>
                      </c:pt>
                      <c:pt idx="8">
                        <c:v>0.28806249247179166</c:v>
                      </c:pt>
                      <c:pt idx="9">
                        <c:v>0.32006943607976851</c:v>
                      </c:pt>
                      <c:pt idx="10">
                        <c:v>0.35207637968774536</c:v>
                      </c:pt>
                      <c:pt idx="11">
                        <c:v>0.3840833232957222</c:v>
                      </c:pt>
                      <c:pt idx="12">
                        <c:v>0.41609026690369905</c:v>
                      </c:pt>
                      <c:pt idx="13">
                        <c:v>0.44809721051167589</c:v>
                      </c:pt>
                      <c:pt idx="14">
                        <c:v>0.48010415411965274</c:v>
                      </c:pt>
                      <c:pt idx="15">
                        <c:v>0.51211109772762964</c:v>
                      </c:pt>
                      <c:pt idx="16">
                        <c:v>0.54411804133560648</c:v>
                      </c:pt>
                      <c:pt idx="17">
                        <c:v>0.57612498494358333</c:v>
                      </c:pt>
                      <c:pt idx="18">
                        <c:v>0.60813192855156017</c:v>
                      </c:pt>
                      <c:pt idx="19">
                        <c:v>0.64013887215953702</c:v>
                      </c:pt>
                      <c:pt idx="20">
                        <c:v>0.67214581576751387</c:v>
                      </c:pt>
                      <c:pt idx="21">
                        <c:v>0.70415275937549071</c:v>
                      </c:pt>
                      <c:pt idx="22">
                        <c:v>0.73615970298346756</c:v>
                      </c:pt>
                      <c:pt idx="23">
                        <c:v>0.7681666465914444</c:v>
                      </c:pt>
                      <c:pt idx="24">
                        <c:v>0.80017359019942125</c:v>
                      </c:pt>
                      <c:pt idx="25">
                        <c:v>0.83218053380739809</c:v>
                      </c:pt>
                      <c:pt idx="26">
                        <c:v>0.86418747741537494</c:v>
                      </c:pt>
                      <c:pt idx="27">
                        <c:v>0.89619442102335178</c:v>
                      </c:pt>
                      <c:pt idx="28">
                        <c:v>0.92820136463132863</c:v>
                      </c:pt>
                      <c:pt idx="29">
                        <c:v>0.96020830823930547</c:v>
                      </c:pt>
                      <c:pt idx="30">
                        <c:v>0.99221525184728232</c:v>
                      </c:pt>
                      <c:pt idx="31">
                        <c:v>1.0242221954552593</c:v>
                      </c:pt>
                      <c:pt idx="32">
                        <c:v>1.0562291390632361</c:v>
                      </c:pt>
                      <c:pt idx="33">
                        <c:v>1.088236082671213</c:v>
                      </c:pt>
                      <c:pt idx="34">
                        <c:v>1.1202430262791898</c:v>
                      </c:pt>
                      <c:pt idx="35">
                        <c:v>1.1522499698871667</c:v>
                      </c:pt>
                      <c:pt idx="36">
                        <c:v>1.1842569134951435</c:v>
                      </c:pt>
                      <c:pt idx="37">
                        <c:v>1.2162638571031203</c:v>
                      </c:pt>
                      <c:pt idx="38">
                        <c:v>1.2482708007110972</c:v>
                      </c:pt>
                      <c:pt idx="39">
                        <c:v>1.280277744319074</c:v>
                      </c:pt>
                      <c:pt idx="40">
                        <c:v>1.3122846879270509</c:v>
                      </c:pt>
                      <c:pt idx="41">
                        <c:v>1.3442916315350277</c:v>
                      </c:pt>
                      <c:pt idx="42">
                        <c:v>1.3762985751430046</c:v>
                      </c:pt>
                      <c:pt idx="43">
                        <c:v>1.4083055187509814</c:v>
                      </c:pt>
                      <c:pt idx="44">
                        <c:v>1.4403124623589583</c:v>
                      </c:pt>
                      <c:pt idx="45">
                        <c:v>1.4723194059669351</c:v>
                      </c:pt>
                      <c:pt idx="46">
                        <c:v>1.504326349574912</c:v>
                      </c:pt>
                      <c:pt idx="47">
                        <c:v>1.5363332931828888</c:v>
                      </c:pt>
                      <c:pt idx="48">
                        <c:v>1.5683402367908656</c:v>
                      </c:pt>
                      <c:pt idx="49">
                        <c:v>1.6003471803988425</c:v>
                      </c:pt>
                      <c:pt idx="50">
                        <c:v>1.6323541240068193</c:v>
                      </c:pt>
                      <c:pt idx="51">
                        <c:v>1.6643610676147962</c:v>
                      </c:pt>
                    </c:numCache>
                  </c:numRef>
                </c:val>
                <c:smooth val="0"/>
                <c:extLst xmlns:c15="http://schemas.microsoft.com/office/drawing/2012/chart">
                  <c:ext xmlns:c16="http://schemas.microsoft.com/office/drawing/2014/chart" uri="{C3380CC4-5D6E-409C-BE32-E72D297353CC}">
                    <c16:uniqueId val="{0000000A-5804-49B4-B23B-67A71DA584F9}"/>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'OZL Summary'!$BY$6:$BY$7</c15:sqref>
                        </c15:formulaRef>
                      </c:ext>
                    </c:extLst>
                    <c:strCache>
                      <c:ptCount val="2"/>
                      <c:pt idx="0">
                        <c:v>Max</c:v>
                      </c:pt>
                    </c:strCache>
                  </c:strRef>
                </c:tx>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Summary'!$BY$8:$BY$60</c15:sqref>
                        </c15:formulaRef>
                      </c:ext>
                    </c:extLst>
                    <c:numCache>
                      <c:formatCode>0.000</c:formatCode>
                      <c:ptCount val="53"/>
                      <c:pt idx="0">
                        <c:v>3.9503586953510528E-2</c:v>
                      </c:pt>
                      <c:pt idx="1">
                        <c:v>7.9007173907021055E-2</c:v>
                      </c:pt>
                      <c:pt idx="2">
                        <c:v>0.11851076086053158</c:v>
                      </c:pt>
                      <c:pt idx="3">
                        <c:v>0.15801434781404211</c:v>
                      </c:pt>
                      <c:pt idx="4">
                        <c:v>0.19751793476755264</c:v>
                      </c:pt>
                      <c:pt idx="5">
                        <c:v>0.23702152172106317</c:v>
                      </c:pt>
                      <c:pt idx="6">
                        <c:v>0.27652510867457369</c:v>
                      </c:pt>
                      <c:pt idx="7">
                        <c:v>0.31602869562808422</c:v>
                      </c:pt>
                      <c:pt idx="8">
                        <c:v>0.35553228258159475</c:v>
                      </c:pt>
                      <c:pt idx="9">
                        <c:v>0.39503586953510528</c:v>
                      </c:pt>
                      <c:pt idx="10">
                        <c:v>0.43453945648861581</c:v>
                      </c:pt>
                      <c:pt idx="11">
                        <c:v>0.47404304344212633</c:v>
                      </c:pt>
                      <c:pt idx="12">
                        <c:v>0.51354663039563686</c:v>
                      </c:pt>
                      <c:pt idx="13">
                        <c:v>0.55305021734914739</c:v>
                      </c:pt>
                      <c:pt idx="14">
                        <c:v>0.59255380430265792</c:v>
                      </c:pt>
                      <c:pt idx="15">
                        <c:v>0.63205739125616844</c:v>
                      </c:pt>
                      <c:pt idx="16">
                        <c:v>0.67156097820967897</c:v>
                      </c:pt>
                      <c:pt idx="17">
                        <c:v>0.7110645651631895</c:v>
                      </c:pt>
                      <c:pt idx="18">
                        <c:v>0.75056815211670003</c:v>
                      </c:pt>
                      <c:pt idx="19">
                        <c:v>0.79007173907021055</c:v>
                      </c:pt>
                      <c:pt idx="20">
                        <c:v>0.82957532602372108</c:v>
                      </c:pt>
                      <c:pt idx="21">
                        <c:v>0.86907891297723161</c:v>
                      </c:pt>
                      <c:pt idx="22">
                        <c:v>0.90858249993074214</c:v>
                      </c:pt>
                      <c:pt idx="23">
                        <c:v>0.94808608688425267</c:v>
                      </c:pt>
                      <c:pt idx="24">
                        <c:v>0.98758967383776319</c:v>
                      </c:pt>
                      <c:pt idx="25">
                        <c:v>1.0270932607912737</c:v>
                      </c:pt>
                      <c:pt idx="26">
                        <c:v>1.0665968477447842</c:v>
                      </c:pt>
                      <c:pt idx="27">
                        <c:v>1.1061004346982948</c:v>
                      </c:pt>
                      <c:pt idx="28">
                        <c:v>1.1456040216518053</c:v>
                      </c:pt>
                      <c:pt idx="29">
                        <c:v>1.1851076086053158</c:v>
                      </c:pt>
                      <c:pt idx="30">
                        <c:v>1.2246111955588264</c:v>
                      </c:pt>
                      <c:pt idx="31">
                        <c:v>1.2641147825123369</c:v>
                      </c:pt>
                      <c:pt idx="32">
                        <c:v>1.3036183694658474</c:v>
                      </c:pt>
                      <c:pt idx="33">
                        <c:v>1.3431219564193579</c:v>
                      </c:pt>
                      <c:pt idx="34">
                        <c:v>1.3826255433728685</c:v>
                      </c:pt>
                      <c:pt idx="35">
                        <c:v>1.422129130326379</c:v>
                      </c:pt>
                      <c:pt idx="36">
                        <c:v>1.4616327172798895</c:v>
                      </c:pt>
                      <c:pt idx="37">
                        <c:v>1.5011363042334001</c:v>
                      </c:pt>
                      <c:pt idx="38">
                        <c:v>1.5406398911869106</c:v>
                      </c:pt>
                      <c:pt idx="39">
                        <c:v>1.5801434781404211</c:v>
                      </c:pt>
                      <c:pt idx="40">
                        <c:v>1.6196470650939316</c:v>
                      </c:pt>
                      <c:pt idx="41">
                        <c:v>1.6591506520474422</c:v>
                      </c:pt>
                      <c:pt idx="42">
                        <c:v>1.6986542390009527</c:v>
                      </c:pt>
                      <c:pt idx="43">
                        <c:v>1.7381578259544632</c:v>
                      </c:pt>
                      <c:pt idx="44">
                        <c:v>1.7776614129079737</c:v>
                      </c:pt>
                      <c:pt idx="45">
                        <c:v>1.8171649998614843</c:v>
                      </c:pt>
                      <c:pt idx="46">
                        <c:v>1.8566685868149948</c:v>
                      </c:pt>
                      <c:pt idx="47">
                        <c:v>1.8961721737685053</c:v>
                      </c:pt>
                      <c:pt idx="48">
                        <c:v>1.9356757607220159</c:v>
                      </c:pt>
                      <c:pt idx="49">
                        <c:v>1.9751793476755264</c:v>
                      </c:pt>
                      <c:pt idx="50">
                        <c:v>2.0146829346290369</c:v>
                      </c:pt>
                      <c:pt idx="51">
                        <c:v>2.0541865215825474</c:v>
                      </c:pt>
                    </c:numCache>
                  </c:numRef>
                </c:val>
                <c:smooth val="0"/>
                <c:extLst xmlns:c15="http://schemas.microsoft.com/office/drawing/2012/chart">
                  <c:ext xmlns:c16="http://schemas.microsoft.com/office/drawing/2014/chart" uri="{C3380CC4-5D6E-409C-BE32-E72D297353CC}">
                    <c16:uniqueId val="{0000000B-5804-49B4-B23B-67A71DA584F9}"/>
                  </c:ext>
                </c:extLst>
              </c15:ser>
            </c15:filteredLineSeries>
          </c:ext>
        </c:extLst>
      </c:lineChart>
      <c:dateAx>
        <c:axId val="1388952432"/>
        <c:scaling>
          <c:orientation val="minMax"/>
        </c:scaling>
        <c:delete val="0"/>
        <c:axPos val="b"/>
        <c:numFmt formatCode="mmm\-yy" sourceLinked="0"/>
        <c:majorTickMark val="none"/>
        <c:minorTickMark val="none"/>
        <c:tickLblPos val="nextTo"/>
        <c:spPr>
          <a:noFill/>
          <a:ln w="9525" cap="flat" cmpd="sng" algn="ctr">
            <a:noFill/>
            <a:round/>
          </a:ln>
          <a:effectLst/>
        </c:spPr>
        <c:txPr>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3088"/>
        <c:crosses val="autoZero"/>
        <c:auto val="1"/>
        <c:lblOffset val="100"/>
        <c:baseTimeUnit val="days"/>
        <c:majorUnit val="1"/>
        <c:majorTimeUnit val="months"/>
      </c:dateAx>
      <c:valAx>
        <c:axId val="13889530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2432"/>
        <c:crosses val="autoZero"/>
        <c:crossBetween val="between"/>
      </c:valAx>
    </c:plotArea>
    <c:legend>
      <c:legendPos val="b"/>
      <c:legendEntry>
        <c:idx val="3"/>
        <c:delete val="1"/>
      </c:legendEntry>
      <c:legendEntry>
        <c:idx val="4"/>
        <c:delete val="1"/>
      </c:legendEntry>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orientation="portrait"/>
  </c:printSettings>
</c:chartSpace>
</file>

<file path=xl/charts/chart1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'OZL Summary'!$CM$6:$CM$7</c:f>
              <c:strCache>
                <c:ptCount val="2"/>
                <c:pt idx="0">
                  <c:v>Actual</c:v>
                </c:pt>
              </c:strCache>
            </c:strRef>
          </c:tx>
          <c:spPr>
            <a:ln>
              <a:solidFill>
                <a:schemeClr val="tx2"/>
              </a:solidFill>
            </a:ln>
          </c:spPr>
          <c:marker>
            <c:symbol val="none"/>
          </c:marker>
          <c:cat>
            <c:numRef>
              <c:f>'OZL Summary'!$CL$8:$CL$60</c:f>
              <c:numCache>
                <c:formatCode>d\-mmm\-yy_);\(###0\);"-  ";" "@" "</c:formatCode>
                <c:ptCount val="53"/>
                <c:pt idx="0">
                  <c:v>44747</c:v>
                </c:pt>
                <c:pt idx="1">
                  <c:v>44754</c:v>
                </c:pt>
                <c:pt idx="2">
                  <c:v>44761</c:v>
                </c:pt>
                <c:pt idx="3">
                  <c:v>44768</c:v>
                </c:pt>
                <c:pt idx="4">
                  <c:v>44775</c:v>
                </c:pt>
                <c:pt idx="5">
                  <c:v>44782</c:v>
                </c:pt>
                <c:pt idx="6">
                  <c:v>44789</c:v>
                </c:pt>
                <c:pt idx="7">
                  <c:v>44796</c:v>
                </c:pt>
                <c:pt idx="8">
                  <c:v>44803</c:v>
                </c:pt>
                <c:pt idx="9">
                  <c:v>44810</c:v>
                </c:pt>
                <c:pt idx="10">
                  <c:v>44817</c:v>
                </c:pt>
                <c:pt idx="11">
                  <c:v>44824</c:v>
                </c:pt>
                <c:pt idx="12">
                  <c:v>44831</c:v>
                </c:pt>
                <c:pt idx="13">
                  <c:v>44838</c:v>
                </c:pt>
                <c:pt idx="14">
                  <c:v>44845</c:v>
                </c:pt>
                <c:pt idx="15">
                  <c:v>44852</c:v>
                </c:pt>
                <c:pt idx="16">
                  <c:v>44859</c:v>
                </c:pt>
                <c:pt idx="17">
                  <c:v>44866</c:v>
                </c:pt>
                <c:pt idx="18">
                  <c:v>44873</c:v>
                </c:pt>
                <c:pt idx="19">
                  <c:v>44880</c:v>
                </c:pt>
                <c:pt idx="20">
                  <c:v>44887</c:v>
                </c:pt>
                <c:pt idx="21">
                  <c:v>44894</c:v>
                </c:pt>
                <c:pt idx="22">
                  <c:v>44901</c:v>
                </c:pt>
                <c:pt idx="23">
                  <c:v>44908</c:v>
                </c:pt>
                <c:pt idx="24">
                  <c:v>44915</c:v>
                </c:pt>
                <c:pt idx="25">
                  <c:v>44922</c:v>
                </c:pt>
                <c:pt idx="26">
                  <c:v>44929</c:v>
                </c:pt>
                <c:pt idx="27">
                  <c:v>44936</c:v>
                </c:pt>
                <c:pt idx="28">
                  <c:v>44943</c:v>
                </c:pt>
                <c:pt idx="29">
                  <c:v>44950</c:v>
                </c:pt>
                <c:pt idx="30">
                  <c:v>44957</c:v>
                </c:pt>
                <c:pt idx="31">
                  <c:v>44964</c:v>
                </c:pt>
                <c:pt idx="32">
                  <c:v>44971</c:v>
                </c:pt>
                <c:pt idx="33">
                  <c:v>44978</c:v>
                </c:pt>
                <c:pt idx="34">
                  <c:v>44985</c:v>
                </c:pt>
                <c:pt idx="35">
                  <c:v>44992</c:v>
                </c:pt>
                <c:pt idx="36">
                  <c:v>44999</c:v>
                </c:pt>
                <c:pt idx="37">
                  <c:v>45006</c:v>
                </c:pt>
                <c:pt idx="38">
                  <c:v>45013</c:v>
                </c:pt>
                <c:pt idx="39">
                  <c:v>45020</c:v>
                </c:pt>
                <c:pt idx="40">
                  <c:v>45027</c:v>
                </c:pt>
                <c:pt idx="41">
                  <c:v>45034</c:v>
                </c:pt>
                <c:pt idx="42">
                  <c:v>45041</c:v>
                </c:pt>
                <c:pt idx="43">
                  <c:v>45048</c:v>
                </c:pt>
                <c:pt idx="44">
                  <c:v>45055</c:v>
                </c:pt>
                <c:pt idx="45">
                  <c:v>45062</c:v>
                </c:pt>
                <c:pt idx="46">
                  <c:v>45069</c:v>
                </c:pt>
                <c:pt idx="47">
                  <c:v>45076</c:v>
                </c:pt>
                <c:pt idx="48">
                  <c:v>45083</c:v>
                </c:pt>
                <c:pt idx="49">
                  <c:v>45090</c:v>
                </c:pt>
                <c:pt idx="50">
                  <c:v>45097</c:v>
                </c:pt>
                <c:pt idx="51">
                  <c:v>45104</c:v>
                </c:pt>
              </c:numCache>
            </c:numRef>
          </c:cat>
          <c:val>
            <c:numRef>
              <c:f>'OZL Summary'!$CM$8:$CM$60</c:f>
              <c:numCache>
                <c:formatCode>0.000</c:formatCode>
                <c:ptCount val="53"/>
                <c:pt idx="0">
                  <c:v>3.834938886032449E-2</c:v>
                </c:pt>
                <c:pt idx="1">
                  <c:v>5.123783242153393E-2</c:v>
                </c:pt>
                <c:pt idx="2">
                  <c:v>7.4018441192920351E-2</c:v>
                </c:pt>
                <c:pt idx="3">
                  <c:v>9.6187263530825975E-2</c:v>
                </c:pt>
                <c:pt idx="4">
                  <c:v>0.1279486352824484</c:v>
                </c:pt>
                <c:pt idx="5">
                  <c:v>0.14008847339439529</c:v>
                </c:pt>
                <c:pt idx="6">
                  <c:v>0.15550996784351032</c:v>
                </c:pt>
                <c:pt idx="7">
                  <c:v>0.1781636657277286</c:v>
                </c:pt>
                <c:pt idx="8">
                  <c:v>0.18979947318539822</c:v>
                </c:pt>
                <c:pt idx="9">
                  <c:v>0.20316795796430678</c:v>
                </c:pt>
                <c:pt idx="10">
                  <c:v>0.22458342495752212</c:v>
                </c:pt>
                <c:pt idx="11">
                  <c:v>0.25580603961283188</c:v>
                </c:pt>
                <c:pt idx="12">
                  <c:v>0.29377769196961651</c:v>
                </c:pt>
                <c:pt idx="13">
                  <c:v>0.35323363217492626</c:v>
                </c:pt>
                <c:pt idx="14">
                  <c:v>0.36548244522271389</c:v>
                </c:pt>
                <c:pt idx="15">
                  <c:v>0.37859873767389379</c:v>
                </c:pt>
                <c:pt idx="16">
                  <c:v>0.39719554152758113</c:v>
                </c:pt>
                <c:pt idx="17">
                  <c:v>0.4316567961707965</c:v>
                </c:pt>
                <c:pt idx="18">
                  <c:v>0.44430520610840712</c:v>
                </c:pt>
                <c:pt idx="19">
                  <c:v>0.46444965919601772</c:v>
                </c:pt>
                <c:pt idx="20">
                  <c:v>0.48259203014070801</c:v>
                </c:pt>
                <c:pt idx="21">
                  <c:v>0.51028982039557524</c:v>
                </c:pt>
                <c:pt idx="22">
                  <c:v>0.54471389987168151</c:v>
                </c:pt>
                <c:pt idx="23">
                  <c:v>0.55672420885427742</c:v>
                </c:pt>
                <c:pt idx="24">
                  <c:v>0.56989902180014751</c:v>
                </c:pt>
                <c:pt idx="25">
                  <c:v>0.58579190168259598</c:v>
                </c:pt>
                <c:pt idx="26">
                  <c:v>0.61560164261652994</c:v>
                </c:pt>
                <c:pt idx="27">
                  <c:v>0.62886922832989334</c:v>
                </c:pt>
                <c:pt idx="28">
                  <c:v>0.6415368150007642</c:v>
                </c:pt>
                <c:pt idx="29">
                  <c:v>0.65570691274325665</c:v>
                </c:pt>
                <c:pt idx="30">
                  <c:v>0.6741108383910045</c:v>
                </c:pt>
                <c:pt idx="31">
                  <c:v>0.70317383110091436</c:v>
                </c:pt>
                <c:pt idx="32">
                  <c:v>0.7164699629842477</c:v>
                </c:pt>
                <c:pt idx="33">
                  <c:v>0.73040874440271619</c:v>
                </c:pt>
                <c:pt idx="34">
                  <c:v>0.74918997488349703</c:v>
                </c:pt>
                <c:pt idx="35">
                  <c:v>0.7793860493513648</c:v>
                </c:pt>
                <c:pt idx="36">
                  <c:v>0.792350734537551</c:v>
                </c:pt>
                <c:pt idx="37">
                  <c:v>0.8067648960380015</c:v>
                </c:pt>
                <c:pt idx="38">
                  <c:v>0.82797384641157512</c:v>
                </c:pt>
                <c:pt idx="39">
                  <c:v>0.85720770309595939</c:v>
                </c:pt>
                <c:pt idx="40">
                  <c:v>0.89207466557553894</c:v>
                </c:pt>
                <c:pt idx="41">
                  <c:v>0.90536693215601949</c:v>
                </c:pt>
                <c:pt idx="42">
                  <c:v>0.91931178785842182</c:v>
                </c:pt>
                <c:pt idx="43">
                  <c:v>0.94029749152884223</c:v>
                </c:pt>
                <c:pt idx="44">
                  <c:v>0.97126155342974319</c:v>
                </c:pt>
                <c:pt idx="45">
                  <c:v>1.0131852031892026</c:v>
                </c:pt>
                <c:pt idx="46">
                  <c:v>1.0256646046452087</c:v>
                </c:pt>
                <c:pt idx="47">
                  <c:v>1.0400668378461095</c:v>
                </c:pt>
                <c:pt idx="48">
                  <c:v>1.0596253319545181</c:v>
                </c:pt>
                <c:pt idx="49">
                  <c:v>1.0849019171256893</c:v>
                </c:pt>
                <c:pt idx="50">
                  <c:v>1.0964318200087224</c:v>
                </c:pt>
                <c:pt idx="51">
                  <c:v>1.1117000978259894</c:v>
                </c:pt>
              </c:numCache>
            </c:numRef>
          </c:val>
          <c:smooth val="0"/>
          <c:extLst>
            <c:ext xmlns:c16="http://schemas.microsoft.com/office/drawing/2014/chart" uri="{C3380CC4-5D6E-409C-BE32-E72D297353CC}">
              <c16:uniqueId val="{00000000-5169-4D9C-9961-F2F92FC7DF62}"/>
            </c:ext>
          </c:extLst>
        </c:ser>
        <c:ser>
          <c:idx val="7"/>
          <c:order val="3"/>
          <c:tx>
            <c:strRef>
              <c:f>'OZL Summary'!$IG$6:$IG$7</c:f>
              <c:strCache>
                <c:ptCount val="2"/>
                <c:pt idx="0">
                  <c:v>5th Percentile</c:v>
                </c:pt>
              </c:strCache>
            </c:strRef>
          </c:tx>
          <c:spPr>
            <a:ln>
              <a:solidFill>
                <a:schemeClr val="bg2"/>
              </a:solidFill>
              <a:prstDash val="sysDot"/>
            </a:ln>
          </c:spPr>
          <c:marker>
            <c:symbol val="none"/>
          </c:marker>
          <c:cat>
            <c:numRef>
              <c:f>'OZL Summary'!$CL$8:$CL$60</c:f>
              <c:numCache>
                <c:formatCode>d\-mmm\-yy_);\(###0\);"-  ";" "@" "</c:formatCode>
                <c:ptCount val="53"/>
                <c:pt idx="0">
                  <c:v>44747</c:v>
                </c:pt>
                <c:pt idx="1">
                  <c:v>44754</c:v>
                </c:pt>
                <c:pt idx="2">
                  <c:v>44761</c:v>
                </c:pt>
                <c:pt idx="3">
                  <c:v>44768</c:v>
                </c:pt>
                <c:pt idx="4">
                  <c:v>44775</c:v>
                </c:pt>
                <c:pt idx="5">
                  <c:v>44782</c:v>
                </c:pt>
                <c:pt idx="6">
                  <c:v>44789</c:v>
                </c:pt>
                <c:pt idx="7">
                  <c:v>44796</c:v>
                </c:pt>
                <c:pt idx="8">
                  <c:v>44803</c:v>
                </c:pt>
                <c:pt idx="9">
                  <c:v>44810</c:v>
                </c:pt>
                <c:pt idx="10">
                  <c:v>44817</c:v>
                </c:pt>
                <c:pt idx="11">
                  <c:v>44824</c:v>
                </c:pt>
                <c:pt idx="12">
                  <c:v>44831</c:v>
                </c:pt>
                <c:pt idx="13">
                  <c:v>44838</c:v>
                </c:pt>
                <c:pt idx="14">
                  <c:v>44845</c:v>
                </c:pt>
                <c:pt idx="15">
                  <c:v>44852</c:v>
                </c:pt>
                <c:pt idx="16">
                  <c:v>44859</c:v>
                </c:pt>
                <c:pt idx="17">
                  <c:v>44866</c:v>
                </c:pt>
                <c:pt idx="18">
                  <c:v>44873</c:v>
                </c:pt>
                <c:pt idx="19">
                  <c:v>44880</c:v>
                </c:pt>
                <c:pt idx="20">
                  <c:v>44887</c:v>
                </c:pt>
                <c:pt idx="21">
                  <c:v>44894</c:v>
                </c:pt>
                <c:pt idx="22">
                  <c:v>44901</c:v>
                </c:pt>
                <c:pt idx="23">
                  <c:v>44908</c:v>
                </c:pt>
                <c:pt idx="24">
                  <c:v>44915</c:v>
                </c:pt>
                <c:pt idx="25">
                  <c:v>44922</c:v>
                </c:pt>
                <c:pt idx="26">
                  <c:v>44929</c:v>
                </c:pt>
                <c:pt idx="27">
                  <c:v>44936</c:v>
                </c:pt>
                <c:pt idx="28">
                  <c:v>44943</c:v>
                </c:pt>
                <c:pt idx="29">
                  <c:v>44950</c:v>
                </c:pt>
                <c:pt idx="30">
                  <c:v>44957</c:v>
                </c:pt>
                <c:pt idx="31">
                  <c:v>44964</c:v>
                </c:pt>
                <c:pt idx="32">
                  <c:v>44971</c:v>
                </c:pt>
                <c:pt idx="33">
                  <c:v>44978</c:v>
                </c:pt>
                <c:pt idx="34">
                  <c:v>44985</c:v>
                </c:pt>
                <c:pt idx="35">
                  <c:v>44992</c:v>
                </c:pt>
                <c:pt idx="36">
                  <c:v>44999</c:v>
                </c:pt>
                <c:pt idx="37">
                  <c:v>45006</c:v>
                </c:pt>
                <c:pt idx="38">
                  <c:v>45013</c:v>
                </c:pt>
                <c:pt idx="39">
                  <c:v>45020</c:v>
                </c:pt>
                <c:pt idx="40">
                  <c:v>45027</c:v>
                </c:pt>
                <c:pt idx="41">
                  <c:v>45034</c:v>
                </c:pt>
                <c:pt idx="42">
                  <c:v>45041</c:v>
                </c:pt>
                <c:pt idx="43">
                  <c:v>45048</c:v>
                </c:pt>
                <c:pt idx="44">
                  <c:v>45055</c:v>
                </c:pt>
                <c:pt idx="45">
                  <c:v>45062</c:v>
                </c:pt>
                <c:pt idx="46">
                  <c:v>45069</c:v>
                </c:pt>
                <c:pt idx="47">
                  <c:v>45076</c:v>
                </c:pt>
                <c:pt idx="48">
                  <c:v>45083</c:v>
                </c:pt>
                <c:pt idx="49">
                  <c:v>45090</c:v>
                </c:pt>
                <c:pt idx="50">
                  <c:v>45097</c:v>
                </c:pt>
                <c:pt idx="51">
                  <c:v>45104</c:v>
                </c:pt>
              </c:numCache>
            </c:numRef>
          </c:cat>
          <c:val>
            <c:numRef>
              <c:f>'OZL Summary'!$IG$8:$IG$60</c:f>
              <c:numCache>
                <c:formatCode>0.000</c:formatCode>
                <c:ptCount val="53"/>
                <c:pt idx="28">
                  <c:v>0.65445578138069982</c:v>
                </c:pt>
                <c:pt idx="29">
                  <c:v>0.67343574913369175</c:v>
                </c:pt>
                <c:pt idx="30">
                  <c:v>0.69241571688668369</c:v>
                </c:pt>
                <c:pt idx="31">
                  <c:v>0.71139568463967562</c:v>
                </c:pt>
                <c:pt idx="32">
                  <c:v>0.73037565239266755</c:v>
                </c:pt>
                <c:pt idx="33">
                  <c:v>0.74935562014565948</c:v>
                </c:pt>
                <c:pt idx="34">
                  <c:v>0.76833558789865142</c:v>
                </c:pt>
                <c:pt idx="35">
                  <c:v>0.78731555565164335</c:v>
                </c:pt>
                <c:pt idx="36">
                  <c:v>0.80629552340463528</c:v>
                </c:pt>
                <c:pt idx="37">
                  <c:v>0.82527549115762722</c:v>
                </c:pt>
                <c:pt idx="38">
                  <c:v>0.84425545891061915</c:v>
                </c:pt>
                <c:pt idx="39">
                  <c:v>0.86323542666361108</c:v>
                </c:pt>
                <c:pt idx="40">
                  <c:v>0.88221539441660302</c:v>
                </c:pt>
                <c:pt idx="41">
                  <c:v>0.90119536216959495</c:v>
                </c:pt>
                <c:pt idx="42">
                  <c:v>0.92017532992258688</c:v>
                </c:pt>
                <c:pt idx="43">
                  <c:v>0.93915529767557882</c:v>
                </c:pt>
                <c:pt idx="44">
                  <c:v>0.95813526542857075</c:v>
                </c:pt>
                <c:pt idx="45">
                  <c:v>0.97711523318156268</c:v>
                </c:pt>
                <c:pt idx="46">
                  <c:v>0.99609520093455461</c:v>
                </c:pt>
                <c:pt idx="47">
                  <c:v>1.0150751686875465</c:v>
                </c:pt>
                <c:pt idx="48">
                  <c:v>1.0340551364405384</c:v>
                </c:pt>
                <c:pt idx="49">
                  <c:v>1.0530351041935302</c:v>
                </c:pt>
                <c:pt idx="50">
                  <c:v>1.072015071946522</c:v>
                </c:pt>
                <c:pt idx="51">
                  <c:v>1.0909950396995138</c:v>
                </c:pt>
              </c:numCache>
            </c:numRef>
          </c:val>
          <c:smooth val="0"/>
          <c:extLst xmlns:c15="http://schemas.microsoft.com/office/drawing/2012/chart">
            <c:ext xmlns:c16="http://schemas.microsoft.com/office/drawing/2014/chart" uri="{C3380CC4-5D6E-409C-BE32-E72D297353CC}">
              <c16:uniqueId val="{00000001-5169-4D9C-9961-F2F92FC7DF62}"/>
            </c:ext>
          </c:extLst>
        </c:ser>
        <c:ser>
          <c:idx val="2"/>
          <c:order val="5"/>
          <c:tx>
            <c:v>5/25/50/75/95th percentile</c:v>
          </c:tx>
          <c:spPr>
            <a:ln>
              <a:solidFill>
                <a:schemeClr val="bg2"/>
              </a:solidFill>
              <a:prstDash val="sysDot"/>
            </a:ln>
          </c:spPr>
          <c:marker>
            <c:symbol val="none"/>
          </c:marker>
          <c:cat>
            <c:numRef>
              <c:f>'OZL Summary'!$CL$8:$CL$60</c:f>
              <c:numCache>
                <c:formatCode>d\-mmm\-yy_);\(###0\);"-  ";" "@" "</c:formatCode>
                <c:ptCount val="53"/>
                <c:pt idx="0">
                  <c:v>44747</c:v>
                </c:pt>
                <c:pt idx="1">
                  <c:v>44754</c:v>
                </c:pt>
                <c:pt idx="2">
                  <c:v>44761</c:v>
                </c:pt>
                <c:pt idx="3">
                  <c:v>44768</c:v>
                </c:pt>
                <c:pt idx="4">
                  <c:v>44775</c:v>
                </c:pt>
                <c:pt idx="5">
                  <c:v>44782</c:v>
                </c:pt>
                <c:pt idx="6">
                  <c:v>44789</c:v>
                </c:pt>
                <c:pt idx="7">
                  <c:v>44796</c:v>
                </c:pt>
                <c:pt idx="8">
                  <c:v>44803</c:v>
                </c:pt>
                <c:pt idx="9">
                  <c:v>44810</c:v>
                </c:pt>
                <c:pt idx="10">
                  <c:v>44817</c:v>
                </c:pt>
                <c:pt idx="11">
                  <c:v>44824</c:v>
                </c:pt>
                <c:pt idx="12">
                  <c:v>44831</c:v>
                </c:pt>
                <c:pt idx="13">
                  <c:v>44838</c:v>
                </c:pt>
                <c:pt idx="14">
                  <c:v>44845</c:v>
                </c:pt>
                <c:pt idx="15">
                  <c:v>44852</c:v>
                </c:pt>
                <c:pt idx="16">
                  <c:v>44859</c:v>
                </c:pt>
                <c:pt idx="17">
                  <c:v>44866</c:v>
                </c:pt>
                <c:pt idx="18">
                  <c:v>44873</c:v>
                </c:pt>
                <c:pt idx="19">
                  <c:v>44880</c:v>
                </c:pt>
                <c:pt idx="20">
                  <c:v>44887</c:v>
                </c:pt>
                <c:pt idx="21">
                  <c:v>44894</c:v>
                </c:pt>
                <c:pt idx="22">
                  <c:v>44901</c:v>
                </c:pt>
                <c:pt idx="23">
                  <c:v>44908</c:v>
                </c:pt>
                <c:pt idx="24">
                  <c:v>44915</c:v>
                </c:pt>
                <c:pt idx="25">
                  <c:v>44922</c:v>
                </c:pt>
                <c:pt idx="26">
                  <c:v>44929</c:v>
                </c:pt>
                <c:pt idx="27">
                  <c:v>44936</c:v>
                </c:pt>
                <c:pt idx="28">
                  <c:v>44943</c:v>
                </c:pt>
                <c:pt idx="29">
                  <c:v>44950</c:v>
                </c:pt>
                <c:pt idx="30">
                  <c:v>44957</c:v>
                </c:pt>
                <c:pt idx="31">
                  <c:v>44964</c:v>
                </c:pt>
                <c:pt idx="32">
                  <c:v>44971</c:v>
                </c:pt>
                <c:pt idx="33">
                  <c:v>44978</c:v>
                </c:pt>
                <c:pt idx="34">
                  <c:v>44985</c:v>
                </c:pt>
                <c:pt idx="35">
                  <c:v>44992</c:v>
                </c:pt>
                <c:pt idx="36">
                  <c:v>44999</c:v>
                </c:pt>
                <c:pt idx="37">
                  <c:v>45006</c:v>
                </c:pt>
                <c:pt idx="38">
                  <c:v>45013</c:v>
                </c:pt>
                <c:pt idx="39">
                  <c:v>45020</c:v>
                </c:pt>
                <c:pt idx="40">
                  <c:v>45027</c:v>
                </c:pt>
                <c:pt idx="41">
                  <c:v>45034</c:v>
                </c:pt>
                <c:pt idx="42">
                  <c:v>45041</c:v>
                </c:pt>
                <c:pt idx="43">
                  <c:v>45048</c:v>
                </c:pt>
                <c:pt idx="44">
                  <c:v>45055</c:v>
                </c:pt>
                <c:pt idx="45">
                  <c:v>45062</c:v>
                </c:pt>
                <c:pt idx="46">
                  <c:v>45069</c:v>
                </c:pt>
                <c:pt idx="47">
                  <c:v>45076</c:v>
                </c:pt>
                <c:pt idx="48">
                  <c:v>45083</c:v>
                </c:pt>
                <c:pt idx="49">
                  <c:v>45090</c:v>
                </c:pt>
                <c:pt idx="50">
                  <c:v>45097</c:v>
                </c:pt>
                <c:pt idx="51">
                  <c:v>45104</c:v>
                </c:pt>
              </c:numCache>
            </c:numRef>
          </c:cat>
          <c:val>
            <c:numRef>
              <c:f>'OZL Summary'!$II$8:$II$60</c:f>
              <c:numCache>
                <c:formatCode>0.000</c:formatCode>
                <c:ptCount val="53"/>
                <c:pt idx="28">
                  <c:v>0.65445578138069982</c:v>
                </c:pt>
                <c:pt idx="29">
                  <c:v>0.67655113723923099</c:v>
                </c:pt>
                <c:pt idx="30">
                  <c:v>0.69864649309776217</c:v>
                </c:pt>
                <c:pt idx="31">
                  <c:v>0.72074184895629334</c:v>
                </c:pt>
                <c:pt idx="32">
                  <c:v>0.74283720481482451</c:v>
                </c:pt>
                <c:pt idx="33">
                  <c:v>0.76493256067335569</c:v>
                </c:pt>
                <c:pt idx="34">
                  <c:v>0.78702791653188686</c:v>
                </c:pt>
                <c:pt idx="35">
                  <c:v>0.80912327239041804</c:v>
                </c:pt>
                <c:pt idx="36">
                  <c:v>0.83121862824894921</c:v>
                </c:pt>
                <c:pt idx="37">
                  <c:v>0.85331398410748038</c:v>
                </c:pt>
                <c:pt idx="38">
                  <c:v>0.87540933996601156</c:v>
                </c:pt>
                <c:pt idx="39">
                  <c:v>0.89750469582454273</c:v>
                </c:pt>
                <c:pt idx="40">
                  <c:v>0.9196000516830739</c:v>
                </c:pt>
                <c:pt idx="41">
                  <c:v>0.94169540754160508</c:v>
                </c:pt>
                <c:pt idx="42">
                  <c:v>0.96379076340013625</c:v>
                </c:pt>
                <c:pt idx="43">
                  <c:v>0.98588611925866743</c:v>
                </c:pt>
                <c:pt idx="44">
                  <c:v>1.0079814751171985</c:v>
                </c:pt>
                <c:pt idx="45">
                  <c:v>1.0300768309757296</c:v>
                </c:pt>
                <c:pt idx="46">
                  <c:v>1.0521721868342606</c:v>
                </c:pt>
                <c:pt idx="47">
                  <c:v>1.0742675426927917</c:v>
                </c:pt>
                <c:pt idx="48">
                  <c:v>1.0963628985513227</c:v>
                </c:pt>
                <c:pt idx="49">
                  <c:v>1.1184582544098538</c:v>
                </c:pt>
                <c:pt idx="50">
                  <c:v>1.1405536102683849</c:v>
                </c:pt>
                <c:pt idx="51">
                  <c:v>1.1626489661269159</c:v>
                </c:pt>
              </c:numCache>
            </c:numRef>
          </c:val>
          <c:smooth val="0"/>
          <c:extLst>
            <c:ext xmlns:c16="http://schemas.microsoft.com/office/drawing/2014/chart" uri="{C3380CC4-5D6E-409C-BE32-E72D297353CC}">
              <c16:uniqueId val="{00000002-5169-4D9C-9961-F2F92FC7DF62}"/>
            </c:ext>
          </c:extLst>
        </c:ser>
        <c:ser>
          <c:idx val="4"/>
          <c:order val="6"/>
          <c:tx>
            <c:strRef>
              <c:f>'OZL Summary'!$IJ$6:$IJ$7</c:f>
              <c:strCache>
                <c:ptCount val="2"/>
                <c:pt idx="0">
                  <c:v>50th Percentile</c:v>
                </c:pt>
              </c:strCache>
            </c:strRef>
          </c:tx>
          <c:spPr>
            <a:ln>
              <a:solidFill>
                <a:schemeClr val="bg2"/>
              </a:solidFill>
              <a:prstDash val="sysDot"/>
            </a:ln>
          </c:spPr>
          <c:marker>
            <c:symbol val="none"/>
          </c:marker>
          <c:dLbls>
            <c:dLbl>
              <c:idx val="51"/>
              <c:layout>
                <c:manualLayout>
                  <c:x val="-0.13114642852796249"/>
                  <c:y val="-0.1106951388888888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169-4D9C-9961-F2F92FC7DF62}"/>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'OZL Summary'!$CL$8:$CL$60</c:f>
              <c:numCache>
                <c:formatCode>d\-mmm\-yy_);\(###0\);"-  ";" "@" "</c:formatCode>
                <c:ptCount val="53"/>
                <c:pt idx="0">
                  <c:v>44747</c:v>
                </c:pt>
                <c:pt idx="1">
                  <c:v>44754</c:v>
                </c:pt>
                <c:pt idx="2">
                  <c:v>44761</c:v>
                </c:pt>
                <c:pt idx="3">
                  <c:v>44768</c:v>
                </c:pt>
                <c:pt idx="4">
                  <c:v>44775</c:v>
                </c:pt>
                <c:pt idx="5">
                  <c:v>44782</c:v>
                </c:pt>
                <c:pt idx="6">
                  <c:v>44789</c:v>
                </c:pt>
                <c:pt idx="7">
                  <c:v>44796</c:v>
                </c:pt>
                <c:pt idx="8">
                  <c:v>44803</c:v>
                </c:pt>
                <c:pt idx="9">
                  <c:v>44810</c:v>
                </c:pt>
                <c:pt idx="10">
                  <c:v>44817</c:v>
                </c:pt>
                <c:pt idx="11">
                  <c:v>44824</c:v>
                </c:pt>
                <c:pt idx="12">
                  <c:v>44831</c:v>
                </c:pt>
                <c:pt idx="13">
                  <c:v>44838</c:v>
                </c:pt>
                <c:pt idx="14">
                  <c:v>44845</c:v>
                </c:pt>
                <c:pt idx="15">
                  <c:v>44852</c:v>
                </c:pt>
                <c:pt idx="16">
                  <c:v>44859</c:v>
                </c:pt>
                <c:pt idx="17">
                  <c:v>44866</c:v>
                </c:pt>
                <c:pt idx="18">
                  <c:v>44873</c:v>
                </c:pt>
                <c:pt idx="19">
                  <c:v>44880</c:v>
                </c:pt>
                <c:pt idx="20">
                  <c:v>44887</c:v>
                </c:pt>
                <c:pt idx="21">
                  <c:v>44894</c:v>
                </c:pt>
                <c:pt idx="22">
                  <c:v>44901</c:v>
                </c:pt>
                <c:pt idx="23">
                  <c:v>44908</c:v>
                </c:pt>
                <c:pt idx="24">
                  <c:v>44915</c:v>
                </c:pt>
                <c:pt idx="25">
                  <c:v>44922</c:v>
                </c:pt>
                <c:pt idx="26">
                  <c:v>44929</c:v>
                </c:pt>
                <c:pt idx="27">
                  <c:v>44936</c:v>
                </c:pt>
                <c:pt idx="28">
                  <c:v>44943</c:v>
                </c:pt>
                <c:pt idx="29">
                  <c:v>44950</c:v>
                </c:pt>
                <c:pt idx="30">
                  <c:v>44957</c:v>
                </c:pt>
                <c:pt idx="31">
                  <c:v>44964</c:v>
                </c:pt>
                <c:pt idx="32">
                  <c:v>44971</c:v>
                </c:pt>
                <c:pt idx="33">
                  <c:v>44978</c:v>
                </c:pt>
                <c:pt idx="34">
                  <c:v>44985</c:v>
                </c:pt>
                <c:pt idx="35">
                  <c:v>44992</c:v>
                </c:pt>
                <c:pt idx="36">
                  <c:v>44999</c:v>
                </c:pt>
                <c:pt idx="37">
                  <c:v>45006</c:v>
                </c:pt>
                <c:pt idx="38">
                  <c:v>45013</c:v>
                </c:pt>
                <c:pt idx="39">
                  <c:v>45020</c:v>
                </c:pt>
                <c:pt idx="40">
                  <c:v>45027</c:v>
                </c:pt>
                <c:pt idx="41">
                  <c:v>45034</c:v>
                </c:pt>
                <c:pt idx="42">
                  <c:v>45041</c:v>
                </c:pt>
                <c:pt idx="43">
                  <c:v>45048</c:v>
                </c:pt>
                <c:pt idx="44">
                  <c:v>45055</c:v>
                </c:pt>
                <c:pt idx="45">
                  <c:v>45062</c:v>
                </c:pt>
                <c:pt idx="46">
                  <c:v>45069</c:v>
                </c:pt>
                <c:pt idx="47">
                  <c:v>45076</c:v>
                </c:pt>
                <c:pt idx="48">
                  <c:v>45083</c:v>
                </c:pt>
                <c:pt idx="49">
                  <c:v>45090</c:v>
                </c:pt>
                <c:pt idx="50">
                  <c:v>45097</c:v>
                </c:pt>
                <c:pt idx="51">
                  <c:v>45104</c:v>
                </c:pt>
              </c:numCache>
            </c:numRef>
          </c:cat>
          <c:val>
            <c:numRef>
              <c:f>'OZL Summary'!$IJ$8:$IJ$60</c:f>
              <c:numCache>
                <c:formatCode>0.000</c:formatCode>
                <c:ptCount val="53"/>
                <c:pt idx="28">
                  <c:v>0.65445578138069982</c:v>
                </c:pt>
                <c:pt idx="29">
                  <c:v>0.67957776864770059</c:v>
                </c:pt>
                <c:pt idx="30">
                  <c:v>0.70469975591470135</c:v>
                </c:pt>
                <c:pt idx="31">
                  <c:v>0.72982174318170212</c:v>
                </c:pt>
                <c:pt idx="32">
                  <c:v>0.75494373044870289</c:v>
                </c:pt>
                <c:pt idx="33">
                  <c:v>0.78006571771570365</c:v>
                </c:pt>
                <c:pt idx="34">
                  <c:v>0.80518770498270442</c:v>
                </c:pt>
                <c:pt idx="35">
                  <c:v>0.83030969224970519</c:v>
                </c:pt>
                <c:pt idx="36">
                  <c:v>0.85543167951670596</c:v>
                </c:pt>
                <c:pt idx="37">
                  <c:v>0.88055366678370672</c:v>
                </c:pt>
                <c:pt idx="38">
                  <c:v>0.90567565405070749</c:v>
                </c:pt>
                <c:pt idx="39">
                  <c:v>0.93079764131770826</c:v>
                </c:pt>
                <c:pt idx="40">
                  <c:v>0.95591962858470902</c:v>
                </c:pt>
                <c:pt idx="41">
                  <c:v>0.98104161585170979</c:v>
                </c:pt>
                <c:pt idx="42">
                  <c:v>1.0061636031187107</c:v>
                </c:pt>
                <c:pt idx="43">
                  <c:v>1.0312855903857114</c:v>
                </c:pt>
                <c:pt idx="44">
                  <c:v>1.0564075776527122</c:v>
                </c:pt>
                <c:pt idx="45">
                  <c:v>1.081529564919713</c:v>
                </c:pt>
                <c:pt idx="46">
                  <c:v>1.1066515521867137</c:v>
                </c:pt>
                <c:pt idx="47">
                  <c:v>1.1317735394537145</c:v>
                </c:pt>
                <c:pt idx="48">
                  <c:v>1.1568955267207153</c:v>
                </c:pt>
                <c:pt idx="49">
                  <c:v>1.182017513987716</c:v>
                </c:pt>
                <c:pt idx="50">
                  <c:v>1.2071395012547168</c:v>
                </c:pt>
                <c:pt idx="51">
                  <c:v>1.2322614885217176</c:v>
                </c:pt>
              </c:numCache>
            </c:numRef>
          </c:val>
          <c:smooth val="0"/>
          <c:extLst>
            <c:ext xmlns:c16="http://schemas.microsoft.com/office/drawing/2014/chart" uri="{C3380CC4-5D6E-409C-BE32-E72D297353CC}">
              <c16:uniqueId val="{00000004-5169-4D9C-9961-F2F92FC7DF62}"/>
            </c:ext>
          </c:extLst>
        </c:ser>
        <c:ser>
          <c:idx val="6"/>
          <c:order val="7"/>
          <c:tx>
            <c:strRef>
              <c:f>'OZL Summary'!$IK$6:$IK$7</c:f>
              <c:strCache>
                <c:ptCount val="2"/>
                <c:pt idx="0">
                  <c:v>75th Percentile</c:v>
                </c:pt>
              </c:strCache>
            </c:strRef>
          </c:tx>
          <c:spPr>
            <a:ln>
              <a:solidFill>
                <a:schemeClr val="bg2"/>
              </a:solidFill>
              <a:prstDash val="sysDot"/>
            </a:ln>
          </c:spPr>
          <c:marker>
            <c:symbol val="none"/>
          </c:marker>
          <c:cat>
            <c:numRef>
              <c:f>'OZL Summary'!$CL$8:$CL$60</c:f>
              <c:numCache>
                <c:formatCode>d\-mmm\-yy_);\(###0\);"-  ";" "@" "</c:formatCode>
                <c:ptCount val="53"/>
                <c:pt idx="0">
                  <c:v>44747</c:v>
                </c:pt>
                <c:pt idx="1">
                  <c:v>44754</c:v>
                </c:pt>
                <c:pt idx="2">
                  <c:v>44761</c:v>
                </c:pt>
                <c:pt idx="3">
                  <c:v>44768</c:v>
                </c:pt>
                <c:pt idx="4">
                  <c:v>44775</c:v>
                </c:pt>
                <c:pt idx="5">
                  <c:v>44782</c:v>
                </c:pt>
                <c:pt idx="6">
                  <c:v>44789</c:v>
                </c:pt>
                <c:pt idx="7">
                  <c:v>44796</c:v>
                </c:pt>
                <c:pt idx="8">
                  <c:v>44803</c:v>
                </c:pt>
                <c:pt idx="9">
                  <c:v>44810</c:v>
                </c:pt>
                <c:pt idx="10">
                  <c:v>44817</c:v>
                </c:pt>
                <c:pt idx="11">
                  <c:v>44824</c:v>
                </c:pt>
                <c:pt idx="12">
                  <c:v>44831</c:v>
                </c:pt>
                <c:pt idx="13">
                  <c:v>44838</c:v>
                </c:pt>
                <c:pt idx="14">
                  <c:v>44845</c:v>
                </c:pt>
                <c:pt idx="15">
                  <c:v>44852</c:v>
                </c:pt>
                <c:pt idx="16">
                  <c:v>44859</c:v>
                </c:pt>
                <c:pt idx="17">
                  <c:v>44866</c:v>
                </c:pt>
                <c:pt idx="18">
                  <c:v>44873</c:v>
                </c:pt>
                <c:pt idx="19">
                  <c:v>44880</c:v>
                </c:pt>
                <c:pt idx="20">
                  <c:v>44887</c:v>
                </c:pt>
                <c:pt idx="21">
                  <c:v>44894</c:v>
                </c:pt>
                <c:pt idx="22">
                  <c:v>44901</c:v>
                </c:pt>
                <c:pt idx="23">
                  <c:v>44908</c:v>
                </c:pt>
                <c:pt idx="24">
                  <c:v>44915</c:v>
                </c:pt>
                <c:pt idx="25">
                  <c:v>44922</c:v>
                </c:pt>
                <c:pt idx="26">
                  <c:v>44929</c:v>
                </c:pt>
                <c:pt idx="27">
                  <c:v>44936</c:v>
                </c:pt>
                <c:pt idx="28">
                  <c:v>44943</c:v>
                </c:pt>
                <c:pt idx="29">
                  <c:v>44950</c:v>
                </c:pt>
                <c:pt idx="30">
                  <c:v>44957</c:v>
                </c:pt>
                <c:pt idx="31">
                  <c:v>44964</c:v>
                </c:pt>
                <c:pt idx="32">
                  <c:v>44971</c:v>
                </c:pt>
                <c:pt idx="33">
                  <c:v>44978</c:v>
                </c:pt>
                <c:pt idx="34">
                  <c:v>44985</c:v>
                </c:pt>
                <c:pt idx="35">
                  <c:v>44992</c:v>
                </c:pt>
                <c:pt idx="36">
                  <c:v>44999</c:v>
                </c:pt>
                <c:pt idx="37">
                  <c:v>45006</c:v>
                </c:pt>
                <c:pt idx="38">
                  <c:v>45013</c:v>
                </c:pt>
                <c:pt idx="39">
                  <c:v>45020</c:v>
                </c:pt>
                <c:pt idx="40">
                  <c:v>45027</c:v>
                </c:pt>
                <c:pt idx="41">
                  <c:v>45034</c:v>
                </c:pt>
                <c:pt idx="42">
                  <c:v>45041</c:v>
                </c:pt>
                <c:pt idx="43">
                  <c:v>45048</c:v>
                </c:pt>
                <c:pt idx="44">
                  <c:v>45055</c:v>
                </c:pt>
                <c:pt idx="45">
                  <c:v>45062</c:v>
                </c:pt>
                <c:pt idx="46">
                  <c:v>45069</c:v>
                </c:pt>
                <c:pt idx="47">
                  <c:v>45076</c:v>
                </c:pt>
                <c:pt idx="48">
                  <c:v>45083</c:v>
                </c:pt>
                <c:pt idx="49">
                  <c:v>45090</c:v>
                </c:pt>
                <c:pt idx="50">
                  <c:v>45097</c:v>
                </c:pt>
                <c:pt idx="51">
                  <c:v>45104</c:v>
                </c:pt>
              </c:numCache>
            </c:numRef>
          </c:cat>
          <c:val>
            <c:numRef>
              <c:f>'OZL Summary'!$IK$8:$IK$60</c:f>
              <c:numCache>
                <c:formatCode>0.000</c:formatCode>
                <c:ptCount val="53"/>
                <c:pt idx="28">
                  <c:v>0.65445578138069982</c:v>
                </c:pt>
                <c:pt idx="29">
                  <c:v>0.68342354845416431</c:v>
                </c:pt>
                <c:pt idx="30">
                  <c:v>0.7123913155276288</c:v>
                </c:pt>
                <c:pt idx="31">
                  <c:v>0.74135908260109329</c:v>
                </c:pt>
                <c:pt idx="32">
                  <c:v>0.77032684967455778</c:v>
                </c:pt>
                <c:pt idx="33">
                  <c:v>0.79929461674802227</c:v>
                </c:pt>
                <c:pt idx="34">
                  <c:v>0.82826238382148676</c:v>
                </c:pt>
                <c:pt idx="35">
                  <c:v>0.85723015089495125</c:v>
                </c:pt>
                <c:pt idx="36">
                  <c:v>0.88619791796841574</c:v>
                </c:pt>
                <c:pt idx="37">
                  <c:v>0.91516568504188023</c:v>
                </c:pt>
                <c:pt idx="38">
                  <c:v>0.94413345211534472</c:v>
                </c:pt>
                <c:pt idx="39">
                  <c:v>0.97310121918880921</c:v>
                </c:pt>
                <c:pt idx="40">
                  <c:v>1.0020689862622736</c:v>
                </c:pt>
                <c:pt idx="41">
                  <c:v>1.0310367533357381</c:v>
                </c:pt>
                <c:pt idx="42">
                  <c:v>1.0600045204092026</c:v>
                </c:pt>
                <c:pt idx="43">
                  <c:v>1.0889722874826671</c:v>
                </c:pt>
                <c:pt idx="44">
                  <c:v>1.1179400545561315</c:v>
                </c:pt>
                <c:pt idx="45">
                  <c:v>1.146907821629596</c:v>
                </c:pt>
                <c:pt idx="46">
                  <c:v>1.1758755887030605</c:v>
                </c:pt>
                <c:pt idx="47">
                  <c:v>1.204843355776525</c:v>
                </c:pt>
                <c:pt idx="48">
                  <c:v>1.2338111228499895</c:v>
                </c:pt>
                <c:pt idx="49">
                  <c:v>1.262778889923454</c:v>
                </c:pt>
                <c:pt idx="50">
                  <c:v>1.2917466569969185</c:v>
                </c:pt>
                <c:pt idx="51">
                  <c:v>1.320714424070383</c:v>
                </c:pt>
              </c:numCache>
            </c:numRef>
          </c:val>
          <c:smooth val="0"/>
          <c:extLst xmlns:c15="http://schemas.microsoft.com/office/drawing/2012/chart">
            <c:ext xmlns:c16="http://schemas.microsoft.com/office/drawing/2014/chart" uri="{C3380CC4-5D6E-409C-BE32-E72D297353CC}">
              <c16:uniqueId val="{00000005-5169-4D9C-9961-F2F92FC7DF62}"/>
            </c:ext>
          </c:extLst>
        </c:ser>
        <c:ser>
          <c:idx val="9"/>
          <c:order val="9"/>
          <c:tx>
            <c:strRef>
              <c:f>'OZL Summary'!$IM$6:$IM$7</c:f>
              <c:strCache>
                <c:ptCount val="2"/>
                <c:pt idx="0">
                  <c:v>95th Percentile</c:v>
                </c:pt>
              </c:strCache>
            </c:strRef>
          </c:tx>
          <c:spPr>
            <a:ln>
              <a:solidFill>
                <a:schemeClr val="bg2"/>
              </a:solidFill>
              <a:prstDash val="sysDot"/>
            </a:ln>
          </c:spPr>
          <c:marker>
            <c:symbol val="none"/>
          </c:marker>
          <c:cat>
            <c:numRef>
              <c:f>'OZL Summary'!$CL$8:$CL$60</c:f>
              <c:numCache>
                <c:formatCode>d\-mmm\-yy_);\(###0\);"-  ";" "@" "</c:formatCode>
                <c:ptCount val="53"/>
                <c:pt idx="0">
                  <c:v>44747</c:v>
                </c:pt>
                <c:pt idx="1">
                  <c:v>44754</c:v>
                </c:pt>
                <c:pt idx="2">
                  <c:v>44761</c:v>
                </c:pt>
                <c:pt idx="3">
                  <c:v>44768</c:v>
                </c:pt>
                <c:pt idx="4">
                  <c:v>44775</c:v>
                </c:pt>
                <c:pt idx="5">
                  <c:v>44782</c:v>
                </c:pt>
                <c:pt idx="6">
                  <c:v>44789</c:v>
                </c:pt>
                <c:pt idx="7">
                  <c:v>44796</c:v>
                </c:pt>
                <c:pt idx="8">
                  <c:v>44803</c:v>
                </c:pt>
                <c:pt idx="9">
                  <c:v>44810</c:v>
                </c:pt>
                <c:pt idx="10">
                  <c:v>44817</c:v>
                </c:pt>
                <c:pt idx="11">
                  <c:v>44824</c:v>
                </c:pt>
                <c:pt idx="12">
                  <c:v>44831</c:v>
                </c:pt>
                <c:pt idx="13">
                  <c:v>44838</c:v>
                </c:pt>
                <c:pt idx="14">
                  <c:v>44845</c:v>
                </c:pt>
                <c:pt idx="15">
                  <c:v>44852</c:v>
                </c:pt>
                <c:pt idx="16">
                  <c:v>44859</c:v>
                </c:pt>
                <c:pt idx="17">
                  <c:v>44866</c:v>
                </c:pt>
                <c:pt idx="18">
                  <c:v>44873</c:v>
                </c:pt>
                <c:pt idx="19">
                  <c:v>44880</c:v>
                </c:pt>
                <c:pt idx="20">
                  <c:v>44887</c:v>
                </c:pt>
                <c:pt idx="21">
                  <c:v>44894</c:v>
                </c:pt>
                <c:pt idx="22">
                  <c:v>44901</c:v>
                </c:pt>
                <c:pt idx="23">
                  <c:v>44908</c:v>
                </c:pt>
                <c:pt idx="24">
                  <c:v>44915</c:v>
                </c:pt>
                <c:pt idx="25">
                  <c:v>44922</c:v>
                </c:pt>
                <c:pt idx="26">
                  <c:v>44929</c:v>
                </c:pt>
                <c:pt idx="27">
                  <c:v>44936</c:v>
                </c:pt>
                <c:pt idx="28">
                  <c:v>44943</c:v>
                </c:pt>
                <c:pt idx="29">
                  <c:v>44950</c:v>
                </c:pt>
                <c:pt idx="30">
                  <c:v>44957</c:v>
                </c:pt>
                <c:pt idx="31">
                  <c:v>44964</c:v>
                </c:pt>
                <c:pt idx="32">
                  <c:v>44971</c:v>
                </c:pt>
                <c:pt idx="33">
                  <c:v>44978</c:v>
                </c:pt>
                <c:pt idx="34">
                  <c:v>44985</c:v>
                </c:pt>
                <c:pt idx="35">
                  <c:v>44992</c:v>
                </c:pt>
                <c:pt idx="36">
                  <c:v>44999</c:v>
                </c:pt>
                <c:pt idx="37">
                  <c:v>45006</c:v>
                </c:pt>
                <c:pt idx="38">
                  <c:v>45013</c:v>
                </c:pt>
                <c:pt idx="39">
                  <c:v>45020</c:v>
                </c:pt>
                <c:pt idx="40">
                  <c:v>45027</c:v>
                </c:pt>
                <c:pt idx="41">
                  <c:v>45034</c:v>
                </c:pt>
                <c:pt idx="42">
                  <c:v>45041</c:v>
                </c:pt>
                <c:pt idx="43">
                  <c:v>45048</c:v>
                </c:pt>
                <c:pt idx="44">
                  <c:v>45055</c:v>
                </c:pt>
                <c:pt idx="45">
                  <c:v>45062</c:v>
                </c:pt>
                <c:pt idx="46">
                  <c:v>45069</c:v>
                </c:pt>
                <c:pt idx="47">
                  <c:v>45076</c:v>
                </c:pt>
                <c:pt idx="48">
                  <c:v>45083</c:v>
                </c:pt>
                <c:pt idx="49">
                  <c:v>45090</c:v>
                </c:pt>
                <c:pt idx="50">
                  <c:v>45097</c:v>
                </c:pt>
                <c:pt idx="51">
                  <c:v>45104</c:v>
                </c:pt>
              </c:numCache>
            </c:numRef>
          </c:cat>
          <c:val>
            <c:numRef>
              <c:f>'OZL Summary'!$IM$8:$IM$60</c:f>
              <c:numCache>
                <c:formatCode>0.000</c:formatCode>
                <c:ptCount val="53"/>
                <c:pt idx="28">
                  <c:v>0.65445578138069982</c:v>
                </c:pt>
                <c:pt idx="29">
                  <c:v>0.69074369165374738</c:v>
                </c:pt>
                <c:pt idx="30">
                  <c:v>0.72703160192679495</c:v>
                </c:pt>
                <c:pt idx="31">
                  <c:v>0.76331951219984251</c:v>
                </c:pt>
                <c:pt idx="32">
                  <c:v>0.79960742247289007</c:v>
                </c:pt>
                <c:pt idx="33">
                  <c:v>0.83589533274593764</c:v>
                </c:pt>
                <c:pt idx="34">
                  <c:v>0.8721832430189852</c:v>
                </c:pt>
                <c:pt idx="35">
                  <c:v>0.90847115329203276</c:v>
                </c:pt>
                <c:pt idx="36">
                  <c:v>0.94475906356508033</c:v>
                </c:pt>
                <c:pt idx="37">
                  <c:v>0.98104697383812789</c:v>
                </c:pt>
                <c:pt idx="38">
                  <c:v>1.0173348841111756</c:v>
                </c:pt>
                <c:pt idx="39">
                  <c:v>1.0536227943842231</c:v>
                </c:pt>
                <c:pt idx="40">
                  <c:v>1.0899107046572707</c:v>
                </c:pt>
                <c:pt idx="41">
                  <c:v>1.1261986149303183</c:v>
                </c:pt>
                <c:pt idx="42">
                  <c:v>1.1624865252033658</c:v>
                </c:pt>
                <c:pt idx="43">
                  <c:v>1.1987744354764134</c:v>
                </c:pt>
                <c:pt idx="44">
                  <c:v>1.2350623457494609</c:v>
                </c:pt>
                <c:pt idx="45">
                  <c:v>1.2713502560225085</c:v>
                </c:pt>
                <c:pt idx="46">
                  <c:v>1.3076381662955561</c:v>
                </c:pt>
                <c:pt idx="47">
                  <c:v>1.3439260765686036</c:v>
                </c:pt>
                <c:pt idx="48">
                  <c:v>1.3802139868416512</c:v>
                </c:pt>
                <c:pt idx="49">
                  <c:v>1.4165018971146988</c:v>
                </c:pt>
                <c:pt idx="50">
                  <c:v>1.4527898073877463</c:v>
                </c:pt>
                <c:pt idx="51">
                  <c:v>1.4890777176607939</c:v>
                </c:pt>
              </c:numCache>
            </c:numRef>
          </c:val>
          <c:smooth val="0"/>
          <c:extLst xmlns:c15="http://schemas.microsoft.com/office/drawing/2012/chart">
            <c:ext xmlns:c16="http://schemas.microsoft.com/office/drawing/2014/chart" uri="{C3380CC4-5D6E-409C-BE32-E72D297353CC}">
              <c16:uniqueId val="{00000006-5169-4D9C-9961-F2F92FC7DF62}"/>
            </c:ext>
          </c:extLst>
        </c:ser>
        <c:dLbls>
          <c:showLegendKey val="0"/>
          <c:showVal val="0"/>
          <c:showCatName val="0"/>
          <c:showSerName val="0"/>
          <c:showPercent val="0"/>
          <c:showBubbleSize val="0"/>
        </c:dLbls>
        <c:smooth val="0"/>
        <c:axId val="1388952432"/>
        <c:axId val="1388953088"/>
        <c:extLst>
          <c:ext xmlns:c15="http://schemas.microsoft.com/office/drawing/2012/chart" uri="{02D57815-91ED-43cb-92C2-25804820EDAC}">
            <c15:filteredLineSeries>
              <c15:ser>
                <c:idx val="3"/>
                <c:order val="1"/>
                <c:tx>
                  <c:strRef>
                    <c:extLst>
                      <c:ext uri="{02D57815-91ED-43cb-92C2-25804820EDAC}">
                        <c15:formulaRef>
                          <c15:sqref>'OZL Summary'!$BO$6:$BO$7</c15:sqref>
                        </c15:formulaRef>
                      </c:ext>
                    </c:extLst>
                    <c:strCache>
                      <c:ptCount val="2"/>
                      <c:pt idx="0">
                        <c:v>Min</c:v>
                      </c:pt>
                    </c:strCache>
                  </c:strRef>
                </c:tx>
                <c:marker>
                  <c:symbol val="none"/>
                </c:marker>
                <c:cat>
                  <c:numRef>
                    <c:extLst>
                      <c:ext uri="{02D57815-91ED-43cb-92C2-25804820EDAC}">
                        <c15:formulaRef>
                          <c15:sqref>'OZL Summary'!$CL$8:$CL$60</c15:sqref>
                        </c15:formulaRef>
                      </c:ext>
                    </c:extLst>
                    <c:numCache>
                      <c:formatCode>d\-mmm\-yy_);\(###0\);"-  ";" "@" "</c:formatCode>
                      <c:ptCount val="53"/>
                      <c:pt idx="0">
                        <c:v>44747</c:v>
                      </c:pt>
                      <c:pt idx="1">
                        <c:v>44754</c:v>
                      </c:pt>
                      <c:pt idx="2">
                        <c:v>44761</c:v>
                      </c:pt>
                      <c:pt idx="3">
                        <c:v>44768</c:v>
                      </c:pt>
                      <c:pt idx="4">
                        <c:v>44775</c:v>
                      </c:pt>
                      <c:pt idx="5">
                        <c:v>44782</c:v>
                      </c:pt>
                      <c:pt idx="6">
                        <c:v>44789</c:v>
                      </c:pt>
                      <c:pt idx="7">
                        <c:v>44796</c:v>
                      </c:pt>
                      <c:pt idx="8">
                        <c:v>44803</c:v>
                      </c:pt>
                      <c:pt idx="9">
                        <c:v>44810</c:v>
                      </c:pt>
                      <c:pt idx="10">
                        <c:v>44817</c:v>
                      </c:pt>
                      <c:pt idx="11">
                        <c:v>44824</c:v>
                      </c:pt>
                      <c:pt idx="12">
                        <c:v>44831</c:v>
                      </c:pt>
                      <c:pt idx="13">
                        <c:v>44838</c:v>
                      </c:pt>
                      <c:pt idx="14">
                        <c:v>44845</c:v>
                      </c:pt>
                      <c:pt idx="15">
                        <c:v>44852</c:v>
                      </c:pt>
                      <c:pt idx="16">
                        <c:v>44859</c:v>
                      </c:pt>
                      <c:pt idx="17">
                        <c:v>44866</c:v>
                      </c:pt>
                      <c:pt idx="18">
                        <c:v>44873</c:v>
                      </c:pt>
                      <c:pt idx="19">
                        <c:v>44880</c:v>
                      </c:pt>
                      <c:pt idx="20">
                        <c:v>44887</c:v>
                      </c:pt>
                      <c:pt idx="21">
                        <c:v>44894</c:v>
                      </c:pt>
                      <c:pt idx="22">
                        <c:v>44901</c:v>
                      </c:pt>
                      <c:pt idx="23">
                        <c:v>44908</c:v>
                      </c:pt>
                      <c:pt idx="24">
                        <c:v>44915</c:v>
                      </c:pt>
                      <c:pt idx="25">
                        <c:v>44922</c:v>
                      </c:pt>
                      <c:pt idx="26">
                        <c:v>44929</c:v>
                      </c:pt>
                      <c:pt idx="27">
                        <c:v>44936</c:v>
                      </c:pt>
                      <c:pt idx="28">
                        <c:v>44943</c:v>
                      </c:pt>
                      <c:pt idx="29">
                        <c:v>44950</c:v>
                      </c:pt>
                      <c:pt idx="30">
                        <c:v>44957</c:v>
                      </c:pt>
                      <c:pt idx="31">
                        <c:v>44964</c:v>
                      </c:pt>
                      <c:pt idx="32">
                        <c:v>44971</c:v>
                      </c:pt>
                      <c:pt idx="33">
                        <c:v>44978</c:v>
                      </c:pt>
                      <c:pt idx="34">
                        <c:v>44985</c:v>
                      </c:pt>
                      <c:pt idx="35">
                        <c:v>44992</c:v>
                      </c:pt>
                      <c:pt idx="36">
                        <c:v>44999</c:v>
                      </c:pt>
                      <c:pt idx="37">
                        <c:v>45006</c:v>
                      </c:pt>
                      <c:pt idx="38">
                        <c:v>45013</c:v>
                      </c:pt>
                      <c:pt idx="39">
                        <c:v>45020</c:v>
                      </c:pt>
                      <c:pt idx="40">
                        <c:v>45027</c:v>
                      </c:pt>
                      <c:pt idx="41">
                        <c:v>45034</c:v>
                      </c:pt>
                      <c:pt idx="42">
                        <c:v>45041</c:v>
                      </c:pt>
                      <c:pt idx="43">
                        <c:v>45048</c:v>
                      </c:pt>
                      <c:pt idx="44">
                        <c:v>45055</c:v>
                      </c:pt>
                      <c:pt idx="45">
                        <c:v>45062</c:v>
                      </c:pt>
                      <c:pt idx="46">
                        <c:v>45069</c:v>
                      </c:pt>
                      <c:pt idx="47">
                        <c:v>45076</c:v>
                      </c:pt>
                      <c:pt idx="48">
                        <c:v>45083</c:v>
                      </c:pt>
                      <c:pt idx="49">
                        <c:v>45090</c:v>
                      </c:pt>
                      <c:pt idx="50">
                        <c:v>45097</c:v>
                      </c:pt>
                      <c:pt idx="51">
                        <c:v>45104</c:v>
                      </c:pt>
                    </c:numCache>
                  </c:numRef>
                </c:cat>
                <c:val>
                  <c:numRef>
                    <c:extLst>
                      <c:ext uri="{02D57815-91ED-43cb-92C2-25804820EDAC}">
                        <c15:formulaRef>
                          <c15:sqref>'OZL Summary'!$BO$8:$BO$60</c15:sqref>
                        </c15:formulaRef>
                      </c:ext>
                    </c:extLst>
                    <c:numCache>
                      <c:formatCode>0.000</c:formatCode>
                      <c:ptCount val="53"/>
                      <c:pt idx="0">
                        <c:v>1.6032204874777817E-2</c:v>
                      </c:pt>
                      <c:pt idx="1">
                        <c:v>3.2064409749555635E-2</c:v>
                      </c:pt>
                      <c:pt idx="2">
                        <c:v>4.8096614624333456E-2</c:v>
                      </c:pt>
                      <c:pt idx="3">
                        <c:v>6.412881949911127E-2</c:v>
                      </c:pt>
                      <c:pt idx="4">
                        <c:v>8.0161024373889084E-2</c:v>
                      </c:pt>
                      <c:pt idx="5">
                        <c:v>9.6193229248666898E-2</c:v>
                      </c:pt>
                      <c:pt idx="6">
                        <c:v>0.11222543412344471</c:v>
                      </c:pt>
                      <c:pt idx="7">
                        <c:v>0.12825763899822254</c:v>
                      </c:pt>
                      <c:pt idx="8">
                        <c:v>0.14428984387300037</c:v>
                      </c:pt>
                      <c:pt idx="9">
                        <c:v>0.1603220487477782</c:v>
                      </c:pt>
                      <c:pt idx="10">
                        <c:v>0.17635425362255602</c:v>
                      </c:pt>
                      <c:pt idx="11">
                        <c:v>0.19238645849733385</c:v>
                      </c:pt>
                      <c:pt idx="12">
                        <c:v>0.20841866337211168</c:v>
                      </c:pt>
                      <c:pt idx="13">
                        <c:v>0.22445086824688951</c:v>
                      </c:pt>
                      <c:pt idx="14">
                        <c:v>0.24048307312166733</c:v>
                      </c:pt>
                      <c:pt idx="15">
                        <c:v>0.25651527799644513</c:v>
                      </c:pt>
                      <c:pt idx="16">
                        <c:v>0.27254748287122293</c:v>
                      </c:pt>
                      <c:pt idx="17">
                        <c:v>0.28857968774600073</c:v>
                      </c:pt>
                      <c:pt idx="18">
                        <c:v>0.30461189262077853</c:v>
                      </c:pt>
                      <c:pt idx="19">
                        <c:v>0.32064409749555633</c:v>
                      </c:pt>
                      <c:pt idx="20">
                        <c:v>0.33667630237033414</c:v>
                      </c:pt>
                      <c:pt idx="21">
                        <c:v>0.35270850724511194</c:v>
                      </c:pt>
                      <c:pt idx="22">
                        <c:v>0.36874071211988974</c:v>
                      </c:pt>
                      <c:pt idx="23">
                        <c:v>0.38477291699466754</c:v>
                      </c:pt>
                      <c:pt idx="24">
                        <c:v>0.40080512186944534</c:v>
                      </c:pt>
                      <c:pt idx="25">
                        <c:v>0.41683732674422314</c:v>
                      </c:pt>
                      <c:pt idx="26">
                        <c:v>0.43286953161900094</c:v>
                      </c:pt>
                      <c:pt idx="27">
                        <c:v>0.44890173649377874</c:v>
                      </c:pt>
                      <c:pt idx="28">
                        <c:v>0.46493394136855654</c:v>
                      </c:pt>
                      <c:pt idx="29">
                        <c:v>0.48096614624333434</c:v>
                      </c:pt>
                      <c:pt idx="30">
                        <c:v>0.49699835111811214</c:v>
                      </c:pt>
                      <c:pt idx="31">
                        <c:v>0.51303055599288994</c:v>
                      </c:pt>
                      <c:pt idx="32">
                        <c:v>0.52906276086766779</c:v>
                      </c:pt>
                      <c:pt idx="33">
                        <c:v>0.54509496574244565</c:v>
                      </c:pt>
                      <c:pt idx="34">
                        <c:v>0.5611271706172235</c:v>
                      </c:pt>
                      <c:pt idx="35">
                        <c:v>0.57715937549200136</c:v>
                      </c:pt>
                      <c:pt idx="36">
                        <c:v>0.59319158036677921</c:v>
                      </c:pt>
                      <c:pt idx="37">
                        <c:v>0.60922378524155707</c:v>
                      </c:pt>
                      <c:pt idx="38">
                        <c:v>0.62525599011633493</c:v>
                      </c:pt>
                      <c:pt idx="39">
                        <c:v>0.64128819499111278</c:v>
                      </c:pt>
                      <c:pt idx="40">
                        <c:v>0.65732039986589064</c:v>
                      </c:pt>
                      <c:pt idx="41">
                        <c:v>0.67335260474066849</c:v>
                      </c:pt>
                      <c:pt idx="42">
                        <c:v>0.68938480961544635</c:v>
                      </c:pt>
                      <c:pt idx="43">
                        <c:v>0.7054170144902242</c:v>
                      </c:pt>
                      <c:pt idx="44">
                        <c:v>0.72144921936500206</c:v>
                      </c:pt>
                      <c:pt idx="45">
                        <c:v>0.73748142423977991</c:v>
                      </c:pt>
                      <c:pt idx="46">
                        <c:v>0.75351362911455777</c:v>
                      </c:pt>
                      <c:pt idx="47">
                        <c:v>0.76954583398933563</c:v>
                      </c:pt>
                      <c:pt idx="48">
                        <c:v>0.78557803886411348</c:v>
                      </c:pt>
                      <c:pt idx="49">
                        <c:v>0.80161024373889134</c:v>
                      </c:pt>
                      <c:pt idx="50">
                        <c:v>0.81764244861366919</c:v>
                      </c:pt>
                      <c:pt idx="51">
                        <c:v>0.83367465348844705</c:v>
                      </c:pt>
                    </c:numCache>
                  </c:numRef>
                </c:val>
                <c:smooth val="0"/>
                <c:extLst>
                  <c:ext xmlns:c16="http://schemas.microsoft.com/office/drawing/2014/chart" uri="{C3380CC4-5D6E-409C-BE32-E72D297353CC}">
                    <c16:uniqueId val="{00000007-5169-4D9C-9961-F2F92FC7DF62}"/>
                  </c:ext>
                </c:extLst>
              </c15:ser>
            </c15:filteredLineSeries>
            <c15:filteredLineSeries>
              <c15:ser>
                <c:idx val="5"/>
                <c:order val="2"/>
                <c:tx>
                  <c:strRef>
                    <c:extLst xmlns:c15="http://schemas.microsoft.com/office/drawing/2012/chart">
                      <c:ext xmlns:c15="http://schemas.microsoft.com/office/drawing/2012/chart" uri="{02D57815-91ED-43cb-92C2-25804820EDAC}">
                        <c15:formulaRef>
                          <c15:sqref>'OZL Summary'!$BP$6:$BP$7</c15:sqref>
                        </c15:formulaRef>
                      </c:ext>
                    </c:extLst>
                    <c:strCache>
                      <c:ptCount val="2"/>
                      <c:pt idx="0">
                        <c:v>1st Percentile</c:v>
                      </c:pt>
                    </c:strCache>
                  </c:strRef>
                </c:tx>
                <c:spPr>
                  <a:ln w="28575" cap="rnd">
                    <a:solidFill>
                      <a:schemeClr val="accent6"/>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'OZL Summary'!$CL$8:$CL$60</c15:sqref>
                        </c15:formulaRef>
                      </c:ext>
                    </c:extLst>
                    <c:numCache>
                      <c:formatCode>d\-mmm\-yy_);\(###0\);"-  ";" "@" "</c:formatCode>
                      <c:ptCount val="53"/>
                      <c:pt idx="0">
                        <c:v>44747</c:v>
                      </c:pt>
                      <c:pt idx="1">
                        <c:v>44754</c:v>
                      </c:pt>
                      <c:pt idx="2">
                        <c:v>44761</c:v>
                      </c:pt>
                      <c:pt idx="3">
                        <c:v>44768</c:v>
                      </c:pt>
                      <c:pt idx="4">
                        <c:v>44775</c:v>
                      </c:pt>
                      <c:pt idx="5">
                        <c:v>44782</c:v>
                      </c:pt>
                      <c:pt idx="6">
                        <c:v>44789</c:v>
                      </c:pt>
                      <c:pt idx="7">
                        <c:v>44796</c:v>
                      </c:pt>
                      <c:pt idx="8">
                        <c:v>44803</c:v>
                      </c:pt>
                      <c:pt idx="9">
                        <c:v>44810</c:v>
                      </c:pt>
                      <c:pt idx="10">
                        <c:v>44817</c:v>
                      </c:pt>
                      <c:pt idx="11">
                        <c:v>44824</c:v>
                      </c:pt>
                      <c:pt idx="12">
                        <c:v>44831</c:v>
                      </c:pt>
                      <c:pt idx="13">
                        <c:v>44838</c:v>
                      </c:pt>
                      <c:pt idx="14">
                        <c:v>44845</c:v>
                      </c:pt>
                      <c:pt idx="15">
                        <c:v>44852</c:v>
                      </c:pt>
                      <c:pt idx="16">
                        <c:v>44859</c:v>
                      </c:pt>
                      <c:pt idx="17">
                        <c:v>44866</c:v>
                      </c:pt>
                      <c:pt idx="18">
                        <c:v>44873</c:v>
                      </c:pt>
                      <c:pt idx="19">
                        <c:v>44880</c:v>
                      </c:pt>
                      <c:pt idx="20">
                        <c:v>44887</c:v>
                      </c:pt>
                      <c:pt idx="21">
                        <c:v>44894</c:v>
                      </c:pt>
                      <c:pt idx="22">
                        <c:v>44901</c:v>
                      </c:pt>
                      <c:pt idx="23">
                        <c:v>44908</c:v>
                      </c:pt>
                      <c:pt idx="24">
                        <c:v>44915</c:v>
                      </c:pt>
                      <c:pt idx="25">
                        <c:v>44922</c:v>
                      </c:pt>
                      <c:pt idx="26">
                        <c:v>44929</c:v>
                      </c:pt>
                      <c:pt idx="27">
                        <c:v>44936</c:v>
                      </c:pt>
                      <c:pt idx="28">
                        <c:v>44943</c:v>
                      </c:pt>
                      <c:pt idx="29">
                        <c:v>44950</c:v>
                      </c:pt>
                      <c:pt idx="30">
                        <c:v>44957</c:v>
                      </c:pt>
                      <c:pt idx="31">
                        <c:v>44964</c:v>
                      </c:pt>
                      <c:pt idx="32">
                        <c:v>44971</c:v>
                      </c:pt>
                      <c:pt idx="33">
                        <c:v>44978</c:v>
                      </c:pt>
                      <c:pt idx="34">
                        <c:v>44985</c:v>
                      </c:pt>
                      <c:pt idx="35">
                        <c:v>44992</c:v>
                      </c:pt>
                      <c:pt idx="36">
                        <c:v>44999</c:v>
                      </c:pt>
                      <c:pt idx="37">
                        <c:v>45006</c:v>
                      </c:pt>
                      <c:pt idx="38">
                        <c:v>45013</c:v>
                      </c:pt>
                      <c:pt idx="39">
                        <c:v>45020</c:v>
                      </c:pt>
                      <c:pt idx="40">
                        <c:v>45027</c:v>
                      </c:pt>
                      <c:pt idx="41">
                        <c:v>45034</c:v>
                      </c:pt>
                      <c:pt idx="42">
                        <c:v>45041</c:v>
                      </c:pt>
                      <c:pt idx="43">
                        <c:v>45048</c:v>
                      </c:pt>
                      <c:pt idx="44">
                        <c:v>45055</c:v>
                      </c:pt>
                      <c:pt idx="45">
                        <c:v>45062</c:v>
                      </c:pt>
                      <c:pt idx="46">
                        <c:v>45069</c:v>
                      </c:pt>
                      <c:pt idx="47">
                        <c:v>45076</c:v>
                      </c:pt>
                      <c:pt idx="48">
                        <c:v>45083</c:v>
                      </c:pt>
                      <c:pt idx="49">
                        <c:v>45090</c:v>
                      </c:pt>
                      <c:pt idx="50">
                        <c:v>45097</c:v>
                      </c:pt>
                      <c:pt idx="51">
                        <c:v>45104</c:v>
                      </c:pt>
                    </c:numCache>
                  </c:numRef>
                </c:cat>
                <c:val>
                  <c:numRef>
                    <c:extLst xmlns:c15="http://schemas.microsoft.com/office/drawing/2012/chart">
                      <c:ext xmlns:c15="http://schemas.microsoft.com/office/drawing/2012/chart" uri="{02D57815-91ED-43cb-92C2-25804820EDAC}">
                        <c15:formulaRef>
                          <c15:sqref>'OZL Summary'!$BP$8:$BP$60</c15:sqref>
                        </c15:formulaRef>
                      </c:ext>
                    </c:extLst>
                    <c:numCache>
                      <c:formatCode>0.000</c:formatCode>
                      <c:ptCount val="53"/>
                      <c:pt idx="0">
                        <c:v>1.8223138082807688E-2</c:v>
                      </c:pt>
                      <c:pt idx="1">
                        <c:v>3.6446276165615375E-2</c:v>
                      </c:pt>
                      <c:pt idx="2">
                        <c:v>5.4669414248423059E-2</c:v>
                      </c:pt>
                      <c:pt idx="3">
                        <c:v>7.2892552331230751E-2</c:v>
                      </c:pt>
                      <c:pt idx="4">
                        <c:v>9.1115690414038442E-2</c:v>
                      </c:pt>
                      <c:pt idx="5">
                        <c:v>0.10933882849684613</c:v>
                      </c:pt>
                      <c:pt idx="6">
                        <c:v>0.12756196657965382</c:v>
                      </c:pt>
                      <c:pt idx="7">
                        <c:v>0.1457851046624615</c:v>
                      </c:pt>
                      <c:pt idx="8">
                        <c:v>0.16400824274526918</c:v>
                      </c:pt>
                      <c:pt idx="9">
                        <c:v>0.18223138082807686</c:v>
                      </c:pt>
                      <c:pt idx="10">
                        <c:v>0.20045451891088453</c:v>
                      </c:pt>
                      <c:pt idx="11">
                        <c:v>0.21867765699369221</c:v>
                      </c:pt>
                      <c:pt idx="12">
                        <c:v>0.23690079507649989</c:v>
                      </c:pt>
                      <c:pt idx="13">
                        <c:v>0.25512393315930759</c:v>
                      </c:pt>
                      <c:pt idx="14">
                        <c:v>0.27334707124211527</c:v>
                      </c:pt>
                      <c:pt idx="15">
                        <c:v>0.29157020932492295</c:v>
                      </c:pt>
                      <c:pt idx="16">
                        <c:v>0.30979334740773062</c:v>
                      </c:pt>
                      <c:pt idx="17">
                        <c:v>0.3280164854905383</c:v>
                      </c:pt>
                      <c:pt idx="18">
                        <c:v>0.34623962357334598</c:v>
                      </c:pt>
                      <c:pt idx="19">
                        <c:v>0.36446276165615366</c:v>
                      </c:pt>
                      <c:pt idx="20">
                        <c:v>0.38268589973896133</c:v>
                      </c:pt>
                      <c:pt idx="21">
                        <c:v>0.40090903782176901</c:v>
                      </c:pt>
                      <c:pt idx="22">
                        <c:v>0.41913217590457669</c:v>
                      </c:pt>
                      <c:pt idx="23">
                        <c:v>0.43735531398738436</c:v>
                      </c:pt>
                      <c:pt idx="24">
                        <c:v>0.45557845207019204</c:v>
                      </c:pt>
                      <c:pt idx="25">
                        <c:v>0.47380159015299972</c:v>
                      </c:pt>
                      <c:pt idx="26">
                        <c:v>0.4920247282358074</c:v>
                      </c:pt>
                      <c:pt idx="27">
                        <c:v>0.51024786631861507</c:v>
                      </c:pt>
                      <c:pt idx="28">
                        <c:v>0.52847100440142281</c:v>
                      </c:pt>
                      <c:pt idx="29">
                        <c:v>0.54669414248423054</c:v>
                      </c:pt>
                      <c:pt idx="30">
                        <c:v>0.56491728056703827</c:v>
                      </c:pt>
                      <c:pt idx="31">
                        <c:v>0.583140418649846</c:v>
                      </c:pt>
                      <c:pt idx="32">
                        <c:v>0.60136355673265374</c:v>
                      </c:pt>
                      <c:pt idx="33">
                        <c:v>0.61958669481546147</c:v>
                      </c:pt>
                      <c:pt idx="34">
                        <c:v>0.6378098328982692</c:v>
                      </c:pt>
                      <c:pt idx="35">
                        <c:v>0.65603297098107693</c:v>
                      </c:pt>
                      <c:pt idx="36">
                        <c:v>0.67425610906388467</c:v>
                      </c:pt>
                      <c:pt idx="37">
                        <c:v>0.6924792471466924</c:v>
                      </c:pt>
                      <c:pt idx="38">
                        <c:v>0.71070238522950013</c:v>
                      </c:pt>
                      <c:pt idx="39">
                        <c:v>0.72892552331230787</c:v>
                      </c:pt>
                      <c:pt idx="40">
                        <c:v>0.7471486613951156</c:v>
                      </c:pt>
                      <c:pt idx="41">
                        <c:v>0.76537179947792333</c:v>
                      </c:pt>
                      <c:pt idx="42">
                        <c:v>0.78359493756073106</c:v>
                      </c:pt>
                      <c:pt idx="43">
                        <c:v>0.8018180756435388</c:v>
                      </c:pt>
                      <c:pt idx="44">
                        <c:v>0.82004121372634653</c:v>
                      </c:pt>
                      <c:pt idx="45">
                        <c:v>0.83826435180915426</c:v>
                      </c:pt>
                      <c:pt idx="46">
                        <c:v>0.85648748989196199</c:v>
                      </c:pt>
                      <c:pt idx="47">
                        <c:v>0.87471062797476973</c:v>
                      </c:pt>
                      <c:pt idx="48">
                        <c:v>0.89293376605757746</c:v>
                      </c:pt>
                      <c:pt idx="49">
                        <c:v>0.91115690414038519</c:v>
                      </c:pt>
                      <c:pt idx="50">
                        <c:v>0.92938004222319293</c:v>
                      </c:pt>
                      <c:pt idx="51">
                        <c:v>0.94760318030600066</c:v>
                      </c:pt>
                    </c:numCache>
                  </c:numRef>
                </c:val>
                <c:smooth val="0"/>
                <c:extLst xmlns:c15="http://schemas.microsoft.com/office/drawing/2012/chart">
                  <c:ext xmlns:c16="http://schemas.microsoft.com/office/drawing/2014/chart" uri="{C3380CC4-5D6E-409C-BE32-E72D297353CC}">
                    <c16:uniqueId val="{00000008-5169-4D9C-9961-F2F92FC7DF62}"/>
                  </c:ext>
                </c:extLst>
              </c15:ser>
            </c15:filteredLineSeries>
            <c15:filteredLineSeries>
              <c15:ser>
                <c:idx val="1"/>
                <c:order val="4"/>
                <c:tx>
                  <c:strRef>
                    <c:extLst xmlns:c15="http://schemas.microsoft.com/office/drawing/2012/chart">
                      <c:ext xmlns:c15="http://schemas.microsoft.com/office/drawing/2012/chart" uri="{02D57815-91ED-43cb-92C2-25804820EDAC}">
                        <c15:formulaRef>
                          <c15:sqref>'OZL Summary'!$BR$6:$BR$7</c15:sqref>
                        </c15:formulaRef>
                      </c:ext>
                    </c:extLst>
                    <c:strCache>
                      <c:ptCount val="2"/>
                      <c:pt idx="0">
                        <c:v>10th Percentile</c:v>
                      </c:pt>
                    </c:strCache>
                  </c:strRef>
                </c:tx>
                <c:spPr>
                  <a:ln w="28575" cap="rnd" cmpd="sng">
                    <a:solidFill>
                      <a:schemeClr val="accent2"/>
                    </a:solidFill>
                    <a:prstDash val="sysDot"/>
                    <a:round/>
                    <a:headEnd type="none"/>
                  </a:ln>
                  <a:effectLst/>
                </c:spPr>
                <c:marker>
                  <c:symbol val="none"/>
                </c:marker>
                <c:cat>
                  <c:numRef>
                    <c:extLst xmlns:c15="http://schemas.microsoft.com/office/drawing/2012/chart">
                      <c:ext xmlns:c15="http://schemas.microsoft.com/office/drawing/2012/chart" uri="{02D57815-91ED-43cb-92C2-25804820EDAC}">
                        <c15:formulaRef>
                          <c15:sqref>'OZL Summary'!$CL$8:$CL$60</c15:sqref>
                        </c15:formulaRef>
                      </c:ext>
                    </c:extLst>
                    <c:numCache>
                      <c:formatCode>d\-mmm\-yy_);\(###0\);"-  ";" "@" "</c:formatCode>
                      <c:ptCount val="53"/>
                      <c:pt idx="0">
                        <c:v>44747</c:v>
                      </c:pt>
                      <c:pt idx="1">
                        <c:v>44754</c:v>
                      </c:pt>
                      <c:pt idx="2">
                        <c:v>44761</c:v>
                      </c:pt>
                      <c:pt idx="3">
                        <c:v>44768</c:v>
                      </c:pt>
                      <c:pt idx="4">
                        <c:v>44775</c:v>
                      </c:pt>
                      <c:pt idx="5">
                        <c:v>44782</c:v>
                      </c:pt>
                      <c:pt idx="6">
                        <c:v>44789</c:v>
                      </c:pt>
                      <c:pt idx="7">
                        <c:v>44796</c:v>
                      </c:pt>
                      <c:pt idx="8">
                        <c:v>44803</c:v>
                      </c:pt>
                      <c:pt idx="9">
                        <c:v>44810</c:v>
                      </c:pt>
                      <c:pt idx="10">
                        <c:v>44817</c:v>
                      </c:pt>
                      <c:pt idx="11">
                        <c:v>44824</c:v>
                      </c:pt>
                      <c:pt idx="12">
                        <c:v>44831</c:v>
                      </c:pt>
                      <c:pt idx="13">
                        <c:v>44838</c:v>
                      </c:pt>
                      <c:pt idx="14">
                        <c:v>44845</c:v>
                      </c:pt>
                      <c:pt idx="15">
                        <c:v>44852</c:v>
                      </c:pt>
                      <c:pt idx="16">
                        <c:v>44859</c:v>
                      </c:pt>
                      <c:pt idx="17">
                        <c:v>44866</c:v>
                      </c:pt>
                      <c:pt idx="18">
                        <c:v>44873</c:v>
                      </c:pt>
                      <c:pt idx="19">
                        <c:v>44880</c:v>
                      </c:pt>
                      <c:pt idx="20">
                        <c:v>44887</c:v>
                      </c:pt>
                      <c:pt idx="21">
                        <c:v>44894</c:v>
                      </c:pt>
                      <c:pt idx="22">
                        <c:v>44901</c:v>
                      </c:pt>
                      <c:pt idx="23">
                        <c:v>44908</c:v>
                      </c:pt>
                      <c:pt idx="24">
                        <c:v>44915</c:v>
                      </c:pt>
                      <c:pt idx="25">
                        <c:v>44922</c:v>
                      </c:pt>
                      <c:pt idx="26">
                        <c:v>44929</c:v>
                      </c:pt>
                      <c:pt idx="27">
                        <c:v>44936</c:v>
                      </c:pt>
                      <c:pt idx="28">
                        <c:v>44943</c:v>
                      </c:pt>
                      <c:pt idx="29">
                        <c:v>44950</c:v>
                      </c:pt>
                      <c:pt idx="30">
                        <c:v>44957</c:v>
                      </c:pt>
                      <c:pt idx="31">
                        <c:v>44964</c:v>
                      </c:pt>
                      <c:pt idx="32">
                        <c:v>44971</c:v>
                      </c:pt>
                      <c:pt idx="33">
                        <c:v>44978</c:v>
                      </c:pt>
                      <c:pt idx="34">
                        <c:v>44985</c:v>
                      </c:pt>
                      <c:pt idx="35">
                        <c:v>44992</c:v>
                      </c:pt>
                      <c:pt idx="36">
                        <c:v>44999</c:v>
                      </c:pt>
                      <c:pt idx="37">
                        <c:v>45006</c:v>
                      </c:pt>
                      <c:pt idx="38">
                        <c:v>45013</c:v>
                      </c:pt>
                      <c:pt idx="39">
                        <c:v>45020</c:v>
                      </c:pt>
                      <c:pt idx="40">
                        <c:v>45027</c:v>
                      </c:pt>
                      <c:pt idx="41">
                        <c:v>45034</c:v>
                      </c:pt>
                      <c:pt idx="42">
                        <c:v>45041</c:v>
                      </c:pt>
                      <c:pt idx="43">
                        <c:v>45048</c:v>
                      </c:pt>
                      <c:pt idx="44">
                        <c:v>45055</c:v>
                      </c:pt>
                      <c:pt idx="45">
                        <c:v>45062</c:v>
                      </c:pt>
                      <c:pt idx="46">
                        <c:v>45069</c:v>
                      </c:pt>
                      <c:pt idx="47">
                        <c:v>45076</c:v>
                      </c:pt>
                      <c:pt idx="48">
                        <c:v>45083</c:v>
                      </c:pt>
                      <c:pt idx="49">
                        <c:v>45090</c:v>
                      </c:pt>
                      <c:pt idx="50">
                        <c:v>45097</c:v>
                      </c:pt>
                      <c:pt idx="51">
                        <c:v>45104</c:v>
                      </c:pt>
                    </c:numCache>
                  </c:numRef>
                </c:cat>
                <c:val>
                  <c:numRef>
                    <c:extLst xmlns:c15="http://schemas.microsoft.com/office/drawing/2012/chart">
                      <c:ext xmlns:c15="http://schemas.microsoft.com/office/drawing/2012/chart" uri="{02D57815-91ED-43cb-92C2-25804820EDAC}">
                        <c15:formulaRef>
                          <c15:sqref>'OZL Summary'!$BR$8:$BR$60</c15:sqref>
                        </c15:formulaRef>
                      </c:ext>
                    </c:extLst>
                    <c:numCache>
                      <c:formatCode>0.000</c:formatCode>
                      <c:ptCount val="53"/>
                      <c:pt idx="0">
                        <c:v>2.0199848897457344E-2</c:v>
                      </c:pt>
                      <c:pt idx="1">
                        <c:v>4.0399697794914688E-2</c:v>
                      </c:pt>
                      <c:pt idx="2">
                        <c:v>6.0599546692372032E-2</c:v>
                      </c:pt>
                      <c:pt idx="3">
                        <c:v>8.0799395589829376E-2</c:v>
                      </c:pt>
                      <c:pt idx="4">
                        <c:v>0.10099924448728673</c:v>
                      </c:pt>
                      <c:pt idx="5">
                        <c:v>0.12119909338474408</c:v>
                      </c:pt>
                      <c:pt idx="6">
                        <c:v>0.14139894228220143</c:v>
                      </c:pt>
                      <c:pt idx="7">
                        <c:v>0.16159879117965878</c:v>
                      </c:pt>
                      <c:pt idx="8">
                        <c:v>0.18179864007711613</c:v>
                      </c:pt>
                      <c:pt idx="9">
                        <c:v>0.20199848897457348</c:v>
                      </c:pt>
                      <c:pt idx="10">
                        <c:v>0.22219833787203083</c:v>
                      </c:pt>
                      <c:pt idx="11">
                        <c:v>0.24239818676948818</c:v>
                      </c:pt>
                      <c:pt idx="12">
                        <c:v>0.26259803566694551</c:v>
                      </c:pt>
                      <c:pt idx="13">
                        <c:v>0.28279788456440286</c:v>
                      </c:pt>
                      <c:pt idx="14">
                        <c:v>0.30299773346186021</c:v>
                      </c:pt>
                      <c:pt idx="15">
                        <c:v>0.32319758235931756</c:v>
                      </c:pt>
                      <c:pt idx="16">
                        <c:v>0.34339743125677491</c:v>
                      </c:pt>
                      <c:pt idx="17">
                        <c:v>0.36359728015423226</c:v>
                      </c:pt>
                      <c:pt idx="18">
                        <c:v>0.38379712905168961</c:v>
                      </c:pt>
                      <c:pt idx="19">
                        <c:v>0.40399697794914696</c:v>
                      </c:pt>
                      <c:pt idx="20">
                        <c:v>0.42419682684660431</c:v>
                      </c:pt>
                      <c:pt idx="21">
                        <c:v>0.44439667574406166</c:v>
                      </c:pt>
                      <c:pt idx="22">
                        <c:v>0.46459652464151902</c:v>
                      </c:pt>
                      <c:pt idx="23">
                        <c:v>0.48479637353897637</c:v>
                      </c:pt>
                      <c:pt idx="24">
                        <c:v>0.50499622243643372</c:v>
                      </c:pt>
                      <c:pt idx="25">
                        <c:v>0.52519607133389101</c:v>
                      </c:pt>
                      <c:pt idx="26">
                        <c:v>0.54539592023134831</c:v>
                      </c:pt>
                      <c:pt idx="27">
                        <c:v>0.5655957691288056</c:v>
                      </c:pt>
                      <c:pt idx="28">
                        <c:v>0.5857956180262629</c:v>
                      </c:pt>
                      <c:pt idx="29">
                        <c:v>0.60599546692372019</c:v>
                      </c:pt>
                      <c:pt idx="30">
                        <c:v>0.62619531582117749</c:v>
                      </c:pt>
                      <c:pt idx="31">
                        <c:v>0.64639516471863478</c:v>
                      </c:pt>
                      <c:pt idx="32">
                        <c:v>0.66659501361609208</c:v>
                      </c:pt>
                      <c:pt idx="33">
                        <c:v>0.68679486251354938</c:v>
                      </c:pt>
                      <c:pt idx="34">
                        <c:v>0.70699471141100667</c:v>
                      </c:pt>
                      <c:pt idx="35">
                        <c:v>0.72719456030846397</c:v>
                      </c:pt>
                      <c:pt idx="36">
                        <c:v>0.74739440920592126</c:v>
                      </c:pt>
                      <c:pt idx="37">
                        <c:v>0.76759425810337856</c:v>
                      </c:pt>
                      <c:pt idx="38">
                        <c:v>0.78779410700083585</c:v>
                      </c:pt>
                      <c:pt idx="39">
                        <c:v>0.80799395589829315</c:v>
                      </c:pt>
                      <c:pt idx="40">
                        <c:v>0.82819380479575044</c:v>
                      </c:pt>
                      <c:pt idx="41">
                        <c:v>0.84839365369320774</c:v>
                      </c:pt>
                      <c:pt idx="42">
                        <c:v>0.86859350259066503</c:v>
                      </c:pt>
                      <c:pt idx="43">
                        <c:v>0.88879335148812233</c:v>
                      </c:pt>
                      <c:pt idx="44">
                        <c:v>0.90899320038557962</c:v>
                      </c:pt>
                      <c:pt idx="45">
                        <c:v>0.92919304928303692</c:v>
                      </c:pt>
                      <c:pt idx="46">
                        <c:v>0.94939289818049422</c:v>
                      </c:pt>
                      <c:pt idx="47">
                        <c:v>0.96959274707795151</c:v>
                      </c:pt>
                      <c:pt idx="48">
                        <c:v>0.98979259597540881</c:v>
                      </c:pt>
                      <c:pt idx="49">
                        <c:v>1.0099924448728661</c:v>
                      </c:pt>
                      <c:pt idx="50">
                        <c:v>1.0301922937703234</c:v>
                      </c:pt>
                      <c:pt idx="51">
                        <c:v>1.0503921426677807</c:v>
                      </c:pt>
                    </c:numCache>
                  </c:numRef>
                </c:val>
                <c:smooth val="0"/>
                <c:extLst xmlns:c15="http://schemas.microsoft.com/office/drawing/2012/chart">
                  <c:ext xmlns:c16="http://schemas.microsoft.com/office/drawing/2014/chart" uri="{C3380CC4-5D6E-409C-BE32-E72D297353CC}">
                    <c16:uniqueId val="{00000009-5169-4D9C-9961-F2F92FC7DF62}"/>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'OZL Summary'!$BV$6:$BV$7</c15:sqref>
                        </c15:formulaRef>
                      </c:ext>
                    </c:extLst>
                    <c:strCache>
                      <c:ptCount val="2"/>
                      <c:pt idx="0">
                        <c:v>90th Percentile</c:v>
                      </c:pt>
                    </c:strCache>
                  </c:strRef>
                </c:tx>
                <c:spPr>
                  <a:ln w="28575">
                    <a:solidFill>
                      <a:schemeClr val="accent1"/>
                    </a:solidFill>
                    <a:prstDash val="sysDot"/>
                  </a:ln>
                </c:spPr>
                <c:marker>
                  <c:symbol val="none"/>
                </c:marker>
                <c:cat>
                  <c:numRef>
                    <c:extLst xmlns:c15="http://schemas.microsoft.com/office/drawing/2012/chart">
                      <c:ext xmlns:c15="http://schemas.microsoft.com/office/drawing/2012/chart" uri="{02D57815-91ED-43cb-92C2-25804820EDAC}">
                        <c15:formulaRef>
                          <c15:sqref>'OZL Summary'!$CL$8:$CL$60</c15:sqref>
                        </c15:formulaRef>
                      </c:ext>
                    </c:extLst>
                    <c:numCache>
                      <c:formatCode>d\-mmm\-yy_);\(###0\);"-  ";" "@" "</c:formatCode>
                      <c:ptCount val="53"/>
                      <c:pt idx="0">
                        <c:v>44747</c:v>
                      </c:pt>
                      <c:pt idx="1">
                        <c:v>44754</c:v>
                      </c:pt>
                      <c:pt idx="2">
                        <c:v>44761</c:v>
                      </c:pt>
                      <c:pt idx="3">
                        <c:v>44768</c:v>
                      </c:pt>
                      <c:pt idx="4">
                        <c:v>44775</c:v>
                      </c:pt>
                      <c:pt idx="5">
                        <c:v>44782</c:v>
                      </c:pt>
                      <c:pt idx="6">
                        <c:v>44789</c:v>
                      </c:pt>
                      <c:pt idx="7">
                        <c:v>44796</c:v>
                      </c:pt>
                      <c:pt idx="8">
                        <c:v>44803</c:v>
                      </c:pt>
                      <c:pt idx="9">
                        <c:v>44810</c:v>
                      </c:pt>
                      <c:pt idx="10">
                        <c:v>44817</c:v>
                      </c:pt>
                      <c:pt idx="11">
                        <c:v>44824</c:v>
                      </c:pt>
                      <c:pt idx="12">
                        <c:v>44831</c:v>
                      </c:pt>
                      <c:pt idx="13">
                        <c:v>44838</c:v>
                      </c:pt>
                      <c:pt idx="14">
                        <c:v>44845</c:v>
                      </c:pt>
                      <c:pt idx="15">
                        <c:v>44852</c:v>
                      </c:pt>
                      <c:pt idx="16">
                        <c:v>44859</c:v>
                      </c:pt>
                      <c:pt idx="17">
                        <c:v>44866</c:v>
                      </c:pt>
                      <c:pt idx="18">
                        <c:v>44873</c:v>
                      </c:pt>
                      <c:pt idx="19">
                        <c:v>44880</c:v>
                      </c:pt>
                      <c:pt idx="20">
                        <c:v>44887</c:v>
                      </c:pt>
                      <c:pt idx="21">
                        <c:v>44894</c:v>
                      </c:pt>
                      <c:pt idx="22">
                        <c:v>44901</c:v>
                      </c:pt>
                      <c:pt idx="23">
                        <c:v>44908</c:v>
                      </c:pt>
                      <c:pt idx="24">
                        <c:v>44915</c:v>
                      </c:pt>
                      <c:pt idx="25">
                        <c:v>44922</c:v>
                      </c:pt>
                      <c:pt idx="26">
                        <c:v>44929</c:v>
                      </c:pt>
                      <c:pt idx="27">
                        <c:v>44936</c:v>
                      </c:pt>
                      <c:pt idx="28">
                        <c:v>44943</c:v>
                      </c:pt>
                      <c:pt idx="29">
                        <c:v>44950</c:v>
                      </c:pt>
                      <c:pt idx="30">
                        <c:v>44957</c:v>
                      </c:pt>
                      <c:pt idx="31">
                        <c:v>44964</c:v>
                      </c:pt>
                      <c:pt idx="32">
                        <c:v>44971</c:v>
                      </c:pt>
                      <c:pt idx="33">
                        <c:v>44978</c:v>
                      </c:pt>
                      <c:pt idx="34">
                        <c:v>44985</c:v>
                      </c:pt>
                      <c:pt idx="35">
                        <c:v>44992</c:v>
                      </c:pt>
                      <c:pt idx="36">
                        <c:v>44999</c:v>
                      </c:pt>
                      <c:pt idx="37">
                        <c:v>45006</c:v>
                      </c:pt>
                      <c:pt idx="38">
                        <c:v>45013</c:v>
                      </c:pt>
                      <c:pt idx="39">
                        <c:v>45020</c:v>
                      </c:pt>
                      <c:pt idx="40">
                        <c:v>45027</c:v>
                      </c:pt>
                      <c:pt idx="41">
                        <c:v>45034</c:v>
                      </c:pt>
                      <c:pt idx="42">
                        <c:v>45041</c:v>
                      </c:pt>
                      <c:pt idx="43">
                        <c:v>45048</c:v>
                      </c:pt>
                      <c:pt idx="44">
                        <c:v>45055</c:v>
                      </c:pt>
                      <c:pt idx="45">
                        <c:v>45062</c:v>
                      </c:pt>
                      <c:pt idx="46">
                        <c:v>45069</c:v>
                      </c:pt>
                      <c:pt idx="47">
                        <c:v>45076</c:v>
                      </c:pt>
                      <c:pt idx="48">
                        <c:v>45083</c:v>
                      </c:pt>
                      <c:pt idx="49">
                        <c:v>45090</c:v>
                      </c:pt>
                      <c:pt idx="50">
                        <c:v>45097</c:v>
                      </c:pt>
                      <c:pt idx="51">
                        <c:v>45104</c:v>
                      </c:pt>
                    </c:numCache>
                  </c:numRef>
                </c:cat>
                <c:val>
                  <c:numRef>
                    <c:extLst xmlns:c15="http://schemas.microsoft.com/office/drawing/2012/chart">
                      <c:ext xmlns:c15="http://schemas.microsoft.com/office/drawing/2012/chart" uri="{02D57815-91ED-43cb-92C2-25804820EDAC}">
                        <c15:formulaRef>
                          <c15:sqref>'OZL Summary'!$BV$8:$BV$60</c15:sqref>
                        </c15:formulaRef>
                      </c:ext>
                    </c:extLst>
                    <c:numCache>
                      <c:formatCode>0.000</c:formatCode>
                      <c:ptCount val="53"/>
                      <c:pt idx="0">
                        <c:v>2.7720420236719803E-2</c:v>
                      </c:pt>
                      <c:pt idx="1">
                        <c:v>5.5440840473439605E-2</c:v>
                      </c:pt>
                      <c:pt idx="2">
                        <c:v>8.3161260710159404E-2</c:v>
                      </c:pt>
                      <c:pt idx="3">
                        <c:v>0.11088168094687921</c:v>
                      </c:pt>
                      <c:pt idx="4">
                        <c:v>0.138602101183599</c:v>
                      </c:pt>
                      <c:pt idx="5">
                        <c:v>0.16632252142031881</c:v>
                      </c:pt>
                      <c:pt idx="6">
                        <c:v>0.19404294165703861</c:v>
                      </c:pt>
                      <c:pt idx="7">
                        <c:v>0.22176336189375842</c:v>
                      </c:pt>
                      <c:pt idx="8">
                        <c:v>0.24948378213047823</c:v>
                      </c:pt>
                      <c:pt idx="9">
                        <c:v>0.277204202367198</c:v>
                      </c:pt>
                      <c:pt idx="10">
                        <c:v>0.30492462260391778</c:v>
                      </c:pt>
                      <c:pt idx="11">
                        <c:v>0.33264504284063756</c:v>
                      </c:pt>
                      <c:pt idx="12">
                        <c:v>0.36036546307735734</c:v>
                      </c:pt>
                      <c:pt idx="13">
                        <c:v>0.38808588331407712</c:v>
                      </c:pt>
                      <c:pt idx="14">
                        <c:v>0.4158063035507969</c:v>
                      </c:pt>
                      <c:pt idx="15">
                        <c:v>0.44352672378751667</c:v>
                      </c:pt>
                      <c:pt idx="16">
                        <c:v>0.47124714402423645</c:v>
                      </c:pt>
                      <c:pt idx="17">
                        <c:v>0.49896756426095623</c:v>
                      </c:pt>
                      <c:pt idx="18">
                        <c:v>0.52668798449767606</c:v>
                      </c:pt>
                      <c:pt idx="19">
                        <c:v>0.5544084047343959</c:v>
                      </c:pt>
                      <c:pt idx="20">
                        <c:v>0.58212882497111573</c:v>
                      </c:pt>
                      <c:pt idx="21">
                        <c:v>0.60984924520783557</c:v>
                      </c:pt>
                      <c:pt idx="22">
                        <c:v>0.6375696654445554</c:v>
                      </c:pt>
                      <c:pt idx="23">
                        <c:v>0.66529008568127523</c:v>
                      </c:pt>
                      <c:pt idx="24">
                        <c:v>0.69301050591799507</c:v>
                      </c:pt>
                      <c:pt idx="25">
                        <c:v>0.7207309261547149</c:v>
                      </c:pt>
                      <c:pt idx="26">
                        <c:v>0.74845134639143474</c:v>
                      </c:pt>
                      <c:pt idx="27">
                        <c:v>0.77617176662815457</c:v>
                      </c:pt>
                      <c:pt idx="28">
                        <c:v>0.8038921868648744</c:v>
                      </c:pt>
                      <c:pt idx="29">
                        <c:v>0.83161260710159424</c:v>
                      </c:pt>
                      <c:pt idx="30">
                        <c:v>0.85933302733831407</c:v>
                      </c:pt>
                      <c:pt idx="31">
                        <c:v>0.8870534475750339</c:v>
                      </c:pt>
                      <c:pt idx="32">
                        <c:v>0.91477386781175374</c:v>
                      </c:pt>
                      <c:pt idx="33">
                        <c:v>0.94249428804847357</c:v>
                      </c:pt>
                      <c:pt idx="34">
                        <c:v>0.97021470828519341</c:v>
                      </c:pt>
                      <c:pt idx="35">
                        <c:v>0.99793512852191324</c:v>
                      </c:pt>
                      <c:pt idx="36">
                        <c:v>1.025655548758633</c:v>
                      </c:pt>
                      <c:pt idx="37">
                        <c:v>1.0533759689953528</c:v>
                      </c:pt>
                      <c:pt idx="38">
                        <c:v>1.0810963892320726</c:v>
                      </c:pt>
                      <c:pt idx="39">
                        <c:v>1.1088168094687925</c:v>
                      </c:pt>
                      <c:pt idx="40">
                        <c:v>1.1365372297055123</c:v>
                      </c:pt>
                      <c:pt idx="41">
                        <c:v>1.1642576499422321</c:v>
                      </c:pt>
                      <c:pt idx="42">
                        <c:v>1.191978070178952</c:v>
                      </c:pt>
                      <c:pt idx="43">
                        <c:v>1.2196984904156718</c:v>
                      </c:pt>
                      <c:pt idx="44">
                        <c:v>1.2474189106523916</c:v>
                      </c:pt>
                      <c:pt idx="45">
                        <c:v>1.2751393308891115</c:v>
                      </c:pt>
                      <c:pt idx="46">
                        <c:v>1.3028597511258313</c:v>
                      </c:pt>
                      <c:pt idx="47">
                        <c:v>1.3305801713625511</c:v>
                      </c:pt>
                      <c:pt idx="48">
                        <c:v>1.358300591599271</c:v>
                      </c:pt>
                      <c:pt idx="49">
                        <c:v>1.3860210118359908</c:v>
                      </c:pt>
                      <c:pt idx="50">
                        <c:v>1.4137414320727106</c:v>
                      </c:pt>
                      <c:pt idx="51">
                        <c:v>1.4414618523094305</c:v>
                      </c:pt>
                    </c:numCache>
                  </c:numRef>
                </c:val>
                <c:smooth val="0"/>
                <c:extLst xmlns:c15="http://schemas.microsoft.com/office/drawing/2012/chart">
                  <c:ext xmlns:c16="http://schemas.microsoft.com/office/drawing/2014/chart" uri="{C3380CC4-5D6E-409C-BE32-E72D297353CC}">
                    <c16:uniqueId val="{0000000A-5169-4D9C-9961-F2F92FC7DF62}"/>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'OZL Summary'!$BX$6:$BX$7</c15:sqref>
                        </c15:formulaRef>
                      </c:ext>
                    </c:extLst>
                    <c:strCache>
                      <c:ptCount val="2"/>
                      <c:pt idx="0">
                        <c:v>99th Percentile</c:v>
                      </c:pt>
                    </c:strCache>
                  </c:strRef>
                </c:tx>
                <c:spPr>
                  <a:ln w="28575">
                    <a:solidFill>
                      <a:schemeClr val="accent1"/>
                    </a:solidFill>
                    <a:prstDash val="sysDot"/>
                  </a:ln>
                </c:spPr>
                <c:marker>
                  <c:symbol val="none"/>
                </c:marker>
                <c:cat>
                  <c:numRef>
                    <c:extLst xmlns:c15="http://schemas.microsoft.com/office/drawing/2012/chart">
                      <c:ext xmlns:c15="http://schemas.microsoft.com/office/drawing/2012/chart" uri="{02D57815-91ED-43cb-92C2-25804820EDAC}">
                        <c15:formulaRef>
                          <c15:sqref>'OZL Summary'!$CL$8:$CL$60</c15:sqref>
                        </c15:formulaRef>
                      </c:ext>
                    </c:extLst>
                    <c:numCache>
                      <c:formatCode>d\-mmm\-yy_);\(###0\);"-  ";" "@" "</c:formatCode>
                      <c:ptCount val="53"/>
                      <c:pt idx="0">
                        <c:v>44747</c:v>
                      </c:pt>
                      <c:pt idx="1">
                        <c:v>44754</c:v>
                      </c:pt>
                      <c:pt idx="2">
                        <c:v>44761</c:v>
                      </c:pt>
                      <c:pt idx="3">
                        <c:v>44768</c:v>
                      </c:pt>
                      <c:pt idx="4">
                        <c:v>44775</c:v>
                      </c:pt>
                      <c:pt idx="5">
                        <c:v>44782</c:v>
                      </c:pt>
                      <c:pt idx="6">
                        <c:v>44789</c:v>
                      </c:pt>
                      <c:pt idx="7">
                        <c:v>44796</c:v>
                      </c:pt>
                      <c:pt idx="8">
                        <c:v>44803</c:v>
                      </c:pt>
                      <c:pt idx="9">
                        <c:v>44810</c:v>
                      </c:pt>
                      <c:pt idx="10">
                        <c:v>44817</c:v>
                      </c:pt>
                      <c:pt idx="11">
                        <c:v>44824</c:v>
                      </c:pt>
                      <c:pt idx="12">
                        <c:v>44831</c:v>
                      </c:pt>
                      <c:pt idx="13">
                        <c:v>44838</c:v>
                      </c:pt>
                      <c:pt idx="14">
                        <c:v>44845</c:v>
                      </c:pt>
                      <c:pt idx="15">
                        <c:v>44852</c:v>
                      </c:pt>
                      <c:pt idx="16">
                        <c:v>44859</c:v>
                      </c:pt>
                      <c:pt idx="17">
                        <c:v>44866</c:v>
                      </c:pt>
                      <c:pt idx="18">
                        <c:v>44873</c:v>
                      </c:pt>
                      <c:pt idx="19">
                        <c:v>44880</c:v>
                      </c:pt>
                      <c:pt idx="20">
                        <c:v>44887</c:v>
                      </c:pt>
                      <c:pt idx="21">
                        <c:v>44894</c:v>
                      </c:pt>
                      <c:pt idx="22">
                        <c:v>44901</c:v>
                      </c:pt>
                      <c:pt idx="23">
                        <c:v>44908</c:v>
                      </c:pt>
                      <c:pt idx="24">
                        <c:v>44915</c:v>
                      </c:pt>
                      <c:pt idx="25">
                        <c:v>44922</c:v>
                      </c:pt>
                      <c:pt idx="26">
                        <c:v>44929</c:v>
                      </c:pt>
                      <c:pt idx="27">
                        <c:v>44936</c:v>
                      </c:pt>
                      <c:pt idx="28">
                        <c:v>44943</c:v>
                      </c:pt>
                      <c:pt idx="29">
                        <c:v>44950</c:v>
                      </c:pt>
                      <c:pt idx="30">
                        <c:v>44957</c:v>
                      </c:pt>
                      <c:pt idx="31">
                        <c:v>44964</c:v>
                      </c:pt>
                      <c:pt idx="32">
                        <c:v>44971</c:v>
                      </c:pt>
                      <c:pt idx="33">
                        <c:v>44978</c:v>
                      </c:pt>
                      <c:pt idx="34">
                        <c:v>44985</c:v>
                      </c:pt>
                      <c:pt idx="35">
                        <c:v>44992</c:v>
                      </c:pt>
                      <c:pt idx="36">
                        <c:v>44999</c:v>
                      </c:pt>
                      <c:pt idx="37">
                        <c:v>45006</c:v>
                      </c:pt>
                      <c:pt idx="38">
                        <c:v>45013</c:v>
                      </c:pt>
                      <c:pt idx="39">
                        <c:v>45020</c:v>
                      </c:pt>
                      <c:pt idx="40">
                        <c:v>45027</c:v>
                      </c:pt>
                      <c:pt idx="41">
                        <c:v>45034</c:v>
                      </c:pt>
                      <c:pt idx="42">
                        <c:v>45041</c:v>
                      </c:pt>
                      <c:pt idx="43">
                        <c:v>45048</c:v>
                      </c:pt>
                      <c:pt idx="44">
                        <c:v>45055</c:v>
                      </c:pt>
                      <c:pt idx="45">
                        <c:v>45062</c:v>
                      </c:pt>
                      <c:pt idx="46">
                        <c:v>45069</c:v>
                      </c:pt>
                      <c:pt idx="47">
                        <c:v>45076</c:v>
                      </c:pt>
                      <c:pt idx="48">
                        <c:v>45083</c:v>
                      </c:pt>
                      <c:pt idx="49">
                        <c:v>45090</c:v>
                      </c:pt>
                      <c:pt idx="50">
                        <c:v>45097</c:v>
                      </c:pt>
                      <c:pt idx="51">
                        <c:v>45104</c:v>
                      </c:pt>
                    </c:numCache>
                  </c:numRef>
                </c:cat>
                <c:val>
                  <c:numRef>
                    <c:extLst xmlns:c15="http://schemas.microsoft.com/office/drawing/2012/chart">
                      <c:ext xmlns:c15="http://schemas.microsoft.com/office/drawing/2012/chart" uri="{02D57815-91ED-43cb-92C2-25804820EDAC}">
                        <c15:formulaRef>
                          <c15:sqref>'OZL Summary'!$BX$8:$BX$60</c15:sqref>
                        </c15:formulaRef>
                      </c:ext>
                    </c:extLst>
                    <c:numCache>
                      <c:formatCode>0.000</c:formatCode>
                      <c:ptCount val="53"/>
                      <c:pt idx="0">
                        <c:v>3.2006943607976859E-2</c:v>
                      </c:pt>
                      <c:pt idx="1">
                        <c:v>6.4013887215953719E-2</c:v>
                      </c:pt>
                      <c:pt idx="2">
                        <c:v>9.6020830823930578E-2</c:v>
                      </c:pt>
                      <c:pt idx="3">
                        <c:v>0.12802777443190744</c:v>
                      </c:pt>
                      <c:pt idx="4">
                        <c:v>0.16003471803988428</c:v>
                      </c:pt>
                      <c:pt idx="5">
                        <c:v>0.19204166164786113</c:v>
                      </c:pt>
                      <c:pt idx="6">
                        <c:v>0.22404860525583797</c:v>
                      </c:pt>
                      <c:pt idx="7">
                        <c:v>0.25605554886381482</c:v>
                      </c:pt>
                      <c:pt idx="8">
                        <c:v>0.28806249247179166</c:v>
                      </c:pt>
                      <c:pt idx="9">
                        <c:v>0.32006943607976851</c:v>
                      </c:pt>
                      <c:pt idx="10">
                        <c:v>0.35207637968774536</c:v>
                      </c:pt>
                      <c:pt idx="11">
                        <c:v>0.3840833232957222</c:v>
                      </c:pt>
                      <c:pt idx="12">
                        <c:v>0.41609026690369905</c:v>
                      </c:pt>
                      <c:pt idx="13">
                        <c:v>0.44809721051167589</c:v>
                      </c:pt>
                      <c:pt idx="14">
                        <c:v>0.48010415411965274</c:v>
                      </c:pt>
                      <c:pt idx="15">
                        <c:v>0.51211109772762964</c:v>
                      </c:pt>
                      <c:pt idx="16">
                        <c:v>0.54411804133560648</c:v>
                      </c:pt>
                      <c:pt idx="17">
                        <c:v>0.57612498494358333</c:v>
                      </c:pt>
                      <c:pt idx="18">
                        <c:v>0.60813192855156017</c:v>
                      </c:pt>
                      <c:pt idx="19">
                        <c:v>0.64013887215953702</c:v>
                      </c:pt>
                      <c:pt idx="20">
                        <c:v>0.67214581576751387</c:v>
                      </c:pt>
                      <c:pt idx="21">
                        <c:v>0.70415275937549071</c:v>
                      </c:pt>
                      <c:pt idx="22">
                        <c:v>0.73615970298346756</c:v>
                      </c:pt>
                      <c:pt idx="23">
                        <c:v>0.7681666465914444</c:v>
                      </c:pt>
                      <c:pt idx="24">
                        <c:v>0.80017359019942125</c:v>
                      </c:pt>
                      <c:pt idx="25">
                        <c:v>0.83218053380739809</c:v>
                      </c:pt>
                      <c:pt idx="26">
                        <c:v>0.86418747741537494</c:v>
                      </c:pt>
                      <c:pt idx="27">
                        <c:v>0.89619442102335178</c:v>
                      </c:pt>
                      <c:pt idx="28">
                        <c:v>0.92820136463132863</c:v>
                      </c:pt>
                      <c:pt idx="29">
                        <c:v>0.96020830823930547</c:v>
                      </c:pt>
                      <c:pt idx="30">
                        <c:v>0.99221525184728232</c:v>
                      </c:pt>
                      <c:pt idx="31">
                        <c:v>1.0242221954552593</c:v>
                      </c:pt>
                      <c:pt idx="32">
                        <c:v>1.0562291390632361</c:v>
                      </c:pt>
                      <c:pt idx="33">
                        <c:v>1.088236082671213</c:v>
                      </c:pt>
                      <c:pt idx="34">
                        <c:v>1.1202430262791898</c:v>
                      </c:pt>
                      <c:pt idx="35">
                        <c:v>1.1522499698871667</c:v>
                      </c:pt>
                      <c:pt idx="36">
                        <c:v>1.1842569134951435</c:v>
                      </c:pt>
                      <c:pt idx="37">
                        <c:v>1.2162638571031203</c:v>
                      </c:pt>
                      <c:pt idx="38">
                        <c:v>1.2482708007110972</c:v>
                      </c:pt>
                      <c:pt idx="39">
                        <c:v>1.280277744319074</c:v>
                      </c:pt>
                      <c:pt idx="40">
                        <c:v>1.3122846879270509</c:v>
                      </c:pt>
                      <c:pt idx="41">
                        <c:v>1.3442916315350277</c:v>
                      </c:pt>
                      <c:pt idx="42">
                        <c:v>1.3762985751430046</c:v>
                      </c:pt>
                      <c:pt idx="43">
                        <c:v>1.4083055187509814</c:v>
                      </c:pt>
                      <c:pt idx="44">
                        <c:v>1.4403124623589583</c:v>
                      </c:pt>
                      <c:pt idx="45">
                        <c:v>1.4723194059669351</c:v>
                      </c:pt>
                      <c:pt idx="46">
                        <c:v>1.504326349574912</c:v>
                      </c:pt>
                      <c:pt idx="47">
                        <c:v>1.5363332931828888</c:v>
                      </c:pt>
                      <c:pt idx="48">
                        <c:v>1.5683402367908656</c:v>
                      </c:pt>
                      <c:pt idx="49">
                        <c:v>1.6003471803988425</c:v>
                      </c:pt>
                      <c:pt idx="50">
                        <c:v>1.6323541240068193</c:v>
                      </c:pt>
                      <c:pt idx="51">
                        <c:v>1.6643610676147962</c:v>
                      </c:pt>
                    </c:numCache>
                  </c:numRef>
                </c:val>
                <c:smooth val="0"/>
                <c:extLst xmlns:c15="http://schemas.microsoft.com/office/drawing/2012/chart">
                  <c:ext xmlns:c16="http://schemas.microsoft.com/office/drawing/2014/chart" uri="{C3380CC4-5D6E-409C-BE32-E72D297353CC}">
                    <c16:uniqueId val="{0000000B-5169-4D9C-9961-F2F92FC7DF62}"/>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'OZL Summary'!$BY$6:$BY$7</c15:sqref>
                        </c15:formulaRef>
                      </c:ext>
                    </c:extLst>
                    <c:strCache>
                      <c:ptCount val="2"/>
                      <c:pt idx="0">
                        <c:v>Max</c:v>
                      </c:pt>
                    </c:strCache>
                  </c:strRef>
                </c:tx>
                <c:marker>
                  <c:symbol val="none"/>
                </c:marker>
                <c:cat>
                  <c:numRef>
                    <c:extLst xmlns:c15="http://schemas.microsoft.com/office/drawing/2012/chart">
                      <c:ext xmlns:c15="http://schemas.microsoft.com/office/drawing/2012/chart" uri="{02D57815-91ED-43cb-92C2-25804820EDAC}">
                        <c15:formulaRef>
                          <c15:sqref>'OZL Summary'!$CL$8:$CL$60</c15:sqref>
                        </c15:formulaRef>
                      </c:ext>
                    </c:extLst>
                    <c:numCache>
                      <c:formatCode>d\-mmm\-yy_);\(###0\);"-  ";" "@" "</c:formatCode>
                      <c:ptCount val="53"/>
                      <c:pt idx="0">
                        <c:v>44747</c:v>
                      </c:pt>
                      <c:pt idx="1">
                        <c:v>44754</c:v>
                      </c:pt>
                      <c:pt idx="2">
                        <c:v>44761</c:v>
                      </c:pt>
                      <c:pt idx="3">
                        <c:v>44768</c:v>
                      </c:pt>
                      <c:pt idx="4">
                        <c:v>44775</c:v>
                      </c:pt>
                      <c:pt idx="5">
                        <c:v>44782</c:v>
                      </c:pt>
                      <c:pt idx="6">
                        <c:v>44789</c:v>
                      </c:pt>
                      <c:pt idx="7">
                        <c:v>44796</c:v>
                      </c:pt>
                      <c:pt idx="8">
                        <c:v>44803</c:v>
                      </c:pt>
                      <c:pt idx="9">
                        <c:v>44810</c:v>
                      </c:pt>
                      <c:pt idx="10">
                        <c:v>44817</c:v>
                      </c:pt>
                      <c:pt idx="11">
                        <c:v>44824</c:v>
                      </c:pt>
                      <c:pt idx="12">
                        <c:v>44831</c:v>
                      </c:pt>
                      <c:pt idx="13">
                        <c:v>44838</c:v>
                      </c:pt>
                      <c:pt idx="14">
                        <c:v>44845</c:v>
                      </c:pt>
                      <c:pt idx="15">
                        <c:v>44852</c:v>
                      </c:pt>
                      <c:pt idx="16">
                        <c:v>44859</c:v>
                      </c:pt>
                      <c:pt idx="17">
                        <c:v>44866</c:v>
                      </c:pt>
                      <c:pt idx="18">
                        <c:v>44873</c:v>
                      </c:pt>
                      <c:pt idx="19">
                        <c:v>44880</c:v>
                      </c:pt>
                      <c:pt idx="20">
                        <c:v>44887</c:v>
                      </c:pt>
                      <c:pt idx="21">
                        <c:v>44894</c:v>
                      </c:pt>
                      <c:pt idx="22">
                        <c:v>44901</c:v>
                      </c:pt>
                      <c:pt idx="23">
                        <c:v>44908</c:v>
                      </c:pt>
                      <c:pt idx="24">
                        <c:v>44915</c:v>
                      </c:pt>
                      <c:pt idx="25">
                        <c:v>44922</c:v>
                      </c:pt>
                      <c:pt idx="26">
                        <c:v>44929</c:v>
                      </c:pt>
                      <c:pt idx="27">
                        <c:v>44936</c:v>
                      </c:pt>
                      <c:pt idx="28">
                        <c:v>44943</c:v>
                      </c:pt>
                      <c:pt idx="29">
                        <c:v>44950</c:v>
                      </c:pt>
                      <c:pt idx="30">
                        <c:v>44957</c:v>
                      </c:pt>
                      <c:pt idx="31">
                        <c:v>44964</c:v>
                      </c:pt>
                      <c:pt idx="32">
                        <c:v>44971</c:v>
                      </c:pt>
                      <c:pt idx="33">
                        <c:v>44978</c:v>
                      </c:pt>
                      <c:pt idx="34">
                        <c:v>44985</c:v>
                      </c:pt>
                      <c:pt idx="35">
                        <c:v>44992</c:v>
                      </c:pt>
                      <c:pt idx="36">
                        <c:v>44999</c:v>
                      </c:pt>
                      <c:pt idx="37">
                        <c:v>45006</c:v>
                      </c:pt>
                      <c:pt idx="38">
                        <c:v>45013</c:v>
                      </c:pt>
                      <c:pt idx="39">
                        <c:v>45020</c:v>
                      </c:pt>
                      <c:pt idx="40">
                        <c:v>45027</c:v>
                      </c:pt>
                      <c:pt idx="41">
                        <c:v>45034</c:v>
                      </c:pt>
                      <c:pt idx="42">
                        <c:v>45041</c:v>
                      </c:pt>
                      <c:pt idx="43">
                        <c:v>45048</c:v>
                      </c:pt>
                      <c:pt idx="44">
                        <c:v>45055</c:v>
                      </c:pt>
                      <c:pt idx="45">
                        <c:v>45062</c:v>
                      </c:pt>
                      <c:pt idx="46">
                        <c:v>45069</c:v>
                      </c:pt>
                      <c:pt idx="47">
                        <c:v>45076</c:v>
                      </c:pt>
                      <c:pt idx="48">
                        <c:v>45083</c:v>
                      </c:pt>
                      <c:pt idx="49">
                        <c:v>45090</c:v>
                      </c:pt>
                      <c:pt idx="50">
                        <c:v>45097</c:v>
                      </c:pt>
                      <c:pt idx="51">
                        <c:v>45104</c:v>
                      </c:pt>
                    </c:numCache>
                  </c:numRef>
                </c:cat>
                <c:val>
                  <c:numRef>
                    <c:extLst xmlns:c15="http://schemas.microsoft.com/office/drawing/2012/chart">
                      <c:ext xmlns:c15="http://schemas.microsoft.com/office/drawing/2012/chart" uri="{02D57815-91ED-43cb-92C2-25804820EDAC}">
                        <c15:formulaRef>
                          <c15:sqref>'OZL Summary'!$BY$8:$BY$60</c15:sqref>
                        </c15:formulaRef>
                      </c:ext>
                    </c:extLst>
                    <c:numCache>
                      <c:formatCode>0.000</c:formatCode>
                      <c:ptCount val="53"/>
                      <c:pt idx="0">
                        <c:v>3.9503586953510528E-2</c:v>
                      </c:pt>
                      <c:pt idx="1">
                        <c:v>7.9007173907021055E-2</c:v>
                      </c:pt>
                      <c:pt idx="2">
                        <c:v>0.11851076086053158</c:v>
                      </c:pt>
                      <c:pt idx="3">
                        <c:v>0.15801434781404211</c:v>
                      </c:pt>
                      <c:pt idx="4">
                        <c:v>0.19751793476755264</c:v>
                      </c:pt>
                      <c:pt idx="5">
                        <c:v>0.23702152172106317</c:v>
                      </c:pt>
                      <c:pt idx="6">
                        <c:v>0.27652510867457369</c:v>
                      </c:pt>
                      <c:pt idx="7">
                        <c:v>0.31602869562808422</c:v>
                      </c:pt>
                      <c:pt idx="8">
                        <c:v>0.35553228258159475</c:v>
                      </c:pt>
                      <c:pt idx="9">
                        <c:v>0.39503586953510528</c:v>
                      </c:pt>
                      <c:pt idx="10">
                        <c:v>0.43453945648861581</c:v>
                      </c:pt>
                      <c:pt idx="11">
                        <c:v>0.47404304344212633</c:v>
                      </c:pt>
                      <c:pt idx="12">
                        <c:v>0.51354663039563686</c:v>
                      </c:pt>
                      <c:pt idx="13">
                        <c:v>0.55305021734914739</c:v>
                      </c:pt>
                      <c:pt idx="14">
                        <c:v>0.59255380430265792</c:v>
                      </c:pt>
                      <c:pt idx="15">
                        <c:v>0.63205739125616844</c:v>
                      </c:pt>
                      <c:pt idx="16">
                        <c:v>0.67156097820967897</c:v>
                      </c:pt>
                      <c:pt idx="17">
                        <c:v>0.7110645651631895</c:v>
                      </c:pt>
                      <c:pt idx="18">
                        <c:v>0.75056815211670003</c:v>
                      </c:pt>
                      <c:pt idx="19">
                        <c:v>0.79007173907021055</c:v>
                      </c:pt>
                      <c:pt idx="20">
                        <c:v>0.82957532602372108</c:v>
                      </c:pt>
                      <c:pt idx="21">
                        <c:v>0.86907891297723161</c:v>
                      </c:pt>
                      <c:pt idx="22">
                        <c:v>0.90858249993074214</c:v>
                      </c:pt>
                      <c:pt idx="23">
                        <c:v>0.94808608688425267</c:v>
                      </c:pt>
                      <c:pt idx="24">
                        <c:v>0.98758967383776319</c:v>
                      </c:pt>
                      <c:pt idx="25">
                        <c:v>1.0270932607912737</c:v>
                      </c:pt>
                      <c:pt idx="26">
                        <c:v>1.0665968477447842</c:v>
                      </c:pt>
                      <c:pt idx="27">
                        <c:v>1.1061004346982948</c:v>
                      </c:pt>
                      <c:pt idx="28">
                        <c:v>1.1456040216518053</c:v>
                      </c:pt>
                      <c:pt idx="29">
                        <c:v>1.1851076086053158</c:v>
                      </c:pt>
                      <c:pt idx="30">
                        <c:v>1.2246111955588264</c:v>
                      </c:pt>
                      <c:pt idx="31">
                        <c:v>1.2641147825123369</c:v>
                      </c:pt>
                      <c:pt idx="32">
                        <c:v>1.3036183694658474</c:v>
                      </c:pt>
                      <c:pt idx="33">
                        <c:v>1.3431219564193579</c:v>
                      </c:pt>
                      <c:pt idx="34">
                        <c:v>1.3826255433728685</c:v>
                      </c:pt>
                      <c:pt idx="35">
                        <c:v>1.422129130326379</c:v>
                      </c:pt>
                      <c:pt idx="36">
                        <c:v>1.4616327172798895</c:v>
                      </c:pt>
                      <c:pt idx="37">
                        <c:v>1.5011363042334001</c:v>
                      </c:pt>
                      <c:pt idx="38">
                        <c:v>1.5406398911869106</c:v>
                      </c:pt>
                      <c:pt idx="39">
                        <c:v>1.5801434781404211</c:v>
                      </c:pt>
                      <c:pt idx="40">
                        <c:v>1.6196470650939316</c:v>
                      </c:pt>
                      <c:pt idx="41">
                        <c:v>1.6591506520474422</c:v>
                      </c:pt>
                      <c:pt idx="42">
                        <c:v>1.6986542390009527</c:v>
                      </c:pt>
                      <c:pt idx="43">
                        <c:v>1.7381578259544632</c:v>
                      </c:pt>
                      <c:pt idx="44">
                        <c:v>1.7776614129079737</c:v>
                      </c:pt>
                      <c:pt idx="45">
                        <c:v>1.8171649998614843</c:v>
                      </c:pt>
                      <c:pt idx="46">
                        <c:v>1.8566685868149948</c:v>
                      </c:pt>
                      <c:pt idx="47">
                        <c:v>1.8961721737685053</c:v>
                      </c:pt>
                      <c:pt idx="48">
                        <c:v>1.9356757607220159</c:v>
                      </c:pt>
                      <c:pt idx="49">
                        <c:v>1.9751793476755264</c:v>
                      </c:pt>
                      <c:pt idx="50">
                        <c:v>2.0146829346290369</c:v>
                      </c:pt>
                      <c:pt idx="51">
                        <c:v>2.0541865215825474</c:v>
                      </c:pt>
                    </c:numCache>
                  </c:numRef>
                </c:val>
                <c:smooth val="0"/>
                <c:extLst xmlns:c15="http://schemas.microsoft.com/office/drawing/2012/chart">
                  <c:ext xmlns:c16="http://schemas.microsoft.com/office/drawing/2014/chart" uri="{C3380CC4-5D6E-409C-BE32-E72D297353CC}">
                    <c16:uniqueId val="{0000000C-5169-4D9C-9961-F2F92FC7DF62}"/>
                  </c:ext>
                </c:extLst>
              </c15:ser>
            </c15:filteredLineSeries>
          </c:ext>
        </c:extLst>
      </c:lineChart>
      <c:dateAx>
        <c:axId val="1388952432"/>
        <c:scaling>
          <c:orientation val="minMax"/>
        </c:scaling>
        <c:delete val="0"/>
        <c:axPos val="b"/>
        <c:numFmt formatCode="mmm\-yy" sourceLinked="0"/>
        <c:majorTickMark val="none"/>
        <c:minorTickMark val="none"/>
        <c:tickLblPos val="nextTo"/>
        <c:spPr>
          <a:noFill/>
          <a:ln w="9525" cap="flat" cmpd="sng" algn="ctr">
            <a:noFill/>
            <a:round/>
          </a:ln>
          <a:effectLst/>
        </c:spPr>
        <c:txPr>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3088"/>
        <c:crosses val="autoZero"/>
        <c:auto val="1"/>
        <c:lblOffset val="100"/>
        <c:baseTimeUnit val="days"/>
        <c:majorUnit val="1"/>
        <c:majorTimeUnit val="months"/>
      </c:dateAx>
      <c:valAx>
        <c:axId val="13889530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2432"/>
        <c:crosses val="autoZero"/>
        <c:crossBetween val="between"/>
      </c:valAx>
    </c:plotArea>
    <c:legend>
      <c:legendPos val="b"/>
      <c:legendEntry>
        <c:idx val="1"/>
        <c:delete val="1"/>
      </c:legendEntry>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orientation="portrait"/>
  </c:printSettings>
</c:chartSpace>
</file>

<file path=xl/charts/chart1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'OZL Summary'!$GK$6</c:f>
              <c:strCache>
                <c:ptCount val="1"/>
                <c:pt idx="0">
                  <c:v>Actual</c:v>
                </c:pt>
              </c:strCache>
            </c:strRef>
          </c:tx>
          <c:spPr>
            <a:ln>
              <a:solidFill>
                <a:schemeClr val="tx2"/>
              </a:solidFill>
            </a:ln>
          </c:spPr>
          <c:marker>
            <c:symbol val="none"/>
          </c:marker>
          <c:cat>
            <c:numRef>
              <c:f>'OZL Summary'!$GJ$8:$GJ$60</c:f>
              <c:numCache>
                <c:formatCode>d\-mmm\-yy_);\(###0\);"-  ";" "@" "</c:formatCode>
                <c:ptCount val="53"/>
                <c:pt idx="0">
                  <c:v>45475</c:v>
                </c:pt>
                <c:pt idx="1">
                  <c:v>45482</c:v>
                </c:pt>
                <c:pt idx="2">
                  <c:v>45489</c:v>
                </c:pt>
                <c:pt idx="3">
                  <c:v>45496</c:v>
                </c:pt>
                <c:pt idx="4">
                  <c:v>45503</c:v>
                </c:pt>
                <c:pt idx="5">
                  <c:v>45510</c:v>
                </c:pt>
                <c:pt idx="6">
                  <c:v>45517</c:v>
                </c:pt>
                <c:pt idx="7">
                  <c:v>45524</c:v>
                </c:pt>
                <c:pt idx="8">
                  <c:v>45531</c:v>
                </c:pt>
                <c:pt idx="9">
                  <c:v>45538</c:v>
                </c:pt>
                <c:pt idx="10">
                  <c:v>45545</c:v>
                </c:pt>
                <c:pt idx="11">
                  <c:v>45552</c:v>
                </c:pt>
                <c:pt idx="12">
                  <c:v>45559</c:v>
                </c:pt>
                <c:pt idx="13">
                  <c:v>45566</c:v>
                </c:pt>
                <c:pt idx="14">
                  <c:v>45573</c:v>
                </c:pt>
                <c:pt idx="15">
                  <c:v>45580</c:v>
                </c:pt>
                <c:pt idx="16">
                  <c:v>45587</c:v>
                </c:pt>
                <c:pt idx="17">
                  <c:v>45594</c:v>
                </c:pt>
                <c:pt idx="18">
                  <c:v>45601</c:v>
                </c:pt>
                <c:pt idx="19">
                  <c:v>45608</c:v>
                </c:pt>
                <c:pt idx="20">
                  <c:v>45615</c:v>
                </c:pt>
                <c:pt idx="21">
                  <c:v>45622</c:v>
                </c:pt>
                <c:pt idx="22">
                  <c:v>45629</c:v>
                </c:pt>
                <c:pt idx="23">
                  <c:v>45636</c:v>
                </c:pt>
                <c:pt idx="24">
                  <c:v>45643</c:v>
                </c:pt>
                <c:pt idx="25">
                  <c:v>45650</c:v>
                </c:pt>
                <c:pt idx="26">
                  <c:v>45657</c:v>
                </c:pt>
              </c:numCache>
            </c:numRef>
          </c:cat>
          <c:val>
            <c:numRef>
              <c:f>'OZL Summary'!$GK$8:$GK$60</c:f>
              <c:numCache>
                <c:formatCode>0.000</c:formatCode>
                <c:ptCount val="53"/>
                <c:pt idx="0">
                  <c:v>2.8443131540540536E-2</c:v>
                </c:pt>
                <c:pt idx="1">
                  <c:v>6.5589889606456439E-2</c:v>
                </c:pt>
                <c:pt idx="2">
                  <c:v>0.11292922684849846</c:v>
                </c:pt>
                <c:pt idx="3">
                  <c:v>0.12611776127477473</c:v>
                </c:pt>
                <c:pt idx="4">
                  <c:v>0.14516817179002073</c:v>
                </c:pt>
                <c:pt idx="5">
                  <c:v>0.15797250768206278</c:v>
                </c:pt>
                <c:pt idx="6">
                  <c:v>0.17478621813671744</c:v>
                </c:pt>
                <c:pt idx="7">
                  <c:v>0.19634093343851924</c:v>
                </c:pt>
                <c:pt idx="8">
                  <c:v>0.229293375872303</c:v>
                </c:pt>
                <c:pt idx="9">
                  <c:v>0.27071314624032106</c:v>
                </c:pt>
                <c:pt idx="10">
                  <c:v>0.28397804753311384</c:v>
                </c:pt>
                <c:pt idx="11">
                  <c:v>0.301753048854285</c:v>
                </c:pt>
                <c:pt idx="12">
                  <c:v>0.32928236410038109</c:v>
                </c:pt>
                <c:pt idx="13">
                  <c:v>0.34233770617395465</c:v>
                </c:pt>
                <c:pt idx="14">
                  <c:v>0.36209273277940623</c:v>
                </c:pt>
                <c:pt idx="15">
                  <c:v>0.37484950928421101</c:v>
                </c:pt>
                <c:pt idx="16">
                  <c:v>0.39125523299577258</c:v>
                </c:pt>
                <c:pt idx="17">
                  <c:v>0.40406108156544224</c:v>
                </c:pt>
                <c:pt idx="18">
                  <c:v>0.42103391268916601</c:v>
                </c:pt>
                <c:pt idx="19">
                  <c:v>0.44371874133601286</c:v>
                </c:pt>
                <c:pt idx="20">
                  <c:v>0.46973110683315999</c:v>
                </c:pt>
                <c:pt idx="21">
                  <c:v>0.49982132004742424</c:v>
                </c:pt>
                <c:pt idx="22">
                  <c:v>0.54603822856934614</c:v>
                </c:pt>
                <c:pt idx="23">
                  <c:v>0.60368808089622306</c:v>
                </c:pt>
                <c:pt idx="24">
                  <c:v>0.61769277648120813</c:v>
                </c:pt>
                <c:pt idx="25">
                  <c:v>0.64029154758090778</c:v>
                </c:pt>
                <c:pt idx="26">
                  <c:v>0.66903047934487181</c:v>
                </c:pt>
              </c:numCache>
            </c:numRef>
          </c:val>
          <c:smooth val="0"/>
          <c:extLst>
            <c:ext xmlns:c16="http://schemas.microsoft.com/office/drawing/2014/chart" uri="{C3380CC4-5D6E-409C-BE32-E72D297353CC}">
              <c16:uniqueId val="{00000000-7B9F-42A8-A54F-9C37AF942F22}"/>
            </c:ext>
          </c:extLst>
        </c:ser>
        <c:ser>
          <c:idx val="7"/>
          <c:order val="1"/>
          <c:tx>
            <c:strRef>
              <c:f>'OZL Summary'!$GN$6:$GN$7</c:f>
              <c:strCache>
                <c:ptCount val="2"/>
                <c:pt idx="0">
                  <c:v>5th Percentile</c:v>
                </c:pt>
              </c:strCache>
            </c:strRef>
          </c:tx>
          <c:spPr>
            <a:ln>
              <a:solidFill>
                <a:schemeClr val="bg2">
                  <a:lumMod val="60000"/>
                  <a:lumOff val="40000"/>
                </a:schemeClr>
              </a:solidFill>
              <a:prstDash val="sysDot"/>
            </a:ln>
          </c:spPr>
          <c:marker>
            <c:symbol val="none"/>
          </c:marker>
          <c:cat>
            <c:numRef>
              <c:f>'OZL Summary'!$GJ$8:$GJ$60</c:f>
              <c:numCache>
                <c:formatCode>d\-mmm\-yy_);\(###0\);"-  ";" "@" "</c:formatCode>
                <c:ptCount val="53"/>
                <c:pt idx="0">
                  <c:v>45475</c:v>
                </c:pt>
                <c:pt idx="1">
                  <c:v>45482</c:v>
                </c:pt>
                <c:pt idx="2">
                  <c:v>45489</c:v>
                </c:pt>
                <c:pt idx="3">
                  <c:v>45496</c:v>
                </c:pt>
                <c:pt idx="4">
                  <c:v>45503</c:v>
                </c:pt>
                <c:pt idx="5">
                  <c:v>45510</c:v>
                </c:pt>
                <c:pt idx="6">
                  <c:v>45517</c:v>
                </c:pt>
                <c:pt idx="7">
                  <c:v>45524</c:v>
                </c:pt>
                <c:pt idx="8">
                  <c:v>45531</c:v>
                </c:pt>
                <c:pt idx="9">
                  <c:v>45538</c:v>
                </c:pt>
                <c:pt idx="10">
                  <c:v>45545</c:v>
                </c:pt>
                <c:pt idx="11">
                  <c:v>45552</c:v>
                </c:pt>
                <c:pt idx="12">
                  <c:v>45559</c:v>
                </c:pt>
                <c:pt idx="13">
                  <c:v>45566</c:v>
                </c:pt>
                <c:pt idx="14">
                  <c:v>45573</c:v>
                </c:pt>
                <c:pt idx="15">
                  <c:v>45580</c:v>
                </c:pt>
                <c:pt idx="16">
                  <c:v>45587</c:v>
                </c:pt>
                <c:pt idx="17">
                  <c:v>45594</c:v>
                </c:pt>
                <c:pt idx="18">
                  <c:v>45601</c:v>
                </c:pt>
                <c:pt idx="19">
                  <c:v>45608</c:v>
                </c:pt>
                <c:pt idx="20">
                  <c:v>45615</c:v>
                </c:pt>
                <c:pt idx="21">
                  <c:v>45622</c:v>
                </c:pt>
                <c:pt idx="22">
                  <c:v>45629</c:v>
                </c:pt>
                <c:pt idx="23">
                  <c:v>45636</c:v>
                </c:pt>
                <c:pt idx="24">
                  <c:v>45643</c:v>
                </c:pt>
                <c:pt idx="25">
                  <c:v>45650</c:v>
                </c:pt>
                <c:pt idx="26">
                  <c:v>45657</c:v>
                </c:pt>
              </c:numCache>
            </c:numRef>
          </c:cat>
          <c:val>
            <c:numRef>
              <c:f>'OZL Summary'!$GN$8:$GN$60</c:f>
              <c:numCache>
                <c:formatCode>0.000</c:formatCode>
                <c:ptCount val="53"/>
                <c:pt idx="0">
                  <c:v>2.0727722660439128E-2</c:v>
                </c:pt>
                <c:pt idx="1">
                  <c:v>4.1455445320878255E-2</c:v>
                </c:pt>
                <c:pt idx="2">
                  <c:v>6.2183167981317386E-2</c:v>
                </c:pt>
                <c:pt idx="3">
                  <c:v>8.291089064175651E-2</c:v>
                </c:pt>
                <c:pt idx="4">
                  <c:v>0.10363861330219563</c:v>
                </c:pt>
                <c:pt idx="5">
                  <c:v>0.12436633596263476</c:v>
                </c:pt>
                <c:pt idx="6">
                  <c:v>0.1450940586230739</c:v>
                </c:pt>
                <c:pt idx="7">
                  <c:v>0.16582178128351302</c:v>
                </c:pt>
                <c:pt idx="8">
                  <c:v>0.18654950394395214</c:v>
                </c:pt>
                <c:pt idx="9">
                  <c:v>0.20727722660439127</c:v>
                </c:pt>
                <c:pt idx="10">
                  <c:v>0.22800494926483039</c:v>
                </c:pt>
                <c:pt idx="11">
                  <c:v>0.24873267192526952</c:v>
                </c:pt>
                <c:pt idx="12">
                  <c:v>0.26946039458570864</c:v>
                </c:pt>
                <c:pt idx="13">
                  <c:v>0.29018811724614779</c:v>
                </c:pt>
                <c:pt idx="14">
                  <c:v>0.31091583990658694</c:v>
                </c:pt>
                <c:pt idx="15">
                  <c:v>0.3316435625670261</c:v>
                </c:pt>
                <c:pt idx="16">
                  <c:v>0.35237128522746525</c:v>
                </c:pt>
                <c:pt idx="17">
                  <c:v>0.3730990078879044</c:v>
                </c:pt>
                <c:pt idx="18">
                  <c:v>0.39382673054834355</c:v>
                </c:pt>
                <c:pt idx="19">
                  <c:v>0.4145544532087827</c:v>
                </c:pt>
                <c:pt idx="20">
                  <c:v>0.43528217586922185</c:v>
                </c:pt>
                <c:pt idx="21">
                  <c:v>0.45600989852966101</c:v>
                </c:pt>
                <c:pt idx="22">
                  <c:v>0.47673762119010016</c:v>
                </c:pt>
                <c:pt idx="23">
                  <c:v>0.49746534385053931</c:v>
                </c:pt>
                <c:pt idx="24">
                  <c:v>0.51819306651097841</c:v>
                </c:pt>
                <c:pt idx="25">
                  <c:v>0.5389207891714175</c:v>
                </c:pt>
                <c:pt idx="26">
                  <c:v>0.5596485118318566</c:v>
                </c:pt>
                <c:pt idx="27">
                  <c:v>0.5803762344922957</c:v>
                </c:pt>
                <c:pt idx="28">
                  <c:v>0.60110395715273479</c:v>
                </c:pt>
                <c:pt idx="29">
                  <c:v>0.62183167981317389</c:v>
                </c:pt>
                <c:pt idx="30">
                  <c:v>0.64255940247361298</c:v>
                </c:pt>
                <c:pt idx="31">
                  <c:v>0.66328712513405208</c:v>
                </c:pt>
                <c:pt idx="32">
                  <c:v>0.68401484779449118</c:v>
                </c:pt>
                <c:pt idx="33">
                  <c:v>0.70474257045493027</c:v>
                </c:pt>
                <c:pt idx="34">
                  <c:v>0.72547029311536937</c:v>
                </c:pt>
                <c:pt idx="35">
                  <c:v>0.74619801577580847</c:v>
                </c:pt>
                <c:pt idx="36">
                  <c:v>0.76692573843624756</c:v>
                </c:pt>
                <c:pt idx="37">
                  <c:v>0.78765346109668666</c:v>
                </c:pt>
                <c:pt idx="38">
                  <c:v>0.80838118375712575</c:v>
                </c:pt>
                <c:pt idx="39">
                  <c:v>0.82910890641756485</c:v>
                </c:pt>
                <c:pt idx="40">
                  <c:v>0.84983662907800395</c:v>
                </c:pt>
                <c:pt idx="41">
                  <c:v>0.87056435173844304</c:v>
                </c:pt>
                <c:pt idx="42">
                  <c:v>0.89129207439888214</c:v>
                </c:pt>
                <c:pt idx="43">
                  <c:v>0.91201979705932124</c:v>
                </c:pt>
                <c:pt idx="44">
                  <c:v>0.93274751971976033</c:v>
                </c:pt>
                <c:pt idx="45">
                  <c:v>0.95347524238019943</c:v>
                </c:pt>
                <c:pt idx="46">
                  <c:v>0.97420296504063852</c:v>
                </c:pt>
                <c:pt idx="47">
                  <c:v>0.99493068770107762</c:v>
                </c:pt>
                <c:pt idx="48">
                  <c:v>1.0156584103615167</c:v>
                </c:pt>
                <c:pt idx="49">
                  <c:v>1.0363861330219559</c:v>
                </c:pt>
                <c:pt idx="50">
                  <c:v>1.0571138556823951</c:v>
                </c:pt>
                <c:pt idx="51">
                  <c:v>1.0778415783428343</c:v>
                </c:pt>
              </c:numCache>
            </c:numRef>
          </c:val>
          <c:smooth val="0"/>
          <c:extLst xmlns:c15="http://schemas.microsoft.com/office/drawing/2012/chart">
            <c:ext xmlns:c16="http://schemas.microsoft.com/office/drawing/2014/chart" uri="{C3380CC4-5D6E-409C-BE32-E72D297353CC}">
              <c16:uniqueId val="{00000001-7B9F-42A8-A54F-9C37AF942F22}"/>
            </c:ext>
          </c:extLst>
        </c:ser>
        <c:ser>
          <c:idx val="2"/>
          <c:order val="2"/>
          <c:tx>
            <c:v>5/25/50/75/95th percentile</c:v>
          </c:tx>
          <c:spPr>
            <a:ln>
              <a:solidFill>
                <a:schemeClr val="bg2">
                  <a:lumMod val="60000"/>
                  <a:lumOff val="40000"/>
                </a:schemeClr>
              </a:solidFill>
              <a:prstDash val="sysDot"/>
            </a:ln>
          </c:spPr>
          <c:marker>
            <c:symbol val="none"/>
          </c:marker>
          <c:cat>
            <c:numRef>
              <c:f>'OZL Summary'!$GJ$8:$GJ$60</c:f>
              <c:numCache>
                <c:formatCode>d\-mmm\-yy_);\(###0\);"-  ";" "@" "</c:formatCode>
                <c:ptCount val="53"/>
                <c:pt idx="0">
                  <c:v>45475</c:v>
                </c:pt>
                <c:pt idx="1">
                  <c:v>45482</c:v>
                </c:pt>
                <c:pt idx="2">
                  <c:v>45489</c:v>
                </c:pt>
                <c:pt idx="3">
                  <c:v>45496</c:v>
                </c:pt>
                <c:pt idx="4">
                  <c:v>45503</c:v>
                </c:pt>
                <c:pt idx="5">
                  <c:v>45510</c:v>
                </c:pt>
                <c:pt idx="6">
                  <c:v>45517</c:v>
                </c:pt>
                <c:pt idx="7">
                  <c:v>45524</c:v>
                </c:pt>
                <c:pt idx="8">
                  <c:v>45531</c:v>
                </c:pt>
                <c:pt idx="9">
                  <c:v>45538</c:v>
                </c:pt>
                <c:pt idx="10">
                  <c:v>45545</c:v>
                </c:pt>
                <c:pt idx="11">
                  <c:v>45552</c:v>
                </c:pt>
                <c:pt idx="12">
                  <c:v>45559</c:v>
                </c:pt>
                <c:pt idx="13">
                  <c:v>45566</c:v>
                </c:pt>
                <c:pt idx="14">
                  <c:v>45573</c:v>
                </c:pt>
                <c:pt idx="15">
                  <c:v>45580</c:v>
                </c:pt>
                <c:pt idx="16">
                  <c:v>45587</c:v>
                </c:pt>
                <c:pt idx="17">
                  <c:v>45594</c:v>
                </c:pt>
                <c:pt idx="18">
                  <c:v>45601</c:v>
                </c:pt>
                <c:pt idx="19">
                  <c:v>45608</c:v>
                </c:pt>
                <c:pt idx="20">
                  <c:v>45615</c:v>
                </c:pt>
                <c:pt idx="21">
                  <c:v>45622</c:v>
                </c:pt>
                <c:pt idx="22">
                  <c:v>45629</c:v>
                </c:pt>
                <c:pt idx="23">
                  <c:v>45636</c:v>
                </c:pt>
                <c:pt idx="24">
                  <c:v>45643</c:v>
                </c:pt>
                <c:pt idx="25">
                  <c:v>45650</c:v>
                </c:pt>
                <c:pt idx="26">
                  <c:v>45657</c:v>
                </c:pt>
              </c:numCache>
            </c:numRef>
          </c:cat>
          <c:val>
            <c:numRef>
              <c:f>'OZL Summary'!$GP$8:$GP$60</c:f>
              <c:numCache>
                <c:formatCode>0.000</c:formatCode>
                <c:ptCount val="53"/>
                <c:pt idx="0">
                  <c:v>2.3240220817402638E-2</c:v>
                </c:pt>
                <c:pt idx="1">
                  <c:v>4.6480441634805275E-2</c:v>
                </c:pt>
                <c:pt idx="2">
                  <c:v>6.9720662452207913E-2</c:v>
                </c:pt>
                <c:pt idx="3">
                  <c:v>9.296088326961055E-2</c:v>
                </c:pt>
                <c:pt idx="4">
                  <c:v>0.11620110408701319</c:v>
                </c:pt>
                <c:pt idx="5">
                  <c:v>0.13944132490441583</c:v>
                </c:pt>
                <c:pt idx="6">
                  <c:v>0.16268154572181848</c:v>
                </c:pt>
                <c:pt idx="7">
                  <c:v>0.1859217665392211</c:v>
                </c:pt>
                <c:pt idx="8">
                  <c:v>0.20916198735662372</c:v>
                </c:pt>
                <c:pt idx="9">
                  <c:v>0.23240220817402635</c:v>
                </c:pt>
                <c:pt idx="10">
                  <c:v>0.25564242899142897</c:v>
                </c:pt>
                <c:pt idx="11">
                  <c:v>0.2788826498088316</c:v>
                </c:pt>
                <c:pt idx="12">
                  <c:v>0.30212287062623422</c:v>
                </c:pt>
                <c:pt idx="13">
                  <c:v>0.32536309144363684</c:v>
                </c:pt>
                <c:pt idx="14">
                  <c:v>0.34860331226103947</c:v>
                </c:pt>
                <c:pt idx="15">
                  <c:v>0.37184353307844209</c:v>
                </c:pt>
                <c:pt idx="16">
                  <c:v>0.39508375389584471</c:v>
                </c:pt>
                <c:pt idx="17">
                  <c:v>0.41832397471324734</c:v>
                </c:pt>
                <c:pt idx="18">
                  <c:v>0.44156419553064996</c:v>
                </c:pt>
                <c:pt idx="19">
                  <c:v>0.46480441634805258</c:v>
                </c:pt>
                <c:pt idx="20">
                  <c:v>0.48804463716545521</c:v>
                </c:pt>
                <c:pt idx="21">
                  <c:v>0.51128485798285783</c:v>
                </c:pt>
                <c:pt idx="22">
                  <c:v>0.53452507880026046</c:v>
                </c:pt>
                <c:pt idx="23">
                  <c:v>0.55776529961766308</c:v>
                </c:pt>
                <c:pt idx="24">
                  <c:v>0.5810055204350657</c:v>
                </c:pt>
                <c:pt idx="25">
                  <c:v>0.60424574125246833</c:v>
                </c:pt>
                <c:pt idx="26">
                  <c:v>0.62748596206987095</c:v>
                </c:pt>
                <c:pt idx="27">
                  <c:v>0.65072618288727357</c:v>
                </c:pt>
                <c:pt idx="28">
                  <c:v>0.6739664037046762</c:v>
                </c:pt>
                <c:pt idx="29">
                  <c:v>0.69720662452207882</c:v>
                </c:pt>
                <c:pt idx="30">
                  <c:v>0.72044684533948145</c:v>
                </c:pt>
                <c:pt idx="31">
                  <c:v>0.74368706615688407</c:v>
                </c:pt>
                <c:pt idx="32">
                  <c:v>0.76692728697428669</c:v>
                </c:pt>
                <c:pt idx="33">
                  <c:v>0.79016750779168932</c:v>
                </c:pt>
                <c:pt idx="34">
                  <c:v>0.81340772860909194</c:v>
                </c:pt>
                <c:pt idx="35">
                  <c:v>0.83664794942649456</c:v>
                </c:pt>
                <c:pt idx="36">
                  <c:v>0.85988817024389719</c:v>
                </c:pt>
                <c:pt idx="37">
                  <c:v>0.88312839106129981</c:v>
                </c:pt>
                <c:pt idx="38">
                  <c:v>0.90636861187870243</c:v>
                </c:pt>
                <c:pt idx="39">
                  <c:v>0.92960883269610506</c:v>
                </c:pt>
                <c:pt idx="40">
                  <c:v>0.95284905351350768</c:v>
                </c:pt>
                <c:pt idx="41">
                  <c:v>0.97608927433091031</c:v>
                </c:pt>
                <c:pt idx="42">
                  <c:v>0.99932949514831293</c:v>
                </c:pt>
                <c:pt idx="43">
                  <c:v>1.0225697159657157</c:v>
                </c:pt>
                <c:pt idx="44">
                  <c:v>1.0458099367831184</c:v>
                </c:pt>
                <c:pt idx="45">
                  <c:v>1.0690501576005211</c:v>
                </c:pt>
                <c:pt idx="46">
                  <c:v>1.0922903784179239</c:v>
                </c:pt>
                <c:pt idx="47">
                  <c:v>1.1155305992353266</c:v>
                </c:pt>
                <c:pt idx="48">
                  <c:v>1.1387708200527293</c:v>
                </c:pt>
                <c:pt idx="49">
                  <c:v>1.1620110408701321</c:v>
                </c:pt>
                <c:pt idx="50">
                  <c:v>1.1852512616875348</c:v>
                </c:pt>
                <c:pt idx="51">
                  <c:v>1.2084914825049375</c:v>
                </c:pt>
              </c:numCache>
            </c:numRef>
          </c:val>
          <c:smooth val="0"/>
          <c:extLst>
            <c:ext xmlns:c16="http://schemas.microsoft.com/office/drawing/2014/chart" uri="{C3380CC4-5D6E-409C-BE32-E72D297353CC}">
              <c16:uniqueId val="{00000002-7B9F-42A8-A54F-9C37AF942F22}"/>
            </c:ext>
          </c:extLst>
        </c:ser>
        <c:ser>
          <c:idx val="4"/>
          <c:order val="3"/>
          <c:tx>
            <c:strRef>
              <c:f>'OZL Summary'!$GQ$6:$GQ$7</c:f>
              <c:strCache>
                <c:ptCount val="2"/>
                <c:pt idx="0">
                  <c:v>50th Percentile</c:v>
                </c:pt>
              </c:strCache>
            </c:strRef>
          </c:tx>
          <c:spPr>
            <a:ln>
              <a:solidFill>
                <a:schemeClr val="bg2">
                  <a:lumMod val="60000"/>
                  <a:lumOff val="40000"/>
                </a:schemeClr>
              </a:solidFill>
              <a:prstDash val="sysDot"/>
            </a:ln>
          </c:spPr>
          <c:marker>
            <c:symbol val="none"/>
          </c:marker>
          <c:cat>
            <c:numRef>
              <c:f>'OZL Summary'!$GJ$8:$GJ$60</c:f>
              <c:numCache>
                <c:formatCode>d\-mmm\-yy_);\(###0\);"-  ";" "@" "</c:formatCode>
                <c:ptCount val="53"/>
                <c:pt idx="0">
                  <c:v>45475</c:v>
                </c:pt>
                <c:pt idx="1">
                  <c:v>45482</c:v>
                </c:pt>
                <c:pt idx="2">
                  <c:v>45489</c:v>
                </c:pt>
                <c:pt idx="3">
                  <c:v>45496</c:v>
                </c:pt>
                <c:pt idx="4">
                  <c:v>45503</c:v>
                </c:pt>
                <c:pt idx="5">
                  <c:v>45510</c:v>
                </c:pt>
                <c:pt idx="6">
                  <c:v>45517</c:v>
                </c:pt>
                <c:pt idx="7">
                  <c:v>45524</c:v>
                </c:pt>
                <c:pt idx="8">
                  <c:v>45531</c:v>
                </c:pt>
                <c:pt idx="9">
                  <c:v>45538</c:v>
                </c:pt>
                <c:pt idx="10">
                  <c:v>45545</c:v>
                </c:pt>
                <c:pt idx="11">
                  <c:v>45552</c:v>
                </c:pt>
                <c:pt idx="12">
                  <c:v>45559</c:v>
                </c:pt>
                <c:pt idx="13">
                  <c:v>45566</c:v>
                </c:pt>
                <c:pt idx="14">
                  <c:v>45573</c:v>
                </c:pt>
                <c:pt idx="15">
                  <c:v>45580</c:v>
                </c:pt>
                <c:pt idx="16">
                  <c:v>45587</c:v>
                </c:pt>
                <c:pt idx="17">
                  <c:v>45594</c:v>
                </c:pt>
                <c:pt idx="18">
                  <c:v>45601</c:v>
                </c:pt>
                <c:pt idx="19">
                  <c:v>45608</c:v>
                </c:pt>
                <c:pt idx="20">
                  <c:v>45615</c:v>
                </c:pt>
                <c:pt idx="21">
                  <c:v>45622</c:v>
                </c:pt>
                <c:pt idx="22">
                  <c:v>45629</c:v>
                </c:pt>
                <c:pt idx="23">
                  <c:v>45636</c:v>
                </c:pt>
                <c:pt idx="24">
                  <c:v>45643</c:v>
                </c:pt>
                <c:pt idx="25">
                  <c:v>45650</c:v>
                </c:pt>
                <c:pt idx="26">
                  <c:v>45657</c:v>
                </c:pt>
              </c:numCache>
            </c:numRef>
          </c:cat>
          <c:val>
            <c:numRef>
              <c:f>'OZL Summary'!$GQ$8:$GQ$60</c:f>
              <c:numCache>
                <c:formatCode>0.000</c:formatCode>
                <c:ptCount val="53"/>
                <c:pt idx="0">
                  <c:v>2.6046443279611062E-2</c:v>
                </c:pt>
                <c:pt idx="1">
                  <c:v>5.2092886559222125E-2</c:v>
                </c:pt>
                <c:pt idx="2">
                  <c:v>7.8139329838833191E-2</c:v>
                </c:pt>
                <c:pt idx="3">
                  <c:v>0.10418577311844425</c:v>
                </c:pt>
                <c:pt idx="4">
                  <c:v>0.13023221639805532</c:v>
                </c:pt>
                <c:pt idx="5">
                  <c:v>0.15627865967766638</c:v>
                </c:pt>
                <c:pt idx="6">
                  <c:v>0.18232510295727744</c:v>
                </c:pt>
                <c:pt idx="7">
                  <c:v>0.2083715462368885</c:v>
                </c:pt>
                <c:pt idx="8">
                  <c:v>0.23441798951649956</c:v>
                </c:pt>
                <c:pt idx="9">
                  <c:v>0.26046443279611065</c:v>
                </c:pt>
                <c:pt idx="10">
                  <c:v>0.28651087607572173</c:v>
                </c:pt>
                <c:pt idx="11">
                  <c:v>0.31255731935533282</c:v>
                </c:pt>
                <c:pt idx="12">
                  <c:v>0.33860376263494391</c:v>
                </c:pt>
                <c:pt idx="13">
                  <c:v>0.36465020591455499</c:v>
                </c:pt>
                <c:pt idx="14">
                  <c:v>0.39069664919416608</c:v>
                </c:pt>
                <c:pt idx="15">
                  <c:v>0.41674309247377717</c:v>
                </c:pt>
                <c:pt idx="16">
                  <c:v>0.44278953575338825</c:v>
                </c:pt>
                <c:pt idx="17">
                  <c:v>0.46883597903299934</c:v>
                </c:pt>
                <c:pt idx="18">
                  <c:v>0.49488242231261043</c:v>
                </c:pt>
                <c:pt idx="19">
                  <c:v>0.52092886559222151</c:v>
                </c:pt>
                <c:pt idx="20">
                  <c:v>0.54697530887183254</c:v>
                </c:pt>
                <c:pt idx="21">
                  <c:v>0.57302175215144358</c:v>
                </c:pt>
                <c:pt idx="22">
                  <c:v>0.59906819543105461</c:v>
                </c:pt>
                <c:pt idx="23">
                  <c:v>0.62511463871066564</c:v>
                </c:pt>
                <c:pt idx="24">
                  <c:v>0.65116108199027667</c:v>
                </c:pt>
                <c:pt idx="25">
                  <c:v>0.6772075252698877</c:v>
                </c:pt>
                <c:pt idx="26">
                  <c:v>0.70325396854949873</c:v>
                </c:pt>
                <c:pt idx="27">
                  <c:v>0.72930041182910976</c:v>
                </c:pt>
                <c:pt idx="28">
                  <c:v>0.75534685510872079</c:v>
                </c:pt>
                <c:pt idx="29">
                  <c:v>0.78139329838833183</c:v>
                </c:pt>
                <c:pt idx="30">
                  <c:v>0.80743974166794286</c:v>
                </c:pt>
                <c:pt idx="31">
                  <c:v>0.83348618494755389</c:v>
                </c:pt>
                <c:pt idx="32">
                  <c:v>0.85953262822716492</c:v>
                </c:pt>
                <c:pt idx="33">
                  <c:v>0.88557907150677595</c:v>
                </c:pt>
                <c:pt idx="34">
                  <c:v>0.91162551478638698</c:v>
                </c:pt>
                <c:pt idx="35">
                  <c:v>0.93767195806599801</c:v>
                </c:pt>
                <c:pt idx="36">
                  <c:v>0.96371840134560904</c:v>
                </c:pt>
                <c:pt idx="37">
                  <c:v>0.98976484462522007</c:v>
                </c:pt>
                <c:pt idx="38">
                  <c:v>1.0158112879048311</c:v>
                </c:pt>
                <c:pt idx="39">
                  <c:v>1.0418577311844421</c:v>
                </c:pt>
                <c:pt idx="40">
                  <c:v>1.0679041744640532</c:v>
                </c:pt>
                <c:pt idx="41">
                  <c:v>1.0939506177436642</c:v>
                </c:pt>
                <c:pt idx="42">
                  <c:v>1.1199970610232752</c:v>
                </c:pt>
                <c:pt idx="43">
                  <c:v>1.1460435043028863</c:v>
                </c:pt>
                <c:pt idx="44">
                  <c:v>1.1720899475824973</c:v>
                </c:pt>
                <c:pt idx="45">
                  <c:v>1.1981363908621083</c:v>
                </c:pt>
                <c:pt idx="46">
                  <c:v>1.2241828341417194</c:v>
                </c:pt>
                <c:pt idx="47">
                  <c:v>1.2502292774213304</c:v>
                </c:pt>
                <c:pt idx="48">
                  <c:v>1.2762757207009414</c:v>
                </c:pt>
                <c:pt idx="49">
                  <c:v>1.3023221639805524</c:v>
                </c:pt>
                <c:pt idx="50">
                  <c:v>1.3283686072601635</c:v>
                </c:pt>
                <c:pt idx="51">
                  <c:v>1.3544150505397745</c:v>
                </c:pt>
              </c:numCache>
            </c:numRef>
          </c:val>
          <c:smooth val="0"/>
          <c:extLst>
            <c:ext xmlns:c16="http://schemas.microsoft.com/office/drawing/2014/chart" uri="{C3380CC4-5D6E-409C-BE32-E72D297353CC}">
              <c16:uniqueId val="{00000004-7B9F-42A8-A54F-9C37AF942F22}"/>
            </c:ext>
          </c:extLst>
        </c:ser>
        <c:ser>
          <c:idx val="6"/>
          <c:order val="4"/>
          <c:tx>
            <c:strRef>
              <c:f>'OZL Summary'!$GR$6:$GR$7</c:f>
              <c:strCache>
                <c:ptCount val="2"/>
                <c:pt idx="0">
                  <c:v>75th Percentile</c:v>
                </c:pt>
              </c:strCache>
            </c:strRef>
          </c:tx>
          <c:spPr>
            <a:ln>
              <a:solidFill>
                <a:schemeClr val="bg2">
                  <a:lumMod val="60000"/>
                  <a:lumOff val="40000"/>
                </a:schemeClr>
              </a:solidFill>
              <a:prstDash val="sysDot"/>
            </a:ln>
          </c:spPr>
          <c:marker>
            <c:symbol val="none"/>
          </c:marker>
          <c:cat>
            <c:numRef>
              <c:f>'OZL Summary'!$GJ$8:$GJ$60</c:f>
              <c:numCache>
                <c:formatCode>d\-mmm\-yy_);\(###0\);"-  ";" "@" "</c:formatCode>
                <c:ptCount val="53"/>
                <c:pt idx="0">
                  <c:v>45475</c:v>
                </c:pt>
                <c:pt idx="1">
                  <c:v>45482</c:v>
                </c:pt>
                <c:pt idx="2">
                  <c:v>45489</c:v>
                </c:pt>
                <c:pt idx="3">
                  <c:v>45496</c:v>
                </c:pt>
                <c:pt idx="4">
                  <c:v>45503</c:v>
                </c:pt>
                <c:pt idx="5">
                  <c:v>45510</c:v>
                </c:pt>
                <c:pt idx="6">
                  <c:v>45517</c:v>
                </c:pt>
                <c:pt idx="7">
                  <c:v>45524</c:v>
                </c:pt>
                <c:pt idx="8">
                  <c:v>45531</c:v>
                </c:pt>
                <c:pt idx="9">
                  <c:v>45538</c:v>
                </c:pt>
                <c:pt idx="10">
                  <c:v>45545</c:v>
                </c:pt>
                <c:pt idx="11">
                  <c:v>45552</c:v>
                </c:pt>
                <c:pt idx="12">
                  <c:v>45559</c:v>
                </c:pt>
                <c:pt idx="13">
                  <c:v>45566</c:v>
                </c:pt>
                <c:pt idx="14">
                  <c:v>45573</c:v>
                </c:pt>
                <c:pt idx="15">
                  <c:v>45580</c:v>
                </c:pt>
                <c:pt idx="16">
                  <c:v>45587</c:v>
                </c:pt>
                <c:pt idx="17">
                  <c:v>45594</c:v>
                </c:pt>
                <c:pt idx="18">
                  <c:v>45601</c:v>
                </c:pt>
                <c:pt idx="19">
                  <c:v>45608</c:v>
                </c:pt>
                <c:pt idx="20">
                  <c:v>45615</c:v>
                </c:pt>
                <c:pt idx="21">
                  <c:v>45622</c:v>
                </c:pt>
                <c:pt idx="22">
                  <c:v>45629</c:v>
                </c:pt>
                <c:pt idx="23">
                  <c:v>45636</c:v>
                </c:pt>
                <c:pt idx="24">
                  <c:v>45643</c:v>
                </c:pt>
                <c:pt idx="25">
                  <c:v>45650</c:v>
                </c:pt>
                <c:pt idx="26">
                  <c:v>45657</c:v>
                </c:pt>
              </c:numCache>
            </c:numRef>
          </c:cat>
          <c:val>
            <c:numRef>
              <c:f>'OZL Summary'!$GR$8:$GR$60</c:f>
              <c:numCache>
                <c:formatCode>0.000</c:formatCode>
                <c:ptCount val="53"/>
                <c:pt idx="0">
                  <c:v>2.9690405696207352E-2</c:v>
                </c:pt>
                <c:pt idx="1">
                  <c:v>5.9380811392414704E-2</c:v>
                </c:pt>
                <c:pt idx="2">
                  <c:v>8.9071217088622062E-2</c:v>
                </c:pt>
                <c:pt idx="3">
                  <c:v>0.11876162278482941</c:v>
                </c:pt>
                <c:pt idx="4">
                  <c:v>0.14845202848103675</c:v>
                </c:pt>
                <c:pt idx="5">
                  <c:v>0.1781424341772441</c:v>
                </c:pt>
                <c:pt idx="6">
                  <c:v>0.20783283987345144</c:v>
                </c:pt>
                <c:pt idx="7">
                  <c:v>0.23752324556965879</c:v>
                </c:pt>
                <c:pt idx="8">
                  <c:v>0.26721365126586616</c:v>
                </c:pt>
                <c:pt idx="9">
                  <c:v>0.2969040569620735</c:v>
                </c:pt>
                <c:pt idx="10">
                  <c:v>0.32659446265828085</c:v>
                </c:pt>
                <c:pt idx="11">
                  <c:v>0.35628486835448819</c:v>
                </c:pt>
                <c:pt idx="12">
                  <c:v>0.38597527405069554</c:v>
                </c:pt>
                <c:pt idx="13">
                  <c:v>0.41566567974690288</c:v>
                </c:pt>
                <c:pt idx="14">
                  <c:v>0.44535608544311023</c:v>
                </c:pt>
                <c:pt idx="15">
                  <c:v>0.47504649113931757</c:v>
                </c:pt>
                <c:pt idx="16">
                  <c:v>0.50473689683552492</c:v>
                </c:pt>
                <c:pt idx="17">
                  <c:v>0.53442730253173232</c:v>
                </c:pt>
                <c:pt idx="18">
                  <c:v>0.56411770822793972</c:v>
                </c:pt>
                <c:pt idx="19">
                  <c:v>0.59380811392414712</c:v>
                </c:pt>
                <c:pt idx="20">
                  <c:v>0.62349851962035452</c:v>
                </c:pt>
                <c:pt idx="21">
                  <c:v>0.65318892531656192</c:v>
                </c:pt>
                <c:pt idx="22">
                  <c:v>0.68287933101276932</c:v>
                </c:pt>
                <c:pt idx="23">
                  <c:v>0.71256973670897672</c:v>
                </c:pt>
                <c:pt idx="24">
                  <c:v>0.74226014240518412</c:v>
                </c:pt>
                <c:pt idx="25">
                  <c:v>0.77195054810139152</c:v>
                </c:pt>
                <c:pt idx="26">
                  <c:v>0.80164095379759892</c:v>
                </c:pt>
                <c:pt idx="27">
                  <c:v>0.83133135949380632</c:v>
                </c:pt>
                <c:pt idx="28">
                  <c:v>0.86102176519001372</c:v>
                </c:pt>
                <c:pt idx="29">
                  <c:v>0.89071217088622112</c:v>
                </c:pt>
                <c:pt idx="30">
                  <c:v>0.92040257658242852</c:v>
                </c:pt>
                <c:pt idx="31">
                  <c:v>0.95009298227863592</c:v>
                </c:pt>
                <c:pt idx="32">
                  <c:v>0.97978338797484332</c:v>
                </c:pt>
                <c:pt idx="33">
                  <c:v>1.0094737936710507</c:v>
                </c:pt>
                <c:pt idx="34">
                  <c:v>1.039164199367258</c:v>
                </c:pt>
                <c:pt idx="35">
                  <c:v>1.0688546050634653</c:v>
                </c:pt>
                <c:pt idx="36">
                  <c:v>1.0985450107596726</c:v>
                </c:pt>
                <c:pt idx="37">
                  <c:v>1.1282354164558799</c:v>
                </c:pt>
                <c:pt idx="38">
                  <c:v>1.1579258221520872</c:v>
                </c:pt>
                <c:pt idx="39">
                  <c:v>1.1876162278482945</c:v>
                </c:pt>
                <c:pt idx="40">
                  <c:v>1.2173066335445017</c:v>
                </c:pt>
                <c:pt idx="41">
                  <c:v>1.246997039240709</c:v>
                </c:pt>
                <c:pt idx="42">
                  <c:v>1.2766874449369163</c:v>
                </c:pt>
                <c:pt idx="43">
                  <c:v>1.3063778506331236</c:v>
                </c:pt>
                <c:pt idx="44">
                  <c:v>1.3360682563293309</c:v>
                </c:pt>
                <c:pt idx="45">
                  <c:v>1.3657586620255382</c:v>
                </c:pt>
                <c:pt idx="46">
                  <c:v>1.3954490677217455</c:v>
                </c:pt>
                <c:pt idx="47">
                  <c:v>1.4251394734179528</c:v>
                </c:pt>
                <c:pt idx="48">
                  <c:v>1.4548298791141601</c:v>
                </c:pt>
                <c:pt idx="49">
                  <c:v>1.4845202848103674</c:v>
                </c:pt>
                <c:pt idx="50">
                  <c:v>1.5142106905065746</c:v>
                </c:pt>
                <c:pt idx="51">
                  <c:v>1.5439010962027819</c:v>
                </c:pt>
              </c:numCache>
            </c:numRef>
          </c:val>
          <c:smooth val="0"/>
          <c:extLst xmlns:c15="http://schemas.microsoft.com/office/drawing/2012/chart">
            <c:ext xmlns:c16="http://schemas.microsoft.com/office/drawing/2014/chart" uri="{C3380CC4-5D6E-409C-BE32-E72D297353CC}">
              <c16:uniqueId val="{00000005-7B9F-42A8-A54F-9C37AF942F22}"/>
            </c:ext>
          </c:extLst>
        </c:ser>
        <c:ser>
          <c:idx val="9"/>
          <c:order val="5"/>
          <c:tx>
            <c:strRef>
              <c:f>'OZL Summary'!$GT$6:$GT$7</c:f>
              <c:strCache>
                <c:ptCount val="2"/>
                <c:pt idx="0">
                  <c:v>95th Percentile</c:v>
                </c:pt>
              </c:strCache>
            </c:strRef>
          </c:tx>
          <c:spPr>
            <a:ln>
              <a:solidFill>
                <a:schemeClr val="bg2">
                  <a:lumMod val="60000"/>
                  <a:lumOff val="40000"/>
                </a:schemeClr>
              </a:solidFill>
              <a:prstDash val="sysDot"/>
            </a:ln>
          </c:spPr>
          <c:marker>
            <c:symbol val="none"/>
          </c:marker>
          <c:cat>
            <c:numRef>
              <c:f>'OZL Summary'!$GJ$8:$GJ$60</c:f>
              <c:numCache>
                <c:formatCode>d\-mmm\-yy_);\(###0\);"-  ";" "@" "</c:formatCode>
                <c:ptCount val="53"/>
                <c:pt idx="0">
                  <c:v>45475</c:v>
                </c:pt>
                <c:pt idx="1">
                  <c:v>45482</c:v>
                </c:pt>
                <c:pt idx="2">
                  <c:v>45489</c:v>
                </c:pt>
                <c:pt idx="3">
                  <c:v>45496</c:v>
                </c:pt>
                <c:pt idx="4">
                  <c:v>45503</c:v>
                </c:pt>
                <c:pt idx="5">
                  <c:v>45510</c:v>
                </c:pt>
                <c:pt idx="6">
                  <c:v>45517</c:v>
                </c:pt>
                <c:pt idx="7">
                  <c:v>45524</c:v>
                </c:pt>
                <c:pt idx="8">
                  <c:v>45531</c:v>
                </c:pt>
                <c:pt idx="9">
                  <c:v>45538</c:v>
                </c:pt>
                <c:pt idx="10">
                  <c:v>45545</c:v>
                </c:pt>
                <c:pt idx="11">
                  <c:v>45552</c:v>
                </c:pt>
                <c:pt idx="12">
                  <c:v>45559</c:v>
                </c:pt>
                <c:pt idx="13">
                  <c:v>45566</c:v>
                </c:pt>
                <c:pt idx="14">
                  <c:v>45573</c:v>
                </c:pt>
                <c:pt idx="15">
                  <c:v>45580</c:v>
                </c:pt>
                <c:pt idx="16">
                  <c:v>45587</c:v>
                </c:pt>
                <c:pt idx="17">
                  <c:v>45594</c:v>
                </c:pt>
                <c:pt idx="18">
                  <c:v>45601</c:v>
                </c:pt>
                <c:pt idx="19">
                  <c:v>45608</c:v>
                </c:pt>
                <c:pt idx="20">
                  <c:v>45615</c:v>
                </c:pt>
                <c:pt idx="21">
                  <c:v>45622</c:v>
                </c:pt>
                <c:pt idx="22">
                  <c:v>45629</c:v>
                </c:pt>
                <c:pt idx="23">
                  <c:v>45636</c:v>
                </c:pt>
                <c:pt idx="24">
                  <c:v>45643</c:v>
                </c:pt>
                <c:pt idx="25">
                  <c:v>45650</c:v>
                </c:pt>
                <c:pt idx="26">
                  <c:v>45657</c:v>
                </c:pt>
              </c:numCache>
            </c:numRef>
          </c:cat>
          <c:val>
            <c:numRef>
              <c:f>'OZL Summary'!$GT$8:$GT$60</c:f>
              <c:numCache>
                <c:formatCode>0.000</c:formatCode>
                <c:ptCount val="53"/>
                <c:pt idx="0">
                  <c:v>3.738668945575023E-2</c:v>
                </c:pt>
                <c:pt idx="1">
                  <c:v>7.477337891150046E-2</c:v>
                </c:pt>
                <c:pt idx="2">
                  <c:v>0.11216006836725069</c:v>
                </c:pt>
                <c:pt idx="3">
                  <c:v>0.14954675782300092</c:v>
                </c:pt>
                <c:pt idx="4">
                  <c:v>0.18693344727875116</c:v>
                </c:pt>
                <c:pt idx="5">
                  <c:v>0.22432013673450141</c:v>
                </c:pt>
                <c:pt idx="6">
                  <c:v>0.26170682619025165</c:v>
                </c:pt>
                <c:pt idx="7">
                  <c:v>0.2990935156460019</c:v>
                </c:pt>
                <c:pt idx="8">
                  <c:v>0.33648020510175214</c:v>
                </c:pt>
                <c:pt idx="9">
                  <c:v>0.37386689455750238</c:v>
                </c:pt>
                <c:pt idx="10">
                  <c:v>0.41125358401325263</c:v>
                </c:pt>
                <c:pt idx="11">
                  <c:v>0.44864027346900287</c:v>
                </c:pt>
                <c:pt idx="12">
                  <c:v>0.48602696292475311</c:v>
                </c:pt>
                <c:pt idx="13">
                  <c:v>0.5234136523805033</c:v>
                </c:pt>
                <c:pt idx="14">
                  <c:v>0.56080034183625349</c:v>
                </c:pt>
                <c:pt idx="15">
                  <c:v>0.59818703129200368</c:v>
                </c:pt>
                <c:pt idx="16">
                  <c:v>0.63557372074775387</c:v>
                </c:pt>
                <c:pt idx="17">
                  <c:v>0.67296041020350406</c:v>
                </c:pt>
                <c:pt idx="18">
                  <c:v>0.71034709965925424</c:v>
                </c:pt>
                <c:pt idx="19">
                  <c:v>0.74773378911500443</c:v>
                </c:pt>
                <c:pt idx="20">
                  <c:v>0.78512047857075462</c:v>
                </c:pt>
                <c:pt idx="21">
                  <c:v>0.82250716802650481</c:v>
                </c:pt>
                <c:pt idx="22">
                  <c:v>0.859893857482255</c:v>
                </c:pt>
                <c:pt idx="23">
                  <c:v>0.89728054693800519</c:v>
                </c:pt>
                <c:pt idx="24">
                  <c:v>0.93466723639375537</c:v>
                </c:pt>
                <c:pt idx="25">
                  <c:v>0.97205392584950556</c:v>
                </c:pt>
                <c:pt idx="26">
                  <c:v>1.0094406153052558</c:v>
                </c:pt>
                <c:pt idx="27">
                  <c:v>1.0468273047610059</c:v>
                </c:pt>
                <c:pt idx="28">
                  <c:v>1.0842139942167561</c:v>
                </c:pt>
                <c:pt idx="29">
                  <c:v>1.1216006836725063</c:v>
                </c:pt>
                <c:pt idx="30">
                  <c:v>1.1589873731282565</c:v>
                </c:pt>
                <c:pt idx="31">
                  <c:v>1.1963740625840067</c:v>
                </c:pt>
                <c:pt idx="32">
                  <c:v>1.2337607520397569</c:v>
                </c:pt>
                <c:pt idx="33">
                  <c:v>1.2711474414955071</c:v>
                </c:pt>
                <c:pt idx="34">
                  <c:v>1.3085341309512573</c:v>
                </c:pt>
                <c:pt idx="35">
                  <c:v>1.3459208204070074</c:v>
                </c:pt>
                <c:pt idx="36">
                  <c:v>1.3833075098627576</c:v>
                </c:pt>
                <c:pt idx="37">
                  <c:v>1.4206941993185078</c:v>
                </c:pt>
                <c:pt idx="38">
                  <c:v>1.458080888774258</c:v>
                </c:pt>
                <c:pt idx="39">
                  <c:v>1.4954675782300082</c:v>
                </c:pt>
                <c:pt idx="40">
                  <c:v>1.5328542676857584</c:v>
                </c:pt>
                <c:pt idx="41">
                  <c:v>1.5702409571415086</c:v>
                </c:pt>
                <c:pt idx="42">
                  <c:v>1.6076276465972588</c:v>
                </c:pt>
                <c:pt idx="43">
                  <c:v>1.645014336053009</c:v>
                </c:pt>
                <c:pt idx="44">
                  <c:v>1.6824010255087591</c:v>
                </c:pt>
                <c:pt idx="45">
                  <c:v>1.7197877149645093</c:v>
                </c:pt>
                <c:pt idx="46">
                  <c:v>1.7571744044202595</c:v>
                </c:pt>
                <c:pt idx="47">
                  <c:v>1.7945610938760097</c:v>
                </c:pt>
                <c:pt idx="48">
                  <c:v>1.8319477833317599</c:v>
                </c:pt>
                <c:pt idx="49">
                  <c:v>1.8693344727875101</c:v>
                </c:pt>
                <c:pt idx="50">
                  <c:v>1.9067211622432603</c:v>
                </c:pt>
                <c:pt idx="51">
                  <c:v>1.9441078516990105</c:v>
                </c:pt>
              </c:numCache>
            </c:numRef>
          </c:val>
          <c:smooth val="0"/>
          <c:extLst xmlns:c15="http://schemas.microsoft.com/office/drawing/2012/chart">
            <c:ext xmlns:c16="http://schemas.microsoft.com/office/drawing/2014/chart" uri="{C3380CC4-5D6E-409C-BE32-E72D297353CC}">
              <c16:uniqueId val="{00000006-7B9F-42A8-A54F-9C37AF942F22}"/>
            </c:ext>
          </c:extLst>
        </c:ser>
        <c:dLbls>
          <c:showLegendKey val="0"/>
          <c:showVal val="0"/>
          <c:showCatName val="0"/>
          <c:showSerName val="0"/>
          <c:showPercent val="0"/>
          <c:showBubbleSize val="0"/>
        </c:dLbls>
        <c:smooth val="0"/>
        <c:axId val="1388952432"/>
        <c:axId val="1388953088"/>
        <c:extLst/>
      </c:lineChart>
      <c:dateAx>
        <c:axId val="1388952432"/>
        <c:scaling>
          <c:orientation val="minMax"/>
        </c:scaling>
        <c:delete val="0"/>
        <c:axPos val="b"/>
        <c:numFmt formatCode="mmm\-yy" sourceLinked="0"/>
        <c:majorTickMark val="none"/>
        <c:minorTickMark val="none"/>
        <c:tickLblPos val="nextTo"/>
        <c:spPr>
          <a:noFill/>
          <a:ln w="9525" cap="flat" cmpd="sng" algn="ctr">
            <a:noFill/>
            <a:round/>
          </a:ln>
          <a:effectLst/>
        </c:spPr>
        <c:txPr>
          <a:bodyPr rot="-5400000" vert="horz"/>
          <a:lstStyle/>
          <a:p>
            <a:pPr>
              <a:defRPr/>
            </a:pPr>
            <a:endParaRPr lang="en-US"/>
          </a:p>
        </c:txPr>
        <c:crossAx val="1388953088"/>
        <c:crosses val="autoZero"/>
        <c:auto val="1"/>
        <c:lblOffset val="100"/>
        <c:baseTimeUnit val="days"/>
        <c:majorUnit val="1"/>
        <c:majorTimeUnit val="months"/>
      </c:dateAx>
      <c:valAx>
        <c:axId val="1388953088"/>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vert="horz"/>
          <a:lstStyle/>
          <a:p>
            <a:pPr>
              <a:defRPr/>
            </a:pPr>
            <a:endParaRPr lang="en-US"/>
          </a:p>
        </c:txPr>
        <c:crossAx val="1388952432"/>
        <c:crosses val="autoZero"/>
        <c:crossBetween val="between"/>
        <c:majorUnit val="0.2"/>
      </c:valAx>
    </c:plotArea>
    <c:legend>
      <c:legendPos val="b"/>
      <c:legendEntry>
        <c:idx val="1"/>
        <c:delete val="1"/>
      </c:legendEntry>
      <c:legendEntry>
        <c:idx val="3"/>
        <c:delete val="1"/>
      </c:legendEntry>
      <c:legendEntry>
        <c:idx val="4"/>
        <c:delete val="1"/>
      </c:legendEntry>
      <c:legendEntry>
        <c:idx val="5"/>
        <c:delete val="1"/>
      </c:legendEntry>
      <c:overlay val="0"/>
      <c:spPr>
        <a:noFill/>
        <a:ln>
          <a:noFill/>
        </a:ln>
        <a:effectLst/>
      </c:spPr>
      <c:txPr>
        <a:bodyPr rot="0" vert="horz"/>
        <a:lstStyle/>
        <a:p>
          <a:pPr>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orientation="portrait"/>
  </c:printSettings>
</c:chartSpace>
</file>

<file path=xl/charts/chart1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'OZL Summary'!$CM$6</c:f>
              <c:strCache>
                <c:ptCount val="1"/>
                <c:pt idx="0">
                  <c:v>Actual</c:v>
                </c:pt>
              </c:strCache>
            </c:strRef>
          </c:tx>
          <c:spPr>
            <a:ln>
              <a:solidFill>
                <a:schemeClr val="tx2"/>
              </a:solidFill>
            </a:ln>
          </c:spPr>
          <c:marker>
            <c:symbol val="none"/>
          </c:marker>
          <c:cat>
            <c:numRef>
              <c:f>'OZL Summary'!$DD$8:$DD$60</c:f>
              <c:numCache>
                <c:formatCode>d\-mmm\-yy_);\(###0\);"-  ";" "@" "</c:formatCode>
                <c:ptCount val="53"/>
                <c:pt idx="0">
                  <c:v>45111</c:v>
                </c:pt>
                <c:pt idx="1">
                  <c:v>45118</c:v>
                </c:pt>
                <c:pt idx="2">
                  <c:v>45125</c:v>
                </c:pt>
                <c:pt idx="3">
                  <c:v>45132</c:v>
                </c:pt>
                <c:pt idx="4">
                  <c:v>45139</c:v>
                </c:pt>
                <c:pt idx="5">
                  <c:v>45146</c:v>
                </c:pt>
                <c:pt idx="6">
                  <c:v>45153</c:v>
                </c:pt>
                <c:pt idx="7">
                  <c:v>45160</c:v>
                </c:pt>
                <c:pt idx="8">
                  <c:v>45167</c:v>
                </c:pt>
                <c:pt idx="9">
                  <c:v>45174</c:v>
                </c:pt>
                <c:pt idx="10">
                  <c:v>45181</c:v>
                </c:pt>
                <c:pt idx="11">
                  <c:v>45188</c:v>
                </c:pt>
                <c:pt idx="12">
                  <c:v>45195</c:v>
                </c:pt>
                <c:pt idx="13">
                  <c:v>45202</c:v>
                </c:pt>
                <c:pt idx="14">
                  <c:v>45209</c:v>
                </c:pt>
                <c:pt idx="15">
                  <c:v>45216</c:v>
                </c:pt>
                <c:pt idx="16">
                  <c:v>45223</c:v>
                </c:pt>
                <c:pt idx="17">
                  <c:v>45230</c:v>
                </c:pt>
                <c:pt idx="18">
                  <c:v>45237</c:v>
                </c:pt>
                <c:pt idx="19">
                  <c:v>45244</c:v>
                </c:pt>
                <c:pt idx="20">
                  <c:v>45251</c:v>
                </c:pt>
                <c:pt idx="21">
                  <c:v>45258</c:v>
                </c:pt>
                <c:pt idx="22">
                  <c:v>45265</c:v>
                </c:pt>
                <c:pt idx="23">
                  <c:v>45272</c:v>
                </c:pt>
                <c:pt idx="24">
                  <c:v>45279</c:v>
                </c:pt>
                <c:pt idx="25">
                  <c:v>45286</c:v>
                </c:pt>
                <c:pt idx="26">
                  <c:v>45293</c:v>
                </c:pt>
                <c:pt idx="27">
                  <c:v>45300</c:v>
                </c:pt>
                <c:pt idx="28">
                  <c:v>45307</c:v>
                </c:pt>
                <c:pt idx="29">
                  <c:v>45314</c:v>
                </c:pt>
                <c:pt idx="30">
                  <c:v>45321</c:v>
                </c:pt>
                <c:pt idx="31">
                  <c:v>45328</c:v>
                </c:pt>
                <c:pt idx="32">
                  <c:v>45335</c:v>
                </c:pt>
                <c:pt idx="33">
                  <c:v>45342</c:v>
                </c:pt>
                <c:pt idx="34">
                  <c:v>45349</c:v>
                </c:pt>
                <c:pt idx="35">
                  <c:v>45356</c:v>
                </c:pt>
                <c:pt idx="36">
                  <c:v>45363</c:v>
                </c:pt>
                <c:pt idx="37">
                  <c:v>45370</c:v>
                </c:pt>
                <c:pt idx="38">
                  <c:v>45377</c:v>
                </c:pt>
                <c:pt idx="39">
                  <c:v>45384</c:v>
                </c:pt>
                <c:pt idx="40">
                  <c:v>45391</c:v>
                </c:pt>
                <c:pt idx="41">
                  <c:v>45398</c:v>
                </c:pt>
                <c:pt idx="42">
                  <c:v>45405</c:v>
                </c:pt>
                <c:pt idx="43">
                  <c:v>45412</c:v>
                </c:pt>
                <c:pt idx="44">
                  <c:v>45419</c:v>
                </c:pt>
                <c:pt idx="45">
                  <c:v>45426</c:v>
                </c:pt>
                <c:pt idx="46">
                  <c:v>45433</c:v>
                </c:pt>
                <c:pt idx="47">
                  <c:v>45440</c:v>
                </c:pt>
                <c:pt idx="48">
                  <c:v>45447</c:v>
                </c:pt>
                <c:pt idx="49">
                  <c:v>45454</c:v>
                </c:pt>
                <c:pt idx="50">
                  <c:v>45461</c:v>
                </c:pt>
                <c:pt idx="51">
                  <c:v>45468</c:v>
                </c:pt>
              </c:numCache>
            </c:numRef>
          </c:cat>
          <c:val>
            <c:numRef>
              <c:f>'OZL Summary'!$DE$8:$DE$60</c:f>
              <c:numCache>
                <c:formatCode>0.000</c:formatCode>
                <c:ptCount val="53"/>
                <c:pt idx="0">
                  <c:v>2.1252583449249247E-2</c:v>
                </c:pt>
                <c:pt idx="1">
                  <c:v>5.1077981628828824E-2</c:v>
                </c:pt>
                <c:pt idx="2">
                  <c:v>6.3328245339639627E-2</c:v>
                </c:pt>
                <c:pt idx="3">
                  <c:v>7.6910586020420418E-2</c:v>
                </c:pt>
                <c:pt idx="4">
                  <c:v>9.5471237972972953E-2</c:v>
                </c:pt>
                <c:pt idx="5">
                  <c:v>0.12801229734744743</c:v>
                </c:pt>
                <c:pt idx="6">
                  <c:v>0.17062540275675672</c:v>
                </c:pt>
                <c:pt idx="7">
                  <c:v>0.18329784904354351</c:v>
                </c:pt>
                <c:pt idx="8">
                  <c:v>0.19686480260090089</c:v>
                </c:pt>
                <c:pt idx="9">
                  <c:v>0.21825718909579578</c:v>
                </c:pt>
                <c:pt idx="10">
                  <c:v>0.2304048080773273</c:v>
                </c:pt>
                <c:pt idx="11">
                  <c:v>0.24384785258003003</c:v>
                </c:pt>
                <c:pt idx="12">
                  <c:v>0.261592246924024</c:v>
                </c:pt>
                <c:pt idx="13">
                  <c:v>0.28232834682312308</c:v>
                </c:pt>
                <c:pt idx="14">
                  <c:v>0.31299409939219219</c:v>
                </c:pt>
                <c:pt idx="15">
                  <c:v>0.35156494185180182</c:v>
                </c:pt>
                <c:pt idx="16">
                  <c:v>0.36387635830840842</c:v>
                </c:pt>
                <c:pt idx="17">
                  <c:v>0.37743447254054058</c:v>
                </c:pt>
                <c:pt idx="18">
                  <c:v>0.39860454752732738</c:v>
                </c:pt>
                <c:pt idx="19">
                  <c:v>0.42466937634699703</c:v>
                </c:pt>
                <c:pt idx="20">
                  <c:v>0.45369240974324326</c:v>
                </c:pt>
                <c:pt idx="21">
                  <c:v>0.49236640177627627</c:v>
                </c:pt>
                <c:pt idx="22">
                  <c:v>0.53935201374669672</c:v>
                </c:pt>
                <c:pt idx="23">
                  <c:v>0.59847880414189192</c:v>
                </c:pt>
                <c:pt idx="24">
                  <c:v>0.69839968107102113</c:v>
                </c:pt>
                <c:pt idx="25">
                  <c:v>0.84700447781201205</c:v>
                </c:pt>
                <c:pt idx="26">
                  <c:v>0.86044912452882882</c:v>
                </c:pt>
                <c:pt idx="27">
                  <c:v>0.87542508291681687</c:v>
                </c:pt>
                <c:pt idx="28">
                  <c:v>0.89610277366366364</c:v>
                </c:pt>
                <c:pt idx="29">
                  <c:v>0.90855240106891877</c:v>
                </c:pt>
                <c:pt idx="30">
                  <c:v>0.92225984529864857</c:v>
                </c:pt>
                <c:pt idx="31">
                  <c:v>0.94865806179249235</c:v>
                </c:pt>
                <c:pt idx="32">
                  <c:v>0.98391875349894886</c:v>
                </c:pt>
                <c:pt idx="33">
                  <c:v>1.0293222006148648</c:v>
                </c:pt>
                <c:pt idx="34">
                  <c:v>1.0426494069930929</c:v>
                </c:pt>
                <c:pt idx="35">
                  <c:v>1.0601648432202699</c:v>
                </c:pt>
                <c:pt idx="36">
                  <c:v>1.081668836355405</c:v>
                </c:pt>
                <c:pt idx="37">
                  <c:v>1.1119433819259756</c:v>
                </c:pt>
                <c:pt idx="38">
                  <c:v>1.1513204716126122</c:v>
                </c:pt>
                <c:pt idx="39">
                  <c:v>1.1961509602503</c:v>
                </c:pt>
                <c:pt idx="40">
                  <c:v>1.2604616697277775</c:v>
                </c:pt>
                <c:pt idx="41">
                  <c:v>1.2737338017241737</c:v>
                </c:pt>
                <c:pt idx="42">
                  <c:v>1.2865728512998496</c:v>
                </c:pt>
                <c:pt idx="43">
                  <c:v>1.3040094062196694</c:v>
                </c:pt>
                <c:pt idx="44">
                  <c:v>1.3257015241124621</c:v>
                </c:pt>
                <c:pt idx="45">
                  <c:v>1.3516030205072067</c:v>
                </c:pt>
                <c:pt idx="46">
                  <c:v>1.3826005229578073</c:v>
                </c:pt>
                <c:pt idx="47">
                  <c:v>1.4324253431536031</c:v>
                </c:pt>
                <c:pt idx="48">
                  <c:v>1.4458507346358855</c:v>
                </c:pt>
                <c:pt idx="49">
                  <c:v>1.4582475287693688</c:v>
                </c:pt>
                <c:pt idx="50">
                  <c:v>1.4748758066312309</c:v>
                </c:pt>
                <c:pt idx="51">
                  <c:v>1.4986009548246244</c:v>
                </c:pt>
              </c:numCache>
            </c:numRef>
          </c:val>
          <c:smooth val="0"/>
          <c:extLst>
            <c:ext xmlns:c16="http://schemas.microsoft.com/office/drawing/2014/chart" uri="{C3380CC4-5D6E-409C-BE32-E72D297353CC}">
              <c16:uniqueId val="{00000000-65DA-4BBF-AEF9-7AE9BC17429B}"/>
            </c:ext>
          </c:extLst>
        </c:ser>
        <c:ser>
          <c:idx val="7"/>
          <c:order val="3"/>
          <c:tx>
            <c:strRef>
              <c:f>'OZL Summary'!$CP$6:$CP$7</c:f>
              <c:strCache>
                <c:ptCount val="2"/>
                <c:pt idx="0">
                  <c:v>5th Percentile</c:v>
                </c:pt>
              </c:strCache>
            </c:strRef>
          </c:tx>
          <c:spPr>
            <a:ln>
              <a:solidFill>
                <a:schemeClr val="bg2">
                  <a:lumMod val="60000"/>
                  <a:lumOff val="40000"/>
                </a:schemeClr>
              </a:solidFill>
              <a:prstDash val="sysDot"/>
            </a:ln>
          </c:spPr>
          <c:marker>
            <c:symbol val="none"/>
          </c:marker>
          <c:cat>
            <c:numRef>
              <c:f>'OZL Summary'!$DD$8:$DD$60</c:f>
              <c:numCache>
                <c:formatCode>d\-mmm\-yy_);\(###0\);"-  ";" "@" "</c:formatCode>
                <c:ptCount val="53"/>
                <c:pt idx="0">
                  <c:v>45111</c:v>
                </c:pt>
                <c:pt idx="1">
                  <c:v>45118</c:v>
                </c:pt>
                <c:pt idx="2">
                  <c:v>45125</c:v>
                </c:pt>
                <c:pt idx="3">
                  <c:v>45132</c:v>
                </c:pt>
                <c:pt idx="4">
                  <c:v>45139</c:v>
                </c:pt>
                <c:pt idx="5">
                  <c:v>45146</c:v>
                </c:pt>
                <c:pt idx="6">
                  <c:v>45153</c:v>
                </c:pt>
                <c:pt idx="7">
                  <c:v>45160</c:v>
                </c:pt>
                <c:pt idx="8">
                  <c:v>45167</c:v>
                </c:pt>
                <c:pt idx="9">
                  <c:v>45174</c:v>
                </c:pt>
                <c:pt idx="10">
                  <c:v>45181</c:v>
                </c:pt>
                <c:pt idx="11">
                  <c:v>45188</c:v>
                </c:pt>
                <c:pt idx="12">
                  <c:v>45195</c:v>
                </c:pt>
                <c:pt idx="13">
                  <c:v>45202</c:v>
                </c:pt>
                <c:pt idx="14">
                  <c:v>45209</c:v>
                </c:pt>
                <c:pt idx="15">
                  <c:v>45216</c:v>
                </c:pt>
                <c:pt idx="16">
                  <c:v>45223</c:v>
                </c:pt>
                <c:pt idx="17">
                  <c:v>45230</c:v>
                </c:pt>
                <c:pt idx="18">
                  <c:v>45237</c:v>
                </c:pt>
                <c:pt idx="19">
                  <c:v>45244</c:v>
                </c:pt>
                <c:pt idx="20">
                  <c:v>45251</c:v>
                </c:pt>
                <c:pt idx="21">
                  <c:v>45258</c:v>
                </c:pt>
                <c:pt idx="22">
                  <c:v>45265</c:v>
                </c:pt>
                <c:pt idx="23">
                  <c:v>45272</c:v>
                </c:pt>
                <c:pt idx="24">
                  <c:v>45279</c:v>
                </c:pt>
                <c:pt idx="25">
                  <c:v>45286</c:v>
                </c:pt>
                <c:pt idx="26">
                  <c:v>45293</c:v>
                </c:pt>
                <c:pt idx="27">
                  <c:v>45300</c:v>
                </c:pt>
                <c:pt idx="28">
                  <c:v>45307</c:v>
                </c:pt>
                <c:pt idx="29">
                  <c:v>45314</c:v>
                </c:pt>
                <c:pt idx="30">
                  <c:v>45321</c:v>
                </c:pt>
                <c:pt idx="31">
                  <c:v>45328</c:v>
                </c:pt>
                <c:pt idx="32">
                  <c:v>45335</c:v>
                </c:pt>
                <c:pt idx="33">
                  <c:v>45342</c:v>
                </c:pt>
                <c:pt idx="34">
                  <c:v>45349</c:v>
                </c:pt>
                <c:pt idx="35">
                  <c:v>45356</c:v>
                </c:pt>
                <c:pt idx="36">
                  <c:v>45363</c:v>
                </c:pt>
                <c:pt idx="37">
                  <c:v>45370</c:v>
                </c:pt>
                <c:pt idx="38">
                  <c:v>45377</c:v>
                </c:pt>
                <c:pt idx="39">
                  <c:v>45384</c:v>
                </c:pt>
                <c:pt idx="40">
                  <c:v>45391</c:v>
                </c:pt>
                <c:pt idx="41">
                  <c:v>45398</c:v>
                </c:pt>
                <c:pt idx="42">
                  <c:v>45405</c:v>
                </c:pt>
                <c:pt idx="43">
                  <c:v>45412</c:v>
                </c:pt>
                <c:pt idx="44">
                  <c:v>45419</c:v>
                </c:pt>
                <c:pt idx="45">
                  <c:v>45426</c:v>
                </c:pt>
                <c:pt idx="46">
                  <c:v>45433</c:v>
                </c:pt>
                <c:pt idx="47">
                  <c:v>45440</c:v>
                </c:pt>
                <c:pt idx="48">
                  <c:v>45447</c:v>
                </c:pt>
                <c:pt idx="49">
                  <c:v>45454</c:v>
                </c:pt>
                <c:pt idx="50">
                  <c:v>45461</c:v>
                </c:pt>
                <c:pt idx="51">
                  <c:v>45468</c:v>
                </c:pt>
              </c:numCache>
            </c:numRef>
          </c:cat>
          <c:val>
            <c:numRef>
              <c:f>'OZL Summary'!$DH$8:$DH$60</c:f>
              <c:numCache>
                <c:formatCode>0.000</c:formatCode>
                <c:ptCount val="53"/>
                <c:pt idx="0">
                  <c:v>2.0936183632214975E-2</c:v>
                </c:pt>
                <c:pt idx="1">
                  <c:v>4.1872367264429951E-2</c:v>
                </c:pt>
                <c:pt idx="2">
                  <c:v>6.280855089664493E-2</c:v>
                </c:pt>
                <c:pt idx="3">
                  <c:v>8.3744734528859902E-2</c:v>
                </c:pt>
                <c:pt idx="4">
                  <c:v>0.10468091816107487</c:v>
                </c:pt>
                <c:pt idx="5">
                  <c:v>0.12561710179328986</c:v>
                </c:pt>
                <c:pt idx="6">
                  <c:v>0.14655328542550483</c:v>
                </c:pt>
                <c:pt idx="7">
                  <c:v>0.1674894690577198</c:v>
                </c:pt>
                <c:pt idx="8">
                  <c:v>0.18842565268993478</c:v>
                </c:pt>
                <c:pt idx="9">
                  <c:v>0.20936183632214975</c:v>
                </c:pt>
                <c:pt idx="10">
                  <c:v>0.23029801995436472</c:v>
                </c:pt>
                <c:pt idx="11">
                  <c:v>0.25123420358657972</c:v>
                </c:pt>
                <c:pt idx="12">
                  <c:v>0.27217038721879472</c:v>
                </c:pt>
                <c:pt idx="13">
                  <c:v>0.29310657085100972</c:v>
                </c:pt>
                <c:pt idx="14">
                  <c:v>0.31404275448322472</c:v>
                </c:pt>
                <c:pt idx="15">
                  <c:v>0.33497893811543972</c:v>
                </c:pt>
                <c:pt idx="16">
                  <c:v>0.35591512174765472</c:v>
                </c:pt>
                <c:pt idx="17">
                  <c:v>0.37685130537986972</c:v>
                </c:pt>
                <c:pt idx="18">
                  <c:v>0.39778748901208472</c:v>
                </c:pt>
                <c:pt idx="19">
                  <c:v>0.41872367264429972</c:v>
                </c:pt>
                <c:pt idx="20">
                  <c:v>0.43965985627651472</c:v>
                </c:pt>
                <c:pt idx="21">
                  <c:v>0.46059603990872972</c:v>
                </c:pt>
                <c:pt idx="22">
                  <c:v>0.48153222354094471</c:v>
                </c:pt>
                <c:pt idx="23">
                  <c:v>0.50246840717315966</c:v>
                </c:pt>
                <c:pt idx="24">
                  <c:v>0.5234045908053746</c:v>
                </c:pt>
                <c:pt idx="25">
                  <c:v>0.54434077443758955</c:v>
                </c:pt>
                <c:pt idx="26">
                  <c:v>0.56527695806980449</c:v>
                </c:pt>
                <c:pt idx="27">
                  <c:v>0.58621314170201944</c:v>
                </c:pt>
                <c:pt idx="28">
                  <c:v>0.60714932533423438</c:v>
                </c:pt>
                <c:pt idx="29">
                  <c:v>0.62808550896644932</c:v>
                </c:pt>
                <c:pt idx="30">
                  <c:v>0.64902169259866427</c:v>
                </c:pt>
                <c:pt idx="31">
                  <c:v>0.66995787623087921</c:v>
                </c:pt>
                <c:pt idx="32">
                  <c:v>0.69089405986309416</c:v>
                </c:pt>
                <c:pt idx="33">
                  <c:v>0.7118302434953091</c:v>
                </c:pt>
                <c:pt idx="34">
                  <c:v>0.73276642712752404</c:v>
                </c:pt>
                <c:pt idx="35">
                  <c:v>0.75370261075973899</c:v>
                </c:pt>
                <c:pt idx="36">
                  <c:v>0.77463879439195393</c:v>
                </c:pt>
                <c:pt idx="37">
                  <c:v>0.79557497802416888</c:v>
                </c:pt>
                <c:pt idx="38">
                  <c:v>0.81651116165638382</c:v>
                </c:pt>
                <c:pt idx="39">
                  <c:v>0.83744734528859877</c:v>
                </c:pt>
                <c:pt idx="40">
                  <c:v>0.85838352892081371</c:v>
                </c:pt>
                <c:pt idx="41">
                  <c:v>0.87931971255302865</c:v>
                </c:pt>
                <c:pt idx="42">
                  <c:v>0.9002558961852436</c:v>
                </c:pt>
                <c:pt idx="43">
                  <c:v>0.92119207981745854</c:v>
                </c:pt>
                <c:pt idx="44">
                  <c:v>0.94212826344967349</c:v>
                </c:pt>
                <c:pt idx="45">
                  <c:v>0.96306444708188843</c:v>
                </c:pt>
                <c:pt idx="46">
                  <c:v>0.98400063071410337</c:v>
                </c:pt>
                <c:pt idx="47">
                  <c:v>1.0049368143463184</c:v>
                </c:pt>
                <c:pt idx="48">
                  <c:v>1.0258729979785335</c:v>
                </c:pt>
                <c:pt idx="49">
                  <c:v>1.0468091816107485</c:v>
                </c:pt>
                <c:pt idx="50">
                  <c:v>1.0677453652429636</c:v>
                </c:pt>
                <c:pt idx="51">
                  <c:v>1.0886815488751787</c:v>
                </c:pt>
              </c:numCache>
            </c:numRef>
          </c:val>
          <c:smooth val="0"/>
          <c:extLst xmlns:c15="http://schemas.microsoft.com/office/drawing/2012/chart">
            <c:ext xmlns:c16="http://schemas.microsoft.com/office/drawing/2014/chart" uri="{C3380CC4-5D6E-409C-BE32-E72D297353CC}">
              <c16:uniqueId val="{00000001-65DA-4BBF-AEF9-7AE9BC17429B}"/>
            </c:ext>
          </c:extLst>
        </c:ser>
        <c:ser>
          <c:idx val="2"/>
          <c:order val="5"/>
          <c:tx>
            <c:v>5/25/50/75/95th percentile</c:v>
          </c:tx>
          <c:spPr>
            <a:ln>
              <a:solidFill>
                <a:schemeClr val="bg2">
                  <a:lumMod val="60000"/>
                  <a:lumOff val="40000"/>
                </a:schemeClr>
              </a:solidFill>
              <a:prstDash val="sysDot"/>
            </a:ln>
          </c:spPr>
          <c:marker>
            <c:symbol val="none"/>
          </c:marker>
          <c:cat>
            <c:numRef>
              <c:f>'OZL Summary'!$DD$8:$DD$60</c:f>
              <c:numCache>
                <c:formatCode>d\-mmm\-yy_);\(###0\);"-  ";" "@" "</c:formatCode>
                <c:ptCount val="53"/>
                <c:pt idx="0">
                  <c:v>45111</c:v>
                </c:pt>
                <c:pt idx="1">
                  <c:v>45118</c:v>
                </c:pt>
                <c:pt idx="2">
                  <c:v>45125</c:v>
                </c:pt>
                <c:pt idx="3">
                  <c:v>45132</c:v>
                </c:pt>
                <c:pt idx="4">
                  <c:v>45139</c:v>
                </c:pt>
                <c:pt idx="5">
                  <c:v>45146</c:v>
                </c:pt>
                <c:pt idx="6">
                  <c:v>45153</c:v>
                </c:pt>
                <c:pt idx="7">
                  <c:v>45160</c:v>
                </c:pt>
                <c:pt idx="8">
                  <c:v>45167</c:v>
                </c:pt>
                <c:pt idx="9">
                  <c:v>45174</c:v>
                </c:pt>
                <c:pt idx="10">
                  <c:v>45181</c:v>
                </c:pt>
                <c:pt idx="11">
                  <c:v>45188</c:v>
                </c:pt>
                <c:pt idx="12">
                  <c:v>45195</c:v>
                </c:pt>
                <c:pt idx="13">
                  <c:v>45202</c:v>
                </c:pt>
                <c:pt idx="14">
                  <c:v>45209</c:v>
                </c:pt>
                <c:pt idx="15">
                  <c:v>45216</c:v>
                </c:pt>
                <c:pt idx="16">
                  <c:v>45223</c:v>
                </c:pt>
                <c:pt idx="17">
                  <c:v>45230</c:v>
                </c:pt>
                <c:pt idx="18">
                  <c:v>45237</c:v>
                </c:pt>
                <c:pt idx="19">
                  <c:v>45244</c:v>
                </c:pt>
                <c:pt idx="20">
                  <c:v>45251</c:v>
                </c:pt>
                <c:pt idx="21">
                  <c:v>45258</c:v>
                </c:pt>
                <c:pt idx="22">
                  <c:v>45265</c:v>
                </c:pt>
                <c:pt idx="23">
                  <c:v>45272</c:v>
                </c:pt>
                <c:pt idx="24">
                  <c:v>45279</c:v>
                </c:pt>
                <c:pt idx="25">
                  <c:v>45286</c:v>
                </c:pt>
                <c:pt idx="26">
                  <c:v>45293</c:v>
                </c:pt>
                <c:pt idx="27">
                  <c:v>45300</c:v>
                </c:pt>
                <c:pt idx="28">
                  <c:v>45307</c:v>
                </c:pt>
                <c:pt idx="29">
                  <c:v>45314</c:v>
                </c:pt>
                <c:pt idx="30">
                  <c:v>45321</c:v>
                </c:pt>
                <c:pt idx="31">
                  <c:v>45328</c:v>
                </c:pt>
                <c:pt idx="32">
                  <c:v>45335</c:v>
                </c:pt>
                <c:pt idx="33">
                  <c:v>45342</c:v>
                </c:pt>
                <c:pt idx="34">
                  <c:v>45349</c:v>
                </c:pt>
                <c:pt idx="35">
                  <c:v>45356</c:v>
                </c:pt>
                <c:pt idx="36">
                  <c:v>45363</c:v>
                </c:pt>
                <c:pt idx="37">
                  <c:v>45370</c:v>
                </c:pt>
                <c:pt idx="38">
                  <c:v>45377</c:v>
                </c:pt>
                <c:pt idx="39">
                  <c:v>45384</c:v>
                </c:pt>
                <c:pt idx="40">
                  <c:v>45391</c:v>
                </c:pt>
                <c:pt idx="41">
                  <c:v>45398</c:v>
                </c:pt>
                <c:pt idx="42">
                  <c:v>45405</c:v>
                </c:pt>
                <c:pt idx="43">
                  <c:v>45412</c:v>
                </c:pt>
                <c:pt idx="44">
                  <c:v>45419</c:v>
                </c:pt>
                <c:pt idx="45">
                  <c:v>45426</c:v>
                </c:pt>
                <c:pt idx="46">
                  <c:v>45433</c:v>
                </c:pt>
                <c:pt idx="47">
                  <c:v>45440</c:v>
                </c:pt>
                <c:pt idx="48">
                  <c:v>45447</c:v>
                </c:pt>
                <c:pt idx="49">
                  <c:v>45454</c:v>
                </c:pt>
                <c:pt idx="50">
                  <c:v>45461</c:v>
                </c:pt>
                <c:pt idx="51">
                  <c:v>45468</c:v>
                </c:pt>
              </c:numCache>
            </c:numRef>
          </c:cat>
          <c:val>
            <c:numRef>
              <c:f>'OZL Summary'!$DJ$8:$DJ$60</c:f>
              <c:numCache>
                <c:formatCode>0.000</c:formatCode>
                <c:ptCount val="53"/>
                <c:pt idx="0">
                  <c:v>2.3387803016937957E-2</c:v>
                </c:pt>
                <c:pt idx="1">
                  <c:v>4.6775606033875913E-2</c:v>
                </c:pt>
                <c:pt idx="2">
                  <c:v>7.0163409050813863E-2</c:v>
                </c:pt>
                <c:pt idx="3">
                  <c:v>9.3551212067751827E-2</c:v>
                </c:pt>
                <c:pt idx="4">
                  <c:v>0.11693901508468979</c:v>
                </c:pt>
                <c:pt idx="5">
                  <c:v>0.14032681810162775</c:v>
                </c:pt>
                <c:pt idx="6">
                  <c:v>0.16371462111856572</c:v>
                </c:pt>
                <c:pt idx="7">
                  <c:v>0.18710242413550368</c:v>
                </c:pt>
                <c:pt idx="8">
                  <c:v>0.21049022715244164</c:v>
                </c:pt>
                <c:pt idx="9">
                  <c:v>0.23387803016937961</c:v>
                </c:pt>
                <c:pt idx="10">
                  <c:v>0.25726583318631757</c:v>
                </c:pt>
                <c:pt idx="11">
                  <c:v>0.28065363620325551</c:v>
                </c:pt>
                <c:pt idx="12">
                  <c:v>0.30404143922019344</c:v>
                </c:pt>
                <c:pt idx="13">
                  <c:v>0.32742924223713138</c:v>
                </c:pt>
                <c:pt idx="14">
                  <c:v>0.35081704525406932</c:v>
                </c:pt>
                <c:pt idx="15">
                  <c:v>0.37420484827100725</c:v>
                </c:pt>
                <c:pt idx="16">
                  <c:v>0.39759265128794519</c:v>
                </c:pt>
                <c:pt idx="17">
                  <c:v>0.42098045430488312</c:v>
                </c:pt>
                <c:pt idx="18">
                  <c:v>0.44436825732182106</c:v>
                </c:pt>
                <c:pt idx="19">
                  <c:v>0.46775606033875899</c:v>
                </c:pt>
                <c:pt idx="20">
                  <c:v>0.49114386335569693</c:v>
                </c:pt>
                <c:pt idx="21">
                  <c:v>0.51453166637263492</c:v>
                </c:pt>
                <c:pt idx="22">
                  <c:v>0.53791946938957291</c:v>
                </c:pt>
                <c:pt idx="23">
                  <c:v>0.5613072724065109</c:v>
                </c:pt>
                <c:pt idx="24">
                  <c:v>0.5846950754234489</c:v>
                </c:pt>
                <c:pt idx="25">
                  <c:v>0.60808287844038689</c:v>
                </c:pt>
                <c:pt idx="26">
                  <c:v>0.63147068145732488</c:v>
                </c:pt>
                <c:pt idx="27">
                  <c:v>0.65485848447426287</c:v>
                </c:pt>
                <c:pt idx="28">
                  <c:v>0.67824628749120086</c:v>
                </c:pt>
                <c:pt idx="29">
                  <c:v>0.70163409050813885</c:v>
                </c:pt>
                <c:pt idx="30">
                  <c:v>0.72502189352507684</c:v>
                </c:pt>
                <c:pt idx="31">
                  <c:v>0.74840969654201484</c:v>
                </c:pt>
                <c:pt idx="32">
                  <c:v>0.77179749955895283</c:v>
                </c:pt>
                <c:pt idx="33">
                  <c:v>0.79518530257589082</c:v>
                </c:pt>
                <c:pt idx="34">
                  <c:v>0.81857310559282881</c:v>
                </c:pt>
                <c:pt idx="35">
                  <c:v>0.8419609086097668</c:v>
                </c:pt>
                <c:pt idx="36">
                  <c:v>0.86534871162670479</c:v>
                </c:pt>
                <c:pt idx="37">
                  <c:v>0.88873651464364278</c:v>
                </c:pt>
                <c:pt idx="38">
                  <c:v>0.91212431766058077</c:v>
                </c:pt>
                <c:pt idx="39">
                  <c:v>0.93551212067751877</c:v>
                </c:pt>
                <c:pt idx="40">
                  <c:v>0.95889992369445676</c:v>
                </c:pt>
                <c:pt idx="41">
                  <c:v>0.98228772671139475</c:v>
                </c:pt>
                <c:pt idx="42">
                  <c:v>1.0056755297283326</c:v>
                </c:pt>
                <c:pt idx="43">
                  <c:v>1.0290633327452705</c:v>
                </c:pt>
                <c:pt idx="44">
                  <c:v>1.0524511357622084</c:v>
                </c:pt>
                <c:pt idx="45">
                  <c:v>1.0758389387791463</c:v>
                </c:pt>
                <c:pt idx="46">
                  <c:v>1.0992267417960842</c:v>
                </c:pt>
                <c:pt idx="47">
                  <c:v>1.122614544813022</c:v>
                </c:pt>
                <c:pt idx="48">
                  <c:v>1.1460023478299599</c:v>
                </c:pt>
                <c:pt idx="49">
                  <c:v>1.1693901508468978</c:v>
                </c:pt>
                <c:pt idx="50">
                  <c:v>1.1927779538638357</c:v>
                </c:pt>
                <c:pt idx="51">
                  <c:v>1.2161657568807736</c:v>
                </c:pt>
              </c:numCache>
            </c:numRef>
          </c:val>
          <c:smooth val="0"/>
          <c:extLst>
            <c:ext xmlns:c16="http://schemas.microsoft.com/office/drawing/2014/chart" uri="{C3380CC4-5D6E-409C-BE32-E72D297353CC}">
              <c16:uniqueId val="{00000002-65DA-4BBF-AEF9-7AE9BC17429B}"/>
            </c:ext>
          </c:extLst>
        </c:ser>
        <c:ser>
          <c:idx val="4"/>
          <c:order val="6"/>
          <c:tx>
            <c:strRef>
              <c:f>'OZL Summary'!$CS$6:$CS$7</c:f>
              <c:strCache>
                <c:ptCount val="2"/>
                <c:pt idx="0">
                  <c:v>50th Percentile</c:v>
                </c:pt>
              </c:strCache>
            </c:strRef>
          </c:tx>
          <c:spPr>
            <a:ln>
              <a:solidFill>
                <a:schemeClr val="bg2">
                  <a:lumMod val="60000"/>
                  <a:lumOff val="40000"/>
                </a:schemeClr>
              </a:solidFill>
              <a:prstDash val="sysDot"/>
            </a:ln>
          </c:spPr>
          <c:marker>
            <c:symbol val="none"/>
          </c:marker>
          <c:cat>
            <c:numRef>
              <c:f>'OZL Summary'!$DD$8:$DD$60</c:f>
              <c:numCache>
                <c:formatCode>d\-mmm\-yy_);\(###0\);"-  ";" "@" "</c:formatCode>
                <c:ptCount val="53"/>
                <c:pt idx="0">
                  <c:v>45111</c:v>
                </c:pt>
                <c:pt idx="1">
                  <c:v>45118</c:v>
                </c:pt>
                <c:pt idx="2">
                  <c:v>45125</c:v>
                </c:pt>
                <c:pt idx="3">
                  <c:v>45132</c:v>
                </c:pt>
                <c:pt idx="4">
                  <c:v>45139</c:v>
                </c:pt>
                <c:pt idx="5">
                  <c:v>45146</c:v>
                </c:pt>
                <c:pt idx="6">
                  <c:v>45153</c:v>
                </c:pt>
                <c:pt idx="7">
                  <c:v>45160</c:v>
                </c:pt>
                <c:pt idx="8">
                  <c:v>45167</c:v>
                </c:pt>
                <c:pt idx="9">
                  <c:v>45174</c:v>
                </c:pt>
                <c:pt idx="10">
                  <c:v>45181</c:v>
                </c:pt>
                <c:pt idx="11">
                  <c:v>45188</c:v>
                </c:pt>
                <c:pt idx="12">
                  <c:v>45195</c:v>
                </c:pt>
                <c:pt idx="13">
                  <c:v>45202</c:v>
                </c:pt>
                <c:pt idx="14">
                  <c:v>45209</c:v>
                </c:pt>
                <c:pt idx="15">
                  <c:v>45216</c:v>
                </c:pt>
                <c:pt idx="16">
                  <c:v>45223</c:v>
                </c:pt>
                <c:pt idx="17">
                  <c:v>45230</c:v>
                </c:pt>
                <c:pt idx="18">
                  <c:v>45237</c:v>
                </c:pt>
                <c:pt idx="19">
                  <c:v>45244</c:v>
                </c:pt>
                <c:pt idx="20">
                  <c:v>45251</c:v>
                </c:pt>
                <c:pt idx="21">
                  <c:v>45258</c:v>
                </c:pt>
                <c:pt idx="22">
                  <c:v>45265</c:v>
                </c:pt>
                <c:pt idx="23">
                  <c:v>45272</c:v>
                </c:pt>
                <c:pt idx="24">
                  <c:v>45279</c:v>
                </c:pt>
                <c:pt idx="25">
                  <c:v>45286</c:v>
                </c:pt>
                <c:pt idx="26">
                  <c:v>45293</c:v>
                </c:pt>
                <c:pt idx="27">
                  <c:v>45300</c:v>
                </c:pt>
                <c:pt idx="28">
                  <c:v>45307</c:v>
                </c:pt>
                <c:pt idx="29">
                  <c:v>45314</c:v>
                </c:pt>
                <c:pt idx="30">
                  <c:v>45321</c:v>
                </c:pt>
                <c:pt idx="31">
                  <c:v>45328</c:v>
                </c:pt>
                <c:pt idx="32">
                  <c:v>45335</c:v>
                </c:pt>
                <c:pt idx="33">
                  <c:v>45342</c:v>
                </c:pt>
                <c:pt idx="34">
                  <c:v>45349</c:v>
                </c:pt>
                <c:pt idx="35">
                  <c:v>45356</c:v>
                </c:pt>
                <c:pt idx="36">
                  <c:v>45363</c:v>
                </c:pt>
                <c:pt idx="37">
                  <c:v>45370</c:v>
                </c:pt>
                <c:pt idx="38">
                  <c:v>45377</c:v>
                </c:pt>
                <c:pt idx="39">
                  <c:v>45384</c:v>
                </c:pt>
                <c:pt idx="40">
                  <c:v>45391</c:v>
                </c:pt>
                <c:pt idx="41">
                  <c:v>45398</c:v>
                </c:pt>
                <c:pt idx="42">
                  <c:v>45405</c:v>
                </c:pt>
                <c:pt idx="43">
                  <c:v>45412</c:v>
                </c:pt>
                <c:pt idx="44">
                  <c:v>45419</c:v>
                </c:pt>
                <c:pt idx="45">
                  <c:v>45426</c:v>
                </c:pt>
                <c:pt idx="46">
                  <c:v>45433</c:v>
                </c:pt>
                <c:pt idx="47">
                  <c:v>45440</c:v>
                </c:pt>
                <c:pt idx="48">
                  <c:v>45447</c:v>
                </c:pt>
                <c:pt idx="49">
                  <c:v>45454</c:v>
                </c:pt>
                <c:pt idx="50">
                  <c:v>45461</c:v>
                </c:pt>
                <c:pt idx="51">
                  <c:v>45468</c:v>
                </c:pt>
              </c:numCache>
            </c:numRef>
          </c:cat>
          <c:val>
            <c:numRef>
              <c:f>'OZL Summary'!$DK$8:$DK$60</c:f>
              <c:numCache>
                <c:formatCode>0.000</c:formatCode>
                <c:ptCount val="53"/>
                <c:pt idx="0">
                  <c:v>2.5528449206446042E-2</c:v>
                </c:pt>
                <c:pt idx="1">
                  <c:v>5.1056898412892085E-2</c:v>
                </c:pt>
                <c:pt idx="2">
                  <c:v>7.6585347619338134E-2</c:v>
                </c:pt>
                <c:pt idx="3">
                  <c:v>0.10211379682578417</c:v>
                </c:pt>
                <c:pt idx="4">
                  <c:v>0.12764224603223021</c:v>
                </c:pt>
                <c:pt idx="5">
                  <c:v>0.15317069523867624</c:v>
                </c:pt>
                <c:pt idx="6">
                  <c:v>0.17869914444512228</c:v>
                </c:pt>
                <c:pt idx="7">
                  <c:v>0.20422759365156831</c:v>
                </c:pt>
                <c:pt idx="8">
                  <c:v>0.22975604285801435</c:v>
                </c:pt>
                <c:pt idx="9">
                  <c:v>0.25528449206446041</c:v>
                </c:pt>
                <c:pt idx="10">
                  <c:v>0.28081294127090645</c:v>
                </c:pt>
                <c:pt idx="11">
                  <c:v>0.30634139047735248</c:v>
                </c:pt>
                <c:pt idx="12">
                  <c:v>0.33186983968379852</c:v>
                </c:pt>
                <c:pt idx="13">
                  <c:v>0.35739828889024455</c:v>
                </c:pt>
                <c:pt idx="14">
                  <c:v>0.38292673809669059</c:v>
                </c:pt>
                <c:pt idx="15">
                  <c:v>0.40845518730313662</c:v>
                </c:pt>
                <c:pt idx="16">
                  <c:v>0.43398363650958266</c:v>
                </c:pt>
                <c:pt idx="17">
                  <c:v>0.4595120857160287</c:v>
                </c:pt>
                <c:pt idx="18">
                  <c:v>0.48504053492247473</c:v>
                </c:pt>
                <c:pt idx="19">
                  <c:v>0.51056898412892082</c:v>
                </c:pt>
                <c:pt idx="20">
                  <c:v>0.53609743333536686</c:v>
                </c:pt>
                <c:pt idx="21">
                  <c:v>0.56162588254181289</c:v>
                </c:pt>
                <c:pt idx="22">
                  <c:v>0.58715433174825893</c:v>
                </c:pt>
                <c:pt idx="23">
                  <c:v>0.61268278095470496</c:v>
                </c:pt>
                <c:pt idx="24">
                  <c:v>0.638211230161151</c:v>
                </c:pt>
                <c:pt idx="25">
                  <c:v>0.66373967936759704</c:v>
                </c:pt>
                <c:pt idx="26">
                  <c:v>0.68926812857404307</c:v>
                </c:pt>
                <c:pt idx="27">
                  <c:v>0.71479657778048911</c:v>
                </c:pt>
                <c:pt idx="28">
                  <c:v>0.74032502698693514</c:v>
                </c:pt>
                <c:pt idx="29">
                  <c:v>0.76585347619338118</c:v>
                </c:pt>
                <c:pt idx="30">
                  <c:v>0.79138192539982721</c:v>
                </c:pt>
                <c:pt idx="31">
                  <c:v>0.81691037460627325</c:v>
                </c:pt>
                <c:pt idx="32">
                  <c:v>0.84243882381271928</c:v>
                </c:pt>
                <c:pt idx="33">
                  <c:v>0.86796727301916532</c:v>
                </c:pt>
                <c:pt idx="34">
                  <c:v>0.89349572222561136</c:v>
                </c:pt>
                <c:pt idx="35">
                  <c:v>0.91902417143205739</c:v>
                </c:pt>
                <c:pt idx="36">
                  <c:v>0.94455262063850343</c:v>
                </c:pt>
                <c:pt idx="37">
                  <c:v>0.97008106984494946</c:v>
                </c:pt>
                <c:pt idx="38">
                  <c:v>0.9956095190513955</c:v>
                </c:pt>
                <c:pt idx="39">
                  <c:v>1.0211379682578416</c:v>
                </c:pt>
                <c:pt idx="40">
                  <c:v>1.0466664174642877</c:v>
                </c:pt>
                <c:pt idx="41">
                  <c:v>1.0721948666707337</c:v>
                </c:pt>
                <c:pt idx="42">
                  <c:v>1.0977233158771798</c:v>
                </c:pt>
                <c:pt idx="43">
                  <c:v>1.1232517650836258</c:v>
                </c:pt>
                <c:pt idx="44">
                  <c:v>1.1487802142900718</c:v>
                </c:pt>
                <c:pt idx="45">
                  <c:v>1.1743086634965179</c:v>
                </c:pt>
                <c:pt idx="46">
                  <c:v>1.1998371127029639</c:v>
                </c:pt>
                <c:pt idx="47">
                  <c:v>1.2253655619094099</c:v>
                </c:pt>
                <c:pt idx="48">
                  <c:v>1.250894011115856</c:v>
                </c:pt>
                <c:pt idx="49">
                  <c:v>1.276422460322302</c:v>
                </c:pt>
                <c:pt idx="50">
                  <c:v>1.301950909528748</c:v>
                </c:pt>
                <c:pt idx="51">
                  <c:v>1.3274793587351941</c:v>
                </c:pt>
              </c:numCache>
            </c:numRef>
          </c:val>
          <c:smooth val="0"/>
          <c:extLst>
            <c:ext xmlns:c16="http://schemas.microsoft.com/office/drawing/2014/chart" uri="{C3380CC4-5D6E-409C-BE32-E72D297353CC}">
              <c16:uniqueId val="{00000004-65DA-4BBF-AEF9-7AE9BC17429B}"/>
            </c:ext>
          </c:extLst>
        </c:ser>
        <c:ser>
          <c:idx val="6"/>
          <c:order val="7"/>
          <c:tx>
            <c:strRef>
              <c:f>'OZL Summary'!$CT$6:$CT$7</c:f>
              <c:strCache>
                <c:ptCount val="2"/>
                <c:pt idx="0">
                  <c:v>75th Percentile</c:v>
                </c:pt>
              </c:strCache>
            </c:strRef>
          </c:tx>
          <c:spPr>
            <a:ln>
              <a:solidFill>
                <a:schemeClr val="bg2">
                  <a:lumMod val="60000"/>
                  <a:lumOff val="40000"/>
                </a:schemeClr>
              </a:solidFill>
              <a:prstDash val="sysDot"/>
            </a:ln>
          </c:spPr>
          <c:marker>
            <c:symbol val="none"/>
          </c:marker>
          <c:cat>
            <c:numRef>
              <c:f>'OZL Summary'!$DD$8:$DD$60</c:f>
              <c:numCache>
                <c:formatCode>d\-mmm\-yy_);\(###0\);"-  ";" "@" "</c:formatCode>
                <c:ptCount val="53"/>
                <c:pt idx="0">
                  <c:v>45111</c:v>
                </c:pt>
                <c:pt idx="1">
                  <c:v>45118</c:v>
                </c:pt>
                <c:pt idx="2">
                  <c:v>45125</c:v>
                </c:pt>
                <c:pt idx="3">
                  <c:v>45132</c:v>
                </c:pt>
                <c:pt idx="4">
                  <c:v>45139</c:v>
                </c:pt>
                <c:pt idx="5">
                  <c:v>45146</c:v>
                </c:pt>
                <c:pt idx="6">
                  <c:v>45153</c:v>
                </c:pt>
                <c:pt idx="7">
                  <c:v>45160</c:v>
                </c:pt>
                <c:pt idx="8">
                  <c:v>45167</c:v>
                </c:pt>
                <c:pt idx="9">
                  <c:v>45174</c:v>
                </c:pt>
                <c:pt idx="10">
                  <c:v>45181</c:v>
                </c:pt>
                <c:pt idx="11">
                  <c:v>45188</c:v>
                </c:pt>
                <c:pt idx="12">
                  <c:v>45195</c:v>
                </c:pt>
                <c:pt idx="13">
                  <c:v>45202</c:v>
                </c:pt>
                <c:pt idx="14">
                  <c:v>45209</c:v>
                </c:pt>
                <c:pt idx="15">
                  <c:v>45216</c:v>
                </c:pt>
                <c:pt idx="16">
                  <c:v>45223</c:v>
                </c:pt>
                <c:pt idx="17">
                  <c:v>45230</c:v>
                </c:pt>
                <c:pt idx="18">
                  <c:v>45237</c:v>
                </c:pt>
                <c:pt idx="19">
                  <c:v>45244</c:v>
                </c:pt>
                <c:pt idx="20">
                  <c:v>45251</c:v>
                </c:pt>
                <c:pt idx="21">
                  <c:v>45258</c:v>
                </c:pt>
                <c:pt idx="22">
                  <c:v>45265</c:v>
                </c:pt>
                <c:pt idx="23">
                  <c:v>45272</c:v>
                </c:pt>
                <c:pt idx="24">
                  <c:v>45279</c:v>
                </c:pt>
                <c:pt idx="25">
                  <c:v>45286</c:v>
                </c:pt>
                <c:pt idx="26">
                  <c:v>45293</c:v>
                </c:pt>
                <c:pt idx="27">
                  <c:v>45300</c:v>
                </c:pt>
                <c:pt idx="28">
                  <c:v>45307</c:v>
                </c:pt>
                <c:pt idx="29">
                  <c:v>45314</c:v>
                </c:pt>
                <c:pt idx="30">
                  <c:v>45321</c:v>
                </c:pt>
                <c:pt idx="31">
                  <c:v>45328</c:v>
                </c:pt>
                <c:pt idx="32">
                  <c:v>45335</c:v>
                </c:pt>
                <c:pt idx="33">
                  <c:v>45342</c:v>
                </c:pt>
                <c:pt idx="34">
                  <c:v>45349</c:v>
                </c:pt>
                <c:pt idx="35">
                  <c:v>45356</c:v>
                </c:pt>
                <c:pt idx="36">
                  <c:v>45363</c:v>
                </c:pt>
                <c:pt idx="37">
                  <c:v>45370</c:v>
                </c:pt>
                <c:pt idx="38">
                  <c:v>45377</c:v>
                </c:pt>
                <c:pt idx="39">
                  <c:v>45384</c:v>
                </c:pt>
                <c:pt idx="40">
                  <c:v>45391</c:v>
                </c:pt>
                <c:pt idx="41">
                  <c:v>45398</c:v>
                </c:pt>
                <c:pt idx="42">
                  <c:v>45405</c:v>
                </c:pt>
                <c:pt idx="43">
                  <c:v>45412</c:v>
                </c:pt>
                <c:pt idx="44">
                  <c:v>45419</c:v>
                </c:pt>
                <c:pt idx="45">
                  <c:v>45426</c:v>
                </c:pt>
                <c:pt idx="46">
                  <c:v>45433</c:v>
                </c:pt>
                <c:pt idx="47">
                  <c:v>45440</c:v>
                </c:pt>
                <c:pt idx="48">
                  <c:v>45447</c:v>
                </c:pt>
                <c:pt idx="49">
                  <c:v>45454</c:v>
                </c:pt>
                <c:pt idx="50">
                  <c:v>45461</c:v>
                </c:pt>
                <c:pt idx="51">
                  <c:v>45468</c:v>
                </c:pt>
              </c:numCache>
            </c:numRef>
          </c:cat>
          <c:val>
            <c:numRef>
              <c:f>'OZL Summary'!$DL$8:$DL$60</c:f>
              <c:numCache>
                <c:formatCode>0.000</c:formatCode>
                <c:ptCount val="53"/>
                <c:pt idx="0">
                  <c:v>2.8203244819970566E-2</c:v>
                </c:pt>
                <c:pt idx="1">
                  <c:v>5.6406489639941132E-2</c:v>
                </c:pt>
                <c:pt idx="2">
                  <c:v>8.4609734459911698E-2</c:v>
                </c:pt>
                <c:pt idx="3">
                  <c:v>0.11281297927988226</c:v>
                </c:pt>
                <c:pt idx="4">
                  <c:v>0.14101622409985282</c:v>
                </c:pt>
                <c:pt idx="5">
                  <c:v>0.16921946891982337</c:v>
                </c:pt>
                <c:pt idx="6">
                  <c:v>0.19742271373979392</c:v>
                </c:pt>
                <c:pt idx="7">
                  <c:v>0.22562595855976447</c:v>
                </c:pt>
                <c:pt idx="8">
                  <c:v>0.25382920337973502</c:v>
                </c:pt>
                <c:pt idx="9">
                  <c:v>0.28203244819970558</c:v>
                </c:pt>
                <c:pt idx="10">
                  <c:v>0.31023569301967613</c:v>
                </c:pt>
                <c:pt idx="11">
                  <c:v>0.33843893783964668</c:v>
                </c:pt>
                <c:pt idx="12">
                  <c:v>0.36664218265961723</c:v>
                </c:pt>
                <c:pt idx="13">
                  <c:v>0.39484542747958778</c:v>
                </c:pt>
                <c:pt idx="14">
                  <c:v>0.42304867229955834</c:v>
                </c:pt>
                <c:pt idx="15">
                  <c:v>0.45125191711952889</c:v>
                </c:pt>
                <c:pt idx="16">
                  <c:v>0.47945516193949944</c:v>
                </c:pt>
                <c:pt idx="17">
                  <c:v>0.50765840675947005</c:v>
                </c:pt>
                <c:pt idx="18">
                  <c:v>0.53586165157944066</c:v>
                </c:pt>
                <c:pt idx="19">
                  <c:v>0.56406489639941126</c:v>
                </c:pt>
                <c:pt idx="20">
                  <c:v>0.59226814121938187</c:v>
                </c:pt>
                <c:pt idx="21">
                  <c:v>0.62047138603935248</c:v>
                </c:pt>
                <c:pt idx="22">
                  <c:v>0.64867463085932309</c:v>
                </c:pt>
                <c:pt idx="23">
                  <c:v>0.67687787567929369</c:v>
                </c:pt>
                <c:pt idx="24">
                  <c:v>0.7050811204992643</c:v>
                </c:pt>
                <c:pt idx="25">
                  <c:v>0.73328436531923491</c:v>
                </c:pt>
                <c:pt idx="26">
                  <c:v>0.76148761013920552</c:v>
                </c:pt>
                <c:pt idx="27">
                  <c:v>0.78969085495917613</c:v>
                </c:pt>
                <c:pt idx="28">
                  <c:v>0.81789409977914673</c:v>
                </c:pt>
                <c:pt idx="29">
                  <c:v>0.84609734459911734</c:v>
                </c:pt>
                <c:pt idx="30">
                  <c:v>0.87430058941908795</c:v>
                </c:pt>
                <c:pt idx="31">
                  <c:v>0.90250383423905856</c:v>
                </c:pt>
                <c:pt idx="32">
                  <c:v>0.93070707905902916</c:v>
                </c:pt>
                <c:pt idx="33">
                  <c:v>0.95891032387899977</c:v>
                </c:pt>
                <c:pt idx="34">
                  <c:v>0.98711356869897038</c:v>
                </c:pt>
                <c:pt idx="35">
                  <c:v>1.015316813518941</c:v>
                </c:pt>
                <c:pt idx="36">
                  <c:v>1.0435200583389115</c:v>
                </c:pt>
                <c:pt idx="37">
                  <c:v>1.071723303158882</c:v>
                </c:pt>
                <c:pt idx="38">
                  <c:v>1.0999265479788525</c:v>
                </c:pt>
                <c:pt idx="39">
                  <c:v>1.128129792798823</c:v>
                </c:pt>
                <c:pt idx="40">
                  <c:v>1.1563330376187935</c:v>
                </c:pt>
                <c:pt idx="41">
                  <c:v>1.184536282438764</c:v>
                </c:pt>
                <c:pt idx="42">
                  <c:v>1.2127395272587345</c:v>
                </c:pt>
                <c:pt idx="43">
                  <c:v>1.240942772078705</c:v>
                </c:pt>
                <c:pt idx="44">
                  <c:v>1.2691460168986755</c:v>
                </c:pt>
                <c:pt idx="45">
                  <c:v>1.297349261718646</c:v>
                </c:pt>
                <c:pt idx="46">
                  <c:v>1.3255525065386164</c:v>
                </c:pt>
                <c:pt idx="47">
                  <c:v>1.3537557513585869</c:v>
                </c:pt>
                <c:pt idx="48">
                  <c:v>1.3819589961785574</c:v>
                </c:pt>
                <c:pt idx="49">
                  <c:v>1.4101622409985279</c:v>
                </c:pt>
                <c:pt idx="50">
                  <c:v>1.4383654858184984</c:v>
                </c:pt>
                <c:pt idx="51">
                  <c:v>1.4665687306384689</c:v>
                </c:pt>
              </c:numCache>
            </c:numRef>
          </c:val>
          <c:smooth val="0"/>
          <c:extLst xmlns:c15="http://schemas.microsoft.com/office/drawing/2012/chart">
            <c:ext xmlns:c16="http://schemas.microsoft.com/office/drawing/2014/chart" uri="{C3380CC4-5D6E-409C-BE32-E72D297353CC}">
              <c16:uniqueId val="{00000005-65DA-4BBF-AEF9-7AE9BC17429B}"/>
            </c:ext>
          </c:extLst>
        </c:ser>
        <c:ser>
          <c:idx val="9"/>
          <c:order val="9"/>
          <c:tx>
            <c:strRef>
              <c:f>'OZL Summary'!$CV$6:$CV$7</c:f>
              <c:strCache>
                <c:ptCount val="2"/>
                <c:pt idx="0">
                  <c:v>95th Percentile</c:v>
                </c:pt>
              </c:strCache>
            </c:strRef>
          </c:tx>
          <c:spPr>
            <a:ln>
              <a:solidFill>
                <a:schemeClr val="bg2">
                  <a:lumMod val="60000"/>
                  <a:lumOff val="40000"/>
                </a:schemeClr>
              </a:solidFill>
              <a:prstDash val="sysDot"/>
            </a:ln>
          </c:spPr>
          <c:marker>
            <c:symbol val="none"/>
          </c:marker>
          <c:cat>
            <c:numRef>
              <c:f>'OZL Summary'!$DD$8:$DD$60</c:f>
              <c:numCache>
                <c:formatCode>d\-mmm\-yy_);\(###0\);"-  ";" "@" "</c:formatCode>
                <c:ptCount val="53"/>
                <c:pt idx="0">
                  <c:v>45111</c:v>
                </c:pt>
                <c:pt idx="1">
                  <c:v>45118</c:v>
                </c:pt>
                <c:pt idx="2">
                  <c:v>45125</c:v>
                </c:pt>
                <c:pt idx="3">
                  <c:v>45132</c:v>
                </c:pt>
                <c:pt idx="4">
                  <c:v>45139</c:v>
                </c:pt>
                <c:pt idx="5">
                  <c:v>45146</c:v>
                </c:pt>
                <c:pt idx="6">
                  <c:v>45153</c:v>
                </c:pt>
                <c:pt idx="7">
                  <c:v>45160</c:v>
                </c:pt>
                <c:pt idx="8">
                  <c:v>45167</c:v>
                </c:pt>
                <c:pt idx="9">
                  <c:v>45174</c:v>
                </c:pt>
                <c:pt idx="10">
                  <c:v>45181</c:v>
                </c:pt>
                <c:pt idx="11">
                  <c:v>45188</c:v>
                </c:pt>
                <c:pt idx="12">
                  <c:v>45195</c:v>
                </c:pt>
                <c:pt idx="13">
                  <c:v>45202</c:v>
                </c:pt>
                <c:pt idx="14">
                  <c:v>45209</c:v>
                </c:pt>
                <c:pt idx="15">
                  <c:v>45216</c:v>
                </c:pt>
                <c:pt idx="16">
                  <c:v>45223</c:v>
                </c:pt>
                <c:pt idx="17">
                  <c:v>45230</c:v>
                </c:pt>
                <c:pt idx="18">
                  <c:v>45237</c:v>
                </c:pt>
                <c:pt idx="19">
                  <c:v>45244</c:v>
                </c:pt>
                <c:pt idx="20">
                  <c:v>45251</c:v>
                </c:pt>
                <c:pt idx="21">
                  <c:v>45258</c:v>
                </c:pt>
                <c:pt idx="22">
                  <c:v>45265</c:v>
                </c:pt>
                <c:pt idx="23">
                  <c:v>45272</c:v>
                </c:pt>
                <c:pt idx="24">
                  <c:v>45279</c:v>
                </c:pt>
                <c:pt idx="25">
                  <c:v>45286</c:v>
                </c:pt>
                <c:pt idx="26">
                  <c:v>45293</c:v>
                </c:pt>
                <c:pt idx="27">
                  <c:v>45300</c:v>
                </c:pt>
                <c:pt idx="28">
                  <c:v>45307</c:v>
                </c:pt>
                <c:pt idx="29">
                  <c:v>45314</c:v>
                </c:pt>
                <c:pt idx="30">
                  <c:v>45321</c:v>
                </c:pt>
                <c:pt idx="31">
                  <c:v>45328</c:v>
                </c:pt>
                <c:pt idx="32">
                  <c:v>45335</c:v>
                </c:pt>
                <c:pt idx="33">
                  <c:v>45342</c:v>
                </c:pt>
                <c:pt idx="34">
                  <c:v>45349</c:v>
                </c:pt>
                <c:pt idx="35">
                  <c:v>45356</c:v>
                </c:pt>
                <c:pt idx="36">
                  <c:v>45363</c:v>
                </c:pt>
                <c:pt idx="37">
                  <c:v>45370</c:v>
                </c:pt>
                <c:pt idx="38">
                  <c:v>45377</c:v>
                </c:pt>
                <c:pt idx="39">
                  <c:v>45384</c:v>
                </c:pt>
                <c:pt idx="40">
                  <c:v>45391</c:v>
                </c:pt>
                <c:pt idx="41">
                  <c:v>45398</c:v>
                </c:pt>
                <c:pt idx="42">
                  <c:v>45405</c:v>
                </c:pt>
                <c:pt idx="43">
                  <c:v>45412</c:v>
                </c:pt>
                <c:pt idx="44">
                  <c:v>45419</c:v>
                </c:pt>
                <c:pt idx="45">
                  <c:v>45426</c:v>
                </c:pt>
                <c:pt idx="46">
                  <c:v>45433</c:v>
                </c:pt>
                <c:pt idx="47">
                  <c:v>45440</c:v>
                </c:pt>
                <c:pt idx="48">
                  <c:v>45447</c:v>
                </c:pt>
                <c:pt idx="49">
                  <c:v>45454</c:v>
                </c:pt>
                <c:pt idx="50">
                  <c:v>45461</c:v>
                </c:pt>
                <c:pt idx="51">
                  <c:v>45468</c:v>
                </c:pt>
              </c:numCache>
            </c:numRef>
          </c:cat>
          <c:val>
            <c:numRef>
              <c:f>'OZL Summary'!$DN$8:$DN$60</c:f>
              <c:numCache>
                <c:formatCode>0.000</c:formatCode>
                <c:ptCount val="53"/>
                <c:pt idx="0">
                  <c:v>3.2835693004700545E-2</c:v>
                </c:pt>
                <c:pt idx="1">
                  <c:v>6.5671386009401089E-2</c:v>
                </c:pt>
                <c:pt idx="2">
                  <c:v>9.8507079014101634E-2</c:v>
                </c:pt>
                <c:pt idx="3">
                  <c:v>0.13134277201880218</c:v>
                </c:pt>
                <c:pt idx="4">
                  <c:v>0.16417846502350272</c:v>
                </c:pt>
                <c:pt idx="5">
                  <c:v>0.19701415802820327</c:v>
                </c:pt>
                <c:pt idx="6">
                  <c:v>0.22984985103290381</c:v>
                </c:pt>
                <c:pt idx="7">
                  <c:v>0.26268554403760436</c:v>
                </c:pt>
                <c:pt idx="8">
                  <c:v>0.29552123704230493</c:v>
                </c:pt>
                <c:pt idx="9">
                  <c:v>0.3283569300470055</c:v>
                </c:pt>
                <c:pt idx="10">
                  <c:v>0.36119262305170607</c:v>
                </c:pt>
                <c:pt idx="11">
                  <c:v>0.39402831605640665</c:v>
                </c:pt>
                <c:pt idx="12">
                  <c:v>0.42686400906110722</c:v>
                </c:pt>
                <c:pt idx="13">
                  <c:v>0.45969970206580779</c:v>
                </c:pt>
                <c:pt idx="14">
                  <c:v>0.49253539507050836</c:v>
                </c:pt>
                <c:pt idx="15">
                  <c:v>0.52537108807520894</c:v>
                </c:pt>
                <c:pt idx="16">
                  <c:v>0.55820678107990951</c:v>
                </c:pt>
                <c:pt idx="17">
                  <c:v>0.59104247408461008</c:v>
                </c:pt>
                <c:pt idx="18">
                  <c:v>0.62387816708931065</c:v>
                </c:pt>
                <c:pt idx="19">
                  <c:v>0.65671386009401123</c:v>
                </c:pt>
                <c:pt idx="20">
                  <c:v>0.6895495530987118</c:v>
                </c:pt>
                <c:pt idx="21">
                  <c:v>0.72238524610341237</c:v>
                </c:pt>
                <c:pt idx="22">
                  <c:v>0.75522093910811294</c:v>
                </c:pt>
                <c:pt idx="23">
                  <c:v>0.78805663211281352</c:v>
                </c:pt>
                <c:pt idx="24">
                  <c:v>0.82089232511751409</c:v>
                </c:pt>
                <c:pt idx="25">
                  <c:v>0.85372801812221466</c:v>
                </c:pt>
                <c:pt idx="26">
                  <c:v>0.88656371112691523</c:v>
                </c:pt>
                <c:pt idx="27">
                  <c:v>0.91939940413161581</c:v>
                </c:pt>
                <c:pt idx="28">
                  <c:v>0.95223509713631638</c:v>
                </c:pt>
                <c:pt idx="29">
                  <c:v>0.98507079014101695</c:v>
                </c:pt>
                <c:pt idx="30">
                  <c:v>1.0179064831457174</c:v>
                </c:pt>
                <c:pt idx="31">
                  <c:v>1.0507421761504179</c:v>
                </c:pt>
                <c:pt idx="32">
                  <c:v>1.0835778691551183</c:v>
                </c:pt>
                <c:pt idx="33">
                  <c:v>1.1164135621598188</c:v>
                </c:pt>
                <c:pt idx="34">
                  <c:v>1.1492492551645193</c:v>
                </c:pt>
                <c:pt idx="35">
                  <c:v>1.1820849481692197</c:v>
                </c:pt>
                <c:pt idx="36">
                  <c:v>1.2149206411739202</c:v>
                </c:pt>
                <c:pt idx="37">
                  <c:v>1.2477563341786206</c:v>
                </c:pt>
                <c:pt idx="38">
                  <c:v>1.2805920271833211</c:v>
                </c:pt>
                <c:pt idx="39">
                  <c:v>1.3134277201880216</c:v>
                </c:pt>
                <c:pt idx="40">
                  <c:v>1.346263413192722</c:v>
                </c:pt>
                <c:pt idx="41">
                  <c:v>1.3790991061974225</c:v>
                </c:pt>
                <c:pt idx="42">
                  <c:v>1.4119347992021229</c:v>
                </c:pt>
                <c:pt idx="43">
                  <c:v>1.4447704922068234</c:v>
                </c:pt>
                <c:pt idx="44">
                  <c:v>1.4776061852115239</c:v>
                </c:pt>
                <c:pt idx="45">
                  <c:v>1.5104418782162243</c:v>
                </c:pt>
                <c:pt idx="46">
                  <c:v>1.5432775712209248</c:v>
                </c:pt>
                <c:pt idx="47">
                  <c:v>1.5761132642256253</c:v>
                </c:pt>
                <c:pt idx="48">
                  <c:v>1.6089489572303257</c:v>
                </c:pt>
                <c:pt idx="49">
                  <c:v>1.6417846502350262</c:v>
                </c:pt>
                <c:pt idx="50">
                  <c:v>1.6746203432397266</c:v>
                </c:pt>
                <c:pt idx="51">
                  <c:v>1.7074560362444271</c:v>
                </c:pt>
              </c:numCache>
            </c:numRef>
          </c:val>
          <c:smooth val="0"/>
          <c:extLst xmlns:c15="http://schemas.microsoft.com/office/drawing/2012/chart">
            <c:ext xmlns:c16="http://schemas.microsoft.com/office/drawing/2014/chart" uri="{C3380CC4-5D6E-409C-BE32-E72D297353CC}">
              <c16:uniqueId val="{00000006-65DA-4BBF-AEF9-7AE9BC17429B}"/>
            </c:ext>
          </c:extLst>
        </c:ser>
        <c:dLbls>
          <c:showLegendKey val="0"/>
          <c:showVal val="0"/>
          <c:showCatName val="0"/>
          <c:showSerName val="0"/>
          <c:showPercent val="0"/>
          <c:showBubbleSize val="0"/>
        </c:dLbls>
        <c:smooth val="0"/>
        <c:axId val="1388952432"/>
        <c:axId val="1388953088"/>
        <c:extLst>
          <c:ext xmlns:c15="http://schemas.microsoft.com/office/drawing/2012/chart" uri="{02D57815-91ED-43cb-92C2-25804820EDAC}">
            <c15:filteredLineSeries>
              <c15:ser>
                <c:idx val="3"/>
                <c:order val="1"/>
                <c:tx>
                  <c:strRef>
                    <c:extLst>
                      <c:ext uri="{02D57815-91ED-43cb-92C2-25804820EDAC}">
                        <c15:formulaRef>
                          <c15:sqref>'OZL Summary'!$BO$6:$BO$7</c15:sqref>
                        </c15:formulaRef>
                      </c:ext>
                    </c:extLst>
                    <c:strCache>
                      <c:ptCount val="2"/>
                      <c:pt idx="0">
                        <c:v>Min</c:v>
                      </c:pt>
                    </c:strCache>
                  </c:strRef>
                </c:tx>
                <c:marker>
                  <c:symbol val="none"/>
                </c:marker>
                <c:cat>
                  <c:numRef>
                    <c:extLst>
                      <c:ext uri="{02D57815-91ED-43cb-92C2-25804820EDAC}">
                        <c15:formulaRef>
                          <c15:sqref>'OZL Summary'!$DD$8:$DD$60</c15:sqref>
                        </c15:formulaRef>
                      </c:ext>
                    </c:extLst>
                    <c:numCache>
                      <c:formatCode>d\-mmm\-yy_);\(###0\);"-  ";" "@" "</c:formatCode>
                      <c:ptCount val="53"/>
                      <c:pt idx="0">
                        <c:v>45111</c:v>
                      </c:pt>
                      <c:pt idx="1">
                        <c:v>45118</c:v>
                      </c:pt>
                      <c:pt idx="2">
                        <c:v>45125</c:v>
                      </c:pt>
                      <c:pt idx="3">
                        <c:v>45132</c:v>
                      </c:pt>
                      <c:pt idx="4">
                        <c:v>45139</c:v>
                      </c:pt>
                      <c:pt idx="5">
                        <c:v>45146</c:v>
                      </c:pt>
                      <c:pt idx="6">
                        <c:v>45153</c:v>
                      </c:pt>
                      <c:pt idx="7">
                        <c:v>45160</c:v>
                      </c:pt>
                      <c:pt idx="8">
                        <c:v>45167</c:v>
                      </c:pt>
                      <c:pt idx="9">
                        <c:v>45174</c:v>
                      </c:pt>
                      <c:pt idx="10">
                        <c:v>45181</c:v>
                      </c:pt>
                      <c:pt idx="11">
                        <c:v>45188</c:v>
                      </c:pt>
                      <c:pt idx="12">
                        <c:v>45195</c:v>
                      </c:pt>
                      <c:pt idx="13">
                        <c:v>45202</c:v>
                      </c:pt>
                      <c:pt idx="14">
                        <c:v>45209</c:v>
                      </c:pt>
                      <c:pt idx="15">
                        <c:v>45216</c:v>
                      </c:pt>
                      <c:pt idx="16">
                        <c:v>45223</c:v>
                      </c:pt>
                      <c:pt idx="17">
                        <c:v>45230</c:v>
                      </c:pt>
                      <c:pt idx="18">
                        <c:v>45237</c:v>
                      </c:pt>
                      <c:pt idx="19">
                        <c:v>45244</c:v>
                      </c:pt>
                      <c:pt idx="20">
                        <c:v>45251</c:v>
                      </c:pt>
                      <c:pt idx="21">
                        <c:v>45258</c:v>
                      </c:pt>
                      <c:pt idx="22">
                        <c:v>45265</c:v>
                      </c:pt>
                      <c:pt idx="23">
                        <c:v>45272</c:v>
                      </c:pt>
                      <c:pt idx="24">
                        <c:v>45279</c:v>
                      </c:pt>
                      <c:pt idx="25">
                        <c:v>45286</c:v>
                      </c:pt>
                      <c:pt idx="26">
                        <c:v>45293</c:v>
                      </c:pt>
                      <c:pt idx="27">
                        <c:v>45300</c:v>
                      </c:pt>
                      <c:pt idx="28">
                        <c:v>45307</c:v>
                      </c:pt>
                      <c:pt idx="29">
                        <c:v>45314</c:v>
                      </c:pt>
                      <c:pt idx="30">
                        <c:v>45321</c:v>
                      </c:pt>
                      <c:pt idx="31">
                        <c:v>45328</c:v>
                      </c:pt>
                      <c:pt idx="32">
                        <c:v>45335</c:v>
                      </c:pt>
                      <c:pt idx="33">
                        <c:v>45342</c:v>
                      </c:pt>
                      <c:pt idx="34">
                        <c:v>45349</c:v>
                      </c:pt>
                      <c:pt idx="35">
                        <c:v>45356</c:v>
                      </c:pt>
                      <c:pt idx="36">
                        <c:v>45363</c:v>
                      </c:pt>
                      <c:pt idx="37">
                        <c:v>45370</c:v>
                      </c:pt>
                      <c:pt idx="38">
                        <c:v>45377</c:v>
                      </c:pt>
                      <c:pt idx="39">
                        <c:v>45384</c:v>
                      </c:pt>
                      <c:pt idx="40">
                        <c:v>45391</c:v>
                      </c:pt>
                      <c:pt idx="41">
                        <c:v>45398</c:v>
                      </c:pt>
                      <c:pt idx="42">
                        <c:v>45405</c:v>
                      </c:pt>
                      <c:pt idx="43">
                        <c:v>45412</c:v>
                      </c:pt>
                      <c:pt idx="44">
                        <c:v>45419</c:v>
                      </c:pt>
                      <c:pt idx="45">
                        <c:v>45426</c:v>
                      </c:pt>
                      <c:pt idx="46">
                        <c:v>45433</c:v>
                      </c:pt>
                      <c:pt idx="47">
                        <c:v>45440</c:v>
                      </c:pt>
                      <c:pt idx="48">
                        <c:v>45447</c:v>
                      </c:pt>
                      <c:pt idx="49">
                        <c:v>45454</c:v>
                      </c:pt>
                      <c:pt idx="50">
                        <c:v>45461</c:v>
                      </c:pt>
                      <c:pt idx="51">
                        <c:v>45468</c:v>
                      </c:pt>
                    </c:numCache>
                  </c:numRef>
                </c:cat>
                <c:val>
                  <c:numRef>
                    <c:extLst>
                      <c:ext uri="{02D57815-91ED-43cb-92C2-25804820EDAC}">
                        <c15:formulaRef>
                          <c15:sqref>'OZL Summary'!$BO$8:$BO$60</c15:sqref>
                        </c15:formulaRef>
                      </c:ext>
                    </c:extLst>
                    <c:numCache>
                      <c:formatCode>0.000</c:formatCode>
                      <c:ptCount val="53"/>
                      <c:pt idx="0">
                        <c:v>1.6032204874777817E-2</c:v>
                      </c:pt>
                      <c:pt idx="1">
                        <c:v>3.2064409749555635E-2</c:v>
                      </c:pt>
                      <c:pt idx="2">
                        <c:v>4.8096614624333456E-2</c:v>
                      </c:pt>
                      <c:pt idx="3">
                        <c:v>6.412881949911127E-2</c:v>
                      </c:pt>
                      <c:pt idx="4">
                        <c:v>8.0161024373889084E-2</c:v>
                      </c:pt>
                      <c:pt idx="5">
                        <c:v>9.6193229248666898E-2</c:v>
                      </c:pt>
                      <c:pt idx="6">
                        <c:v>0.11222543412344471</c:v>
                      </c:pt>
                      <c:pt idx="7">
                        <c:v>0.12825763899822254</c:v>
                      </c:pt>
                      <c:pt idx="8">
                        <c:v>0.14428984387300037</c:v>
                      </c:pt>
                      <c:pt idx="9">
                        <c:v>0.1603220487477782</c:v>
                      </c:pt>
                      <c:pt idx="10">
                        <c:v>0.17635425362255602</c:v>
                      </c:pt>
                      <c:pt idx="11">
                        <c:v>0.19238645849733385</c:v>
                      </c:pt>
                      <c:pt idx="12">
                        <c:v>0.20841866337211168</c:v>
                      </c:pt>
                      <c:pt idx="13">
                        <c:v>0.22445086824688951</c:v>
                      </c:pt>
                      <c:pt idx="14">
                        <c:v>0.24048307312166733</c:v>
                      </c:pt>
                      <c:pt idx="15">
                        <c:v>0.25651527799644513</c:v>
                      </c:pt>
                      <c:pt idx="16">
                        <c:v>0.27254748287122293</c:v>
                      </c:pt>
                      <c:pt idx="17">
                        <c:v>0.28857968774600073</c:v>
                      </c:pt>
                      <c:pt idx="18">
                        <c:v>0.30461189262077853</c:v>
                      </c:pt>
                      <c:pt idx="19">
                        <c:v>0.32064409749555633</c:v>
                      </c:pt>
                      <c:pt idx="20">
                        <c:v>0.33667630237033414</c:v>
                      </c:pt>
                      <c:pt idx="21">
                        <c:v>0.35270850724511194</c:v>
                      </c:pt>
                      <c:pt idx="22">
                        <c:v>0.36874071211988974</c:v>
                      </c:pt>
                      <c:pt idx="23">
                        <c:v>0.38477291699466754</c:v>
                      </c:pt>
                      <c:pt idx="24">
                        <c:v>0.40080512186944534</c:v>
                      </c:pt>
                      <c:pt idx="25">
                        <c:v>0.41683732674422314</c:v>
                      </c:pt>
                      <c:pt idx="26">
                        <c:v>0.43286953161900094</c:v>
                      </c:pt>
                      <c:pt idx="27">
                        <c:v>0.44890173649377874</c:v>
                      </c:pt>
                      <c:pt idx="28">
                        <c:v>0.46493394136855654</c:v>
                      </c:pt>
                      <c:pt idx="29">
                        <c:v>0.48096614624333434</c:v>
                      </c:pt>
                      <c:pt idx="30">
                        <c:v>0.49699835111811214</c:v>
                      </c:pt>
                      <c:pt idx="31">
                        <c:v>0.51303055599288994</c:v>
                      </c:pt>
                      <c:pt idx="32">
                        <c:v>0.52906276086766779</c:v>
                      </c:pt>
                      <c:pt idx="33">
                        <c:v>0.54509496574244565</c:v>
                      </c:pt>
                      <c:pt idx="34">
                        <c:v>0.5611271706172235</c:v>
                      </c:pt>
                      <c:pt idx="35">
                        <c:v>0.57715937549200136</c:v>
                      </c:pt>
                      <c:pt idx="36">
                        <c:v>0.59319158036677921</c:v>
                      </c:pt>
                      <c:pt idx="37">
                        <c:v>0.60922378524155707</c:v>
                      </c:pt>
                      <c:pt idx="38">
                        <c:v>0.62525599011633493</c:v>
                      </c:pt>
                      <c:pt idx="39">
                        <c:v>0.64128819499111278</c:v>
                      </c:pt>
                      <c:pt idx="40">
                        <c:v>0.65732039986589064</c:v>
                      </c:pt>
                      <c:pt idx="41">
                        <c:v>0.67335260474066849</c:v>
                      </c:pt>
                      <c:pt idx="42">
                        <c:v>0.68938480961544635</c:v>
                      </c:pt>
                      <c:pt idx="43">
                        <c:v>0.7054170144902242</c:v>
                      </c:pt>
                      <c:pt idx="44">
                        <c:v>0.72144921936500206</c:v>
                      </c:pt>
                      <c:pt idx="45">
                        <c:v>0.73748142423977991</c:v>
                      </c:pt>
                      <c:pt idx="46">
                        <c:v>0.75351362911455777</c:v>
                      </c:pt>
                      <c:pt idx="47">
                        <c:v>0.76954583398933563</c:v>
                      </c:pt>
                      <c:pt idx="48">
                        <c:v>0.78557803886411348</c:v>
                      </c:pt>
                      <c:pt idx="49">
                        <c:v>0.80161024373889134</c:v>
                      </c:pt>
                      <c:pt idx="50">
                        <c:v>0.81764244861366919</c:v>
                      </c:pt>
                      <c:pt idx="51">
                        <c:v>0.83367465348844705</c:v>
                      </c:pt>
                    </c:numCache>
                  </c:numRef>
                </c:val>
                <c:smooth val="0"/>
                <c:extLst>
                  <c:ext xmlns:c16="http://schemas.microsoft.com/office/drawing/2014/chart" uri="{C3380CC4-5D6E-409C-BE32-E72D297353CC}">
                    <c16:uniqueId val="{00000007-65DA-4BBF-AEF9-7AE9BC17429B}"/>
                  </c:ext>
                </c:extLst>
              </c15:ser>
            </c15:filteredLineSeries>
            <c15:filteredLineSeries>
              <c15:ser>
                <c:idx val="5"/>
                <c:order val="2"/>
                <c:tx>
                  <c:strRef>
                    <c:extLst xmlns:c15="http://schemas.microsoft.com/office/drawing/2012/chart">
                      <c:ext xmlns:c15="http://schemas.microsoft.com/office/drawing/2012/chart" uri="{02D57815-91ED-43cb-92C2-25804820EDAC}">
                        <c15:formulaRef>
                          <c15:sqref>'OZL Summary'!$BP$6:$BP$7</c15:sqref>
                        </c15:formulaRef>
                      </c:ext>
                    </c:extLst>
                    <c:strCache>
                      <c:ptCount val="2"/>
                      <c:pt idx="0">
                        <c:v>1st Percentile</c:v>
                      </c:pt>
                    </c:strCache>
                  </c:strRef>
                </c:tx>
                <c:marker>
                  <c:symbol val="none"/>
                </c:marker>
                <c:cat>
                  <c:numRef>
                    <c:extLst xmlns:c15="http://schemas.microsoft.com/office/drawing/2012/chart">
                      <c:ext xmlns:c15="http://schemas.microsoft.com/office/drawing/2012/chart" uri="{02D57815-91ED-43cb-92C2-25804820EDAC}">
                        <c15:formulaRef>
                          <c15:sqref>'OZL Summary'!$DD$8:$DD$60</c15:sqref>
                        </c15:formulaRef>
                      </c:ext>
                    </c:extLst>
                    <c:numCache>
                      <c:formatCode>d\-mmm\-yy_);\(###0\);"-  ";" "@" "</c:formatCode>
                      <c:ptCount val="53"/>
                      <c:pt idx="0">
                        <c:v>45111</c:v>
                      </c:pt>
                      <c:pt idx="1">
                        <c:v>45118</c:v>
                      </c:pt>
                      <c:pt idx="2">
                        <c:v>45125</c:v>
                      </c:pt>
                      <c:pt idx="3">
                        <c:v>45132</c:v>
                      </c:pt>
                      <c:pt idx="4">
                        <c:v>45139</c:v>
                      </c:pt>
                      <c:pt idx="5">
                        <c:v>45146</c:v>
                      </c:pt>
                      <c:pt idx="6">
                        <c:v>45153</c:v>
                      </c:pt>
                      <c:pt idx="7">
                        <c:v>45160</c:v>
                      </c:pt>
                      <c:pt idx="8">
                        <c:v>45167</c:v>
                      </c:pt>
                      <c:pt idx="9">
                        <c:v>45174</c:v>
                      </c:pt>
                      <c:pt idx="10">
                        <c:v>45181</c:v>
                      </c:pt>
                      <c:pt idx="11">
                        <c:v>45188</c:v>
                      </c:pt>
                      <c:pt idx="12">
                        <c:v>45195</c:v>
                      </c:pt>
                      <c:pt idx="13">
                        <c:v>45202</c:v>
                      </c:pt>
                      <c:pt idx="14">
                        <c:v>45209</c:v>
                      </c:pt>
                      <c:pt idx="15">
                        <c:v>45216</c:v>
                      </c:pt>
                      <c:pt idx="16">
                        <c:v>45223</c:v>
                      </c:pt>
                      <c:pt idx="17">
                        <c:v>45230</c:v>
                      </c:pt>
                      <c:pt idx="18">
                        <c:v>45237</c:v>
                      </c:pt>
                      <c:pt idx="19">
                        <c:v>45244</c:v>
                      </c:pt>
                      <c:pt idx="20">
                        <c:v>45251</c:v>
                      </c:pt>
                      <c:pt idx="21">
                        <c:v>45258</c:v>
                      </c:pt>
                      <c:pt idx="22">
                        <c:v>45265</c:v>
                      </c:pt>
                      <c:pt idx="23">
                        <c:v>45272</c:v>
                      </c:pt>
                      <c:pt idx="24">
                        <c:v>45279</c:v>
                      </c:pt>
                      <c:pt idx="25">
                        <c:v>45286</c:v>
                      </c:pt>
                      <c:pt idx="26">
                        <c:v>45293</c:v>
                      </c:pt>
                      <c:pt idx="27">
                        <c:v>45300</c:v>
                      </c:pt>
                      <c:pt idx="28">
                        <c:v>45307</c:v>
                      </c:pt>
                      <c:pt idx="29">
                        <c:v>45314</c:v>
                      </c:pt>
                      <c:pt idx="30">
                        <c:v>45321</c:v>
                      </c:pt>
                      <c:pt idx="31">
                        <c:v>45328</c:v>
                      </c:pt>
                      <c:pt idx="32">
                        <c:v>45335</c:v>
                      </c:pt>
                      <c:pt idx="33">
                        <c:v>45342</c:v>
                      </c:pt>
                      <c:pt idx="34">
                        <c:v>45349</c:v>
                      </c:pt>
                      <c:pt idx="35">
                        <c:v>45356</c:v>
                      </c:pt>
                      <c:pt idx="36">
                        <c:v>45363</c:v>
                      </c:pt>
                      <c:pt idx="37">
                        <c:v>45370</c:v>
                      </c:pt>
                      <c:pt idx="38">
                        <c:v>45377</c:v>
                      </c:pt>
                      <c:pt idx="39">
                        <c:v>45384</c:v>
                      </c:pt>
                      <c:pt idx="40">
                        <c:v>45391</c:v>
                      </c:pt>
                      <c:pt idx="41">
                        <c:v>45398</c:v>
                      </c:pt>
                      <c:pt idx="42">
                        <c:v>45405</c:v>
                      </c:pt>
                      <c:pt idx="43">
                        <c:v>45412</c:v>
                      </c:pt>
                      <c:pt idx="44">
                        <c:v>45419</c:v>
                      </c:pt>
                      <c:pt idx="45">
                        <c:v>45426</c:v>
                      </c:pt>
                      <c:pt idx="46">
                        <c:v>45433</c:v>
                      </c:pt>
                      <c:pt idx="47">
                        <c:v>45440</c:v>
                      </c:pt>
                      <c:pt idx="48">
                        <c:v>45447</c:v>
                      </c:pt>
                      <c:pt idx="49">
                        <c:v>45454</c:v>
                      </c:pt>
                      <c:pt idx="50">
                        <c:v>45461</c:v>
                      </c:pt>
                      <c:pt idx="51">
                        <c:v>45468</c:v>
                      </c:pt>
                    </c:numCache>
                  </c:numRef>
                </c:cat>
                <c:val>
                  <c:numRef>
                    <c:extLst xmlns:c15="http://schemas.microsoft.com/office/drawing/2012/chart">
                      <c:ext xmlns:c15="http://schemas.microsoft.com/office/drawing/2012/chart" uri="{02D57815-91ED-43cb-92C2-25804820EDAC}">
                        <c15:formulaRef>
                          <c15:sqref>'OZL Summary'!$BP$8:$BP$60</c15:sqref>
                        </c15:formulaRef>
                      </c:ext>
                    </c:extLst>
                    <c:numCache>
                      <c:formatCode>0.000</c:formatCode>
                      <c:ptCount val="53"/>
                      <c:pt idx="0">
                        <c:v>1.8223138082807688E-2</c:v>
                      </c:pt>
                      <c:pt idx="1">
                        <c:v>3.6446276165615375E-2</c:v>
                      </c:pt>
                      <c:pt idx="2">
                        <c:v>5.4669414248423059E-2</c:v>
                      </c:pt>
                      <c:pt idx="3">
                        <c:v>7.2892552331230751E-2</c:v>
                      </c:pt>
                      <c:pt idx="4">
                        <c:v>9.1115690414038442E-2</c:v>
                      </c:pt>
                      <c:pt idx="5">
                        <c:v>0.10933882849684613</c:v>
                      </c:pt>
                      <c:pt idx="6">
                        <c:v>0.12756196657965382</c:v>
                      </c:pt>
                      <c:pt idx="7">
                        <c:v>0.1457851046624615</c:v>
                      </c:pt>
                      <c:pt idx="8">
                        <c:v>0.16400824274526918</c:v>
                      </c:pt>
                      <c:pt idx="9">
                        <c:v>0.18223138082807686</c:v>
                      </c:pt>
                      <c:pt idx="10">
                        <c:v>0.20045451891088453</c:v>
                      </c:pt>
                      <c:pt idx="11">
                        <c:v>0.21867765699369221</c:v>
                      </c:pt>
                      <c:pt idx="12">
                        <c:v>0.23690079507649989</c:v>
                      </c:pt>
                      <c:pt idx="13">
                        <c:v>0.25512393315930759</c:v>
                      </c:pt>
                      <c:pt idx="14">
                        <c:v>0.27334707124211527</c:v>
                      </c:pt>
                      <c:pt idx="15">
                        <c:v>0.29157020932492295</c:v>
                      </c:pt>
                      <c:pt idx="16">
                        <c:v>0.30979334740773062</c:v>
                      </c:pt>
                      <c:pt idx="17">
                        <c:v>0.3280164854905383</c:v>
                      </c:pt>
                      <c:pt idx="18">
                        <c:v>0.34623962357334598</c:v>
                      </c:pt>
                      <c:pt idx="19">
                        <c:v>0.36446276165615366</c:v>
                      </c:pt>
                      <c:pt idx="20">
                        <c:v>0.38268589973896133</c:v>
                      </c:pt>
                      <c:pt idx="21">
                        <c:v>0.40090903782176901</c:v>
                      </c:pt>
                      <c:pt idx="22">
                        <c:v>0.41913217590457669</c:v>
                      </c:pt>
                      <c:pt idx="23">
                        <c:v>0.43735531398738436</c:v>
                      </c:pt>
                      <c:pt idx="24">
                        <c:v>0.45557845207019204</c:v>
                      </c:pt>
                      <c:pt idx="25">
                        <c:v>0.47380159015299972</c:v>
                      </c:pt>
                      <c:pt idx="26">
                        <c:v>0.4920247282358074</c:v>
                      </c:pt>
                      <c:pt idx="27">
                        <c:v>0.51024786631861507</c:v>
                      </c:pt>
                      <c:pt idx="28">
                        <c:v>0.52847100440142281</c:v>
                      </c:pt>
                      <c:pt idx="29">
                        <c:v>0.54669414248423054</c:v>
                      </c:pt>
                      <c:pt idx="30">
                        <c:v>0.56491728056703827</c:v>
                      </c:pt>
                      <c:pt idx="31">
                        <c:v>0.583140418649846</c:v>
                      </c:pt>
                      <c:pt idx="32">
                        <c:v>0.60136355673265374</c:v>
                      </c:pt>
                      <c:pt idx="33">
                        <c:v>0.61958669481546147</c:v>
                      </c:pt>
                      <c:pt idx="34">
                        <c:v>0.6378098328982692</c:v>
                      </c:pt>
                      <c:pt idx="35">
                        <c:v>0.65603297098107693</c:v>
                      </c:pt>
                      <c:pt idx="36">
                        <c:v>0.67425610906388467</c:v>
                      </c:pt>
                      <c:pt idx="37">
                        <c:v>0.6924792471466924</c:v>
                      </c:pt>
                      <c:pt idx="38">
                        <c:v>0.71070238522950013</c:v>
                      </c:pt>
                      <c:pt idx="39">
                        <c:v>0.72892552331230787</c:v>
                      </c:pt>
                      <c:pt idx="40">
                        <c:v>0.7471486613951156</c:v>
                      </c:pt>
                      <c:pt idx="41">
                        <c:v>0.76537179947792333</c:v>
                      </c:pt>
                      <c:pt idx="42">
                        <c:v>0.78359493756073106</c:v>
                      </c:pt>
                      <c:pt idx="43">
                        <c:v>0.8018180756435388</c:v>
                      </c:pt>
                      <c:pt idx="44">
                        <c:v>0.82004121372634653</c:v>
                      </c:pt>
                      <c:pt idx="45">
                        <c:v>0.83826435180915426</c:v>
                      </c:pt>
                      <c:pt idx="46">
                        <c:v>0.85648748989196199</c:v>
                      </c:pt>
                      <c:pt idx="47">
                        <c:v>0.87471062797476973</c:v>
                      </c:pt>
                      <c:pt idx="48">
                        <c:v>0.89293376605757746</c:v>
                      </c:pt>
                      <c:pt idx="49">
                        <c:v>0.91115690414038519</c:v>
                      </c:pt>
                      <c:pt idx="50">
                        <c:v>0.92938004222319293</c:v>
                      </c:pt>
                      <c:pt idx="51">
                        <c:v>0.94760318030600066</c:v>
                      </c:pt>
                    </c:numCache>
                  </c:numRef>
                </c:val>
                <c:smooth val="0"/>
                <c:extLst xmlns:c15="http://schemas.microsoft.com/office/drawing/2012/chart">
                  <c:ext xmlns:c16="http://schemas.microsoft.com/office/drawing/2014/chart" uri="{C3380CC4-5D6E-409C-BE32-E72D297353CC}">
                    <c16:uniqueId val="{00000008-65DA-4BBF-AEF9-7AE9BC17429B}"/>
                  </c:ext>
                </c:extLst>
              </c15:ser>
            </c15:filteredLineSeries>
            <c15:filteredLineSeries>
              <c15:ser>
                <c:idx val="1"/>
                <c:order val="4"/>
                <c:tx>
                  <c:strRef>
                    <c:extLst xmlns:c15="http://schemas.microsoft.com/office/drawing/2012/chart">
                      <c:ext xmlns:c15="http://schemas.microsoft.com/office/drawing/2012/chart" uri="{02D57815-91ED-43cb-92C2-25804820EDAC}">
                        <c15:formulaRef>
                          <c15:sqref>'OZL Summary'!$BR$6:$BR$7</c15:sqref>
                        </c15:formulaRef>
                      </c:ext>
                    </c:extLst>
                    <c:strCache>
                      <c:ptCount val="2"/>
                      <c:pt idx="0">
                        <c:v>10th Percentile</c:v>
                      </c:pt>
                    </c:strCache>
                  </c:strRef>
                </c:tx>
                <c:marker>
                  <c:symbol val="none"/>
                </c:marker>
                <c:cat>
                  <c:numRef>
                    <c:extLst xmlns:c15="http://schemas.microsoft.com/office/drawing/2012/chart">
                      <c:ext xmlns:c15="http://schemas.microsoft.com/office/drawing/2012/chart" uri="{02D57815-91ED-43cb-92C2-25804820EDAC}">
                        <c15:formulaRef>
                          <c15:sqref>'OZL Summary'!$DD$8:$DD$60</c15:sqref>
                        </c15:formulaRef>
                      </c:ext>
                    </c:extLst>
                    <c:numCache>
                      <c:formatCode>d\-mmm\-yy_);\(###0\);"-  ";" "@" "</c:formatCode>
                      <c:ptCount val="53"/>
                      <c:pt idx="0">
                        <c:v>45111</c:v>
                      </c:pt>
                      <c:pt idx="1">
                        <c:v>45118</c:v>
                      </c:pt>
                      <c:pt idx="2">
                        <c:v>45125</c:v>
                      </c:pt>
                      <c:pt idx="3">
                        <c:v>45132</c:v>
                      </c:pt>
                      <c:pt idx="4">
                        <c:v>45139</c:v>
                      </c:pt>
                      <c:pt idx="5">
                        <c:v>45146</c:v>
                      </c:pt>
                      <c:pt idx="6">
                        <c:v>45153</c:v>
                      </c:pt>
                      <c:pt idx="7">
                        <c:v>45160</c:v>
                      </c:pt>
                      <c:pt idx="8">
                        <c:v>45167</c:v>
                      </c:pt>
                      <c:pt idx="9">
                        <c:v>45174</c:v>
                      </c:pt>
                      <c:pt idx="10">
                        <c:v>45181</c:v>
                      </c:pt>
                      <c:pt idx="11">
                        <c:v>45188</c:v>
                      </c:pt>
                      <c:pt idx="12">
                        <c:v>45195</c:v>
                      </c:pt>
                      <c:pt idx="13">
                        <c:v>45202</c:v>
                      </c:pt>
                      <c:pt idx="14">
                        <c:v>45209</c:v>
                      </c:pt>
                      <c:pt idx="15">
                        <c:v>45216</c:v>
                      </c:pt>
                      <c:pt idx="16">
                        <c:v>45223</c:v>
                      </c:pt>
                      <c:pt idx="17">
                        <c:v>45230</c:v>
                      </c:pt>
                      <c:pt idx="18">
                        <c:v>45237</c:v>
                      </c:pt>
                      <c:pt idx="19">
                        <c:v>45244</c:v>
                      </c:pt>
                      <c:pt idx="20">
                        <c:v>45251</c:v>
                      </c:pt>
                      <c:pt idx="21">
                        <c:v>45258</c:v>
                      </c:pt>
                      <c:pt idx="22">
                        <c:v>45265</c:v>
                      </c:pt>
                      <c:pt idx="23">
                        <c:v>45272</c:v>
                      </c:pt>
                      <c:pt idx="24">
                        <c:v>45279</c:v>
                      </c:pt>
                      <c:pt idx="25">
                        <c:v>45286</c:v>
                      </c:pt>
                      <c:pt idx="26">
                        <c:v>45293</c:v>
                      </c:pt>
                      <c:pt idx="27">
                        <c:v>45300</c:v>
                      </c:pt>
                      <c:pt idx="28">
                        <c:v>45307</c:v>
                      </c:pt>
                      <c:pt idx="29">
                        <c:v>45314</c:v>
                      </c:pt>
                      <c:pt idx="30">
                        <c:v>45321</c:v>
                      </c:pt>
                      <c:pt idx="31">
                        <c:v>45328</c:v>
                      </c:pt>
                      <c:pt idx="32">
                        <c:v>45335</c:v>
                      </c:pt>
                      <c:pt idx="33">
                        <c:v>45342</c:v>
                      </c:pt>
                      <c:pt idx="34">
                        <c:v>45349</c:v>
                      </c:pt>
                      <c:pt idx="35">
                        <c:v>45356</c:v>
                      </c:pt>
                      <c:pt idx="36">
                        <c:v>45363</c:v>
                      </c:pt>
                      <c:pt idx="37">
                        <c:v>45370</c:v>
                      </c:pt>
                      <c:pt idx="38">
                        <c:v>45377</c:v>
                      </c:pt>
                      <c:pt idx="39">
                        <c:v>45384</c:v>
                      </c:pt>
                      <c:pt idx="40">
                        <c:v>45391</c:v>
                      </c:pt>
                      <c:pt idx="41">
                        <c:v>45398</c:v>
                      </c:pt>
                      <c:pt idx="42">
                        <c:v>45405</c:v>
                      </c:pt>
                      <c:pt idx="43">
                        <c:v>45412</c:v>
                      </c:pt>
                      <c:pt idx="44">
                        <c:v>45419</c:v>
                      </c:pt>
                      <c:pt idx="45">
                        <c:v>45426</c:v>
                      </c:pt>
                      <c:pt idx="46">
                        <c:v>45433</c:v>
                      </c:pt>
                      <c:pt idx="47">
                        <c:v>45440</c:v>
                      </c:pt>
                      <c:pt idx="48">
                        <c:v>45447</c:v>
                      </c:pt>
                      <c:pt idx="49">
                        <c:v>45454</c:v>
                      </c:pt>
                      <c:pt idx="50">
                        <c:v>45461</c:v>
                      </c:pt>
                      <c:pt idx="51">
                        <c:v>45468</c:v>
                      </c:pt>
                    </c:numCache>
                  </c:numRef>
                </c:cat>
                <c:val>
                  <c:numRef>
                    <c:extLst xmlns:c15="http://schemas.microsoft.com/office/drawing/2012/chart">
                      <c:ext xmlns:c15="http://schemas.microsoft.com/office/drawing/2012/chart" uri="{02D57815-91ED-43cb-92C2-25804820EDAC}">
                        <c15:formulaRef>
                          <c15:sqref>'OZL Summary'!$BR$8:$BR$60</c15:sqref>
                        </c15:formulaRef>
                      </c:ext>
                    </c:extLst>
                    <c:numCache>
                      <c:formatCode>0.000</c:formatCode>
                      <c:ptCount val="53"/>
                      <c:pt idx="0">
                        <c:v>2.0199848897457344E-2</c:v>
                      </c:pt>
                      <c:pt idx="1">
                        <c:v>4.0399697794914688E-2</c:v>
                      </c:pt>
                      <c:pt idx="2">
                        <c:v>6.0599546692372032E-2</c:v>
                      </c:pt>
                      <c:pt idx="3">
                        <c:v>8.0799395589829376E-2</c:v>
                      </c:pt>
                      <c:pt idx="4">
                        <c:v>0.10099924448728673</c:v>
                      </c:pt>
                      <c:pt idx="5">
                        <c:v>0.12119909338474408</c:v>
                      </c:pt>
                      <c:pt idx="6">
                        <c:v>0.14139894228220143</c:v>
                      </c:pt>
                      <c:pt idx="7">
                        <c:v>0.16159879117965878</c:v>
                      </c:pt>
                      <c:pt idx="8">
                        <c:v>0.18179864007711613</c:v>
                      </c:pt>
                      <c:pt idx="9">
                        <c:v>0.20199848897457348</c:v>
                      </c:pt>
                      <c:pt idx="10">
                        <c:v>0.22219833787203083</c:v>
                      </c:pt>
                      <c:pt idx="11">
                        <c:v>0.24239818676948818</c:v>
                      </c:pt>
                      <c:pt idx="12">
                        <c:v>0.26259803566694551</c:v>
                      </c:pt>
                      <c:pt idx="13">
                        <c:v>0.28279788456440286</c:v>
                      </c:pt>
                      <c:pt idx="14">
                        <c:v>0.30299773346186021</c:v>
                      </c:pt>
                      <c:pt idx="15">
                        <c:v>0.32319758235931756</c:v>
                      </c:pt>
                      <c:pt idx="16">
                        <c:v>0.34339743125677491</c:v>
                      </c:pt>
                      <c:pt idx="17">
                        <c:v>0.36359728015423226</c:v>
                      </c:pt>
                      <c:pt idx="18">
                        <c:v>0.38379712905168961</c:v>
                      </c:pt>
                      <c:pt idx="19">
                        <c:v>0.40399697794914696</c:v>
                      </c:pt>
                      <c:pt idx="20">
                        <c:v>0.42419682684660431</c:v>
                      </c:pt>
                      <c:pt idx="21">
                        <c:v>0.44439667574406166</c:v>
                      </c:pt>
                      <c:pt idx="22">
                        <c:v>0.46459652464151902</c:v>
                      </c:pt>
                      <c:pt idx="23">
                        <c:v>0.48479637353897637</c:v>
                      </c:pt>
                      <c:pt idx="24">
                        <c:v>0.50499622243643372</c:v>
                      </c:pt>
                      <c:pt idx="25">
                        <c:v>0.52519607133389101</c:v>
                      </c:pt>
                      <c:pt idx="26">
                        <c:v>0.54539592023134831</c:v>
                      </c:pt>
                      <c:pt idx="27">
                        <c:v>0.5655957691288056</c:v>
                      </c:pt>
                      <c:pt idx="28">
                        <c:v>0.5857956180262629</c:v>
                      </c:pt>
                      <c:pt idx="29">
                        <c:v>0.60599546692372019</c:v>
                      </c:pt>
                      <c:pt idx="30">
                        <c:v>0.62619531582117749</c:v>
                      </c:pt>
                      <c:pt idx="31">
                        <c:v>0.64639516471863478</c:v>
                      </c:pt>
                      <c:pt idx="32">
                        <c:v>0.66659501361609208</c:v>
                      </c:pt>
                      <c:pt idx="33">
                        <c:v>0.68679486251354938</c:v>
                      </c:pt>
                      <c:pt idx="34">
                        <c:v>0.70699471141100667</c:v>
                      </c:pt>
                      <c:pt idx="35">
                        <c:v>0.72719456030846397</c:v>
                      </c:pt>
                      <c:pt idx="36">
                        <c:v>0.74739440920592126</c:v>
                      </c:pt>
                      <c:pt idx="37">
                        <c:v>0.76759425810337856</c:v>
                      </c:pt>
                      <c:pt idx="38">
                        <c:v>0.78779410700083585</c:v>
                      </c:pt>
                      <c:pt idx="39">
                        <c:v>0.80799395589829315</c:v>
                      </c:pt>
                      <c:pt idx="40">
                        <c:v>0.82819380479575044</c:v>
                      </c:pt>
                      <c:pt idx="41">
                        <c:v>0.84839365369320774</c:v>
                      </c:pt>
                      <c:pt idx="42">
                        <c:v>0.86859350259066503</c:v>
                      </c:pt>
                      <c:pt idx="43">
                        <c:v>0.88879335148812233</c:v>
                      </c:pt>
                      <c:pt idx="44">
                        <c:v>0.90899320038557962</c:v>
                      </c:pt>
                      <c:pt idx="45">
                        <c:v>0.92919304928303692</c:v>
                      </c:pt>
                      <c:pt idx="46">
                        <c:v>0.94939289818049422</c:v>
                      </c:pt>
                      <c:pt idx="47">
                        <c:v>0.96959274707795151</c:v>
                      </c:pt>
                      <c:pt idx="48">
                        <c:v>0.98979259597540881</c:v>
                      </c:pt>
                      <c:pt idx="49">
                        <c:v>1.0099924448728661</c:v>
                      </c:pt>
                      <c:pt idx="50">
                        <c:v>1.0301922937703234</c:v>
                      </c:pt>
                      <c:pt idx="51">
                        <c:v>1.0503921426677807</c:v>
                      </c:pt>
                    </c:numCache>
                  </c:numRef>
                </c:val>
                <c:smooth val="0"/>
                <c:extLst xmlns:c15="http://schemas.microsoft.com/office/drawing/2012/chart">
                  <c:ext xmlns:c16="http://schemas.microsoft.com/office/drawing/2014/chart" uri="{C3380CC4-5D6E-409C-BE32-E72D297353CC}">
                    <c16:uniqueId val="{00000009-65DA-4BBF-AEF9-7AE9BC17429B}"/>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'OZL Summary'!$BV$6:$BV$7</c15:sqref>
                        </c15:formulaRef>
                      </c:ext>
                    </c:extLst>
                    <c:strCache>
                      <c:ptCount val="2"/>
                      <c:pt idx="0">
                        <c:v>90th Percentile</c:v>
                      </c:pt>
                    </c:strCache>
                  </c:strRef>
                </c:tx>
                <c:spPr>
                  <a:ln w="28575" cap="rnd">
                    <a:solidFill>
                      <a:schemeClr val="accent6"/>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'OZL Summary'!$DD$8:$DD$60</c15:sqref>
                        </c15:formulaRef>
                      </c:ext>
                    </c:extLst>
                    <c:numCache>
                      <c:formatCode>d\-mmm\-yy_);\(###0\);"-  ";" "@" "</c:formatCode>
                      <c:ptCount val="53"/>
                      <c:pt idx="0">
                        <c:v>45111</c:v>
                      </c:pt>
                      <c:pt idx="1">
                        <c:v>45118</c:v>
                      </c:pt>
                      <c:pt idx="2">
                        <c:v>45125</c:v>
                      </c:pt>
                      <c:pt idx="3">
                        <c:v>45132</c:v>
                      </c:pt>
                      <c:pt idx="4">
                        <c:v>45139</c:v>
                      </c:pt>
                      <c:pt idx="5">
                        <c:v>45146</c:v>
                      </c:pt>
                      <c:pt idx="6">
                        <c:v>45153</c:v>
                      </c:pt>
                      <c:pt idx="7">
                        <c:v>45160</c:v>
                      </c:pt>
                      <c:pt idx="8">
                        <c:v>45167</c:v>
                      </c:pt>
                      <c:pt idx="9">
                        <c:v>45174</c:v>
                      </c:pt>
                      <c:pt idx="10">
                        <c:v>45181</c:v>
                      </c:pt>
                      <c:pt idx="11">
                        <c:v>45188</c:v>
                      </c:pt>
                      <c:pt idx="12">
                        <c:v>45195</c:v>
                      </c:pt>
                      <c:pt idx="13">
                        <c:v>45202</c:v>
                      </c:pt>
                      <c:pt idx="14">
                        <c:v>45209</c:v>
                      </c:pt>
                      <c:pt idx="15">
                        <c:v>45216</c:v>
                      </c:pt>
                      <c:pt idx="16">
                        <c:v>45223</c:v>
                      </c:pt>
                      <c:pt idx="17">
                        <c:v>45230</c:v>
                      </c:pt>
                      <c:pt idx="18">
                        <c:v>45237</c:v>
                      </c:pt>
                      <c:pt idx="19">
                        <c:v>45244</c:v>
                      </c:pt>
                      <c:pt idx="20">
                        <c:v>45251</c:v>
                      </c:pt>
                      <c:pt idx="21">
                        <c:v>45258</c:v>
                      </c:pt>
                      <c:pt idx="22">
                        <c:v>45265</c:v>
                      </c:pt>
                      <c:pt idx="23">
                        <c:v>45272</c:v>
                      </c:pt>
                      <c:pt idx="24">
                        <c:v>45279</c:v>
                      </c:pt>
                      <c:pt idx="25">
                        <c:v>45286</c:v>
                      </c:pt>
                      <c:pt idx="26">
                        <c:v>45293</c:v>
                      </c:pt>
                      <c:pt idx="27">
                        <c:v>45300</c:v>
                      </c:pt>
                      <c:pt idx="28">
                        <c:v>45307</c:v>
                      </c:pt>
                      <c:pt idx="29">
                        <c:v>45314</c:v>
                      </c:pt>
                      <c:pt idx="30">
                        <c:v>45321</c:v>
                      </c:pt>
                      <c:pt idx="31">
                        <c:v>45328</c:v>
                      </c:pt>
                      <c:pt idx="32">
                        <c:v>45335</c:v>
                      </c:pt>
                      <c:pt idx="33">
                        <c:v>45342</c:v>
                      </c:pt>
                      <c:pt idx="34">
                        <c:v>45349</c:v>
                      </c:pt>
                      <c:pt idx="35">
                        <c:v>45356</c:v>
                      </c:pt>
                      <c:pt idx="36">
                        <c:v>45363</c:v>
                      </c:pt>
                      <c:pt idx="37">
                        <c:v>45370</c:v>
                      </c:pt>
                      <c:pt idx="38">
                        <c:v>45377</c:v>
                      </c:pt>
                      <c:pt idx="39">
                        <c:v>45384</c:v>
                      </c:pt>
                      <c:pt idx="40">
                        <c:v>45391</c:v>
                      </c:pt>
                      <c:pt idx="41">
                        <c:v>45398</c:v>
                      </c:pt>
                      <c:pt idx="42">
                        <c:v>45405</c:v>
                      </c:pt>
                      <c:pt idx="43">
                        <c:v>45412</c:v>
                      </c:pt>
                      <c:pt idx="44">
                        <c:v>45419</c:v>
                      </c:pt>
                      <c:pt idx="45">
                        <c:v>45426</c:v>
                      </c:pt>
                      <c:pt idx="46">
                        <c:v>45433</c:v>
                      </c:pt>
                      <c:pt idx="47">
                        <c:v>45440</c:v>
                      </c:pt>
                      <c:pt idx="48">
                        <c:v>45447</c:v>
                      </c:pt>
                      <c:pt idx="49">
                        <c:v>45454</c:v>
                      </c:pt>
                      <c:pt idx="50">
                        <c:v>45461</c:v>
                      </c:pt>
                      <c:pt idx="51">
                        <c:v>45468</c:v>
                      </c:pt>
                    </c:numCache>
                  </c:numRef>
                </c:cat>
                <c:val>
                  <c:numRef>
                    <c:extLst xmlns:c15="http://schemas.microsoft.com/office/drawing/2012/chart">
                      <c:ext xmlns:c15="http://schemas.microsoft.com/office/drawing/2012/chart" uri="{02D57815-91ED-43cb-92C2-25804820EDAC}">
                        <c15:formulaRef>
                          <c15:sqref>'OZL Summary'!$BV$8:$BV$60</c15:sqref>
                        </c15:formulaRef>
                      </c:ext>
                    </c:extLst>
                    <c:numCache>
                      <c:formatCode>0.000</c:formatCode>
                      <c:ptCount val="53"/>
                      <c:pt idx="0">
                        <c:v>2.7720420236719803E-2</c:v>
                      </c:pt>
                      <c:pt idx="1">
                        <c:v>5.5440840473439605E-2</c:v>
                      </c:pt>
                      <c:pt idx="2">
                        <c:v>8.3161260710159404E-2</c:v>
                      </c:pt>
                      <c:pt idx="3">
                        <c:v>0.11088168094687921</c:v>
                      </c:pt>
                      <c:pt idx="4">
                        <c:v>0.138602101183599</c:v>
                      </c:pt>
                      <c:pt idx="5">
                        <c:v>0.16632252142031881</c:v>
                      </c:pt>
                      <c:pt idx="6">
                        <c:v>0.19404294165703861</c:v>
                      </c:pt>
                      <c:pt idx="7">
                        <c:v>0.22176336189375842</c:v>
                      </c:pt>
                      <c:pt idx="8">
                        <c:v>0.24948378213047823</c:v>
                      </c:pt>
                      <c:pt idx="9">
                        <c:v>0.277204202367198</c:v>
                      </c:pt>
                      <c:pt idx="10">
                        <c:v>0.30492462260391778</c:v>
                      </c:pt>
                      <c:pt idx="11">
                        <c:v>0.33264504284063756</c:v>
                      </c:pt>
                      <c:pt idx="12">
                        <c:v>0.36036546307735734</c:v>
                      </c:pt>
                      <c:pt idx="13">
                        <c:v>0.38808588331407712</c:v>
                      </c:pt>
                      <c:pt idx="14">
                        <c:v>0.4158063035507969</c:v>
                      </c:pt>
                      <c:pt idx="15">
                        <c:v>0.44352672378751667</c:v>
                      </c:pt>
                      <c:pt idx="16">
                        <c:v>0.47124714402423645</c:v>
                      </c:pt>
                      <c:pt idx="17">
                        <c:v>0.49896756426095623</c:v>
                      </c:pt>
                      <c:pt idx="18">
                        <c:v>0.52668798449767606</c:v>
                      </c:pt>
                      <c:pt idx="19">
                        <c:v>0.5544084047343959</c:v>
                      </c:pt>
                      <c:pt idx="20">
                        <c:v>0.58212882497111573</c:v>
                      </c:pt>
                      <c:pt idx="21">
                        <c:v>0.60984924520783557</c:v>
                      </c:pt>
                      <c:pt idx="22">
                        <c:v>0.6375696654445554</c:v>
                      </c:pt>
                      <c:pt idx="23">
                        <c:v>0.66529008568127523</c:v>
                      </c:pt>
                      <c:pt idx="24">
                        <c:v>0.69301050591799507</c:v>
                      </c:pt>
                      <c:pt idx="25">
                        <c:v>0.7207309261547149</c:v>
                      </c:pt>
                      <c:pt idx="26">
                        <c:v>0.74845134639143474</c:v>
                      </c:pt>
                      <c:pt idx="27">
                        <c:v>0.77617176662815457</c:v>
                      </c:pt>
                      <c:pt idx="28">
                        <c:v>0.8038921868648744</c:v>
                      </c:pt>
                      <c:pt idx="29">
                        <c:v>0.83161260710159424</c:v>
                      </c:pt>
                      <c:pt idx="30">
                        <c:v>0.85933302733831407</c:v>
                      </c:pt>
                      <c:pt idx="31">
                        <c:v>0.8870534475750339</c:v>
                      </c:pt>
                      <c:pt idx="32">
                        <c:v>0.91477386781175374</c:v>
                      </c:pt>
                      <c:pt idx="33">
                        <c:v>0.94249428804847357</c:v>
                      </c:pt>
                      <c:pt idx="34">
                        <c:v>0.97021470828519341</c:v>
                      </c:pt>
                      <c:pt idx="35">
                        <c:v>0.99793512852191324</c:v>
                      </c:pt>
                      <c:pt idx="36">
                        <c:v>1.025655548758633</c:v>
                      </c:pt>
                      <c:pt idx="37">
                        <c:v>1.0533759689953528</c:v>
                      </c:pt>
                      <c:pt idx="38">
                        <c:v>1.0810963892320726</c:v>
                      </c:pt>
                      <c:pt idx="39">
                        <c:v>1.1088168094687925</c:v>
                      </c:pt>
                      <c:pt idx="40">
                        <c:v>1.1365372297055123</c:v>
                      </c:pt>
                      <c:pt idx="41">
                        <c:v>1.1642576499422321</c:v>
                      </c:pt>
                      <c:pt idx="42">
                        <c:v>1.191978070178952</c:v>
                      </c:pt>
                      <c:pt idx="43">
                        <c:v>1.2196984904156718</c:v>
                      </c:pt>
                      <c:pt idx="44">
                        <c:v>1.2474189106523916</c:v>
                      </c:pt>
                      <c:pt idx="45">
                        <c:v>1.2751393308891115</c:v>
                      </c:pt>
                      <c:pt idx="46">
                        <c:v>1.3028597511258313</c:v>
                      </c:pt>
                      <c:pt idx="47">
                        <c:v>1.3305801713625511</c:v>
                      </c:pt>
                      <c:pt idx="48">
                        <c:v>1.358300591599271</c:v>
                      </c:pt>
                      <c:pt idx="49">
                        <c:v>1.3860210118359908</c:v>
                      </c:pt>
                      <c:pt idx="50">
                        <c:v>1.4137414320727106</c:v>
                      </c:pt>
                      <c:pt idx="51">
                        <c:v>1.4414618523094305</c:v>
                      </c:pt>
                    </c:numCache>
                  </c:numRef>
                </c:val>
                <c:smooth val="0"/>
                <c:extLst xmlns:c15="http://schemas.microsoft.com/office/drawing/2012/chart">
                  <c:ext xmlns:c16="http://schemas.microsoft.com/office/drawing/2014/chart" uri="{C3380CC4-5D6E-409C-BE32-E72D297353CC}">
                    <c16:uniqueId val="{0000000A-65DA-4BBF-AEF9-7AE9BC17429B}"/>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'OZL Summary'!$BX$6:$BX$7</c15:sqref>
                        </c15:formulaRef>
                      </c:ext>
                    </c:extLst>
                    <c:strCache>
                      <c:ptCount val="2"/>
                      <c:pt idx="0">
                        <c:v>99th Percentile</c:v>
                      </c:pt>
                    </c:strCache>
                  </c:strRef>
                </c:tx>
                <c:spPr>
                  <a:ln w="28575" cap="rnd" cmpd="sng">
                    <a:solidFill>
                      <a:schemeClr val="accent2"/>
                    </a:solidFill>
                    <a:prstDash val="sysDot"/>
                    <a:round/>
                    <a:headEnd type="none"/>
                  </a:ln>
                  <a:effectLst/>
                </c:spPr>
                <c:marker>
                  <c:symbol val="none"/>
                </c:marker>
                <c:cat>
                  <c:numRef>
                    <c:extLst xmlns:c15="http://schemas.microsoft.com/office/drawing/2012/chart">
                      <c:ext xmlns:c15="http://schemas.microsoft.com/office/drawing/2012/chart" uri="{02D57815-91ED-43cb-92C2-25804820EDAC}">
                        <c15:formulaRef>
                          <c15:sqref>'OZL Summary'!$DD$8:$DD$60</c15:sqref>
                        </c15:formulaRef>
                      </c:ext>
                    </c:extLst>
                    <c:numCache>
                      <c:formatCode>d\-mmm\-yy_);\(###0\);"-  ";" "@" "</c:formatCode>
                      <c:ptCount val="53"/>
                      <c:pt idx="0">
                        <c:v>45111</c:v>
                      </c:pt>
                      <c:pt idx="1">
                        <c:v>45118</c:v>
                      </c:pt>
                      <c:pt idx="2">
                        <c:v>45125</c:v>
                      </c:pt>
                      <c:pt idx="3">
                        <c:v>45132</c:v>
                      </c:pt>
                      <c:pt idx="4">
                        <c:v>45139</c:v>
                      </c:pt>
                      <c:pt idx="5">
                        <c:v>45146</c:v>
                      </c:pt>
                      <c:pt idx="6">
                        <c:v>45153</c:v>
                      </c:pt>
                      <c:pt idx="7">
                        <c:v>45160</c:v>
                      </c:pt>
                      <c:pt idx="8">
                        <c:v>45167</c:v>
                      </c:pt>
                      <c:pt idx="9">
                        <c:v>45174</c:v>
                      </c:pt>
                      <c:pt idx="10">
                        <c:v>45181</c:v>
                      </c:pt>
                      <c:pt idx="11">
                        <c:v>45188</c:v>
                      </c:pt>
                      <c:pt idx="12">
                        <c:v>45195</c:v>
                      </c:pt>
                      <c:pt idx="13">
                        <c:v>45202</c:v>
                      </c:pt>
                      <c:pt idx="14">
                        <c:v>45209</c:v>
                      </c:pt>
                      <c:pt idx="15">
                        <c:v>45216</c:v>
                      </c:pt>
                      <c:pt idx="16">
                        <c:v>45223</c:v>
                      </c:pt>
                      <c:pt idx="17">
                        <c:v>45230</c:v>
                      </c:pt>
                      <c:pt idx="18">
                        <c:v>45237</c:v>
                      </c:pt>
                      <c:pt idx="19">
                        <c:v>45244</c:v>
                      </c:pt>
                      <c:pt idx="20">
                        <c:v>45251</c:v>
                      </c:pt>
                      <c:pt idx="21">
                        <c:v>45258</c:v>
                      </c:pt>
                      <c:pt idx="22">
                        <c:v>45265</c:v>
                      </c:pt>
                      <c:pt idx="23">
                        <c:v>45272</c:v>
                      </c:pt>
                      <c:pt idx="24">
                        <c:v>45279</c:v>
                      </c:pt>
                      <c:pt idx="25">
                        <c:v>45286</c:v>
                      </c:pt>
                      <c:pt idx="26">
                        <c:v>45293</c:v>
                      </c:pt>
                      <c:pt idx="27">
                        <c:v>45300</c:v>
                      </c:pt>
                      <c:pt idx="28">
                        <c:v>45307</c:v>
                      </c:pt>
                      <c:pt idx="29">
                        <c:v>45314</c:v>
                      </c:pt>
                      <c:pt idx="30">
                        <c:v>45321</c:v>
                      </c:pt>
                      <c:pt idx="31">
                        <c:v>45328</c:v>
                      </c:pt>
                      <c:pt idx="32">
                        <c:v>45335</c:v>
                      </c:pt>
                      <c:pt idx="33">
                        <c:v>45342</c:v>
                      </c:pt>
                      <c:pt idx="34">
                        <c:v>45349</c:v>
                      </c:pt>
                      <c:pt idx="35">
                        <c:v>45356</c:v>
                      </c:pt>
                      <c:pt idx="36">
                        <c:v>45363</c:v>
                      </c:pt>
                      <c:pt idx="37">
                        <c:v>45370</c:v>
                      </c:pt>
                      <c:pt idx="38">
                        <c:v>45377</c:v>
                      </c:pt>
                      <c:pt idx="39">
                        <c:v>45384</c:v>
                      </c:pt>
                      <c:pt idx="40">
                        <c:v>45391</c:v>
                      </c:pt>
                      <c:pt idx="41">
                        <c:v>45398</c:v>
                      </c:pt>
                      <c:pt idx="42">
                        <c:v>45405</c:v>
                      </c:pt>
                      <c:pt idx="43">
                        <c:v>45412</c:v>
                      </c:pt>
                      <c:pt idx="44">
                        <c:v>45419</c:v>
                      </c:pt>
                      <c:pt idx="45">
                        <c:v>45426</c:v>
                      </c:pt>
                      <c:pt idx="46">
                        <c:v>45433</c:v>
                      </c:pt>
                      <c:pt idx="47">
                        <c:v>45440</c:v>
                      </c:pt>
                      <c:pt idx="48">
                        <c:v>45447</c:v>
                      </c:pt>
                      <c:pt idx="49">
                        <c:v>45454</c:v>
                      </c:pt>
                      <c:pt idx="50">
                        <c:v>45461</c:v>
                      </c:pt>
                      <c:pt idx="51">
                        <c:v>45468</c:v>
                      </c:pt>
                    </c:numCache>
                  </c:numRef>
                </c:cat>
                <c:val>
                  <c:numRef>
                    <c:extLst xmlns:c15="http://schemas.microsoft.com/office/drawing/2012/chart">
                      <c:ext xmlns:c15="http://schemas.microsoft.com/office/drawing/2012/chart" uri="{02D57815-91ED-43cb-92C2-25804820EDAC}">
                        <c15:formulaRef>
                          <c15:sqref>'OZL Summary'!$BX$8:$BX$60</c15:sqref>
                        </c15:formulaRef>
                      </c:ext>
                    </c:extLst>
                    <c:numCache>
                      <c:formatCode>0.000</c:formatCode>
                      <c:ptCount val="53"/>
                      <c:pt idx="0">
                        <c:v>3.2006943607976859E-2</c:v>
                      </c:pt>
                      <c:pt idx="1">
                        <c:v>6.4013887215953719E-2</c:v>
                      </c:pt>
                      <c:pt idx="2">
                        <c:v>9.6020830823930578E-2</c:v>
                      </c:pt>
                      <c:pt idx="3">
                        <c:v>0.12802777443190744</c:v>
                      </c:pt>
                      <c:pt idx="4">
                        <c:v>0.16003471803988428</c:v>
                      </c:pt>
                      <c:pt idx="5">
                        <c:v>0.19204166164786113</c:v>
                      </c:pt>
                      <c:pt idx="6">
                        <c:v>0.22404860525583797</c:v>
                      </c:pt>
                      <c:pt idx="7">
                        <c:v>0.25605554886381482</c:v>
                      </c:pt>
                      <c:pt idx="8">
                        <c:v>0.28806249247179166</c:v>
                      </c:pt>
                      <c:pt idx="9">
                        <c:v>0.32006943607976851</c:v>
                      </c:pt>
                      <c:pt idx="10">
                        <c:v>0.35207637968774536</c:v>
                      </c:pt>
                      <c:pt idx="11">
                        <c:v>0.3840833232957222</c:v>
                      </c:pt>
                      <c:pt idx="12">
                        <c:v>0.41609026690369905</c:v>
                      </c:pt>
                      <c:pt idx="13">
                        <c:v>0.44809721051167589</c:v>
                      </c:pt>
                      <c:pt idx="14">
                        <c:v>0.48010415411965274</c:v>
                      </c:pt>
                      <c:pt idx="15">
                        <c:v>0.51211109772762964</c:v>
                      </c:pt>
                      <c:pt idx="16">
                        <c:v>0.54411804133560648</c:v>
                      </c:pt>
                      <c:pt idx="17">
                        <c:v>0.57612498494358333</c:v>
                      </c:pt>
                      <c:pt idx="18">
                        <c:v>0.60813192855156017</c:v>
                      </c:pt>
                      <c:pt idx="19">
                        <c:v>0.64013887215953702</c:v>
                      </c:pt>
                      <c:pt idx="20">
                        <c:v>0.67214581576751387</c:v>
                      </c:pt>
                      <c:pt idx="21">
                        <c:v>0.70415275937549071</c:v>
                      </c:pt>
                      <c:pt idx="22">
                        <c:v>0.73615970298346756</c:v>
                      </c:pt>
                      <c:pt idx="23">
                        <c:v>0.7681666465914444</c:v>
                      </c:pt>
                      <c:pt idx="24">
                        <c:v>0.80017359019942125</c:v>
                      </c:pt>
                      <c:pt idx="25">
                        <c:v>0.83218053380739809</c:v>
                      </c:pt>
                      <c:pt idx="26">
                        <c:v>0.86418747741537494</c:v>
                      </c:pt>
                      <c:pt idx="27">
                        <c:v>0.89619442102335178</c:v>
                      </c:pt>
                      <c:pt idx="28">
                        <c:v>0.92820136463132863</c:v>
                      </c:pt>
                      <c:pt idx="29">
                        <c:v>0.96020830823930547</c:v>
                      </c:pt>
                      <c:pt idx="30">
                        <c:v>0.99221525184728232</c:v>
                      </c:pt>
                      <c:pt idx="31">
                        <c:v>1.0242221954552593</c:v>
                      </c:pt>
                      <c:pt idx="32">
                        <c:v>1.0562291390632361</c:v>
                      </c:pt>
                      <c:pt idx="33">
                        <c:v>1.088236082671213</c:v>
                      </c:pt>
                      <c:pt idx="34">
                        <c:v>1.1202430262791898</c:v>
                      </c:pt>
                      <c:pt idx="35">
                        <c:v>1.1522499698871667</c:v>
                      </c:pt>
                      <c:pt idx="36">
                        <c:v>1.1842569134951435</c:v>
                      </c:pt>
                      <c:pt idx="37">
                        <c:v>1.2162638571031203</c:v>
                      </c:pt>
                      <c:pt idx="38">
                        <c:v>1.2482708007110972</c:v>
                      </c:pt>
                      <c:pt idx="39">
                        <c:v>1.280277744319074</c:v>
                      </c:pt>
                      <c:pt idx="40">
                        <c:v>1.3122846879270509</c:v>
                      </c:pt>
                      <c:pt idx="41">
                        <c:v>1.3442916315350277</c:v>
                      </c:pt>
                      <c:pt idx="42">
                        <c:v>1.3762985751430046</c:v>
                      </c:pt>
                      <c:pt idx="43">
                        <c:v>1.4083055187509814</c:v>
                      </c:pt>
                      <c:pt idx="44">
                        <c:v>1.4403124623589583</c:v>
                      </c:pt>
                      <c:pt idx="45">
                        <c:v>1.4723194059669351</c:v>
                      </c:pt>
                      <c:pt idx="46">
                        <c:v>1.504326349574912</c:v>
                      </c:pt>
                      <c:pt idx="47">
                        <c:v>1.5363332931828888</c:v>
                      </c:pt>
                      <c:pt idx="48">
                        <c:v>1.5683402367908656</c:v>
                      </c:pt>
                      <c:pt idx="49">
                        <c:v>1.6003471803988425</c:v>
                      </c:pt>
                      <c:pt idx="50">
                        <c:v>1.6323541240068193</c:v>
                      </c:pt>
                      <c:pt idx="51">
                        <c:v>1.6643610676147962</c:v>
                      </c:pt>
                    </c:numCache>
                  </c:numRef>
                </c:val>
                <c:smooth val="0"/>
                <c:extLst xmlns:c15="http://schemas.microsoft.com/office/drawing/2012/chart">
                  <c:ext xmlns:c16="http://schemas.microsoft.com/office/drawing/2014/chart" uri="{C3380CC4-5D6E-409C-BE32-E72D297353CC}">
                    <c16:uniqueId val="{0000000B-65DA-4BBF-AEF9-7AE9BC17429B}"/>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'OZL Summary'!$BY$6:$BY$7</c15:sqref>
                        </c15:formulaRef>
                      </c:ext>
                    </c:extLst>
                    <c:strCache>
                      <c:ptCount val="2"/>
                      <c:pt idx="0">
                        <c:v>Max</c:v>
                      </c:pt>
                    </c:strCache>
                  </c:strRef>
                </c:tx>
                <c:marker>
                  <c:symbol val="none"/>
                </c:marker>
                <c:cat>
                  <c:numRef>
                    <c:extLst xmlns:c15="http://schemas.microsoft.com/office/drawing/2012/chart">
                      <c:ext xmlns:c15="http://schemas.microsoft.com/office/drawing/2012/chart" uri="{02D57815-91ED-43cb-92C2-25804820EDAC}">
                        <c15:formulaRef>
                          <c15:sqref>'OZL Summary'!$DD$8:$DD$60</c15:sqref>
                        </c15:formulaRef>
                      </c:ext>
                    </c:extLst>
                    <c:numCache>
                      <c:formatCode>d\-mmm\-yy_);\(###0\);"-  ";" "@" "</c:formatCode>
                      <c:ptCount val="53"/>
                      <c:pt idx="0">
                        <c:v>45111</c:v>
                      </c:pt>
                      <c:pt idx="1">
                        <c:v>45118</c:v>
                      </c:pt>
                      <c:pt idx="2">
                        <c:v>45125</c:v>
                      </c:pt>
                      <c:pt idx="3">
                        <c:v>45132</c:v>
                      </c:pt>
                      <c:pt idx="4">
                        <c:v>45139</c:v>
                      </c:pt>
                      <c:pt idx="5">
                        <c:v>45146</c:v>
                      </c:pt>
                      <c:pt idx="6">
                        <c:v>45153</c:v>
                      </c:pt>
                      <c:pt idx="7">
                        <c:v>45160</c:v>
                      </c:pt>
                      <c:pt idx="8">
                        <c:v>45167</c:v>
                      </c:pt>
                      <c:pt idx="9">
                        <c:v>45174</c:v>
                      </c:pt>
                      <c:pt idx="10">
                        <c:v>45181</c:v>
                      </c:pt>
                      <c:pt idx="11">
                        <c:v>45188</c:v>
                      </c:pt>
                      <c:pt idx="12">
                        <c:v>45195</c:v>
                      </c:pt>
                      <c:pt idx="13">
                        <c:v>45202</c:v>
                      </c:pt>
                      <c:pt idx="14">
                        <c:v>45209</c:v>
                      </c:pt>
                      <c:pt idx="15">
                        <c:v>45216</c:v>
                      </c:pt>
                      <c:pt idx="16">
                        <c:v>45223</c:v>
                      </c:pt>
                      <c:pt idx="17">
                        <c:v>45230</c:v>
                      </c:pt>
                      <c:pt idx="18">
                        <c:v>45237</c:v>
                      </c:pt>
                      <c:pt idx="19">
                        <c:v>45244</c:v>
                      </c:pt>
                      <c:pt idx="20">
                        <c:v>45251</c:v>
                      </c:pt>
                      <c:pt idx="21">
                        <c:v>45258</c:v>
                      </c:pt>
                      <c:pt idx="22">
                        <c:v>45265</c:v>
                      </c:pt>
                      <c:pt idx="23">
                        <c:v>45272</c:v>
                      </c:pt>
                      <c:pt idx="24">
                        <c:v>45279</c:v>
                      </c:pt>
                      <c:pt idx="25">
                        <c:v>45286</c:v>
                      </c:pt>
                      <c:pt idx="26">
                        <c:v>45293</c:v>
                      </c:pt>
                      <c:pt idx="27">
                        <c:v>45300</c:v>
                      </c:pt>
                      <c:pt idx="28">
                        <c:v>45307</c:v>
                      </c:pt>
                      <c:pt idx="29">
                        <c:v>45314</c:v>
                      </c:pt>
                      <c:pt idx="30">
                        <c:v>45321</c:v>
                      </c:pt>
                      <c:pt idx="31">
                        <c:v>45328</c:v>
                      </c:pt>
                      <c:pt idx="32">
                        <c:v>45335</c:v>
                      </c:pt>
                      <c:pt idx="33">
                        <c:v>45342</c:v>
                      </c:pt>
                      <c:pt idx="34">
                        <c:v>45349</c:v>
                      </c:pt>
                      <c:pt idx="35">
                        <c:v>45356</c:v>
                      </c:pt>
                      <c:pt idx="36">
                        <c:v>45363</c:v>
                      </c:pt>
                      <c:pt idx="37">
                        <c:v>45370</c:v>
                      </c:pt>
                      <c:pt idx="38">
                        <c:v>45377</c:v>
                      </c:pt>
                      <c:pt idx="39">
                        <c:v>45384</c:v>
                      </c:pt>
                      <c:pt idx="40">
                        <c:v>45391</c:v>
                      </c:pt>
                      <c:pt idx="41">
                        <c:v>45398</c:v>
                      </c:pt>
                      <c:pt idx="42">
                        <c:v>45405</c:v>
                      </c:pt>
                      <c:pt idx="43">
                        <c:v>45412</c:v>
                      </c:pt>
                      <c:pt idx="44">
                        <c:v>45419</c:v>
                      </c:pt>
                      <c:pt idx="45">
                        <c:v>45426</c:v>
                      </c:pt>
                      <c:pt idx="46">
                        <c:v>45433</c:v>
                      </c:pt>
                      <c:pt idx="47">
                        <c:v>45440</c:v>
                      </c:pt>
                      <c:pt idx="48">
                        <c:v>45447</c:v>
                      </c:pt>
                      <c:pt idx="49">
                        <c:v>45454</c:v>
                      </c:pt>
                      <c:pt idx="50">
                        <c:v>45461</c:v>
                      </c:pt>
                      <c:pt idx="51">
                        <c:v>45468</c:v>
                      </c:pt>
                    </c:numCache>
                  </c:numRef>
                </c:cat>
                <c:val>
                  <c:numRef>
                    <c:extLst xmlns:c15="http://schemas.microsoft.com/office/drawing/2012/chart">
                      <c:ext xmlns:c15="http://schemas.microsoft.com/office/drawing/2012/chart" uri="{02D57815-91ED-43cb-92C2-25804820EDAC}">
                        <c15:formulaRef>
                          <c15:sqref>'OZL Summary'!$BY$8:$BY$60</c15:sqref>
                        </c15:formulaRef>
                      </c:ext>
                    </c:extLst>
                    <c:numCache>
                      <c:formatCode>0.000</c:formatCode>
                      <c:ptCount val="53"/>
                      <c:pt idx="0">
                        <c:v>3.9503586953510528E-2</c:v>
                      </c:pt>
                      <c:pt idx="1">
                        <c:v>7.9007173907021055E-2</c:v>
                      </c:pt>
                      <c:pt idx="2">
                        <c:v>0.11851076086053158</c:v>
                      </c:pt>
                      <c:pt idx="3">
                        <c:v>0.15801434781404211</c:v>
                      </c:pt>
                      <c:pt idx="4">
                        <c:v>0.19751793476755264</c:v>
                      </c:pt>
                      <c:pt idx="5">
                        <c:v>0.23702152172106317</c:v>
                      </c:pt>
                      <c:pt idx="6">
                        <c:v>0.27652510867457369</c:v>
                      </c:pt>
                      <c:pt idx="7">
                        <c:v>0.31602869562808422</c:v>
                      </c:pt>
                      <c:pt idx="8">
                        <c:v>0.35553228258159475</c:v>
                      </c:pt>
                      <c:pt idx="9">
                        <c:v>0.39503586953510528</c:v>
                      </c:pt>
                      <c:pt idx="10">
                        <c:v>0.43453945648861581</c:v>
                      </c:pt>
                      <c:pt idx="11">
                        <c:v>0.47404304344212633</c:v>
                      </c:pt>
                      <c:pt idx="12">
                        <c:v>0.51354663039563686</c:v>
                      </c:pt>
                      <c:pt idx="13">
                        <c:v>0.55305021734914739</c:v>
                      </c:pt>
                      <c:pt idx="14">
                        <c:v>0.59255380430265792</c:v>
                      </c:pt>
                      <c:pt idx="15">
                        <c:v>0.63205739125616844</c:v>
                      </c:pt>
                      <c:pt idx="16">
                        <c:v>0.67156097820967897</c:v>
                      </c:pt>
                      <c:pt idx="17">
                        <c:v>0.7110645651631895</c:v>
                      </c:pt>
                      <c:pt idx="18">
                        <c:v>0.75056815211670003</c:v>
                      </c:pt>
                      <c:pt idx="19">
                        <c:v>0.79007173907021055</c:v>
                      </c:pt>
                      <c:pt idx="20">
                        <c:v>0.82957532602372108</c:v>
                      </c:pt>
                      <c:pt idx="21">
                        <c:v>0.86907891297723161</c:v>
                      </c:pt>
                      <c:pt idx="22">
                        <c:v>0.90858249993074214</c:v>
                      </c:pt>
                      <c:pt idx="23">
                        <c:v>0.94808608688425267</c:v>
                      </c:pt>
                      <c:pt idx="24">
                        <c:v>0.98758967383776319</c:v>
                      </c:pt>
                      <c:pt idx="25">
                        <c:v>1.0270932607912737</c:v>
                      </c:pt>
                      <c:pt idx="26">
                        <c:v>1.0665968477447842</c:v>
                      </c:pt>
                      <c:pt idx="27">
                        <c:v>1.1061004346982948</c:v>
                      </c:pt>
                      <c:pt idx="28">
                        <c:v>1.1456040216518053</c:v>
                      </c:pt>
                      <c:pt idx="29">
                        <c:v>1.1851076086053158</c:v>
                      </c:pt>
                      <c:pt idx="30">
                        <c:v>1.2246111955588264</c:v>
                      </c:pt>
                      <c:pt idx="31">
                        <c:v>1.2641147825123369</c:v>
                      </c:pt>
                      <c:pt idx="32">
                        <c:v>1.3036183694658474</c:v>
                      </c:pt>
                      <c:pt idx="33">
                        <c:v>1.3431219564193579</c:v>
                      </c:pt>
                      <c:pt idx="34">
                        <c:v>1.3826255433728685</c:v>
                      </c:pt>
                      <c:pt idx="35">
                        <c:v>1.422129130326379</c:v>
                      </c:pt>
                      <c:pt idx="36">
                        <c:v>1.4616327172798895</c:v>
                      </c:pt>
                      <c:pt idx="37">
                        <c:v>1.5011363042334001</c:v>
                      </c:pt>
                      <c:pt idx="38">
                        <c:v>1.5406398911869106</c:v>
                      </c:pt>
                      <c:pt idx="39">
                        <c:v>1.5801434781404211</c:v>
                      </c:pt>
                      <c:pt idx="40">
                        <c:v>1.6196470650939316</c:v>
                      </c:pt>
                      <c:pt idx="41">
                        <c:v>1.6591506520474422</c:v>
                      </c:pt>
                      <c:pt idx="42">
                        <c:v>1.6986542390009527</c:v>
                      </c:pt>
                      <c:pt idx="43">
                        <c:v>1.7381578259544632</c:v>
                      </c:pt>
                      <c:pt idx="44">
                        <c:v>1.7776614129079737</c:v>
                      </c:pt>
                      <c:pt idx="45">
                        <c:v>1.8171649998614843</c:v>
                      </c:pt>
                      <c:pt idx="46">
                        <c:v>1.8566685868149948</c:v>
                      </c:pt>
                      <c:pt idx="47">
                        <c:v>1.8961721737685053</c:v>
                      </c:pt>
                      <c:pt idx="48">
                        <c:v>1.9356757607220159</c:v>
                      </c:pt>
                      <c:pt idx="49">
                        <c:v>1.9751793476755264</c:v>
                      </c:pt>
                      <c:pt idx="50">
                        <c:v>2.0146829346290369</c:v>
                      </c:pt>
                      <c:pt idx="51">
                        <c:v>2.0541865215825474</c:v>
                      </c:pt>
                    </c:numCache>
                  </c:numRef>
                </c:val>
                <c:smooth val="0"/>
                <c:extLst xmlns:c15="http://schemas.microsoft.com/office/drawing/2012/chart">
                  <c:ext xmlns:c16="http://schemas.microsoft.com/office/drawing/2014/chart" uri="{C3380CC4-5D6E-409C-BE32-E72D297353CC}">
                    <c16:uniqueId val="{0000000C-65DA-4BBF-AEF9-7AE9BC17429B}"/>
                  </c:ext>
                </c:extLst>
              </c15:ser>
            </c15:filteredLineSeries>
          </c:ext>
        </c:extLst>
      </c:lineChart>
      <c:dateAx>
        <c:axId val="1388952432"/>
        <c:scaling>
          <c:orientation val="minMax"/>
        </c:scaling>
        <c:delete val="0"/>
        <c:axPos val="b"/>
        <c:numFmt formatCode="mmm\-yy" sourceLinked="0"/>
        <c:majorTickMark val="none"/>
        <c:minorTickMark val="none"/>
        <c:tickLblPos val="nextTo"/>
        <c:spPr>
          <a:noFill/>
          <a:ln w="9525" cap="flat" cmpd="sng" algn="ctr">
            <a:noFill/>
            <a:round/>
          </a:ln>
          <a:effectLst/>
        </c:spPr>
        <c:txPr>
          <a:bodyPr rot="-5400000" vert="horz"/>
          <a:lstStyle/>
          <a:p>
            <a:pPr>
              <a:defRPr/>
            </a:pPr>
            <a:endParaRPr lang="en-US"/>
          </a:p>
        </c:txPr>
        <c:crossAx val="1388953088"/>
        <c:crosses val="autoZero"/>
        <c:auto val="1"/>
        <c:lblOffset val="100"/>
        <c:baseTimeUnit val="days"/>
        <c:majorUnit val="1"/>
        <c:majorTimeUnit val="months"/>
      </c:dateAx>
      <c:valAx>
        <c:axId val="13889530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vert="horz"/>
          <a:lstStyle/>
          <a:p>
            <a:pPr>
              <a:defRPr/>
            </a:pPr>
            <a:endParaRPr lang="en-US"/>
          </a:p>
        </c:txPr>
        <c:crossAx val="1388952432"/>
        <c:crosses val="autoZero"/>
        <c:crossBetween val="between"/>
        <c:majorUnit val="0.5"/>
      </c:valAx>
    </c:plotArea>
    <c:legend>
      <c:legendPos val="b"/>
      <c:legendEntry>
        <c:idx val="1"/>
        <c:delete val="1"/>
      </c:legendEntry>
      <c:legendEntry>
        <c:idx val="3"/>
        <c:delete val="1"/>
      </c:legendEntry>
      <c:legendEntry>
        <c:idx val="4"/>
        <c:delete val="1"/>
      </c:legendEntry>
      <c:legendEntry>
        <c:idx val="5"/>
        <c:delete val="1"/>
      </c:legendEntry>
      <c:overlay val="0"/>
      <c:spPr>
        <a:noFill/>
        <a:ln>
          <a:noFill/>
        </a:ln>
        <a:effectLst/>
      </c:spPr>
      <c:txPr>
        <a:bodyPr rot="0" vert="horz"/>
        <a:lstStyle/>
        <a:p>
          <a:pPr>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sz="900">
          <a:solidFill>
            <a:sysClr val="windowText" lastClr="000000"/>
          </a:solidFill>
        </a:defRPr>
      </a:pPr>
      <a:endParaRPr lang="en-US"/>
    </a:p>
  </c:txPr>
  <c:printSettings>
    <c:headerFooter/>
    <c:pageMargins b="0.75" l="0.7" r="0.7" t="0.75" header="0.3" footer="0.3"/>
    <c:pageSetup orientation="portrait"/>
  </c:printSettings>
</c:chartSpace>
</file>

<file path=xl/charts/chart1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'OZL Summary'!$BN$6:$BN$7</c:f>
              <c:strCache>
                <c:ptCount val="2"/>
                <c:pt idx="0">
                  <c:v>Actual</c:v>
                </c:pt>
              </c:strCache>
            </c:strRef>
          </c:tx>
          <c:spPr>
            <a:ln w="28575" cap="rnd">
              <a:solidFill>
                <a:schemeClr val="tx2"/>
              </a:solidFill>
              <a:round/>
            </a:ln>
            <a:effectLst/>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Summary'!$BN$8:$BN$60</c:f>
              <c:numCache>
                <c:formatCode>0.000</c:formatCode>
                <c:ptCount val="53"/>
                <c:pt idx="0">
                  <c:v>3.4282144018799997E-2</c:v>
                </c:pt>
                <c:pt idx="1">
                  <c:v>4.61727482976E-2</c:v>
                </c:pt>
                <c:pt idx="2">
                  <c:v>6.0744925144799997E-2</c:v>
                </c:pt>
                <c:pt idx="3">
                  <c:v>7.9887071887199998E-2</c:v>
                </c:pt>
                <c:pt idx="4">
                  <c:v>9.0591598206000004E-2</c:v>
                </c:pt>
                <c:pt idx="5">
                  <c:v>0.10471594425839999</c:v>
                </c:pt>
                <c:pt idx="6">
                  <c:v>0.13024126318319998</c:v>
                </c:pt>
                <c:pt idx="7">
                  <c:v>0.14299494069599997</c:v>
                </c:pt>
                <c:pt idx="8">
                  <c:v>0.15712274134439999</c:v>
                </c:pt>
                <c:pt idx="9">
                  <c:v>0.18211939192799997</c:v>
                </c:pt>
                <c:pt idx="10">
                  <c:v>0.21562528822559998</c:v>
                </c:pt>
                <c:pt idx="11">
                  <c:v>0.26312805598319994</c:v>
                </c:pt>
                <c:pt idx="12">
                  <c:v>0.27559419595559997</c:v>
                </c:pt>
                <c:pt idx="13">
                  <c:v>0.29338294713839996</c:v>
                </c:pt>
                <c:pt idx="14">
                  <c:v>0.31479798774239992</c:v>
                </c:pt>
                <c:pt idx="15">
                  <c:v>0.34138237064759991</c:v>
                </c:pt>
                <c:pt idx="16">
                  <c:v>0.38401116406199992</c:v>
                </c:pt>
                <c:pt idx="17">
                  <c:v>0.45353502371519994</c:v>
                </c:pt>
                <c:pt idx="18">
                  <c:v>0.46636884785519994</c:v>
                </c:pt>
                <c:pt idx="19">
                  <c:v>0.48057414660719988</c:v>
                </c:pt>
                <c:pt idx="20">
                  <c:v>0.50512031787239997</c:v>
                </c:pt>
                <c:pt idx="21">
                  <c:v>0.53195446806839985</c:v>
                </c:pt>
                <c:pt idx="22">
                  <c:v>0.57374874624239991</c:v>
                </c:pt>
                <c:pt idx="23">
                  <c:v>0.58543426267199994</c:v>
                </c:pt>
                <c:pt idx="24">
                  <c:v>0.59798193110999986</c:v>
                </c:pt>
                <c:pt idx="25">
                  <c:v>0.60953824564919989</c:v>
                </c:pt>
                <c:pt idx="26">
                  <c:v>0.62793005414039982</c:v>
                </c:pt>
                <c:pt idx="27">
                  <c:v>0.66085868744639986</c:v>
                </c:pt>
                <c:pt idx="28">
                  <c:v>0.70280784667439988</c:v>
                </c:pt>
                <c:pt idx="29">
                  <c:v>0.76647478426919979</c:v>
                </c:pt>
                <c:pt idx="30">
                  <c:v>0.77875598820239988</c:v>
                </c:pt>
                <c:pt idx="31">
                  <c:v>0.79341798454559986</c:v>
                </c:pt>
                <c:pt idx="32">
                  <c:v>0.81253514304359986</c:v>
                </c:pt>
                <c:pt idx="33">
                  <c:v>0.82340606573639985</c:v>
                </c:pt>
                <c:pt idx="34">
                  <c:v>0.84006470341439987</c:v>
                </c:pt>
                <c:pt idx="35">
                  <c:v>0.86433934343399987</c:v>
                </c:pt>
                <c:pt idx="36">
                  <c:v>0.87578580182039989</c:v>
                </c:pt>
                <c:pt idx="37">
                  <c:v>0.89565744408479986</c:v>
                </c:pt>
                <c:pt idx="38">
                  <c:v>0.90846581936759985</c:v>
                </c:pt>
                <c:pt idx="39">
                  <c:v>0.91858582836759983</c:v>
                </c:pt>
                <c:pt idx="40">
                  <c:v>0.93370152831879982</c:v>
                </c:pt>
                <c:pt idx="41">
                  <c:v>0.95559030918759991</c:v>
                </c:pt>
                <c:pt idx="42">
                  <c:v>0.98300771034159995</c:v>
                </c:pt>
                <c:pt idx="43">
                  <c:v>0.99330666708999993</c:v>
                </c:pt>
                <c:pt idx="44">
                  <c:v>1.0075762213275998</c:v>
                </c:pt>
                <c:pt idx="45">
                  <c:v>1.0281208537475999</c:v>
                </c:pt>
                <c:pt idx="46">
                  <c:v>1.0382225415931998</c:v>
                </c:pt>
                <c:pt idx="47">
                  <c:v>1.0541579684225999</c:v>
                </c:pt>
                <c:pt idx="48">
                  <c:v>1.0687637971379997</c:v>
                </c:pt>
                <c:pt idx="49">
                  <c:v>1.0815684581785998</c:v>
                </c:pt>
                <c:pt idx="50">
                  <c:v>1.0986668252266998</c:v>
                </c:pt>
                <c:pt idx="51">
                  <c:v>1.1194431701510998</c:v>
                </c:pt>
              </c:numCache>
            </c:numRef>
          </c:val>
          <c:smooth val="0"/>
          <c:extLst>
            <c:ext xmlns:c16="http://schemas.microsoft.com/office/drawing/2014/chart" uri="{C3380CC4-5D6E-409C-BE32-E72D297353CC}">
              <c16:uniqueId val="{00000000-F239-4304-B6CD-64AC85C7D413}"/>
            </c:ext>
          </c:extLst>
        </c:ser>
        <c:ser>
          <c:idx val="1"/>
          <c:order val="4"/>
          <c:tx>
            <c:strRef>
              <c:f>'OZL Summary'!$BR$6:$BR$7</c:f>
              <c:strCache>
                <c:ptCount val="2"/>
                <c:pt idx="0">
                  <c:v>10th Percentile</c:v>
                </c:pt>
              </c:strCache>
            </c:strRef>
          </c:tx>
          <c:spPr>
            <a:ln w="28575" cap="rnd" cmpd="sng">
              <a:solidFill>
                <a:schemeClr val="accent6"/>
              </a:solidFill>
              <a:prstDash val="sysDot"/>
              <a:round/>
              <a:headEnd type="none"/>
            </a:ln>
            <a:effectLst/>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Summary'!$BR$8:$BR$60</c:f>
              <c:numCache>
                <c:formatCode>0.000</c:formatCode>
                <c:ptCount val="53"/>
                <c:pt idx="0">
                  <c:v>2.0199848897457344E-2</c:v>
                </c:pt>
                <c:pt idx="1">
                  <c:v>4.0399697794914688E-2</c:v>
                </c:pt>
                <c:pt idx="2">
                  <c:v>6.0599546692372032E-2</c:v>
                </c:pt>
                <c:pt idx="3">
                  <c:v>8.0799395589829376E-2</c:v>
                </c:pt>
                <c:pt idx="4">
                  <c:v>0.10099924448728673</c:v>
                </c:pt>
                <c:pt idx="5">
                  <c:v>0.12119909338474408</c:v>
                </c:pt>
                <c:pt idx="6">
                  <c:v>0.14139894228220143</c:v>
                </c:pt>
                <c:pt idx="7">
                  <c:v>0.16159879117965878</c:v>
                </c:pt>
                <c:pt idx="8">
                  <c:v>0.18179864007711613</c:v>
                </c:pt>
                <c:pt idx="9">
                  <c:v>0.20199848897457348</c:v>
                </c:pt>
                <c:pt idx="10">
                  <c:v>0.22219833787203083</c:v>
                </c:pt>
                <c:pt idx="11">
                  <c:v>0.24239818676948818</c:v>
                </c:pt>
                <c:pt idx="12">
                  <c:v>0.26259803566694551</c:v>
                </c:pt>
                <c:pt idx="13">
                  <c:v>0.28279788456440286</c:v>
                </c:pt>
                <c:pt idx="14">
                  <c:v>0.30299773346186021</c:v>
                </c:pt>
                <c:pt idx="15">
                  <c:v>0.32319758235931756</c:v>
                </c:pt>
                <c:pt idx="16">
                  <c:v>0.34339743125677491</c:v>
                </c:pt>
                <c:pt idx="17">
                  <c:v>0.36359728015423226</c:v>
                </c:pt>
                <c:pt idx="18">
                  <c:v>0.38379712905168961</c:v>
                </c:pt>
                <c:pt idx="19">
                  <c:v>0.40399697794914696</c:v>
                </c:pt>
                <c:pt idx="20">
                  <c:v>0.42419682684660431</c:v>
                </c:pt>
                <c:pt idx="21">
                  <c:v>0.44439667574406166</c:v>
                </c:pt>
                <c:pt idx="22">
                  <c:v>0.46459652464151902</c:v>
                </c:pt>
                <c:pt idx="23">
                  <c:v>0.48479637353897637</c:v>
                </c:pt>
                <c:pt idx="24">
                  <c:v>0.50499622243643372</c:v>
                </c:pt>
                <c:pt idx="25">
                  <c:v>0.52519607133389101</c:v>
                </c:pt>
                <c:pt idx="26">
                  <c:v>0.54539592023134831</c:v>
                </c:pt>
                <c:pt idx="27">
                  <c:v>0.5655957691288056</c:v>
                </c:pt>
                <c:pt idx="28">
                  <c:v>0.5857956180262629</c:v>
                </c:pt>
                <c:pt idx="29">
                  <c:v>0.60599546692372019</c:v>
                </c:pt>
                <c:pt idx="30">
                  <c:v>0.62619531582117749</c:v>
                </c:pt>
                <c:pt idx="31">
                  <c:v>0.64639516471863478</c:v>
                </c:pt>
                <c:pt idx="32">
                  <c:v>0.66659501361609208</c:v>
                </c:pt>
                <c:pt idx="33">
                  <c:v>0.68679486251354938</c:v>
                </c:pt>
                <c:pt idx="34">
                  <c:v>0.70699471141100667</c:v>
                </c:pt>
                <c:pt idx="35">
                  <c:v>0.72719456030846397</c:v>
                </c:pt>
                <c:pt idx="36">
                  <c:v>0.74739440920592126</c:v>
                </c:pt>
                <c:pt idx="37">
                  <c:v>0.76759425810337856</c:v>
                </c:pt>
                <c:pt idx="38">
                  <c:v>0.78779410700083585</c:v>
                </c:pt>
                <c:pt idx="39">
                  <c:v>0.80799395589829315</c:v>
                </c:pt>
                <c:pt idx="40">
                  <c:v>0.82819380479575044</c:v>
                </c:pt>
                <c:pt idx="41">
                  <c:v>0.84839365369320774</c:v>
                </c:pt>
                <c:pt idx="42">
                  <c:v>0.86859350259066503</c:v>
                </c:pt>
                <c:pt idx="43">
                  <c:v>0.88879335148812233</c:v>
                </c:pt>
                <c:pt idx="44">
                  <c:v>0.90899320038557962</c:v>
                </c:pt>
                <c:pt idx="45">
                  <c:v>0.92919304928303692</c:v>
                </c:pt>
                <c:pt idx="46">
                  <c:v>0.94939289818049422</c:v>
                </c:pt>
                <c:pt idx="47">
                  <c:v>0.96959274707795151</c:v>
                </c:pt>
                <c:pt idx="48">
                  <c:v>0.98979259597540881</c:v>
                </c:pt>
                <c:pt idx="49">
                  <c:v>1.0099924448728661</c:v>
                </c:pt>
                <c:pt idx="50">
                  <c:v>1.0301922937703234</c:v>
                </c:pt>
                <c:pt idx="51">
                  <c:v>1.0503921426677807</c:v>
                </c:pt>
              </c:numCache>
            </c:numRef>
          </c:val>
          <c:smooth val="0"/>
          <c:extLst xmlns:c15="http://schemas.microsoft.com/office/drawing/2012/chart">
            <c:ext xmlns:c16="http://schemas.microsoft.com/office/drawing/2014/chart" uri="{C3380CC4-5D6E-409C-BE32-E72D297353CC}">
              <c16:uniqueId val="{00000001-F239-4304-B6CD-64AC85C7D413}"/>
            </c:ext>
          </c:extLst>
        </c:ser>
        <c:ser>
          <c:idx val="4"/>
          <c:order val="6"/>
          <c:tx>
            <c:strRef>
              <c:f>'OZL Summary'!$BT$6:$BT$7</c:f>
              <c:strCache>
                <c:ptCount val="2"/>
                <c:pt idx="0">
                  <c:v>50th Percentile</c:v>
                </c:pt>
              </c:strCache>
            </c:strRef>
          </c:tx>
          <c:spPr>
            <a:ln w="28575">
              <a:solidFill>
                <a:schemeClr val="bg2"/>
              </a:solidFill>
              <a:prstDash val="sysDot"/>
            </a:ln>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Summary'!$BT$8:$BT$60</c:f>
              <c:numCache>
                <c:formatCode>0.000</c:formatCode>
                <c:ptCount val="53"/>
                <c:pt idx="0">
                  <c:v>2.3469807538576672E-2</c:v>
                </c:pt>
                <c:pt idx="1">
                  <c:v>4.6939615077153343E-2</c:v>
                </c:pt>
                <c:pt idx="2">
                  <c:v>7.0409422615730022E-2</c:v>
                </c:pt>
                <c:pt idx="3">
                  <c:v>9.3879230154306686E-2</c:v>
                </c:pt>
                <c:pt idx="4">
                  <c:v>0.11734903769288335</c:v>
                </c:pt>
                <c:pt idx="5">
                  <c:v>0.14081884523146002</c:v>
                </c:pt>
                <c:pt idx="6">
                  <c:v>0.16428865277003668</c:v>
                </c:pt>
                <c:pt idx="7">
                  <c:v>0.18775846030861335</c:v>
                </c:pt>
                <c:pt idx="8">
                  <c:v>0.21122826784719001</c:v>
                </c:pt>
                <c:pt idx="9">
                  <c:v>0.23469807538576667</c:v>
                </c:pt>
                <c:pt idx="10">
                  <c:v>0.25816788292434334</c:v>
                </c:pt>
                <c:pt idx="11">
                  <c:v>0.28163769046292003</c:v>
                </c:pt>
                <c:pt idx="12">
                  <c:v>0.30510749800149672</c:v>
                </c:pt>
                <c:pt idx="13">
                  <c:v>0.32857730554007342</c:v>
                </c:pt>
                <c:pt idx="14">
                  <c:v>0.35204711307865011</c:v>
                </c:pt>
                <c:pt idx="15">
                  <c:v>0.3755169206172268</c:v>
                </c:pt>
                <c:pt idx="16">
                  <c:v>0.39898672815580349</c:v>
                </c:pt>
                <c:pt idx="17">
                  <c:v>0.42245653569438019</c:v>
                </c:pt>
                <c:pt idx="18">
                  <c:v>0.44592634323295688</c:v>
                </c:pt>
                <c:pt idx="19">
                  <c:v>0.46939615077153357</c:v>
                </c:pt>
                <c:pt idx="20">
                  <c:v>0.49286595831011026</c:v>
                </c:pt>
                <c:pt idx="21">
                  <c:v>0.5163357658486869</c:v>
                </c:pt>
                <c:pt idx="22">
                  <c:v>0.53980557338726354</c:v>
                </c:pt>
                <c:pt idx="23">
                  <c:v>0.56327538092584017</c:v>
                </c:pt>
                <c:pt idx="24">
                  <c:v>0.58674518846441681</c:v>
                </c:pt>
                <c:pt idx="25">
                  <c:v>0.61021499600299345</c:v>
                </c:pt>
                <c:pt idx="26">
                  <c:v>0.63368480354157009</c:v>
                </c:pt>
                <c:pt idx="27">
                  <c:v>0.65715461108014672</c:v>
                </c:pt>
                <c:pt idx="28">
                  <c:v>0.68062441861872336</c:v>
                </c:pt>
                <c:pt idx="29">
                  <c:v>0.7040942261573</c:v>
                </c:pt>
                <c:pt idx="30">
                  <c:v>0.72756403369587663</c:v>
                </c:pt>
                <c:pt idx="31">
                  <c:v>0.75103384123445327</c:v>
                </c:pt>
                <c:pt idx="32">
                  <c:v>0.77450364877302991</c:v>
                </c:pt>
                <c:pt idx="33">
                  <c:v>0.79797345631160654</c:v>
                </c:pt>
                <c:pt idx="34">
                  <c:v>0.82144326385018318</c:v>
                </c:pt>
                <c:pt idx="35">
                  <c:v>0.84491307138875982</c:v>
                </c:pt>
                <c:pt idx="36">
                  <c:v>0.86838287892733645</c:v>
                </c:pt>
                <c:pt idx="37">
                  <c:v>0.89185268646591309</c:v>
                </c:pt>
                <c:pt idx="38">
                  <c:v>0.91532249400448973</c:v>
                </c:pt>
                <c:pt idx="39">
                  <c:v>0.93879230154306637</c:v>
                </c:pt>
                <c:pt idx="40">
                  <c:v>0.962262109081643</c:v>
                </c:pt>
                <c:pt idx="41">
                  <c:v>0.98573191662021964</c:v>
                </c:pt>
                <c:pt idx="42">
                  <c:v>1.0092017241587963</c:v>
                </c:pt>
                <c:pt idx="43">
                  <c:v>1.0326715316973729</c:v>
                </c:pt>
                <c:pt idx="44">
                  <c:v>1.0561413392359496</c:v>
                </c:pt>
                <c:pt idx="45">
                  <c:v>1.0796111467745262</c:v>
                </c:pt>
                <c:pt idx="46">
                  <c:v>1.1030809543131028</c:v>
                </c:pt>
                <c:pt idx="47">
                  <c:v>1.1265507618516795</c:v>
                </c:pt>
                <c:pt idx="48">
                  <c:v>1.1500205693902561</c:v>
                </c:pt>
                <c:pt idx="49">
                  <c:v>1.1734903769288327</c:v>
                </c:pt>
                <c:pt idx="50">
                  <c:v>1.1969601844674094</c:v>
                </c:pt>
                <c:pt idx="51">
                  <c:v>1.220429992005986</c:v>
                </c:pt>
              </c:numCache>
            </c:numRef>
          </c:val>
          <c:smooth val="0"/>
          <c:extLst xmlns:c15="http://schemas.microsoft.com/office/drawing/2012/chart">
            <c:ext xmlns:c16="http://schemas.microsoft.com/office/drawing/2014/chart" uri="{C3380CC4-5D6E-409C-BE32-E72D297353CC}">
              <c16:uniqueId val="{00000002-F239-4304-B6CD-64AC85C7D413}"/>
            </c:ext>
          </c:extLst>
        </c:ser>
        <c:ser>
          <c:idx val="8"/>
          <c:order val="8"/>
          <c:tx>
            <c:strRef>
              <c:f>'OZL Summary'!$BV$6:$BV$7</c:f>
              <c:strCache>
                <c:ptCount val="2"/>
                <c:pt idx="0">
                  <c:v>90th Percentile</c:v>
                </c:pt>
              </c:strCache>
            </c:strRef>
          </c:tx>
          <c:spPr>
            <a:ln w="28575">
              <a:solidFill>
                <a:schemeClr val="accent1"/>
              </a:solidFill>
              <a:prstDash val="sysDot"/>
            </a:ln>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Summary'!$BV$8:$BV$60</c:f>
              <c:numCache>
                <c:formatCode>0.000</c:formatCode>
                <c:ptCount val="53"/>
                <c:pt idx="0">
                  <c:v>2.7720420236719803E-2</c:v>
                </c:pt>
                <c:pt idx="1">
                  <c:v>5.5440840473439605E-2</c:v>
                </c:pt>
                <c:pt idx="2">
                  <c:v>8.3161260710159404E-2</c:v>
                </c:pt>
                <c:pt idx="3">
                  <c:v>0.11088168094687921</c:v>
                </c:pt>
                <c:pt idx="4">
                  <c:v>0.138602101183599</c:v>
                </c:pt>
                <c:pt idx="5">
                  <c:v>0.16632252142031881</c:v>
                </c:pt>
                <c:pt idx="6">
                  <c:v>0.19404294165703861</c:v>
                </c:pt>
                <c:pt idx="7">
                  <c:v>0.22176336189375842</c:v>
                </c:pt>
                <c:pt idx="8">
                  <c:v>0.24948378213047823</c:v>
                </c:pt>
                <c:pt idx="9">
                  <c:v>0.277204202367198</c:v>
                </c:pt>
                <c:pt idx="10">
                  <c:v>0.30492462260391778</c:v>
                </c:pt>
                <c:pt idx="11">
                  <c:v>0.33264504284063756</c:v>
                </c:pt>
                <c:pt idx="12">
                  <c:v>0.36036546307735734</c:v>
                </c:pt>
                <c:pt idx="13">
                  <c:v>0.38808588331407712</c:v>
                </c:pt>
                <c:pt idx="14">
                  <c:v>0.4158063035507969</c:v>
                </c:pt>
                <c:pt idx="15">
                  <c:v>0.44352672378751667</c:v>
                </c:pt>
                <c:pt idx="16">
                  <c:v>0.47124714402423645</c:v>
                </c:pt>
                <c:pt idx="17">
                  <c:v>0.49896756426095623</c:v>
                </c:pt>
                <c:pt idx="18">
                  <c:v>0.52668798449767606</c:v>
                </c:pt>
                <c:pt idx="19">
                  <c:v>0.5544084047343959</c:v>
                </c:pt>
                <c:pt idx="20">
                  <c:v>0.58212882497111573</c:v>
                </c:pt>
                <c:pt idx="21">
                  <c:v>0.60984924520783557</c:v>
                </c:pt>
                <c:pt idx="22">
                  <c:v>0.6375696654445554</c:v>
                </c:pt>
                <c:pt idx="23">
                  <c:v>0.66529008568127523</c:v>
                </c:pt>
                <c:pt idx="24">
                  <c:v>0.69301050591799507</c:v>
                </c:pt>
                <c:pt idx="25">
                  <c:v>0.7207309261547149</c:v>
                </c:pt>
                <c:pt idx="26">
                  <c:v>0.74845134639143474</c:v>
                </c:pt>
                <c:pt idx="27">
                  <c:v>0.77617176662815457</c:v>
                </c:pt>
                <c:pt idx="28">
                  <c:v>0.8038921868648744</c:v>
                </c:pt>
                <c:pt idx="29">
                  <c:v>0.83161260710159424</c:v>
                </c:pt>
                <c:pt idx="30">
                  <c:v>0.85933302733831407</c:v>
                </c:pt>
                <c:pt idx="31">
                  <c:v>0.8870534475750339</c:v>
                </c:pt>
                <c:pt idx="32">
                  <c:v>0.91477386781175374</c:v>
                </c:pt>
                <c:pt idx="33">
                  <c:v>0.94249428804847357</c:v>
                </c:pt>
                <c:pt idx="34">
                  <c:v>0.97021470828519341</c:v>
                </c:pt>
                <c:pt idx="35">
                  <c:v>0.99793512852191324</c:v>
                </c:pt>
                <c:pt idx="36">
                  <c:v>1.025655548758633</c:v>
                </c:pt>
                <c:pt idx="37">
                  <c:v>1.0533759689953528</c:v>
                </c:pt>
                <c:pt idx="38">
                  <c:v>1.0810963892320726</c:v>
                </c:pt>
                <c:pt idx="39">
                  <c:v>1.1088168094687925</c:v>
                </c:pt>
                <c:pt idx="40">
                  <c:v>1.1365372297055123</c:v>
                </c:pt>
                <c:pt idx="41">
                  <c:v>1.1642576499422321</c:v>
                </c:pt>
                <c:pt idx="42">
                  <c:v>1.191978070178952</c:v>
                </c:pt>
                <c:pt idx="43">
                  <c:v>1.2196984904156718</c:v>
                </c:pt>
                <c:pt idx="44">
                  <c:v>1.2474189106523916</c:v>
                </c:pt>
                <c:pt idx="45">
                  <c:v>1.2751393308891115</c:v>
                </c:pt>
                <c:pt idx="46">
                  <c:v>1.3028597511258313</c:v>
                </c:pt>
                <c:pt idx="47">
                  <c:v>1.3305801713625511</c:v>
                </c:pt>
                <c:pt idx="48">
                  <c:v>1.358300591599271</c:v>
                </c:pt>
                <c:pt idx="49">
                  <c:v>1.3860210118359908</c:v>
                </c:pt>
                <c:pt idx="50">
                  <c:v>1.4137414320727106</c:v>
                </c:pt>
                <c:pt idx="51">
                  <c:v>1.4414618523094305</c:v>
                </c:pt>
              </c:numCache>
            </c:numRef>
          </c:val>
          <c:smooth val="0"/>
          <c:extLst xmlns:c15="http://schemas.microsoft.com/office/drawing/2012/chart">
            <c:ext xmlns:c16="http://schemas.microsoft.com/office/drawing/2014/chart" uri="{C3380CC4-5D6E-409C-BE32-E72D297353CC}">
              <c16:uniqueId val="{00000003-F239-4304-B6CD-64AC85C7D413}"/>
            </c:ext>
          </c:extLst>
        </c:ser>
        <c:dLbls>
          <c:showLegendKey val="0"/>
          <c:showVal val="0"/>
          <c:showCatName val="0"/>
          <c:showSerName val="0"/>
          <c:showPercent val="0"/>
          <c:showBubbleSize val="0"/>
        </c:dLbls>
        <c:smooth val="0"/>
        <c:axId val="1388952432"/>
        <c:axId val="1388953088"/>
        <c:extLst>
          <c:ext xmlns:c15="http://schemas.microsoft.com/office/drawing/2012/chart" uri="{02D57815-91ED-43cb-92C2-25804820EDAC}">
            <c15:filteredLineSeries>
              <c15:ser>
                <c:idx val="3"/>
                <c:order val="1"/>
                <c:tx>
                  <c:strRef>
                    <c:extLst>
                      <c:ext uri="{02D57815-91ED-43cb-92C2-25804820EDAC}">
                        <c15:formulaRef>
                          <c15:sqref>'OZL Summary'!$BO$6:$BO$7</c15:sqref>
                        </c15:formulaRef>
                      </c:ext>
                    </c:extLst>
                    <c:strCache>
                      <c:ptCount val="2"/>
                      <c:pt idx="0">
                        <c:v>Min</c:v>
                      </c:pt>
                    </c:strCache>
                  </c:strRef>
                </c:tx>
                <c:marker>
                  <c:symbol val="none"/>
                </c:marker>
                <c:cat>
                  <c:numRef>
                    <c:extLst>
                      <c:ex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c:ext uri="{02D57815-91ED-43cb-92C2-25804820EDAC}">
                        <c15:formulaRef>
                          <c15:sqref>'OZL Summary'!$BO$8:$BO$60</c15:sqref>
                        </c15:formulaRef>
                      </c:ext>
                    </c:extLst>
                    <c:numCache>
                      <c:formatCode>0.000</c:formatCode>
                      <c:ptCount val="53"/>
                      <c:pt idx="0">
                        <c:v>1.6032204874777817E-2</c:v>
                      </c:pt>
                      <c:pt idx="1">
                        <c:v>3.2064409749555635E-2</c:v>
                      </c:pt>
                      <c:pt idx="2">
                        <c:v>4.8096614624333456E-2</c:v>
                      </c:pt>
                      <c:pt idx="3">
                        <c:v>6.412881949911127E-2</c:v>
                      </c:pt>
                      <c:pt idx="4">
                        <c:v>8.0161024373889084E-2</c:v>
                      </c:pt>
                      <c:pt idx="5">
                        <c:v>9.6193229248666898E-2</c:v>
                      </c:pt>
                      <c:pt idx="6">
                        <c:v>0.11222543412344471</c:v>
                      </c:pt>
                      <c:pt idx="7">
                        <c:v>0.12825763899822254</c:v>
                      </c:pt>
                      <c:pt idx="8">
                        <c:v>0.14428984387300037</c:v>
                      </c:pt>
                      <c:pt idx="9">
                        <c:v>0.1603220487477782</c:v>
                      </c:pt>
                      <c:pt idx="10">
                        <c:v>0.17635425362255602</c:v>
                      </c:pt>
                      <c:pt idx="11">
                        <c:v>0.19238645849733385</c:v>
                      </c:pt>
                      <c:pt idx="12">
                        <c:v>0.20841866337211168</c:v>
                      </c:pt>
                      <c:pt idx="13">
                        <c:v>0.22445086824688951</c:v>
                      </c:pt>
                      <c:pt idx="14">
                        <c:v>0.24048307312166733</c:v>
                      </c:pt>
                      <c:pt idx="15">
                        <c:v>0.25651527799644513</c:v>
                      </c:pt>
                      <c:pt idx="16">
                        <c:v>0.27254748287122293</c:v>
                      </c:pt>
                      <c:pt idx="17">
                        <c:v>0.28857968774600073</c:v>
                      </c:pt>
                      <c:pt idx="18">
                        <c:v>0.30461189262077853</c:v>
                      </c:pt>
                      <c:pt idx="19">
                        <c:v>0.32064409749555633</c:v>
                      </c:pt>
                      <c:pt idx="20">
                        <c:v>0.33667630237033414</c:v>
                      </c:pt>
                      <c:pt idx="21">
                        <c:v>0.35270850724511194</c:v>
                      </c:pt>
                      <c:pt idx="22">
                        <c:v>0.36874071211988974</c:v>
                      </c:pt>
                      <c:pt idx="23">
                        <c:v>0.38477291699466754</c:v>
                      </c:pt>
                      <c:pt idx="24">
                        <c:v>0.40080512186944534</c:v>
                      </c:pt>
                      <c:pt idx="25">
                        <c:v>0.41683732674422314</c:v>
                      </c:pt>
                      <c:pt idx="26">
                        <c:v>0.43286953161900094</c:v>
                      </c:pt>
                      <c:pt idx="27">
                        <c:v>0.44890173649377874</c:v>
                      </c:pt>
                      <c:pt idx="28">
                        <c:v>0.46493394136855654</c:v>
                      </c:pt>
                      <c:pt idx="29">
                        <c:v>0.48096614624333434</c:v>
                      </c:pt>
                      <c:pt idx="30">
                        <c:v>0.49699835111811214</c:v>
                      </c:pt>
                      <c:pt idx="31">
                        <c:v>0.51303055599288994</c:v>
                      </c:pt>
                      <c:pt idx="32">
                        <c:v>0.52906276086766779</c:v>
                      </c:pt>
                      <c:pt idx="33">
                        <c:v>0.54509496574244565</c:v>
                      </c:pt>
                      <c:pt idx="34">
                        <c:v>0.5611271706172235</c:v>
                      </c:pt>
                      <c:pt idx="35">
                        <c:v>0.57715937549200136</c:v>
                      </c:pt>
                      <c:pt idx="36">
                        <c:v>0.59319158036677921</c:v>
                      </c:pt>
                      <c:pt idx="37">
                        <c:v>0.60922378524155707</c:v>
                      </c:pt>
                      <c:pt idx="38">
                        <c:v>0.62525599011633493</c:v>
                      </c:pt>
                      <c:pt idx="39">
                        <c:v>0.64128819499111278</c:v>
                      </c:pt>
                      <c:pt idx="40">
                        <c:v>0.65732039986589064</c:v>
                      </c:pt>
                      <c:pt idx="41">
                        <c:v>0.67335260474066849</c:v>
                      </c:pt>
                      <c:pt idx="42">
                        <c:v>0.68938480961544635</c:v>
                      </c:pt>
                      <c:pt idx="43">
                        <c:v>0.7054170144902242</c:v>
                      </c:pt>
                      <c:pt idx="44">
                        <c:v>0.72144921936500206</c:v>
                      </c:pt>
                      <c:pt idx="45">
                        <c:v>0.73748142423977991</c:v>
                      </c:pt>
                      <c:pt idx="46">
                        <c:v>0.75351362911455777</c:v>
                      </c:pt>
                      <c:pt idx="47">
                        <c:v>0.76954583398933563</c:v>
                      </c:pt>
                      <c:pt idx="48">
                        <c:v>0.78557803886411348</c:v>
                      </c:pt>
                      <c:pt idx="49">
                        <c:v>0.80161024373889134</c:v>
                      </c:pt>
                      <c:pt idx="50">
                        <c:v>0.81764244861366919</c:v>
                      </c:pt>
                      <c:pt idx="51">
                        <c:v>0.83367465348844705</c:v>
                      </c:pt>
                    </c:numCache>
                  </c:numRef>
                </c:val>
                <c:smooth val="0"/>
                <c:extLst>
                  <c:ext xmlns:c16="http://schemas.microsoft.com/office/drawing/2014/chart" uri="{C3380CC4-5D6E-409C-BE32-E72D297353CC}">
                    <c16:uniqueId val="{00000004-F239-4304-B6CD-64AC85C7D413}"/>
                  </c:ext>
                </c:extLst>
              </c15:ser>
            </c15:filteredLineSeries>
            <c15:filteredLineSeries>
              <c15:ser>
                <c:idx val="5"/>
                <c:order val="2"/>
                <c:tx>
                  <c:strRef>
                    <c:extLst xmlns:c15="http://schemas.microsoft.com/office/drawing/2012/chart">
                      <c:ext xmlns:c15="http://schemas.microsoft.com/office/drawing/2012/chart" uri="{02D57815-91ED-43cb-92C2-25804820EDAC}">
                        <c15:formulaRef>
                          <c15:sqref>'OZL Summary'!$BP$6:$BP$7</c15:sqref>
                        </c15:formulaRef>
                      </c:ext>
                    </c:extLst>
                    <c:strCache>
                      <c:ptCount val="2"/>
                      <c:pt idx="0">
                        <c:v>1st Percentile</c:v>
                      </c:pt>
                    </c:strCache>
                  </c:strRef>
                </c:tx>
                <c:spPr>
                  <a:ln w="28575" cap="rnd">
                    <a:solidFill>
                      <a:schemeClr val="accent2"/>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Summary'!$BP$8:$BP$60</c15:sqref>
                        </c15:formulaRef>
                      </c:ext>
                    </c:extLst>
                    <c:numCache>
                      <c:formatCode>0.000</c:formatCode>
                      <c:ptCount val="53"/>
                      <c:pt idx="0">
                        <c:v>1.8223138082807688E-2</c:v>
                      </c:pt>
                      <c:pt idx="1">
                        <c:v>3.6446276165615375E-2</c:v>
                      </c:pt>
                      <c:pt idx="2">
                        <c:v>5.4669414248423059E-2</c:v>
                      </c:pt>
                      <c:pt idx="3">
                        <c:v>7.2892552331230751E-2</c:v>
                      </c:pt>
                      <c:pt idx="4">
                        <c:v>9.1115690414038442E-2</c:v>
                      </c:pt>
                      <c:pt idx="5">
                        <c:v>0.10933882849684613</c:v>
                      </c:pt>
                      <c:pt idx="6">
                        <c:v>0.12756196657965382</c:v>
                      </c:pt>
                      <c:pt idx="7">
                        <c:v>0.1457851046624615</c:v>
                      </c:pt>
                      <c:pt idx="8">
                        <c:v>0.16400824274526918</c:v>
                      </c:pt>
                      <c:pt idx="9">
                        <c:v>0.18223138082807686</c:v>
                      </c:pt>
                      <c:pt idx="10">
                        <c:v>0.20045451891088453</c:v>
                      </c:pt>
                      <c:pt idx="11">
                        <c:v>0.21867765699369221</c:v>
                      </c:pt>
                      <c:pt idx="12">
                        <c:v>0.23690079507649989</c:v>
                      </c:pt>
                      <c:pt idx="13">
                        <c:v>0.25512393315930759</c:v>
                      </c:pt>
                      <c:pt idx="14">
                        <c:v>0.27334707124211527</c:v>
                      </c:pt>
                      <c:pt idx="15">
                        <c:v>0.29157020932492295</c:v>
                      </c:pt>
                      <c:pt idx="16">
                        <c:v>0.30979334740773062</c:v>
                      </c:pt>
                      <c:pt idx="17">
                        <c:v>0.3280164854905383</c:v>
                      </c:pt>
                      <c:pt idx="18">
                        <c:v>0.34623962357334598</c:v>
                      </c:pt>
                      <c:pt idx="19">
                        <c:v>0.36446276165615366</c:v>
                      </c:pt>
                      <c:pt idx="20">
                        <c:v>0.38268589973896133</c:v>
                      </c:pt>
                      <c:pt idx="21">
                        <c:v>0.40090903782176901</c:v>
                      </c:pt>
                      <c:pt idx="22">
                        <c:v>0.41913217590457669</c:v>
                      </c:pt>
                      <c:pt idx="23">
                        <c:v>0.43735531398738436</c:v>
                      </c:pt>
                      <c:pt idx="24">
                        <c:v>0.45557845207019204</c:v>
                      </c:pt>
                      <c:pt idx="25">
                        <c:v>0.47380159015299972</c:v>
                      </c:pt>
                      <c:pt idx="26">
                        <c:v>0.4920247282358074</c:v>
                      </c:pt>
                      <c:pt idx="27">
                        <c:v>0.51024786631861507</c:v>
                      </c:pt>
                      <c:pt idx="28">
                        <c:v>0.52847100440142281</c:v>
                      </c:pt>
                      <c:pt idx="29">
                        <c:v>0.54669414248423054</c:v>
                      </c:pt>
                      <c:pt idx="30">
                        <c:v>0.56491728056703827</c:v>
                      </c:pt>
                      <c:pt idx="31">
                        <c:v>0.583140418649846</c:v>
                      </c:pt>
                      <c:pt idx="32">
                        <c:v>0.60136355673265374</c:v>
                      </c:pt>
                      <c:pt idx="33">
                        <c:v>0.61958669481546147</c:v>
                      </c:pt>
                      <c:pt idx="34">
                        <c:v>0.6378098328982692</c:v>
                      </c:pt>
                      <c:pt idx="35">
                        <c:v>0.65603297098107693</c:v>
                      </c:pt>
                      <c:pt idx="36">
                        <c:v>0.67425610906388467</c:v>
                      </c:pt>
                      <c:pt idx="37">
                        <c:v>0.6924792471466924</c:v>
                      </c:pt>
                      <c:pt idx="38">
                        <c:v>0.71070238522950013</c:v>
                      </c:pt>
                      <c:pt idx="39">
                        <c:v>0.72892552331230787</c:v>
                      </c:pt>
                      <c:pt idx="40">
                        <c:v>0.7471486613951156</c:v>
                      </c:pt>
                      <c:pt idx="41">
                        <c:v>0.76537179947792333</c:v>
                      </c:pt>
                      <c:pt idx="42">
                        <c:v>0.78359493756073106</c:v>
                      </c:pt>
                      <c:pt idx="43">
                        <c:v>0.8018180756435388</c:v>
                      </c:pt>
                      <c:pt idx="44">
                        <c:v>0.82004121372634653</c:v>
                      </c:pt>
                      <c:pt idx="45">
                        <c:v>0.83826435180915426</c:v>
                      </c:pt>
                      <c:pt idx="46">
                        <c:v>0.85648748989196199</c:v>
                      </c:pt>
                      <c:pt idx="47">
                        <c:v>0.87471062797476973</c:v>
                      </c:pt>
                      <c:pt idx="48">
                        <c:v>0.89293376605757746</c:v>
                      </c:pt>
                      <c:pt idx="49">
                        <c:v>0.91115690414038519</c:v>
                      </c:pt>
                      <c:pt idx="50">
                        <c:v>0.92938004222319293</c:v>
                      </c:pt>
                      <c:pt idx="51">
                        <c:v>0.94760318030600066</c:v>
                      </c:pt>
                    </c:numCache>
                  </c:numRef>
                </c:val>
                <c:smooth val="0"/>
                <c:extLst xmlns:c15="http://schemas.microsoft.com/office/drawing/2012/chart">
                  <c:ext xmlns:c16="http://schemas.microsoft.com/office/drawing/2014/chart" uri="{C3380CC4-5D6E-409C-BE32-E72D297353CC}">
                    <c16:uniqueId val="{00000005-F239-4304-B6CD-64AC85C7D413}"/>
                  </c:ext>
                </c:extLst>
              </c15:ser>
            </c15:filteredLineSeries>
            <c15:filteredLineSeries>
              <c15:ser>
                <c:idx val="7"/>
                <c:order val="3"/>
                <c:tx>
                  <c:strRef>
                    <c:extLst xmlns:c15="http://schemas.microsoft.com/office/drawing/2012/chart">
                      <c:ext xmlns:c15="http://schemas.microsoft.com/office/drawing/2012/chart" uri="{02D57815-91ED-43cb-92C2-25804820EDAC}">
                        <c15:formulaRef>
                          <c15:sqref>'OZL Summary'!$BQ$6:$BQ$7</c15:sqref>
                        </c15:formulaRef>
                      </c:ext>
                    </c:extLst>
                    <c:strCache>
                      <c:ptCount val="2"/>
                      <c:pt idx="0">
                        <c:v>5th Percentile</c:v>
                      </c:pt>
                    </c:strCache>
                  </c:strRef>
                </c:tx>
                <c:spPr>
                  <a:ln w="28575" cap="rnd">
                    <a:solidFill>
                      <a:schemeClr val="bg2"/>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Summary'!$BQ$8:$BQ$60</c15:sqref>
                        </c15:formulaRef>
                      </c:ext>
                    </c:extLst>
                    <c:numCache>
                      <c:formatCode>0.000</c:formatCode>
                      <c:ptCount val="53"/>
                      <c:pt idx="0">
                        <c:v>1.9443728141978436E-2</c:v>
                      </c:pt>
                      <c:pt idx="1">
                        <c:v>3.8887456283956873E-2</c:v>
                      </c:pt>
                      <c:pt idx="2">
                        <c:v>5.8331184425935309E-2</c:v>
                      </c:pt>
                      <c:pt idx="3">
                        <c:v>7.7774912567913745E-2</c:v>
                      </c:pt>
                      <c:pt idx="4">
                        <c:v>9.7218640709892182E-2</c:v>
                      </c:pt>
                      <c:pt idx="5">
                        <c:v>0.11666236885187062</c:v>
                      </c:pt>
                      <c:pt idx="6">
                        <c:v>0.13610609699384907</c:v>
                      </c:pt>
                      <c:pt idx="7">
                        <c:v>0.15554982513582749</c:v>
                      </c:pt>
                      <c:pt idx="8">
                        <c:v>0.17499355327780591</c:v>
                      </c:pt>
                      <c:pt idx="9">
                        <c:v>0.19443728141978434</c:v>
                      </c:pt>
                      <c:pt idx="10">
                        <c:v>0.21388100956176276</c:v>
                      </c:pt>
                      <c:pt idx="11">
                        <c:v>0.23332473770374118</c:v>
                      </c:pt>
                      <c:pt idx="12">
                        <c:v>0.2527684658457196</c:v>
                      </c:pt>
                      <c:pt idx="13">
                        <c:v>0.27221219398769803</c:v>
                      </c:pt>
                      <c:pt idx="14">
                        <c:v>0.29165592212967645</c:v>
                      </c:pt>
                      <c:pt idx="15">
                        <c:v>0.31109965027165487</c:v>
                      </c:pt>
                      <c:pt idx="16">
                        <c:v>0.33054337841363329</c:v>
                      </c:pt>
                      <c:pt idx="17">
                        <c:v>0.34998710655561172</c:v>
                      </c:pt>
                      <c:pt idx="18">
                        <c:v>0.36943083469759014</c:v>
                      </c:pt>
                      <c:pt idx="19">
                        <c:v>0.38887456283956856</c:v>
                      </c:pt>
                      <c:pt idx="20">
                        <c:v>0.40831829098154698</c:v>
                      </c:pt>
                      <c:pt idx="21">
                        <c:v>0.42776201912352541</c:v>
                      </c:pt>
                      <c:pt idx="22">
                        <c:v>0.44720574726550383</c:v>
                      </c:pt>
                      <c:pt idx="23">
                        <c:v>0.46664947540748225</c:v>
                      </c:pt>
                      <c:pt idx="24">
                        <c:v>0.48609320354946067</c:v>
                      </c:pt>
                      <c:pt idx="25">
                        <c:v>0.5055369316914391</c:v>
                      </c:pt>
                      <c:pt idx="26">
                        <c:v>0.52498065983341757</c:v>
                      </c:pt>
                      <c:pt idx="27">
                        <c:v>0.54442438797539605</c:v>
                      </c:pt>
                      <c:pt idx="28">
                        <c:v>0.56386811611737453</c:v>
                      </c:pt>
                      <c:pt idx="29">
                        <c:v>0.58331184425935301</c:v>
                      </c:pt>
                      <c:pt idx="30">
                        <c:v>0.60275557240133149</c:v>
                      </c:pt>
                      <c:pt idx="31">
                        <c:v>0.62219930054330996</c:v>
                      </c:pt>
                      <c:pt idx="32">
                        <c:v>0.64164302868528844</c:v>
                      </c:pt>
                      <c:pt idx="33">
                        <c:v>0.66108675682726692</c:v>
                      </c:pt>
                      <c:pt idx="34">
                        <c:v>0.6805304849692454</c:v>
                      </c:pt>
                      <c:pt idx="35">
                        <c:v>0.69997421311122388</c:v>
                      </c:pt>
                      <c:pt idx="36">
                        <c:v>0.71941794125320235</c:v>
                      </c:pt>
                      <c:pt idx="37">
                        <c:v>0.73886166939518083</c:v>
                      </c:pt>
                      <c:pt idx="38">
                        <c:v>0.75830539753715931</c:v>
                      </c:pt>
                      <c:pt idx="39">
                        <c:v>0.77774912567913779</c:v>
                      </c:pt>
                      <c:pt idx="40">
                        <c:v>0.79719285382111627</c:v>
                      </c:pt>
                      <c:pt idx="41">
                        <c:v>0.81663658196309474</c:v>
                      </c:pt>
                      <c:pt idx="42">
                        <c:v>0.83608031010507322</c:v>
                      </c:pt>
                      <c:pt idx="43">
                        <c:v>0.8555240382470517</c:v>
                      </c:pt>
                      <c:pt idx="44">
                        <c:v>0.87496776638903018</c:v>
                      </c:pt>
                      <c:pt idx="45">
                        <c:v>0.89441149453100866</c:v>
                      </c:pt>
                      <c:pt idx="46">
                        <c:v>0.91385522267298713</c:v>
                      </c:pt>
                      <c:pt idx="47">
                        <c:v>0.93329895081496561</c:v>
                      </c:pt>
                      <c:pt idx="48">
                        <c:v>0.95274267895694409</c:v>
                      </c:pt>
                      <c:pt idx="49">
                        <c:v>0.97218640709892257</c:v>
                      </c:pt>
                      <c:pt idx="50">
                        <c:v>0.99163013524090105</c:v>
                      </c:pt>
                      <c:pt idx="51">
                        <c:v>1.0110738633828795</c:v>
                      </c:pt>
                    </c:numCache>
                  </c:numRef>
                </c:val>
                <c:smooth val="0"/>
                <c:extLst xmlns:c15="http://schemas.microsoft.com/office/drawing/2012/chart">
                  <c:ext xmlns:c16="http://schemas.microsoft.com/office/drawing/2014/chart" uri="{C3380CC4-5D6E-409C-BE32-E72D297353CC}">
                    <c16:uniqueId val="{00000006-F239-4304-B6CD-64AC85C7D413}"/>
                  </c:ext>
                </c:extLst>
              </c15:ser>
            </c15:filteredLineSeries>
            <c15:filteredLineSeries>
              <c15:ser>
                <c:idx val="2"/>
                <c:order val="5"/>
                <c:tx>
                  <c:strRef>
                    <c:extLst xmlns:c15="http://schemas.microsoft.com/office/drawing/2012/chart">
                      <c:ext xmlns:c15="http://schemas.microsoft.com/office/drawing/2012/chart" uri="{02D57815-91ED-43cb-92C2-25804820EDAC}">
                        <c15:formulaRef>
                          <c15:sqref>'OZL Summary'!$BS$6:$BS$7</c15:sqref>
                        </c15:formulaRef>
                      </c:ext>
                    </c:extLst>
                    <c:strCache>
                      <c:ptCount val="2"/>
                      <c:pt idx="0">
                        <c:v>25th Percentile</c:v>
                      </c:pt>
                    </c:strCache>
                  </c:strRef>
                </c:tx>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Summary'!$BS$8:$BS$60</c15:sqref>
                        </c15:formulaRef>
                      </c:ext>
                    </c:extLst>
                    <c:numCache>
                      <c:formatCode>0.000</c:formatCode>
                      <c:ptCount val="53"/>
                      <c:pt idx="0">
                        <c:v>2.1609953490484776E-2</c:v>
                      </c:pt>
                      <c:pt idx="1">
                        <c:v>4.3219906980969551E-2</c:v>
                      </c:pt>
                      <c:pt idx="2">
                        <c:v>6.4829860471454323E-2</c:v>
                      </c:pt>
                      <c:pt idx="3">
                        <c:v>8.6439813961939102E-2</c:v>
                      </c:pt>
                      <c:pt idx="4">
                        <c:v>0.10804976745242388</c:v>
                      </c:pt>
                      <c:pt idx="5">
                        <c:v>0.12965972094290865</c:v>
                      </c:pt>
                      <c:pt idx="6">
                        <c:v>0.15126967443339343</c:v>
                      </c:pt>
                      <c:pt idx="7">
                        <c:v>0.1728796279238782</c:v>
                      </c:pt>
                      <c:pt idx="8">
                        <c:v>0.19448958141436298</c:v>
                      </c:pt>
                      <c:pt idx="9">
                        <c:v>0.21609953490484776</c:v>
                      </c:pt>
                      <c:pt idx="10">
                        <c:v>0.23770948839533254</c:v>
                      </c:pt>
                      <c:pt idx="11">
                        <c:v>0.25931944188581729</c:v>
                      </c:pt>
                      <c:pt idx="12">
                        <c:v>0.28092939537630207</c:v>
                      </c:pt>
                      <c:pt idx="13">
                        <c:v>0.30253934886678685</c:v>
                      </c:pt>
                      <c:pt idx="14">
                        <c:v>0.32414930235727163</c:v>
                      </c:pt>
                      <c:pt idx="15">
                        <c:v>0.34575925584775641</c:v>
                      </c:pt>
                      <c:pt idx="16">
                        <c:v>0.36736920933824119</c:v>
                      </c:pt>
                      <c:pt idx="17">
                        <c:v>0.38897916282872597</c:v>
                      </c:pt>
                      <c:pt idx="18">
                        <c:v>0.41058911631921075</c:v>
                      </c:pt>
                      <c:pt idx="19">
                        <c:v>0.43219906980969552</c:v>
                      </c:pt>
                      <c:pt idx="20">
                        <c:v>0.4538090233001803</c:v>
                      </c:pt>
                      <c:pt idx="21">
                        <c:v>0.47541897679066508</c:v>
                      </c:pt>
                      <c:pt idx="22">
                        <c:v>0.49702893028114986</c:v>
                      </c:pt>
                      <c:pt idx="23">
                        <c:v>0.51863888377163458</c:v>
                      </c:pt>
                      <c:pt idx="24">
                        <c:v>0.54024883726211936</c:v>
                      </c:pt>
                      <c:pt idx="25">
                        <c:v>0.56185879075260414</c:v>
                      </c:pt>
                      <c:pt idx="26">
                        <c:v>0.58346874424308892</c:v>
                      </c:pt>
                      <c:pt idx="27">
                        <c:v>0.6050786977335737</c:v>
                      </c:pt>
                      <c:pt idx="28">
                        <c:v>0.62668865122405848</c:v>
                      </c:pt>
                      <c:pt idx="29">
                        <c:v>0.64829860471454326</c:v>
                      </c:pt>
                      <c:pt idx="30">
                        <c:v>0.66990855820502804</c:v>
                      </c:pt>
                      <c:pt idx="31">
                        <c:v>0.69151851169551282</c:v>
                      </c:pt>
                      <c:pt idx="32">
                        <c:v>0.7131284651859976</c:v>
                      </c:pt>
                      <c:pt idx="33">
                        <c:v>0.73473841867648237</c:v>
                      </c:pt>
                      <c:pt idx="34">
                        <c:v>0.75634837216696715</c:v>
                      </c:pt>
                      <c:pt idx="35">
                        <c:v>0.77795832565745193</c:v>
                      </c:pt>
                      <c:pt idx="36">
                        <c:v>0.79956827914793671</c:v>
                      </c:pt>
                      <c:pt idx="37">
                        <c:v>0.82117823263842149</c:v>
                      </c:pt>
                      <c:pt idx="38">
                        <c:v>0.84278818612890627</c:v>
                      </c:pt>
                      <c:pt idx="39">
                        <c:v>0.86439813961939105</c:v>
                      </c:pt>
                      <c:pt idx="40">
                        <c:v>0.88600809310987583</c:v>
                      </c:pt>
                      <c:pt idx="41">
                        <c:v>0.90761804660036061</c:v>
                      </c:pt>
                      <c:pt idx="42">
                        <c:v>0.92922800009084539</c:v>
                      </c:pt>
                      <c:pt idx="43">
                        <c:v>0.95083795358133016</c:v>
                      </c:pt>
                      <c:pt idx="44">
                        <c:v>0.97244790707181494</c:v>
                      </c:pt>
                      <c:pt idx="45">
                        <c:v>0.99405786056229972</c:v>
                      </c:pt>
                      <c:pt idx="46">
                        <c:v>1.0156678140527844</c:v>
                      </c:pt>
                      <c:pt idx="47">
                        <c:v>1.0372777675432692</c:v>
                      </c:pt>
                      <c:pt idx="48">
                        <c:v>1.0588877210337539</c:v>
                      </c:pt>
                      <c:pt idx="49">
                        <c:v>1.0804976745242387</c:v>
                      </c:pt>
                      <c:pt idx="50">
                        <c:v>1.1021076280147235</c:v>
                      </c:pt>
                      <c:pt idx="51">
                        <c:v>1.1237175815052083</c:v>
                      </c:pt>
                    </c:numCache>
                  </c:numRef>
                </c:val>
                <c:smooth val="0"/>
                <c:extLst xmlns:c15="http://schemas.microsoft.com/office/drawing/2012/chart">
                  <c:ext xmlns:c16="http://schemas.microsoft.com/office/drawing/2014/chart" uri="{C3380CC4-5D6E-409C-BE32-E72D297353CC}">
                    <c16:uniqueId val="{00000007-F239-4304-B6CD-64AC85C7D413}"/>
                  </c:ext>
                </c:extLst>
              </c15:ser>
            </c15:filteredLineSeries>
            <c15:filteredLineSeries>
              <c15:ser>
                <c:idx val="6"/>
                <c:order val="7"/>
                <c:tx>
                  <c:strRef>
                    <c:extLst xmlns:c15="http://schemas.microsoft.com/office/drawing/2012/chart">
                      <c:ext xmlns:c15="http://schemas.microsoft.com/office/drawing/2012/chart" uri="{02D57815-91ED-43cb-92C2-25804820EDAC}">
                        <c15:formulaRef>
                          <c15:sqref>'OZL Summary'!$BU$6:$BU$7</c15:sqref>
                        </c15:formulaRef>
                      </c:ext>
                    </c:extLst>
                    <c:strCache>
                      <c:ptCount val="2"/>
                      <c:pt idx="0">
                        <c:v>75th Percentile</c:v>
                      </c:pt>
                    </c:strCache>
                  </c:strRef>
                </c:tx>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Summary'!$BU$8:$BU$60</c15:sqref>
                        </c15:formulaRef>
                      </c:ext>
                    </c:extLst>
                    <c:numCache>
                      <c:formatCode>0.000</c:formatCode>
                      <c:ptCount val="53"/>
                      <c:pt idx="0">
                        <c:v>2.5540580974329746E-2</c:v>
                      </c:pt>
                      <c:pt idx="1">
                        <c:v>5.1081161948659491E-2</c:v>
                      </c:pt>
                      <c:pt idx="2">
                        <c:v>7.6621742922989233E-2</c:v>
                      </c:pt>
                      <c:pt idx="3">
                        <c:v>0.10216232389731898</c:v>
                      </c:pt>
                      <c:pt idx="4">
                        <c:v>0.12770290487164873</c:v>
                      </c:pt>
                      <c:pt idx="5">
                        <c:v>0.15324348584597847</c:v>
                      </c:pt>
                      <c:pt idx="6">
                        <c:v>0.1787840668203082</c:v>
                      </c:pt>
                      <c:pt idx="7">
                        <c:v>0.20432464779463794</c:v>
                      </c:pt>
                      <c:pt idx="8">
                        <c:v>0.22986522876896767</c:v>
                      </c:pt>
                      <c:pt idx="9">
                        <c:v>0.25540580974329741</c:v>
                      </c:pt>
                      <c:pt idx="10">
                        <c:v>0.28094639071762717</c:v>
                      </c:pt>
                      <c:pt idx="11">
                        <c:v>0.30648697169195693</c:v>
                      </c:pt>
                      <c:pt idx="12">
                        <c:v>0.3320275526662867</c:v>
                      </c:pt>
                      <c:pt idx="13">
                        <c:v>0.35756813364061646</c:v>
                      </c:pt>
                      <c:pt idx="14">
                        <c:v>0.38310871461494622</c:v>
                      </c:pt>
                      <c:pt idx="15">
                        <c:v>0.40864929558927598</c:v>
                      </c:pt>
                      <c:pt idx="16">
                        <c:v>0.43418987656360575</c:v>
                      </c:pt>
                      <c:pt idx="17">
                        <c:v>0.45973045753793551</c:v>
                      </c:pt>
                      <c:pt idx="18">
                        <c:v>0.48527103851226527</c:v>
                      </c:pt>
                      <c:pt idx="19">
                        <c:v>0.51081161948659504</c:v>
                      </c:pt>
                      <c:pt idx="20">
                        <c:v>0.5363522004609248</c:v>
                      </c:pt>
                      <c:pt idx="21">
                        <c:v>0.56189278143525456</c:v>
                      </c:pt>
                      <c:pt idx="22">
                        <c:v>0.58743336240958433</c:v>
                      </c:pt>
                      <c:pt idx="23">
                        <c:v>0.61297394338391409</c:v>
                      </c:pt>
                      <c:pt idx="24">
                        <c:v>0.63851452435824385</c:v>
                      </c:pt>
                      <c:pt idx="25">
                        <c:v>0.66405510533257361</c:v>
                      </c:pt>
                      <c:pt idx="26">
                        <c:v>0.68959568630690338</c:v>
                      </c:pt>
                      <c:pt idx="27">
                        <c:v>0.71513626728123314</c:v>
                      </c:pt>
                      <c:pt idx="28">
                        <c:v>0.7406768482555629</c:v>
                      </c:pt>
                      <c:pt idx="29">
                        <c:v>0.76621742922989267</c:v>
                      </c:pt>
                      <c:pt idx="30">
                        <c:v>0.79175801020422243</c:v>
                      </c:pt>
                      <c:pt idx="31">
                        <c:v>0.81729859117855219</c:v>
                      </c:pt>
                      <c:pt idx="32">
                        <c:v>0.84283917215288195</c:v>
                      </c:pt>
                      <c:pt idx="33">
                        <c:v>0.86837975312721172</c:v>
                      </c:pt>
                      <c:pt idx="34">
                        <c:v>0.89392033410154148</c:v>
                      </c:pt>
                      <c:pt idx="35">
                        <c:v>0.91946091507587124</c:v>
                      </c:pt>
                      <c:pt idx="36">
                        <c:v>0.94500149605020101</c:v>
                      </c:pt>
                      <c:pt idx="37">
                        <c:v>0.97054207702453077</c:v>
                      </c:pt>
                      <c:pt idx="38">
                        <c:v>0.99608265799886053</c:v>
                      </c:pt>
                      <c:pt idx="39">
                        <c:v>1.0216232389731903</c:v>
                      </c:pt>
                      <c:pt idx="40">
                        <c:v>1.0471638199475199</c:v>
                      </c:pt>
                      <c:pt idx="41">
                        <c:v>1.0727044009218496</c:v>
                      </c:pt>
                      <c:pt idx="42">
                        <c:v>1.0982449818961793</c:v>
                      </c:pt>
                      <c:pt idx="43">
                        <c:v>1.1237855628705089</c:v>
                      </c:pt>
                      <c:pt idx="44">
                        <c:v>1.1493261438448386</c:v>
                      </c:pt>
                      <c:pt idx="45">
                        <c:v>1.1748667248191682</c:v>
                      </c:pt>
                      <c:pt idx="46">
                        <c:v>1.2004073057934979</c:v>
                      </c:pt>
                      <c:pt idx="47">
                        <c:v>1.2259478867678275</c:v>
                      </c:pt>
                      <c:pt idx="48">
                        <c:v>1.2514884677421572</c:v>
                      </c:pt>
                      <c:pt idx="49">
                        <c:v>1.2770290487164868</c:v>
                      </c:pt>
                      <c:pt idx="50">
                        <c:v>1.3025696296908165</c:v>
                      </c:pt>
                      <c:pt idx="51">
                        <c:v>1.3281102106651461</c:v>
                      </c:pt>
                    </c:numCache>
                  </c:numRef>
                </c:val>
                <c:smooth val="0"/>
                <c:extLst xmlns:c15="http://schemas.microsoft.com/office/drawing/2012/chart">
                  <c:ext xmlns:c16="http://schemas.microsoft.com/office/drawing/2014/chart" uri="{C3380CC4-5D6E-409C-BE32-E72D297353CC}">
                    <c16:uniqueId val="{00000008-F239-4304-B6CD-64AC85C7D413}"/>
                  </c:ext>
                </c:extLst>
              </c15:ser>
            </c15:filteredLineSeries>
            <c15:filteredLineSeries>
              <c15:ser>
                <c:idx val="9"/>
                <c:order val="9"/>
                <c:tx>
                  <c:strRef>
                    <c:extLst xmlns:c15="http://schemas.microsoft.com/office/drawing/2012/chart">
                      <c:ext xmlns:c15="http://schemas.microsoft.com/office/drawing/2012/chart" uri="{02D57815-91ED-43cb-92C2-25804820EDAC}">
                        <c15:formulaRef>
                          <c15:sqref>'OZL Summary'!$BW$6:$BW$7</c15:sqref>
                        </c15:formulaRef>
                      </c:ext>
                    </c:extLst>
                    <c:strCache>
                      <c:ptCount val="2"/>
                      <c:pt idx="0">
                        <c:v>95th Percentile</c:v>
                      </c:pt>
                    </c:strCache>
                  </c:strRef>
                </c:tx>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Summary'!$BW$8:$BW$60</c15:sqref>
                        </c15:formulaRef>
                      </c:ext>
                    </c:extLst>
                    <c:numCache>
                      <c:formatCode>0.000</c:formatCode>
                      <c:ptCount val="53"/>
                      <c:pt idx="0">
                        <c:v>2.9126260596895739E-2</c:v>
                      </c:pt>
                      <c:pt idx="1">
                        <c:v>5.8252521193791477E-2</c:v>
                      </c:pt>
                      <c:pt idx="2">
                        <c:v>8.7378781790687213E-2</c:v>
                      </c:pt>
                      <c:pt idx="3">
                        <c:v>0.11650504238758295</c:v>
                      </c:pt>
                      <c:pt idx="4">
                        <c:v>0.14563130298447868</c:v>
                      </c:pt>
                      <c:pt idx="5">
                        <c:v>0.17475756358137443</c:v>
                      </c:pt>
                      <c:pt idx="6">
                        <c:v>0.20388382417827017</c:v>
                      </c:pt>
                      <c:pt idx="7">
                        <c:v>0.23301008477516591</c:v>
                      </c:pt>
                      <c:pt idx="8">
                        <c:v>0.26213634537206165</c:v>
                      </c:pt>
                      <c:pt idx="9">
                        <c:v>0.29126260596895737</c:v>
                      </c:pt>
                      <c:pt idx="10">
                        <c:v>0.32038886656585308</c:v>
                      </c:pt>
                      <c:pt idx="11">
                        <c:v>0.3495151271627488</c:v>
                      </c:pt>
                      <c:pt idx="12">
                        <c:v>0.37864138775964451</c:v>
                      </c:pt>
                      <c:pt idx="13">
                        <c:v>0.40776764835654022</c:v>
                      </c:pt>
                      <c:pt idx="14">
                        <c:v>0.43689390895343594</c:v>
                      </c:pt>
                      <c:pt idx="15">
                        <c:v>0.46602016955033165</c:v>
                      </c:pt>
                      <c:pt idx="16">
                        <c:v>0.49514643014722737</c:v>
                      </c:pt>
                      <c:pt idx="17">
                        <c:v>0.52427269074412308</c:v>
                      </c:pt>
                      <c:pt idx="18">
                        <c:v>0.5533989513410188</c:v>
                      </c:pt>
                      <c:pt idx="19">
                        <c:v>0.58252521193791451</c:v>
                      </c:pt>
                      <c:pt idx="20">
                        <c:v>0.61165147253481023</c:v>
                      </c:pt>
                      <c:pt idx="21">
                        <c:v>0.64077773313170594</c:v>
                      </c:pt>
                      <c:pt idx="22">
                        <c:v>0.66990399372860165</c:v>
                      </c:pt>
                      <c:pt idx="23">
                        <c:v>0.69903025432549737</c:v>
                      </c:pt>
                      <c:pt idx="24">
                        <c:v>0.72815651492239308</c:v>
                      </c:pt>
                      <c:pt idx="25">
                        <c:v>0.7572827755192888</c:v>
                      </c:pt>
                      <c:pt idx="26">
                        <c:v>0.78640903611618451</c:v>
                      </c:pt>
                      <c:pt idx="27">
                        <c:v>0.81553529671308023</c:v>
                      </c:pt>
                      <c:pt idx="28">
                        <c:v>0.84466155730997594</c:v>
                      </c:pt>
                      <c:pt idx="29">
                        <c:v>0.87378781790687166</c:v>
                      </c:pt>
                      <c:pt idx="30">
                        <c:v>0.90291407850376737</c:v>
                      </c:pt>
                      <c:pt idx="31">
                        <c:v>0.93204033910066308</c:v>
                      </c:pt>
                      <c:pt idx="32">
                        <c:v>0.9611665996975588</c:v>
                      </c:pt>
                      <c:pt idx="33">
                        <c:v>0.99029286029445451</c:v>
                      </c:pt>
                      <c:pt idx="34">
                        <c:v>1.0194191208913503</c:v>
                      </c:pt>
                      <c:pt idx="35">
                        <c:v>1.0485453814882462</c:v>
                      </c:pt>
                      <c:pt idx="36">
                        <c:v>1.077671642085142</c:v>
                      </c:pt>
                      <c:pt idx="37">
                        <c:v>1.1067979026820378</c:v>
                      </c:pt>
                      <c:pt idx="38">
                        <c:v>1.1359241632789336</c:v>
                      </c:pt>
                      <c:pt idx="39">
                        <c:v>1.1650504238758295</c:v>
                      </c:pt>
                      <c:pt idx="40">
                        <c:v>1.1941766844727253</c:v>
                      </c:pt>
                      <c:pt idx="41">
                        <c:v>1.2233029450696211</c:v>
                      </c:pt>
                      <c:pt idx="42">
                        <c:v>1.2524292056665169</c:v>
                      </c:pt>
                      <c:pt idx="43">
                        <c:v>1.2815554662634128</c:v>
                      </c:pt>
                      <c:pt idx="44">
                        <c:v>1.3106817268603086</c:v>
                      </c:pt>
                      <c:pt idx="45">
                        <c:v>1.3398079874572044</c:v>
                      </c:pt>
                      <c:pt idx="46">
                        <c:v>1.3689342480541002</c:v>
                      </c:pt>
                      <c:pt idx="47">
                        <c:v>1.3980605086509961</c:v>
                      </c:pt>
                      <c:pt idx="48">
                        <c:v>1.4271867692478919</c:v>
                      </c:pt>
                      <c:pt idx="49">
                        <c:v>1.4563130298447877</c:v>
                      </c:pt>
                      <c:pt idx="50">
                        <c:v>1.4854392904416835</c:v>
                      </c:pt>
                      <c:pt idx="51">
                        <c:v>1.5145655510385794</c:v>
                      </c:pt>
                    </c:numCache>
                  </c:numRef>
                </c:val>
                <c:smooth val="0"/>
                <c:extLst xmlns:c15="http://schemas.microsoft.com/office/drawing/2012/chart">
                  <c:ext xmlns:c16="http://schemas.microsoft.com/office/drawing/2014/chart" uri="{C3380CC4-5D6E-409C-BE32-E72D297353CC}">
                    <c16:uniqueId val="{00000009-F239-4304-B6CD-64AC85C7D413}"/>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'OZL Summary'!$BX$6:$BX$7</c15:sqref>
                        </c15:formulaRef>
                      </c:ext>
                    </c:extLst>
                    <c:strCache>
                      <c:ptCount val="2"/>
                      <c:pt idx="0">
                        <c:v>99th Percentile</c:v>
                      </c:pt>
                    </c:strCache>
                  </c:strRef>
                </c:tx>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Summary'!$BX$8:$BX$60</c15:sqref>
                        </c15:formulaRef>
                      </c:ext>
                    </c:extLst>
                    <c:numCache>
                      <c:formatCode>0.000</c:formatCode>
                      <c:ptCount val="53"/>
                      <c:pt idx="0">
                        <c:v>3.2006943607976859E-2</c:v>
                      </c:pt>
                      <c:pt idx="1">
                        <c:v>6.4013887215953719E-2</c:v>
                      </c:pt>
                      <c:pt idx="2">
                        <c:v>9.6020830823930578E-2</c:v>
                      </c:pt>
                      <c:pt idx="3">
                        <c:v>0.12802777443190744</c:v>
                      </c:pt>
                      <c:pt idx="4">
                        <c:v>0.16003471803988428</c:v>
                      </c:pt>
                      <c:pt idx="5">
                        <c:v>0.19204166164786113</c:v>
                      </c:pt>
                      <c:pt idx="6">
                        <c:v>0.22404860525583797</c:v>
                      </c:pt>
                      <c:pt idx="7">
                        <c:v>0.25605554886381482</c:v>
                      </c:pt>
                      <c:pt idx="8">
                        <c:v>0.28806249247179166</c:v>
                      </c:pt>
                      <c:pt idx="9">
                        <c:v>0.32006943607976851</c:v>
                      </c:pt>
                      <c:pt idx="10">
                        <c:v>0.35207637968774536</c:v>
                      </c:pt>
                      <c:pt idx="11">
                        <c:v>0.3840833232957222</c:v>
                      </c:pt>
                      <c:pt idx="12">
                        <c:v>0.41609026690369905</c:v>
                      </c:pt>
                      <c:pt idx="13">
                        <c:v>0.44809721051167589</c:v>
                      </c:pt>
                      <c:pt idx="14">
                        <c:v>0.48010415411965274</c:v>
                      </c:pt>
                      <c:pt idx="15">
                        <c:v>0.51211109772762964</c:v>
                      </c:pt>
                      <c:pt idx="16">
                        <c:v>0.54411804133560648</c:v>
                      </c:pt>
                      <c:pt idx="17">
                        <c:v>0.57612498494358333</c:v>
                      </c:pt>
                      <c:pt idx="18">
                        <c:v>0.60813192855156017</c:v>
                      </c:pt>
                      <c:pt idx="19">
                        <c:v>0.64013887215953702</c:v>
                      </c:pt>
                      <c:pt idx="20">
                        <c:v>0.67214581576751387</c:v>
                      </c:pt>
                      <c:pt idx="21">
                        <c:v>0.70415275937549071</c:v>
                      </c:pt>
                      <c:pt idx="22">
                        <c:v>0.73615970298346756</c:v>
                      </c:pt>
                      <c:pt idx="23">
                        <c:v>0.7681666465914444</c:v>
                      </c:pt>
                      <c:pt idx="24">
                        <c:v>0.80017359019942125</c:v>
                      </c:pt>
                      <c:pt idx="25">
                        <c:v>0.83218053380739809</c:v>
                      </c:pt>
                      <c:pt idx="26">
                        <c:v>0.86418747741537494</c:v>
                      </c:pt>
                      <c:pt idx="27">
                        <c:v>0.89619442102335178</c:v>
                      </c:pt>
                      <c:pt idx="28">
                        <c:v>0.92820136463132863</c:v>
                      </c:pt>
                      <c:pt idx="29">
                        <c:v>0.96020830823930547</c:v>
                      </c:pt>
                      <c:pt idx="30">
                        <c:v>0.99221525184728232</c:v>
                      </c:pt>
                      <c:pt idx="31">
                        <c:v>1.0242221954552593</c:v>
                      </c:pt>
                      <c:pt idx="32">
                        <c:v>1.0562291390632361</c:v>
                      </c:pt>
                      <c:pt idx="33">
                        <c:v>1.088236082671213</c:v>
                      </c:pt>
                      <c:pt idx="34">
                        <c:v>1.1202430262791898</c:v>
                      </c:pt>
                      <c:pt idx="35">
                        <c:v>1.1522499698871667</c:v>
                      </c:pt>
                      <c:pt idx="36">
                        <c:v>1.1842569134951435</c:v>
                      </c:pt>
                      <c:pt idx="37">
                        <c:v>1.2162638571031203</c:v>
                      </c:pt>
                      <c:pt idx="38">
                        <c:v>1.2482708007110972</c:v>
                      </c:pt>
                      <c:pt idx="39">
                        <c:v>1.280277744319074</c:v>
                      </c:pt>
                      <c:pt idx="40">
                        <c:v>1.3122846879270509</c:v>
                      </c:pt>
                      <c:pt idx="41">
                        <c:v>1.3442916315350277</c:v>
                      </c:pt>
                      <c:pt idx="42">
                        <c:v>1.3762985751430046</c:v>
                      </c:pt>
                      <c:pt idx="43">
                        <c:v>1.4083055187509814</c:v>
                      </c:pt>
                      <c:pt idx="44">
                        <c:v>1.4403124623589583</c:v>
                      </c:pt>
                      <c:pt idx="45">
                        <c:v>1.4723194059669351</c:v>
                      </c:pt>
                      <c:pt idx="46">
                        <c:v>1.504326349574912</c:v>
                      </c:pt>
                      <c:pt idx="47">
                        <c:v>1.5363332931828888</c:v>
                      </c:pt>
                      <c:pt idx="48">
                        <c:v>1.5683402367908656</c:v>
                      </c:pt>
                      <c:pt idx="49">
                        <c:v>1.6003471803988425</c:v>
                      </c:pt>
                      <c:pt idx="50">
                        <c:v>1.6323541240068193</c:v>
                      </c:pt>
                      <c:pt idx="51">
                        <c:v>1.6643610676147962</c:v>
                      </c:pt>
                    </c:numCache>
                  </c:numRef>
                </c:val>
                <c:smooth val="0"/>
                <c:extLst xmlns:c15="http://schemas.microsoft.com/office/drawing/2012/chart">
                  <c:ext xmlns:c16="http://schemas.microsoft.com/office/drawing/2014/chart" uri="{C3380CC4-5D6E-409C-BE32-E72D297353CC}">
                    <c16:uniqueId val="{0000000A-F239-4304-B6CD-64AC85C7D413}"/>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'OZL Summary'!$BY$6:$BY$7</c15:sqref>
                        </c15:formulaRef>
                      </c:ext>
                    </c:extLst>
                    <c:strCache>
                      <c:ptCount val="2"/>
                      <c:pt idx="0">
                        <c:v>Max</c:v>
                      </c:pt>
                    </c:strCache>
                  </c:strRef>
                </c:tx>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Summary'!$BY$8:$BY$60</c15:sqref>
                        </c15:formulaRef>
                      </c:ext>
                    </c:extLst>
                    <c:numCache>
                      <c:formatCode>0.000</c:formatCode>
                      <c:ptCount val="53"/>
                      <c:pt idx="0">
                        <c:v>3.9503586953510528E-2</c:v>
                      </c:pt>
                      <c:pt idx="1">
                        <c:v>7.9007173907021055E-2</c:v>
                      </c:pt>
                      <c:pt idx="2">
                        <c:v>0.11851076086053158</c:v>
                      </c:pt>
                      <c:pt idx="3">
                        <c:v>0.15801434781404211</c:v>
                      </c:pt>
                      <c:pt idx="4">
                        <c:v>0.19751793476755264</c:v>
                      </c:pt>
                      <c:pt idx="5">
                        <c:v>0.23702152172106317</c:v>
                      </c:pt>
                      <c:pt idx="6">
                        <c:v>0.27652510867457369</c:v>
                      </c:pt>
                      <c:pt idx="7">
                        <c:v>0.31602869562808422</c:v>
                      </c:pt>
                      <c:pt idx="8">
                        <c:v>0.35553228258159475</c:v>
                      </c:pt>
                      <c:pt idx="9">
                        <c:v>0.39503586953510528</c:v>
                      </c:pt>
                      <c:pt idx="10">
                        <c:v>0.43453945648861581</c:v>
                      </c:pt>
                      <c:pt idx="11">
                        <c:v>0.47404304344212633</c:v>
                      </c:pt>
                      <c:pt idx="12">
                        <c:v>0.51354663039563686</c:v>
                      </c:pt>
                      <c:pt idx="13">
                        <c:v>0.55305021734914739</c:v>
                      </c:pt>
                      <c:pt idx="14">
                        <c:v>0.59255380430265792</c:v>
                      </c:pt>
                      <c:pt idx="15">
                        <c:v>0.63205739125616844</c:v>
                      </c:pt>
                      <c:pt idx="16">
                        <c:v>0.67156097820967897</c:v>
                      </c:pt>
                      <c:pt idx="17">
                        <c:v>0.7110645651631895</c:v>
                      </c:pt>
                      <c:pt idx="18">
                        <c:v>0.75056815211670003</c:v>
                      </c:pt>
                      <c:pt idx="19">
                        <c:v>0.79007173907021055</c:v>
                      </c:pt>
                      <c:pt idx="20">
                        <c:v>0.82957532602372108</c:v>
                      </c:pt>
                      <c:pt idx="21">
                        <c:v>0.86907891297723161</c:v>
                      </c:pt>
                      <c:pt idx="22">
                        <c:v>0.90858249993074214</c:v>
                      </c:pt>
                      <c:pt idx="23">
                        <c:v>0.94808608688425267</c:v>
                      </c:pt>
                      <c:pt idx="24">
                        <c:v>0.98758967383776319</c:v>
                      </c:pt>
                      <c:pt idx="25">
                        <c:v>1.0270932607912737</c:v>
                      </c:pt>
                      <c:pt idx="26">
                        <c:v>1.0665968477447842</c:v>
                      </c:pt>
                      <c:pt idx="27">
                        <c:v>1.1061004346982948</c:v>
                      </c:pt>
                      <c:pt idx="28">
                        <c:v>1.1456040216518053</c:v>
                      </c:pt>
                      <c:pt idx="29">
                        <c:v>1.1851076086053158</c:v>
                      </c:pt>
                      <c:pt idx="30">
                        <c:v>1.2246111955588264</c:v>
                      </c:pt>
                      <c:pt idx="31">
                        <c:v>1.2641147825123369</c:v>
                      </c:pt>
                      <c:pt idx="32">
                        <c:v>1.3036183694658474</c:v>
                      </c:pt>
                      <c:pt idx="33">
                        <c:v>1.3431219564193579</c:v>
                      </c:pt>
                      <c:pt idx="34">
                        <c:v>1.3826255433728685</c:v>
                      </c:pt>
                      <c:pt idx="35">
                        <c:v>1.422129130326379</c:v>
                      </c:pt>
                      <c:pt idx="36">
                        <c:v>1.4616327172798895</c:v>
                      </c:pt>
                      <c:pt idx="37">
                        <c:v>1.5011363042334001</c:v>
                      </c:pt>
                      <c:pt idx="38">
                        <c:v>1.5406398911869106</c:v>
                      </c:pt>
                      <c:pt idx="39">
                        <c:v>1.5801434781404211</c:v>
                      </c:pt>
                      <c:pt idx="40">
                        <c:v>1.6196470650939316</c:v>
                      </c:pt>
                      <c:pt idx="41">
                        <c:v>1.6591506520474422</c:v>
                      </c:pt>
                      <c:pt idx="42">
                        <c:v>1.6986542390009527</c:v>
                      </c:pt>
                      <c:pt idx="43">
                        <c:v>1.7381578259544632</c:v>
                      </c:pt>
                      <c:pt idx="44">
                        <c:v>1.7776614129079737</c:v>
                      </c:pt>
                      <c:pt idx="45">
                        <c:v>1.8171649998614843</c:v>
                      </c:pt>
                      <c:pt idx="46">
                        <c:v>1.8566685868149948</c:v>
                      </c:pt>
                      <c:pt idx="47">
                        <c:v>1.8961721737685053</c:v>
                      </c:pt>
                      <c:pt idx="48">
                        <c:v>1.9356757607220159</c:v>
                      </c:pt>
                      <c:pt idx="49">
                        <c:v>1.9751793476755264</c:v>
                      </c:pt>
                      <c:pt idx="50">
                        <c:v>2.0146829346290369</c:v>
                      </c:pt>
                      <c:pt idx="51">
                        <c:v>2.0541865215825474</c:v>
                      </c:pt>
                    </c:numCache>
                  </c:numRef>
                </c:val>
                <c:smooth val="0"/>
                <c:extLst xmlns:c15="http://schemas.microsoft.com/office/drawing/2012/chart">
                  <c:ext xmlns:c16="http://schemas.microsoft.com/office/drawing/2014/chart" uri="{C3380CC4-5D6E-409C-BE32-E72D297353CC}">
                    <c16:uniqueId val="{0000000B-F239-4304-B6CD-64AC85C7D413}"/>
                  </c:ext>
                </c:extLst>
              </c15:ser>
            </c15:filteredLineSeries>
          </c:ext>
        </c:extLst>
      </c:lineChart>
      <c:dateAx>
        <c:axId val="1388952432"/>
        <c:scaling>
          <c:orientation val="minMax"/>
        </c:scaling>
        <c:delete val="0"/>
        <c:axPos val="b"/>
        <c:numFmt formatCode="d\-mmm\-yy_);\(###0\);&quot;-  &quot;;&quot; &quot;@&quot; &quot;"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3088"/>
        <c:crosses val="autoZero"/>
        <c:auto val="1"/>
        <c:lblOffset val="100"/>
        <c:baseTimeUnit val="days"/>
        <c:majorUnit val="3"/>
        <c:majorTimeUnit val="months"/>
      </c:dateAx>
      <c:valAx>
        <c:axId val="1388953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Ticket Sales ($b)</a:t>
                </a:r>
              </a:p>
            </c:rich>
          </c:tx>
          <c:overlay val="0"/>
          <c:spPr>
            <a:noFill/>
            <a:ln>
              <a:noFill/>
            </a:ln>
            <a:effectLst/>
          </c:sp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2432"/>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'OZL Summary'!$BN$6:$BN$7</c:f>
              <c:strCache>
                <c:ptCount val="2"/>
                <c:pt idx="0">
                  <c:v>Actual</c:v>
                </c:pt>
              </c:strCache>
            </c:strRef>
          </c:tx>
          <c:spPr>
            <a:ln w="28575" cap="rnd">
              <a:solidFill>
                <a:schemeClr val="tx2"/>
              </a:solidFill>
              <a:round/>
            </a:ln>
            <a:effectLst/>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Summary'!$BN$8:$BN$60</c:f>
              <c:numCache>
                <c:formatCode>0.000</c:formatCode>
                <c:ptCount val="53"/>
                <c:pt idx="0">
                  <c:v>3.4282144018799997E-2</c:v>
                </c:pt>
                <c:pt idx="1">
                  <c:v>4.61727482976E-2</c:v>
                </c:pt>
                <c:pt idx="2">
                  <c:v>6.0744925144799997E-2</c:v>
                </c:pt>
                <c:pt idx="3">
                  <c:v>7.9887071887199998E-2</c:v>
                </c:pt>
                <c:pt idx="4">
                  <c:v>9.0591598206000004E-2</c:v>
                </c:pt>
                <c:pt idx="5">
                  <c:v>0.10471594425839999</c:v>
                </c:pt>
                <c:pt idx="6">
                  <c:v>0.13024126318319998</c:v>
                </c:pt>
                <c:pt idx="7">
                  <c:v>0.14299494069599997</c:v>
                </c:pt>
                <c:pt idx="8">
                  <c:v>0.15712274134439999</c:v>
                </c:pt>
                <c:pt idx="9">
                  <c:v>0.18211939192799997</c:v>
                </c:pt>
                <c:pt idx="10">
                  <c:v>0.21562528822559998</c:v>
                </c:pt>
                <c:pt idx="11">
                  <c:v>0.26312805598319994</c:v>
                </c:pt>
                <c:pt idx="12">
                  <c:v>0.27559419595559997</c:v>
                </c:pt>
                <c:pt idx="13">
                  <c:v>0.29338294713839996</c:v>
                </c:pt>
                <c:pt idx="14">
                  <c:v>0.31479798774239992</c:v>
                </c:pt>
                <c:pt idx="15">
                  <c:v>0.34138237064759991</c:v>
                </c:pt>
                <c:pt idx="16">
                  <c:v>0.38401116406199992</c:v>
                </c:pt>
                <c:pt idx="17">
                  <c:v>0.45353502371519994</c:v>
                </c:pt>
                <c:pt idx="18">
                  <c:v>0.46636884785519994</c:v>
                </c:pt>
                <c:pt idx="19">
                  <c:v>0.48057414660719988</c:v>
                </c:pt>
                <c:pt idx="20">
                  <c:v>0.50512031787239997</c:v>
                </c:pt>
                <c:pt idx="21">
                  <c:v>0.53195446806839985</c:v>
                </c:pt>
                <c:pt idx="22">
                  <c:v>0.57374874624239991</c:v>
                </c:pt>
                <c:pt idx="23">
                  <c:v>0.58543426267199994</c:v>
                </c:pt>
                <c:pt idx="24">
                  <c:v>0.59798193110999986</c:v>
                </c:pt>
                <c:pt idx="25">
                  <c:v>0.60953824564919989</c:v>
                </c:pt>
                <c:pt idx="26">
                  <c:v>0.62793005414039982</c:v>
                </c:pt>
                <c:pt idx="27">
                  <c:v>0.66085868744639986</c:v>
                </c:pt>
                <c:pt idx="28">
                  <c:v>0.70280784667439988</c:v>
                </c:pt>
                <c:pt idx="29">
                  <c:v>0.76647478426919979</c:v>
                </c:pt>
                <c:pt idx="30">
                  <c:v>0.77875598820239988</c:v>
                </c:pt>
                <c:pt idx="31">
                  <c:v>0.79341798454559986</c:v>
                </c:pt>
                <c:pt idx="32">
                  <c:v>0.81253514304359986</c:v>
                </c:pt>
                <c:pt idx="33">
                  <c:v>0.82340606573639985</c:v>
                </c:pt>
                <c:pt idx="34">
                  <c:v>0.84006470341439987</c:v>
                </c:pt>
                <c:pt idx="35">
                  <c:v>0.86433934343399987</c:v>
                </c:pt>
                <c:pt idx="36">
                  <c:v>0.87578580182039989</c:v>
                </c:pt>
                <c:pt idx="37">
                  <c:v>0.89565744408479986</c:v>
                </c:pt>
                <c:pt idx="38">
                  <c:v>0.90846581936759985</c:v>
                </c:pt>
                <c:pt idx="39">
                  <c:v>0.91858582836759983</c:v>
                </c:pt>
                <c:pt idx="40">
                  <c:v>0.93370152831879982</c:v>
                </c:pt>
                <c:pt idx="41">
                  <c:v>0.95559030918759991</c:v>
                </c:pt>
                <c:pt idx="42">
                  <c:v>0.98300771034159995</c:v>
                </c:pt>
                <c:pt idx="43">
                  <c:v>0.99330666708999993</c:v>
                </c:pt>
                <c:pt idx="44">
                  <c:v>1.0075762213275998</c:v>
                </c:pt>
                <c:pt idx="45">
                  <c:v>1.0281208537475999</c:v>
                </c:pt>
                <c:pt idx="46">
                  <c:v>1.0382225415931998</c:v>
                </c:pt>
                <c:pt idx="47">
                  <c:v>1.0541579684225999</c:v>
                </c:pt>
                <c:pt idx="48">
                  <c:v>1.0687637971379997</c:v>
                </c:pt>
                <c:pt idx="49">
                  <c:v>1.0815684581785998</c:v>
                </c:pt>
                <c:pt idx="50">
                  <c:v>1.0986668252266998</c:v>
                </c:pt>
                <c:pt idx="51">
                  <c:v>1.1194431701510998</c:v>
                </c:pt>
              </c:numCache>
            </c:numRef>
          </c:val>
          <c:smooth val="0"/>
          <c:extLst>
            <c:ext xmlns:c16="http://schemas.microsoft.com/office/drawing/2014/chart" uri="{C3380CC4-5D6E-409C-BE32-E72D297353CC}">
              <c16:uniqueId val="{00000000-058C-4374-9854-3EF9CF24F6AE}"/>
            </c:ext>
          </c:extLst>
        </c:ser>
        <c:ser>
          <c:idx val="7"/>
          <c:order val="3"/>
          <c:tx>
            <c:strRef>
              <c:f>'OZL Summary'!$BQ$6:$BQ$7</c:f>
              <c:strCache>
                <c:ptCount val="2"/>
                <c:pt idx="0">
                  <c:v>5th Percentile</c:v>
                </c:pt>
              </c:strCache>
            </c:strRef>
          </c:tx>
          <c:spPr>
            <a:ln w="28575" cap="rnd">
              <a:solidFill>
                <a:schemeClr val="accent6"/>
              </a:solidFill>
              <a:prstDash val="sysDot"/>
              <a:round/>
            </a:ln>
            <a:effectLst/>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Summary'!$BQ$8:$BQ$60</c:f>
              <c:numCache>
                <c:formatCode>0.000</c:formatCode>
                <c:ptCount val="53"/>
                <c:pt idx="0">
                  <c:v>1.9443728141978436E-2</c:v>
                </c:pt>
                <c:pt idx="1">
                  <c:v>3.8887456283956873E-2</c:v>
                </c:pt>
                <c:pt idx="2">
                  <c:v>5.8331184425935309E-2</c:v>
                </c:pt>
                <c:pt idx="3">
                  <c:v>7.7774912567913745E-2</c:v>
                </c:pt>
                <c:pt idx="4">
                  <c:v>9.7218640709892182E-2</c:v>
                </c:pt>
                <c:pt idx="5">
                  <c:v>0.11666236885187062</c:v>
                </c:pt>
                <c:pt idx="6">
                  <c:v>0.13610609699384907</c:v>
                </c:pt>
                <c:pt idx="7">
                  <c:v>0.15554982513582749</c:v>
                </c:pt>
                <c:pt idx="8">
                  <c:v>0.17499355327780591</c:v>
                </c:pt>
                <c:pt idx="9">
                  <c:v>0.19443728141978434</c:v>
                </c:pt>
                <c:pt idx="10">
                  <c:v>0.21388100956176276</c:v>
                </c:pt>
                <c:pt idx="11">
                  <c:v>0.23332473770374118</c:v>
                </c:pt>
                <c:pt idx="12">
                  <c:v>0.2527684658457196</c:v>
                </c:pt>
                <c:pt idx="13">
                  <c:v>0.27221219398769803</c:v>
                </c:pt>
                <c:pt idx="14">
                  <c:v>0.29165592212967645</c:v>
                </c:pt>
                <c:pt idx="15">
                  <c:v>0.31109965027165487</c:v>
                </c:pt>
                <c:pt idx="16">
                  <c:v>0.33054337841363329</c:v>
                </c:pt>
                <c:pt idx="17">
                  <c:v>0.34998710655561172</c:v>
                </c:pt>
                <c:pt idx="18">
                  <c:v>0.36943083469759014</c:v>
                </c:pt>
                <c:pt idx="19">
                  <c:v>0.38887456283956856</c:v>
                </c:pt>
                <c:pt idx="20">
                  <c:v>0.40831829098154698</c:v>
                </c:pt>
                <c:pt idx="21">
                  <c:v>0.42776201912352541</c:v>
                </c:pt>
                <c:pt idx="22">
                  <c:v>0.44720574726550383</c:v>
                </c:pt>
                <c:pt idx="23">
                  <c:v>0.46664947540748225</c:v>
                </c:pt>
                <c:pt idx="24">
                  <c:v>0.48609320354946067</c:v>
                </c:pt>
                <c:pt idx="25">
                  <c:v>0.5055369316914391</c:v>
                </c:pt>
                <c:pt idx="26">
                  <c:v>0.52498065983341757</c:v>
                </c:pt>
                <c:pt idx="27">
                  <c:v>0.54442438797539605</c:v>
                </c:pt>
                <c:pt idx="28">
                  <c:v>0.56386811611737453</c:v>
                </c:pt>
                <c:pt idx="29">
                  <c:v>0.58331184425935301</c:v>
                </c:pt>
                <c:pt idx="30">
                  <c:v>0.60275557240133149</c:v>
                </c:pt>
                <c:pt idx="31">
                  <c:v>0.62219930054330996</c:v>
                </c:pt>
                <c:pt idx="32">
                  <c:v>0.64164302868528844</c:v>
                </c:pt>
                <c:pt idx="33">
                  <c:v>0.66108675682726692</c:v>
                </c:pt>
                <c:pt idx="34">
                  <c:v>0.6805304849692454</c:v>
                </c:pt>
                <c:pt idx="35">
                  <c:v>0.69997421311122388</c:v>
                </c:pt>
                <c:pt idx="36">
                  <c:v>0.71941794125320235</c:v>
                </c:pt>
                <c:pt idx="37">
                  <c:v>0.73886166939518083</c:v>
                </c:pt>
                <c:pt idx="38">
                  <c:v>0.75830539753715931</c:v>
                </c:pt>
                <c:pt idx="39">
                  <c:v>0.77774912567913779</c:v>
                </c:pt>
                <c:pt idx="40">
                  <c:v>0.79719285382111627</c:v>
                </c:pt>
                <c:pt idx="41">
                  <c:v>0.81663658196309474</c:v>
                </c:pt>
                <c:pt idx="42">
                  <c:v>0.83608031010507322</c:v>
                </c:pt>
                <c:pt idx="43">
                  <c:v>0.8555240382470517</c:v>
                </c:pt>
                <c:pt idx="44">
                  <c:v>0.87496776638903018</c:v>
                </c:pt>
                <c:pt idx="45">
                  <c:v>0.89441149453100866</c:v>
                </c:pt>
                <c:pt idx="46">
                  <c:v>0.91385522267298713</c:v>
                </c:pt>
                <c:pt idx="47">
                  <c:v>0.93329895081496561</c:v>
                </c:pt>
                <c:pt idx="48">
                  <c:v>0.95274267895694409</c:v>
                </c:pt>
                <c:pt idx="49">
                  <c:v>0.97218640709892257</c:v>
                </c:pt>
                <c:pt idx="50">
                  <c:v>0.99163013524090105</c:v>
                </c:pt>
                <c:pt idx="51">
                  <c:v>1.0110738633828795</c:v>
                </c:pt>
              </c:numCache>
            </c:numRef>
          </c:val>
          <c:smooth val="0"/>
          <c:extLst xmlns:c15="http://schemas.microsoft.com/office/drawing/2012/chart">
            <c:ext xmlns:c16="http://schemas.microsoft.com/office/drawing/2014/chart" uri="{C3380CC4-5D6E-409C-BE32-E72D297353CC}">
              <c16:uniqueId val="{00000001-058C-4374-9854-3EF9CF24F6AE}"/>
            </c:ext>
          </c:extLst>
        </c:ser>
        <c:ser>
          <c:idx val="2"/>
          <c:order val="5"/>
          <c:tx>
            <c:strRef>
              <c:f>'OZL Summary'!$BS$6:$BS$7</c:f>
              <c:strCache>
                <c:ptCount val="2"/>
                <c:pt idx="0">
                  <c:v>25th Percentile</c:v>
                </c:pt>
              </c:strCache>
            </c:strRef>
          </c:tx>
          <c:spPr>
            <a:ln w="28575">
              <a:solidFill>
                <a:schemeClr val="accent5"/>
              </a:solidFill>
              <a:prstDash val="sysDot"/>
            </a:ln>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Summary'!$BS$8:$BS$60</c:f>
              <c:numCache>
                <c:formatCode>0.000</c:formatCode>
                <c:ptCount val="53"/>
                <c:pt idx="0">
                  <c:v>2.1609953490484776E-2</c:v>
                </c:pt>
                <c:pt idx="1">
                  <c:v>4.3219906980969551E-2</c:v>
                </c:pt>
                <c:pt idx="2">
                  <c:v>6.4829860471454323E-2</c:v>
                </c:pt>
                <c:pt idx="3">
                  <c:v>8.6439813961939102E-2</c:v>
                </c:pt>
                <c:pt idx="4">
                  <c:v>0.10804976745242388</c:v>
                </c:pt>
                <c:pt idx="5">
                  <c:v>0.12965972094290865</c:v>
                </c:pt>
                <c:pt idx="6">
                  <c:v>0.15126967443339343</c:v>
                </c:pt>
                <c:pt idx="7">
                  <c:v>0.1728796279238782</c:v>
                </c:pt>
                <c:pt idx="8">
                  <c:v>0.19448958141436298</c:v>
                </c:pt>
                <c:pt idx="9">
                  <c:v>0.21609953490484776</c:v>
                </c:pt>
                <c:pt idx="10">
                  <c:v>0.23770948839533254</c:v>
                </c:pt>
                <c:pt idx="11">
                  <c:v>0.25931944188581729</c:v>
                </c:pt>
                <c:pt idx="12">
                  <c:v>0.28092939537630207</c:v>
                </c:pt>
                <c:pt idx="13">
                  <c:v>0.30253934886678685</c:v>
                </c:pt>
                <c:pt idx="14">
                  <c:v>0.32414930235727163</c:v>
                </c:pt>
                <c:pt idx="15">
                  <c:v>0.34575925584775641</c:v>
                </c:pt>
                <c:pt idx="16">
                  <c:v>0.36736920933824119</c:v>
                </c:pt>
                <c:pt idx="17">
                  <c:v>0.38897916282872597</c:v>
                </c:pt>
                <c:pt idx="18">
                  <c:v>0.41058911631921075</c:v>
                </c:pt>
                <c:pt idx="19">
                  <c:v>0.43219906980969552</c:v>
                </c:pt>
                <c:pt idx="20">
                  <c:v>0.4538090233001803</c:v>
                </c:pt>
                <c:pt idx="21">
                  <c:v>0.47541897679066508</c:v>
                </c:pt>
                <c:pt idx="22">
                  <c:v>0.49702893028114986</c:v>
                </c:pt>
                <c:pt idx="23">
                  <c:v>0.51863888377163458</c:v>
                </c:pt>
                <c:pt idx="24">
                  <c:v>0.54024883726211936</c:v>
                </c:pt>
                <c:pt idx="25">
                  <c:v>0.56185879075260414</c:v>
                </c:pt>
                <c:pt idx="26">
                  <c:v>0.58346874424308892</c:v>
                </c:pt>
                <c:pt idx="27">
                  <c:v>0.6050786977335737</c:v>
                </c:pt>
                <c:pt idx="28">
                  <c:v>0.62668865122405848</c:v>
                </c:pt>
                <c:pt idx="29">
                  <c:v>0.64829860471454326</c:v>
                </c:pt>
                <c:pt idx="30">
                  <c:v>0.66990855820502804</c:v>
                </c:pt>
                <c:pt idx="31">
                  <c:v>0.69151851169551282</c:v>
                </c:pt>
                <c:pt idx="32">
                  <c:v>0.7131284651859976</c:v>
                </c:pt>
                <c:pt idx="33">
                  <c:v>0.73473841867648237</c:v>
                </c:pt>
                <c:pt idx="34">
                  <c:v>0.75634837216696715</c:v>
                </c:pt>
                <c:pt idx="35">
                  <c:v>0.77795832565745193</c:v>
                </c:pt>
                <c:pt idx="36">
                  <c:v>0.79956827914793671</c:v>
                </c:pt>
                <c:pt idx="37">
                  <c:v>0.82117823263842149</c:v>
                </c:pt>
                <c:pt idx="38">
                  <c:v>0.84278818612890627</c:v>
                </c:pt>
                <c:pt idx="39">
                  <c:v>0.86439813961939105</c:v>
                </c:pt>
                <c:pt idx="40">
                  <c:v>0.88600809310987583</c:v>
                </c:pt>
                <c:pt idx="41">
                  <c:v>0.90761804660036061</c:v>
                </c:pt>
                <c:pt idx="42">
                  <c:v>0.92922800009084539</c:v>
                </c:pt>
                <c:pt idx="43">
                  <c:v>0.95083795358133016</c:v>
                </c:pt>
                <c:pt idx="44">
                  <c:v>0.97244790707181494</c:v>
                </c:pt>
                <c:pt idx="45">
                  <c:v>0.99405786056229972</c:v>
                </c:pt>
                <c:pt idx="46">
                  <c:v>1.0156678140527844</c:v>
                </c:pt>
                <c:pt idx="47">
                  <c:v>1.0372777675432692</c:v>
                </c:pt>
                <c:pt idx="48">
                  <c:v>1.0588877210337539</c:v>
                </c:pt>
                <c:pt idx="49">
                  <c:v>1.0804976745242387</c:v>
                </c:pt>
                <c:pt idx="50">
                  <c:v>1.1021076280147235</c:v>
                </c:pt>
                <c:pt idx="51">
                  <c:v>1.1237175815052083</c:v>
                </c:pt>
              </c:numCache>
            </c:numRef>
          </c:val>
          <c:smooth val="0"/>
          <c:extLst>
            <c:ext xmlns:c16="http://schemas.microsoft.com/office/drawing/2014/chart" uri="{C3380CC4-5D6E-409C-BE32-E72D297353CC}">
              <c16:uniqueId val="{00000002-058C-4374-9854-3EF9CF24F6AE}"/>
            </c:ext>
          </c:extLst>
        </c:ser>
        <c:ser>
          <c:idx val="4"/>
          <c:order val="6"/>
          <c:tx>
            <c:strRef>
              <c:f>'OZL Summary'!$BT$6:$BT$7</c:f>
              <c:strCache>
                <c:ptCount val="2"/>
                <c:pt idx="0">
                  <c:v>50th Percentile</c:v>
                </c:pt>
              </c:strCache>
            </c:strRef>
          </c:tx>
          <c:spPr>
            <a:ln w="28575">
              <a:solidFill>
                <a:schemeClr val="accent2"/>
              </a:solidFill>
              <a:prstDash val="sysDot"/>
            </a:ln>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Summary'!$BT$8:$BT$60</c:f>
              <c:numCache>
                <c:formatCode>0.000</c:formatCode>
                <c:ptCount val="53"/>
                <c:pt idx="0">
                  <c:v>2.3469807538576672E-2</c:v>
                </c:pt>
                <c:pt idx="1">
                  <c:v>4.6939615077153343E-2</c:v>
                </c:pt>
                <c:pt idx="2">
                  <c:v>7.0409422615730022E-2</c:v>
                </c:pt>
                <c:pt idx="3">
                  <c:v>9.3879230154306686E-2</c:v>
                </c:pt>
                <c:pt idx="4">
                  <c:v>0.11734903769288335</c:v>
                </c:pt>
                <c:pt idx="5">
                  <c:v>0.14081884523146002</c:v>
                </c:pt>
                <c:pt idx="6">
                  <c:v>0.16428865277003668</c:v>
                </c:pt>
                <c:pt idx="7">
                  <c:v>0.18775846030861335</c:v>
                </c:pt>
                <c:pt idx="8">
                  <c:v>0.21122826784719001</c:v>
                </c:pt>
                <c:pt idx="9">
                  <c:v>0.23469807538576667</c:v>
                </c:pt>
                <c:pt idx="10">
                  <c:v>0.25816788292434334</c:v>
                </c:pt>
                <c:pt idx="11">
                  <c:v>0.28163769046292003</c:v>
                </c:pt>
                <c:pt idx="12">
                  <c:v>0.30510749800149672</c:v>
                </c:pt>
                <c:pt idx="13">
                  <c:v>0.32857730554007342</c:v>
                </c:pt>
                <c:pt idx="14">
                  <c:v>0.35204711307865011</c:v>
                </c:pt>
                <c:pt idx="15">
                  <c:v>0.3755169206172268</c:v>
                </c:pt>
                <c:pt idx="16">
                  <c:v>0.39898672815580349</c:v>
                </c:pt>
                <c:pt idx="17">
                  <c:v>0.42245653569438019</c:v>
                </c:pt>
                <c:pt idx="18">
                  <c:v>0.44592634323295688</c:v>
                </c:pt>
                <c:pt idx="19">
                  <c:v>0.46939615077153357</c:v>
                </c:pt>
                <c:pt idx="20">
                  <c:v>0.49286595831011026</c:v>
                </c:pt>
                <c:pt idx="21">
                  <c:v>0.5163357658486869</c:v>
                </c:pt>
                <c:pt idx="22">
                  <c:v>0.53980557338726354</c:v>
                </c:pt>
                <c:pt idx="23">
                  <c:v>0.56327538092584017</c:v>
                </c:pt>
                <c:pt idx="24">
                  <c:v>0.58674518846441681</c:v>
                </c:pt>
                <c:pt idx="25">
                  <c:v>0.61021499600299345</c:v>
                </c:pt>
                <c:pt idx="26">
                  <c:v>0.63368480354157009</c:v>
                </c:pt>
                <c:pt idx="27">
                  <c:v>0.65715461108014672</c:v>
                </c:pt>
                <c:pt idx="28">
                  <c:v>0.68062441861872336</c:v>
                </c:pt>
                <c:pt idx="29">
                  <c:v>0.7040942261573</c:v>
                </c:pt>
                <c:pt idx="30">
                  <c:v>0.72756403369587663</c:v>
                </c:pt>
                <c:pt idx="31">
                  <c:v>0.75103384123445327</c:v>
                </c:pt>
                <c:pt idx="32">
                  <c:v>0.77450364877302991</c:v>
                </c:pt>
                <c:pt idx="33">
                  <c:v>0.79797345631160654</c:v>
                </c:pt>
                <c:pt idx="34">
                  <c:v>0.82144326385018318</c:v>
                </c:pt>
                <c:pt idx="35">
                  <c:v>0.84491307138875982</c:v>
                </c:pt>
                <c:pt idx="36">
                  <c:v>0.86838287892733645</c:v>
                </c:pt>
                <c:pt idx="37">
                  <c:v>0.89185268646591309</c:v>
                </c:pt>
                <c:pt idx="38">
                  <c:v>0.91532249400448973</c:v>
                </c:pt>
                <c:pt idx="39">
                  <c:v>0.93879230154306637</c:v>
                </c:pt>
                <c:pt idx="40">
                  <c:v>0.962262109081643</c:v>
                </c:pt>
                <c:pt idx="41">
                  <c:v>0.98573191662021964</c:v>
                </c:pt>
                <c:pt idx="42">
                  <c:v>1.0092017241587963</c:v>
                </c:pt>
                <c:pt idx="43">
                  <c:v>1.0326715316973729</c:v>
                </c:pt>
                <c:pt idx="44">
                  <c:v>1.0561413392359496</c:v>
                </c:pt>
                <c:pt idx="45">
                  <c:v>1.0796111467745262</c:v>
                </c:pt>
                <c:pt idx="46">
                  <c:v>1.1030809543131028</c:v>
                </c:pt>
                <c:pt idx="47">
                  <c:v>1.1265507618516795</c:v>
                </c:pt>
                <c:pt idx="48">
                  <c:v>1.1500205693902561</c:v>
                </c:pt>
                <c:pt idx="49">
                  <c:v>1.1734903769288327</c:v>
                </c:pt>
                <c:pt idx="50">
                  <c:v>1.1969601844674094</c:v>
                </c:pt>
                <c:pt idx="51">
                  <c:v>1.220429992005986</c:v>
                </c:pt>
              </c:numCache>
            </c:numRef>
          </c:val>
          <c:smooth val="0"/>
          <c:extLst>
            <c:ext xmlns:c16="http://schemas.microsoft.com/office/drawing/2014/chart" uri="{C3380CC4-5D6E-409C-BE32-E72D297353CC}">
              <c16:uniqueId val="{00000003-058C-4374-9854-3EF9CF24F6AE}"/>
            </c:ext>
          </c:extLst>
        </c:ser>
        <c:ser>
          <c:idx val="6"/>
          <c:order val="7"/>
          <c:tx>
            <c:strRef>
              <c:f>'OZL Summary'!$BU$6:$BU$7</c:f>
              <c:strCache>
                <c:ptCount val="2"/>
                <c:pt idx="0">
                  <c:v>75th Percentile</c:v>
                </c:pt>
              </c:strCache>
            </c:strRef>
          </c:tx>
          <c:spPr>
            <a:ln w="28575">
              <a:solidFill>
                <a:schemeClr val="bg2"/>
              </a:solidFill>
              <a:prstDash val="sysDot"/>
            </a:ln>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Summary'!$BU$8:$BU$60</c:f>
              <c:numCache>
                <c:formatCode>0.000</c:formatCode>
                <c:ptCount val="53"/>
                <c:pt idx="0">
                  <c:v>2.5540580974329746E-2</c:v>
                </c:pt>
                <c:pt idx="1">
                  <c:v>5.1081161948659491E-2</c:v>
                </c:pt>
                <c:pt idx="2">
                  <c:v>7.6621742922989233E-2</c:v>
                </c:pt>
                <c:pt idx="3">
                  <c:v>0.10216232389731898</c:v>
                </c:pt>
                <c:pt idx="4">
                  <c:v>0.12770290487164873</c:v>
                </c:pt>
                <c:pt idx="5">
                  <c:v>0.15324348584597847</c:v>
                </c:pt>
                <c:pt idx="6">
                  <c:v>0.1787840668203082</c:v>
                </c:pt>
                <c:pt idx="7">
                  <c:v>0.20432464779463794</c:v>
                </c:pt>
                <c:pt idx="8">
                  <c:v>0.22986522876896767</c:v>
                </c:pt>
                <c:pt idx="9">
                  <c:v>0.25540580974329741</c:v>
                </c:pt>
                <c:pt idx="10">
                  <c:v>0.28094639071762717</c:v>
                </c:pt>
                <c:pt idx="11">
                  <c:v>0.30648697169195693</c:v>
                </c:pt>
                <c:pt idx="12">
                  <c:v>0.3320275526662867</c:v>
                </c:pt>
                <c:pt idx="13">
                  <c:v>0.35756813364061646</c:v>
                </c:pt>
                <c:pt idx="14">
                  <c:v>0.38310871461494622</c:v>
                </c:pt>
                <c:pt idx="15">
                  <c:v>0.40864929558927598</c:v>
                </c:pt>
                <c:pt idx="16">
                  <c:v>0.43418987656360575</c:v>
                </c:pt>
                <c:pt idx="17">
                  <c:v>0.45973045753793551</c:v>
                </c:pt>
                <c:pt idx="18">
                  <c:v>0.48527103851226527</c:v>
                </c:pt>
                <c:pt idx="19">
                  <c:v>0.51081161948659504</c:v>
                </c:pt>
                <c:pt idx="20">
                  <c:v>0.5363522004609248</c:v>
                </c:pt>
                <c:pt idx="21">
                  <c:v>0.56189278143525456</c:v>
                </c:pt>
                <c:pt idx="22">
                  <c:v>0.58743336240958433</c:v>
                </c:pt>
                <c:pt idx="23">
                  <c:v>0.61297394338391409</c:v>
                </c:pt>
                <c:pt idx="24">
                  <c:v>0.63851452435824385</c:v>
                </c:pt>
                <c:pt idx="25">
                  <c:v>0.66405510533257361</c:v>
                </c:pt>
                <c:pt idx="26">
                  <c:v>0.68959568630690338</c:v>
                </c:pt>
                <c:pt idx="27">
                  <c:v>0.71513626728123314</c:v>
                </c:pt>
                <c:pt idx="28">
                  <c:v>0.7406768482555629</c:v>
                </c:pt>
                <c:pt idx="29">
                  <c:v>0.76621742922989267</c:v>
                </c:pt>
                <c:pt idx="30">
                  <c:v>0.79175801020422243</c:v>
                </c:pt>
                <c:pt idx="31">
                  <c:v>0.81729859117855219</c:v>
                </c:pt>
                <c:pt idx="32">
                  <c:v>0.84283917215288195</c:v>
                </c:pt>
                <c:pt idx="33">
                  <c:v>0.86837975312721172</c:v>
                </c:pt>
                <c:pt idx="34">
                  <c:v>0.89392033410154148</c:v>
                </c:pt>
                <c:pt idx="35">
                  <c:v>0.91946091507587124</c:v>
                </c:pt>
                <c:pt idx="36">
                  <c:v>0.94500149605020101</c:v>
                </c:pt>
                <c:pt idx="37">
                  <c:v>0.97054207702453077</c:v>
                </c:pt>
                <c:pt idx="38">
                  <c:v>0.99608265799886053</c:v>
                </c:pt>
                <c:pt idx="39">
                  <c:v>1.0216232389731903</c:v>
                </c:pt>
                <c:pt idx="40">
                  <c:v>1.0471638199475199</c:v>
                </c:pt>
                <c:pt idx="41">
                  <c:v>1.0727044009218496</c:v>
                </c:pt>
                <c:pt idx="42">
                  <c:v>1.0982449818961793</c:v>
                </c:pt>
                <c:pt idx="43">
                  <c:v>1.1237855628705089</c:v>
                </c:pt>
                <c:pt idx="44">
                  <c:v>1.1493261438448386</c:v>
                </c:pt>
                <c:pt idx="45">
                  <c:v>1.1748667248191682</c:v>
                </c:pt>
                <c:pt idx="46">
                  <c:v>1.2004073057934979</c:v>
                </c:pt>
                <c:pt idx="47">
                  <c:v>1.2259478867678275</c:v>
                </c:pt>
                <c:pt idx="48">
                  <c:v>1.2514884677421572</c:v>
                </c:pt>
                <c:pt idx="49">
                  <c:v>1.2770290487164868</c:v>
                </c:pt>
                <c:pt idx="50">
                  <c:v>1.3025696296908165</c:v>
                </c:pt>
                <c:pt idx="51">
                  <c:v>1.3281102106651461</c:v>
                </c:pt>
              </c:numCache>
            </c:numRef>
          </c:val>
          <c:smooth val="0"/>
          <c:extLst xmlns:c15="http://schemas.microsoft.com/office/drawing/2012/chart">
            <c:ext xmlns:c16="http://schemas.microsoft.com/office/drawing/2014/chart" uri="{C3380CC4-5D6E-409C-BE32-E72D297353CC}">
              <c16:uniqueId val="{00000004-058C-4374-9854-3EF9CF24F6AE}"/>
            </c:ext>
          </c:extLst>
        </c:ser>
        <c:ser>
          <c:idx val="9"/>
          <c:order val="9"/>
          <c:tx>
            <c:strRef>
              <c:f>'OZL Summary'!$BW$6:$BW$7</c:f>
              <c:strCache>
                <c:ptCount val="2"/>
                <c:pt idx="0">
                  <c:v>95th Percentile</c:v>
                </c:pt>
              </c:strCache>
            </c:strRef>
          </c:tx>
          <c:spPr>
            <a:ln w="28575">
              <a:solidFill>
                <a:schemeClr val="accent1"/>
              </a:solidFill>
              <a:prstDash val="sysDot"/>
            </a:ln>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Summary'!$BW$8:$BW$60</c:f>
              <c:numCache>
                <c:formatCode>0.000</c:formatCode>
                <c:ptCount val="53"/>
                <c:pt idx="0">
                  <c:v>2.9126260596895739E-2</c:v>
                </c:pt>
                <c:pt idx="1">
                  <c:v>5.8252521193791477E-2</c:v>
                </c:pt>
                <c:pt idx="2">
                  <c:v>8.7378781790687213E-2</c:v>
                </c:pt>
                <c:pt idx="3">
                  <c:v>0.11650504238758295</c:v>
                </c:pt>
                <c:pt idx="4">
                  <c:v>0.14563130298447868</c:v>
                </c:pt>
                <c:pt idx="5">
                  <c:v>0.17475756358137443</c:v>
                </c:pt>
                <c:pt idx="6">
                  <c:v>0.20388382417827017</c:v>
                </c:pt>
                <c:pt idx="7">
                  <c:v>0.23301008477516591</c:v>
                </c:pt>
                <c:pt idx="8">
                  <c:v>0.26213634537206165</c:v>
                </c:pt>
                <c:pt idx="9">
                  <c:v>0.29126260596895737</c:v>
                </c:pt>
                <c:pt idx="10">
                  <c:v>0.32038886656585308</c:v>
                </c:pt>
                <c:pt idx="11">
                  <c:v>0.3495151271627488</c:v>
                </c:pt>
                <c:pt idx="12">
                  <c:v>0.37864138775964451</c:v>
                </c:pt>
                <c:pt idx="13">
                  <c:v>0.40776764835654022</c:v>
                </c:pt>
                <c:pt idx="14">
                  <c:v>0.43689390895343594</c:v>
                </c:pt>
                <c:pt idx="15">
                  <c:v>0.46602016955033165</c:v>
                </c:pt>
                <c:pt idx="16">
                  <c:v>0.49514643014722737</c:v>
                </c:pt>
                <c:pt idx="17">
                  <c:v>0.52427269074412308</c:v>
                </c:pt>
                <c:pt idx="18">
                  <c:v>0.5533989513410188</c:v>
                </c:pt>
                <c:pt idx="19">
                  <c:v>0.58252521193791451</c:v>
                </c:pt>
                <c:pt idx="20">
                  <c:v>0.61165147253481023</c:v>
                </c:pt>
                <c:pt idx="21">
                  <c:v>0.64077773313170594</c:v>
                </c:pt>
                <c:pt idx="22">
                  <c:v>0.66990399372860165</c:v>
                </c:pt>
                <c:pt idx="23">
                  <c:v>0.69903025432549737</c:v>
                </c:pt>
                <c:pt idx="24">
                  <c:v>0.72815651492239308</c:v>
                </c:pt>
                <c:pt idx="25">
                  <c:v>0.7572827755192888</c:v>
                </c:pt>
                <c:pt idx="26">
                  <c:v>0.78640903611618451</c:v>
                </c:pt>
                <c:pt idx="27">
                  <c:v>0.81553529671308023</c:v>
                </c:pt>
                <c:pt idx="28">
                  <c:v>0.84466155730997594</c:v>
                </c:pt>
                <c:pt idx="29">
                  <c:v>0.87378781790687166</c:v>
                </c:pt>
                <c:pt idx="30">
                  <c:v>0.90291407850376737</c:v>
                </c:pt>
                <c:pt idx="31">
                  <c:v>0.93204033910066308</c:v>
                </c:pt>
                <c:pt idx="32">
                  <c:v>0.9611665996975588</c:v>
                </c:pt>
                <c:pt idx="33">
                  <c:v>0.99029286029445451</c:v>
                </c:pt>
                <c:pt idx="34">
                  <c:v>1.0194191208913503</c:v>
                </c:pt>
                <c:pt idx="35">
                  <c:v>1.0485453814882462</c:v>
                </c:pt>
                <c:pt idx="36">
                  <c:v>1.077671642085142</c:v>
                </c:pt>
                <c:pt idx="37">
                  <c:v>1.1067979026820378</c:v>
                </c:pt>
                <c:pt idx="38">
                  <c:v>1.1359241632789336</c:v>
                </c:pt>
                <c:pt idx="39">
                  <c:v>1.1650504238758295</c:v>
                </c:pt>
                <c:pt idx="40">
                  <c:v>1.1941766844727253</c:v>
                </c:pt>
                <c:pt idx="41">
                  <c:v>1.2233029450696211</c:v>
                </c:pt>
                <c:pt idx="42">
                  <c:v>1.2524292056665169</c:v>
                </c:pt>
                <c:pt idx="43">
                  <c:v>1.2815554662634128</c:v>
                </c:pt>
                <c:pt idx="44">
                  <c:v>1.3106817268603086</c:v>
                </c:pt>
                <c:pt idx="45">
                  <c:v>1.3398079874572044</c:v>
                </c:pt>
                <c:pt idx="46">
                  <c:v>1.3689342480541002</c:v>
                </c:pt>
                <c:pt idx="47">
                  <c:v>1.3980605086509961</c:v>
                </c:pt>
                <c:pt idx="48">
                  <c:v>1.4271867692478919</c:v>
                </c:pt>
                <c:pt idx="49">
                  <c:v>1.4563130298447877</c:v>
                </c:pt>
                <c:pt idx="50">
                  <c:v>1.4854392904416835</c:v>
                </c:pt>
                <c:pt idx="51">
                  <c:v>1.5145655510385794</c:v>
                </c:pt>
              </c:numCache>
            </c:numRef>
          </c:val>
          <c:smooth val="0"/>
          <c:extLst xmlns:c15="http://schemas.microsoft.com/office/drawing/2012/chart">
            <c:ext xmlns:c16="http://schemas.microsoft.com/office/drawing/2014/chart" uri="{C3380CC4-5D6E-409C-BE32-E72D297353CC}">
              <c16:uniqueId val="{00000005-058C-4374-9854-3EF9CF24F6AE}"/>
            </c:ext>
          </c:extLst>
        </c:ser>
        <c:dLbls>
          <c:showLegendKey val="0"/>
          <c:showVal val="0"/>
          <c:showCatName val="0"/>
          <c:showSerName val="0"/>
          <c:showPercent val="0"/>
          <c:showBubbleSize val="0"/>
        </c:dLbls>
        <c:smooth val="0"/>
        <c:axId val="1388952432"/>
        <c:axId val="1388953088"/>
        <c:extLst>
          <c:ext xmlns:c15="http://schemas.microsoft.com/office/drawing/2012/chart" uri="{02D57815-91ED-43cb-92C2-25804820EDAC}">
            <c15:filteredLineSeries>
              <c15:ser>
                <c:idx val="3"/>
                <c:order val="1"/>
                <c:tx>
                  <c:strRef>
                    <c:extLst>
                      <c:ext uri="{02D57815-91ED-43cb-92C2-25804820EDAC}">
                        <c15:formulaRef>
                          <c15:sqref>'OZL Summary'!$BO$6:$BO$7</c15:sqref>
                        </c15:formulaRef>
                      </c:ext>
                    </c:extLst>
                    <c:strCache>
                      <c:ptCount val="2"/>
                      <c:pt idx="0">
                        <c:v>Min</c:v>
                      </c:pt>
                    </c:strCache>
                  </c:strRef>
                </c:tx>
                <c:marker>
                  <c:symbol val="none"/>
                </c:marker>
                <c:cat>
                  <c:numRef>
                    <c:extLst>
                      <c:ex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c:ext uri="{02D57815-91ED-43cb-92C2-25804820EDAC}">
                        <c15:formulaRef>
                          <c15:sqref>'OZL Summary'!$BO$8:$BO$60</c15:sqref>
                        </c15:formulaRef>
                      </c:ext>
                    </c:extLst>
                    <c:numCache>
                      <c:formatCode>0.000</c:formatCode>
                      <c:ptCount val="53"/>
                      <c:pt idx="0">
                        <c:v>1.6032204874777817E-2</c:v>
                      </c:pt>
                      <c:pt idx="1">
                        <c:v>3.2064409749555635E-2</c:v>
                      </c:pt>
                      <c:pt idx="2">
                        <c:v>4.8096614624333456E-2</c:v>
                      </c:pt>
                      <c:pt idx="3">
                        <c:v>6.412881949911127E-2</c:v>
                      </c:pt>
                      <c:pt idx="4">
                        <c:v>8.0161024373889084E-2</c:v>
                      </c:pt>
                      <c:pt idx="5">
                        <c:v>9.6193229248666898E-2</c:v>
                      </c:pt>
                      <c:pt idx="6">
                        <c:v>0.11222543412344471</c:v>
                      </c:pt>
                      <c:pt idx="7">
                        <c:v>0.12825763899822254</c:v>
                      </c:pt>
                      <c:pt idx="8">
                        <c:v>0.14428984387300037</c:v>
                      </c:pt>
                      <c:pt idx="9">
                        <c:v>0.1603220487477782</c:v>
                      </c:pt>
                      <c:pt idx="10">
                        <c:v>0.17635425362255602</c:v>
                      </c:pt>
                      <c:pt idx="11">
                        <c:v>0.19238645849733385</c:v>
                      </c:pt>
                      <c:pt idx="12">
                        <c:v>0.20841866337211168</c:v>
                      </c:pt>
                      <c:pt idx="13">
                        <c:v>0.22445086824688951</c:v>
                      </c:pt>
                      <c:pt idx="14">
                        <c:v>0.24048307312166733</c:v>
                      </c:pt>
                      <c:pt idx="15">
                        <c:v>0.25651527799644513</c:v>
                      </c:pt>
                      <c:pt idx="16">
                        <c:v>0.27254748287122293</c:v>
                      </c:pt>
                      <c:pt idx="17">
                        <c:v>0.28857968774600073</c:v>
                      </c:pt>
                      <c:pt idx="18">
                        <c:v>0.30461189262077853</c:v>
                      </c:pt>
                      <c:pt idx="19">
                        <c:v>0.32064409749555633</c:v>
                      </c:pt>
                      <c:pt idx="20">
                        <c:v>0.33667630237033414</c:v>
                      </c:pt>
                      <c:pt idx="21">
                        <c:v>0.35270850724511194</c:v>
                      </c:pt>
                      <c:pt idx="22">
                        <c:v>0.36874071211988974</c:v>
                      </c:pt>
                      <c:pt idx="23">
                        <c:v>0.38477291699466754</c:v>
                      </c:pt>
                      <c:pt idx="24">
                        <c:v>0.40080512186944534</c:v>
                      </c:pt>
                      <c:pt idx="25">
                        <c:v>0.41683732674422314</c:v>
                      </c:pt>
                      <c:pt idx="26">
                        <c:v>0.43286953161900094</c:v>
                      </c:pt>
                      <c:pt idx="27">
                        <c:v>0.44890173649377874</c:v>
                      </c:pt>
                      <c:pt idx="28">
                        <c:v>0.46493394136855654</c:v>
                      </c:pt>
                      <c:pt idx="29">
                        <c:v>0.48096614624333434</c:v>
                      </c:pt>
                      <c:pt idx="30">
                        <c:v>0.49699835111811214</c:v>
                      </c:pt>
                      <c:pt idx="31">
                        <c:v>0.51303055599288994</c:v>
                      </c:pt>
                      <c:pt idx="32">
                        <c:v>0.52906276086766779</c:v>
                      </c:pt>
                      <c:pt idx="33">
                        <c:v>0.54509496574244565</c:v>
                      </c:pt>
                      <c:pt idx="34">
                        <c:v>0.5611271706172235</c:v>
                      </c:pt>
                      <c:pt idx="35">
                        <c:v>0.57715937549200136</c:v>
                      </c:pt>
                      <c:pt idx="36">
                        <c:v>0.59319158036677921</c:v>
                      </c:pt>
                      <c:pt idx="37">
                        <c:v>0.60922378524155707</c:v>
                      </c:pt>
                      <c:pt idx="38">
                        <c:v>0.62525599011633493</c:v>
                      </c:pt>
                      <c:pt idx="39">
                        <c:v>0.64128819499111278</c:v>
                      </c:pt>
                      <c:pt idx="40">
                        <c:v>0.65732039986589064</c:v>
                      </c:pt>
                      <c:pt idx="41">
                        <c:v>0.67335260474066849</c:v>
                      </c:pt>
                      <c:pt idx="42">
                        <c:v>0.68938480961544635</c:v>
                      </c:pt>
                      <c:pt idx="43">
                        <c:v>0.7054170144902242</c:v>
                      </c:pt>
                      <c:pt idx="44">
                        <c:v>0.72144921936500206</c:v>
                      </c:pt>
                      <c:pt idx="45">
                        <c:v>0.73748142423977991</c:v>
                      </c:pt>
                      <c:pt idx="46">
                        <c:v>0.75351362911455777</c:v>
                      </c:pt>
                      <c:pt idx="47">
                        <c:v>0.76954583398933563</c:v>
                      </c:pt>
                      <c:pt idx="48">
                        <c:v>0.78557803886411348</c:v>
                      </c:pt>
                      <c:pt idx="49">
                        <c:v>0.80161024373889134</c:v>
                      </c:pt>
                      <c:pt idx="50">
                        <c:v>0.81764244861366919</c:v>
                      </c:pt>
                      <c:pt idx="51">
                        <c:v>0.83367465348844705</c:v>
                      </c:pt>
                    </c:numCache>
                  </c:numRef>
                </c:val>
                <c:smooth val="0"/>
                <c:extLst>
                  <c:ext xmlns:c16="http://schemas.microsoft.com/office/drawing/2014/chart" uri="{C3380CC4-5D6E-409C-BE32-E72D297353CC}">
                    <c16:uniqueId val="{00000006-058C-4374-9854-3EF9CF24F6AE}"/>
                  </c:ext>
                </c:extLst>
              </c15:ser>
            </c15:filteredLineSeries>
            <c15:filteredLineSeries>
              <c15:ser>
                <c:idx val="5"/>
                <c:order val="2"/>
                <c:tx>
                  <c:strRef>
                    <c:extLst xmlns:c15="http://schemas.microsoft.com/office/drawing/2012/chart">
                      <c:ext xmlns:c15="http://schemas.microsoft.com/office/drawing/2012/chart" uri="{02D57815-91ED-43cb-92C2-25804820EDAC}">
                        <c15:formulaRef>
                          <c15:sqref>'OZL Summary'!$BP$6:$BP$7</c15:sqref>
                        </c15:formulaRef>
                      </c:ext>
                    </c:extLst>
                    <c:strCache>
                      <c:ptCount val="2"/>
                      <c:pt idx="0">
                        <c:v>1st Percentile</c:v>
                      </c:pt>
                    </c:strCache>
                  </c:strRef>
                </c:tx>
                <c:spPr>
                  <a:ln w="28575" cap="rnd">
                    <a:solidFill>
                      <a:schemeClr val="accent6"/>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Summary'!$BP$8:$BP$60</c15:sqref>
                        </c15:formulaRef>
                      </c:ext>
                    </c:extLst>
                    <c:numCache>
                      <c:formatCode>0.000</c:formatCode>
                      <c:ptCount val="53"/>
                      <c:pt idx="0">
                        <c:v>1.8223138082807688E-2</c:v>
                      </c:pt>
                      <c:pt idx="1">
                        <c:v>3.6446276165615375E-2</c:v>
                      </c:pt>
                      <c:pt idx="2">
                        <c:v>5.4669414248423059E-2</c:v>
                      </c:pt>
                      <c:pt idx="3">
                        <c:v>7.2892552331230751E-2</c:v>
                      </c:pt>
                      <c:pt idx="4">
                        <c:v>9.1115690414038442E-2</c:v>
                      </c:pt>
                      <c:pt idx="5">
                        <c:v>0.10933882849684613</c:v>
                      </c:pt>
                      <c:pt idx="6">
                        <c:v>0.12756196657965382</c:v>
                      </c:pt>
                      <c:pt idx="7">
                        <c:v>0.1457851046624615</c:v>
                      </c:pt>
                      <c:pt idx="8">
                        <c:v>0.16400824274526918</c:v>
                      </c:pt>
                      <c:pt idx="9">
                        <c:v>0.18223138082807686</c:v>
                      </c:pt>
                      <c:pt idx="10">
                        <c:v>0.20045451891088453</c:v>
                      </c:pt>
                      <c:pt idx="11">
                        <c:v>0.21867765699369221</c:v>
                      </c:pt>
                      <c:pt idx="12">
                        <c:v>0.23690079507649989</c:v>
                      </c:pt>
                      <c:pt idx="13">
                        <c:v>0.25512393315930759</c:v>
                      </c:pt>
                      <c:pt idx="14">
                        <c:v>0.27334707124211527</c:v>
                      </c:pt>
                      <c:pt idx="15">
                        <c:v>0.29157020932492295</c:v>
                      </c:pt>
                      <c:pt idx="16">
                        <c:v>0.30979334740773062</c:v>
                      </c:pt>
                      <c:pt idx="17">
                        <c:v>0.3280164854905383</c:v>
                      </c:pt>
                      <c:pt idx="18">
                        <c:v>0.34623962357334598</c:v>
                      </c:pt>
                      <c:pt idx="19">
                        <c:v>0.36446276165615366</c:v>
                      </c:pt>
                      <c:pt idx="20">
                        <c:v>0.38268589973896133</c:v>
                      </c:pt>
                      <c:pt idx="21">
                        <c:v>0.40090903782176901</c:v>
                      </c:pt>
                      <c:pt idx="22">
                        <c:v>0.41913217590457669</c:v>
                      </c:pt>
                      <c:pt idx="23">
                        <c:v>0.43735531398738436</c:v>
                      </c:pt>
                      <c:pt idx="24">
                        <c:v>0.45557845207019204</c:v>
                      </c:pt>
                      <c:pt idx="25">
                        <c:v>0.47380159015299972</c:v>
                      </c:pt>
                      <c:pt idx="26">
                        <c:v>0.4920247282358074</c:v>
                      </c:pt>
                      <c:pt idx="27">
                        <c:v>0.51024786631861507</c:v>
                      </c:pt>
                      <c:pt idx="28">
                        <c:v>0.52847100440142281</c:v>
                      </c:pt>
                      <c:pt idx="29">
                        <c:v>0.54669414248423054</c:v>
                      </c:pt>
                      <c:pt idx="30">
                        <c:v>0.56491728056703827</c:v>
                      </c:pt>
                      <c:pt idx="31">
                        <c:v>0.583140418649846</c:v>
                      </c:pt>
                      <c:pt idx="32">
                        <c:v>0.60136355673265374</c:v>
                      </c:pt>
                      <c:pt idx="33">
                        <c:v>0.61958669481546147</c:v>
                      </c:pt>
                      <c:pt idx="34">
                        <c:v>0.6378098328982692</c:v>
                      </c:pt>
                      <c:pt idx="35">
                        <c:v>0.65603297098107693</c:v>
                      </c:pt>
                      <c:pt idx="36">
                        <c:v>0.67425610906388467</c:v>
                      </c:pt>
                      <c:pt idx="37">
                        <c:v>0.6924792471466924</c:v>
                      </c:pt>
                      <c:pt idx="38">
                        <c:v>0.71070238522950013</c:v>
                      </c:pt>
                      <c:pt idx="39">
                        <c:v>0.72892552331230787</c:v>
                      </c:pt>
                      <c:pt idx="40">
                        <c:v>0.7471486613951156</c:v>
                      </c:pt>
                      <c:pt idx="41">
                        <c:v>0.76537179947792333</c:v>
                      </c:pt>
                      <c:pt idx="42">
                        <c:v>0.78359493756073106</c:v>
                      </c:pt>
                      <c:pt idx="43">
                        <c:v>0.8018180756435388</c:v>
                      </c:pt>
                      <c:pt idx="44">
                        <c:v>0.82004121372634653</c:v>
                      </c:pt>
                      <c:pt idx="45">
                        <c:v>0.83826435180915426</c:v>
                      </c:pt>
                      <c:pt idx="46">
                        <c:v>0.85648748989196199</c:v>
                      </c:pt>
                      <c:pt idx="47">
                        <c:v>0.87471062797476973</c:v>
                      </c:pt>
                      <c:pt idx="48">
                        <c:v>0.89293376605757746</c:v>
                      </c:pt>
                      <c:pt idx="49">
                        <c:v>0.91115690414038519</c:v>
                      </c:pt>
                      <c:pt idx="50">
                        <c:v>0.92938004222319293</c:v>
                      </c:pt>
                      <c:pt idx="51">
                        <c:v>0.94760318030600066</c:v>
                      </c:pt>
                    </c:numCache>
                  </c:numRef>
                </c:val>
                <c:smooth val="0"/>
                <c:extLst xmlns:c15="http://schemas.microsoft.com/office/drawing/2012/chart">
                  <c:ext xmlns:c16="http://schemas.microsoft.com/office/drawing/2014/chart" uri="{C3380CC4-5D6E-409C-BE32-E72D297353CC}">
                    <c16:uniqueId val="{00000007-058C-4374-9854-3EF9CF24F6AE}"/>
                  </c:ext>
                </c:extLst>
              </c15:ser>
            </c15:filteredLineSeries>
            <c15:filteredLineSeries>
              <c15:ser>
                <c:idx val="1"/>
                <c:order val="4"/>
                <c:tx>
                  <c:strRef>
                    <c:extLst xmlns:c15="http://schemas.microsoft.com/office/drawing/2012/chart">
                      <c:ext xmlns:c15="http://schemas.microsoft.com/office/drawing/2012/chart" uri="{02D57815-91ED-43cb-92C2-25804820EDAC}">
                        <c15:formulaRef>
                          <c15:sqref>'OZL Summary'!$BR$6:$BR$7</c15:sqref>
                        </c15:formulaRef>
                      </c:ext>
                    </c:extLst>
                    <c:strCache>
                      <c:ptCount val="2"/>
                      <c:pt idx="0">
                        <c:v>10th Percentile</c:v>
                      </c:pt>
                    </c:strCache>
                  </c:strRef>
                </c:tx>
                <c:spPr>
                  <a:ln w="28575" cap="rnd" cmpd="sng">
                    <a:solidFill>
                      <a:schemeClr val="accent2"/>
                    </a:solidFill>
                    <a:prstDash val="sysDot"/>
                    <a:round/>
                    <a:headEnd type="none"/>
                  </a:ln>
                  <a:effectLst/>
                </c:spPr>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Summary'!$BR$8:$BR$60</c15:sqref>
                        </c15:formulaRef>
                      </c:ext>
                    </c:extLst>
                    <c:numCache>
                      <c:formatCode>0.000</c:formatCode>
                      <c:ptCount val="53"/>
                      <c:pt idx="0">
                        <c:v>2.0199848897457344E-2</c:v>
                      </c:pt>
                      <c:pt idx="1">
                        <c:v>4.0399697794914688E-2</c:v>
                      </c:pt>
                      <c:pt idx="2">
                        <c:v>6.0599546692372032E-2</c:v>
                      </c:pt>
                      <c:pt idx="3">
                        <c:v>8.0799395589829376E-2</c:v>
                      </c:pt>
                      <c:pt idx="4">
                        <c:v>0.10099924448728673</c:v>
                      </c:pt>
                      <c:pt idx="5">
                        <c:v>0.12119909338474408</c:v>
                      </c:pt>
                      <c:pt idx="6">
                        <c:v>0.14139894228220143</c:v>
                      </c:pt>
                      <c:pt idx="7">
                        <c:v>0.16159879117965878</c:v>
                      </c:pt>
                      <c:pt idx="8">
                        <c:v>0.18179864007711613</c:v>
                      </c:pt>
                      <c:pt idx="9">
                        <c:v>0.20199848897457348</c:v>
                      </c:pt>
                      <c:pt idx="10">
                        <c:v>0.22219833787203083</c:v>
                      </c:pt>
                      <c:pt idx="11">
                        <c:v>0.24239818676948818</c:v>
                      </c:pt>
                      <c:pt idx="12">
                        <c:v>0.26259803566694551</c:v>
                      </c:pt>
                      <c:pt idx="13">
                        <c:v>0.28279788456440286</c:v>
                      </c:pt>
                      <c:pt idx="14">
                        <c:v>0.30299773346186021</c:v>
                      </c:pt>
                      <c:pt idx="15">
                        <c:v>0.32319758235931756</c:v>
                      </c:pt>
                      <c:pt idx="16">
                        <c:v>0.34339743125677491</c:v>
                      </c:pt>
                      <c:pt idx="17">
                        <c:v>0.36359728015423226</c:v>
                      </c:pt>
                      <c:pt idx="18">
                        <c:v>0.38379712905168961</c:v>
                      </c:pt>
                      <c:pt idx="19">
                        <c:v>0.40399697794914696</c:v>
                      </c:pt>
                      <c:pt idx="20">
                        <c:v>0.42419682684660431</c:v>
                      </c:pt>
                      <c:pt idx="21">
                        <c:v>0.44439667574406166</c:v>
                      </c:pt>
                      <c:pt idx="22">
                        <c:v>0.46459652464151902</c:v>
                      </c:pt>
                      <c:pt idx="23">
                        <c:v>0.48479637353897637</c:v>
                      </c:pt>
                      <c:pt idx="24">
                        <c:v>0.50499622243643372</c:v>
                      </c:pt>
                      <c:pt idx="25">
                        <c:v>0.52519607133389101</c:v>
                      </c:pt>
                      <c:pt idx="26">
                        <c:v>0.54539592023134831</c:v>
                      </c:pt>
                      <c:pt idx="27">
                        <c:v>0.5655957691288056</c:v>
                      </c:pt>
                      <c:pt idx="28">
                        <c:v>0.5857956180262629</c:v>
                      </c:pt>
                      <c:pt idx="29">
                        <c:v>0.60599546692372019</c:v>
                      </c:pt>
                      <c:pt idx="30">
                        <c:v>0.62619531582117749</c:v>
                      </c:pt>
                      <c:pt idx="31">
                        <c:v>0.64639516471863478</c:v>
                      </c:pt>
                      <c:pt idx="32">
                        <c:v>0.66659501361609208</c:v>
                      </c:pt>
                      <c:pt idx="33">
                        <c:v>0.68679486251354938</c:v>
                      </c:pt>
                      <c:pt idx="34">
                        <c:v>0.70699471141100667</c:v>
                      </c:pt>
                      <c:pt idx="35">
                        <c:v>0.72719456030846397</c:v>
                      </c:pt>
                      <c:pt idx="36">
                        <c:v>0.74739440920592126</c:v>
                      </c:pt>
                      <c:pt idx="37">
                        <c:v>0.76759425810337856</c:v>
                      </c:pt>
                      <c:pt idx="38">
                        <c:v>0.78779410700083585</c:v>
                      </c:pt>
                      <c:pt idx="39">
                        <c:v>0.80799395589829315</c:v>
                      </c:pt>
                      <c:pt idx="40">
                        <c:v>0.82819380479575044</c:v>
                      </c:pt>
                      <c:pt idx="41">
                        <c:v>0.84839365369320774</c:v>
                      </c:pt>
                      <c:pt idx="42">
                        <c:v>0.86859350259066503</c:v>
                      </c:pt>
                      <c:pt idx="43">
                        <c:v>0.88879335148812233</c:v>
                      </c:pt>
                      <c:pt idx="44">
                        <c:v>0.90899320038557962</c:v>
                      </c:pt>
                      <c:pt idx="45">
                        <c:v>0.92919304928303692</c:v>
                      </c:pt>
                      <c:pt idx="46">
                        <c:v>0.94939289818049422</c:v>
                      </c:pt>
                      <c:pt idx="47">
                        <c:v>0.96959274707795151</c:v>
                      </c:pt>
                      <c:pt idx="48">
                        <c:v>0.98979259597540881</c:v>
                      </c:pt>
                      <c:pt idx="49">
                        <c:v>1.0099924448728661</c:v>
                      </c:pt>
                      <c:pt idx="50">
                        <c:v>1.0301922937703234</c:v>
                      </c:pt>
                      <c:pt idx="51">
                        <c:v>1.0503921426677807</c:v>
                      </c:pt>
                    </c:numCache>
                  </c:numRef>
                </c:val>
                <c:smooth val="0"/>
                <c:extLst xmlns:c15="http://schemas.microsoft.com/office/drawing/2012/chart">
                  <c:ext xmlns:c16="http://schemas.microsoft.com/office/drawing/2014/chart" uri="{C3380CC4-5D6E-409C-BE32-E72D297353CC}">
                    <c16:uniqueId val="{00000008-058C-4374-9854-3EF9CF24F6AE}"/>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'OZL Summary'!$BV$6:$BV$7</c15:sqref>
                        </c15:formulaRef>
                      </c:ext>
                    </c:extLst>
                    <c:strCache>
                      <c:ptCount val="2"/>
                      <c:pt idx="0">
                        <c:v>90th Percentile</c:v>
                      </c:pt>
                    </c:strCache>
                  </c:strRef>
                </c:tx>
                <c:spPr>
                  <a:ln w="28575">
                    <a:solidFill>
                      <a:schemeClr val="accent1"/>
                    </a:solidFill>
                    <a:prstDash val="sysDot"/>
                  </a:ln>
                </c:spPr>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Summary'!$BV$8:$BV$60</c15:sqref>
                        </c15:formulaRef>
                      </c:ext>
                    </c:extLst>
                    <c:numCache>
                      <c:formatCode>0.000</c:formatCode>
                      <c:ptCount val="53"/>
                      <c:pt idx="0">
                        <c:v>2.7720420236719803E-2</c:v>
                      </c:pt>
                      <c:pt idx="1">
                        <c:v>5.5440840473439605E-2</c:v>
                      </c:pt>
                      <c:pt idx="2">
                        <c:v>8.3161260710159404E-2</c:v>
                      </c:pt>
                      <c:pt idx="3">
                        <c:v>0.11088168094687921</c:v>
                      </c:pt>
                      <c:pt idx="4">
                        <c:v>0.138602101183599</c:v>
                      </c:pt>
                      <c:pt idx="5">
                        <c:v>0.16632252142031881</c:v>
                      </c:pt>
                      <c:pt idx="6">
                        <c:v>0.19404294165703861</c:v>
                      </c:pt>
                      <c:pt idx="7">
                        <c:v>0.22176336189375842</c:v>
                      </c:pt>
                      <c:pt idx="8">
                        <c:v>0.24948378213047823</c:v>
                      </c:pt>
                      <c:pt idx="9">
                        <c:v>0.277204202367198</c:v>
                      </c:pt>
                      <c:pt idx="10">
                        <c:v>0.30492462260391778</c:v>
                      </c:pt>
                      <c:pt idx="11">
                        <c:v>0.33264504284063756</c:v>
                      </c:pt>
                      <c:pt idx="12">
                        <c:v>0.36036546307735734</c:v>
                      </c:pt>
                      <c:pt idx="13">
                        <c:v>0.38808588331407712</c:v>
                      </c:pt>
                      <c:pt idx="14">
                        <c:v>0.4158063035507969</c:v>
                      </c:pt>
                      <c:pt idx="15">
                        <c:v>0.44352672378751667</c:v>
                      </c:pt>
                      <c:pt idx="16">
                        <c:v>0.47124714402423645</c:v>
                      </c:pt>
                      <c:pt idx="17">
                        <c:v>0.49896756426095623</c:v>
                      </c:pt>
                      <c:pt idx="18">
                        <c:v>0.52668798449767606</c:v>
                      </c:pt>
                      <c:pt idx="19">
                        <c:v>0.5544084047343959</c:v>
                      </c:pt>
                      <c:pt idx="20">
                        <c:v>0.58212882497111573</c:v>
                      </c:pt>
                      <c:pt idx="21">
                        <c:v>0.60984924520783557</c:v>
                      </c:pt>
                      <c:pt idx="22">
                        <c:v>0.6375696654445554</c:v>
                      </c:pt>
                      <c:pt idx="23">
                        <c:v>0.66529008568127523</c:v>
                      </c:pt>
                      <c:pt idx="24">
                        <c:v>0.69301050591799507</c:v>
                      </c:pt>
                      <c:pt idx="25">
                        <c:v>0.7207309261547149</c:v>
                      </c:pt>
                      <c:pt idx="26">
                        <c:v>0.74845134639143474</c:v>
                      </c:pt>
                      <c:pt idx="27">
                        <c:v>0.77617176662815457</c:v>
                      </c:pt>
                      <c:pt idx="28">
                        <c:v>0.8038921868648744</c:v>
                      </c:pt>
                      <c:pt idx="29">
                        <c:v>0.83161260710159424</c:v>
                      </c:pt>
                      <c:pt idx="30">
                        <c:v>0.85933302733831407</c:v>
                      </c:pt>
                      <c:pt idx="31">
                        <c:v>0.8870534475750339</c:v>
                      </c:pt>
                      <c:pt idx="32">
                        <c:v>0.91477386781175374</c:v>
                      </c:pt>
                      <c:pt idx="33">
                        <c:v>0.94249428804847357</c:v>
                      </c:pt>
                      <c:pt idx="34">
                        <c:v>0.97021470828519341</c:v>
                      </c:pt>
                      <c:pt idx="35">
                        <c:v>0.99793512852191324</c:v>
                      </c:pt>
                      <c:pt idx="36">
                        <c:v>1.025655548758633</c:v>
                      </c:pt>
                      <c:pt idx="37">
                        <c:v>1.0533759689953528</c:v>
                      </c:pt>
                      <c:pt idx="38">
                        <c:v>1.0810963892320726</c:v>
                      </c:pt>
                      <c:pt idx="39">
                        <c:v>1.1088168094687925</c:v>
                      </c:pt>
                      <c:pt idx="40">
                        <c:v>1.1365372297055123</c:v>
                      </c:pt>
                      <c:pt idx="41">
                        <c:v>1.1642576499422321</c:v>
                      </c:pt>
                      <c:pt idx="42">
                        <c:v>1.191978070178952</c:v>
                      </c:pt>
                      <c:pt idx="43">
                        <c:v>1.2196984904156718</c:v>
                      </c:pt>
                      <c:pt idx="44">
                        <c:v>1.2474189106523916</c:v>
                      </c:pt>
                      <c:pt idx="45">
                        <c:v>1.2751393308891115</c:v>
                      </c:pt>
                      <c:pt idx="46">
                        <c:v>1.3028597511258313</c:v>
                      </c:pt>
                      <c:pt idx="47">
                        <c:v>1.3305801713625511</c:v>
                      </c:pt>
                      <c:pt idx="48">
                        <c:v>1.358300591599271</c:v>
                      </c:pt>
                      <c:pt idx="49">
                        <c:v>1.3860210118359908</c:v>
                      </c:pt>
                      <c:pt idx="50">
                        <c:v>1.4137414320727106</c:v>
                      </c:pt>
                      <c:pt idx="51">
                        <c:v>1.4414618523094305</c:v>
                      </c:pt>
                    </c:numCache>
                  </c:numRef>
                </c:val>
                <c:smooth val="0"/>
                <c:extLst xmlns:c15="http://schemas.microsoft.com/office/drawing/2012/chart">
                  <c:ext xmlns:c16="http://schemas.microsoft.com/office/drawing/2014/chart" uri="{C3380CC4-5D6E-409C-BE32-E72D297353CC}">
                    <c16:uniqueId val="{00000009-058C-4374-9854-3EF9CF24F6AE}"/>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'OZL Summary'!$BX$6:$BX$7</c15:sqref>
                        </c15:formulaRef>
                      </c:ext>
                    </c:extLst>
                    <c:strCache>
                      <c:ptCount val="2"/>
                      <c:pt idx="0">
                        <c:v>99th Percentile</c:v>
                      </c:pt>
                    </c:strCache>
                  </c:strRef>
                </c:tx>
                <c:spPr>
                  <a:ln w="28575">
                    <a:solidFill>
                      <a:schemeClr val="accent1"/>
                    </a:solidFill>
                    <a:prstDash val="sysDot"/>
                  </a:ln>
                </c:spPr>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Summary'!$BX$8:$BX$60</c15:sqref>
                        </c15:formulaRef>
                      </c:ext>
                    </c:extLst>
                    <c:numCache>
                      <c:formatCode>0.000</c:formatCode>
                      <c:ptCount val="53"/>
                      <c:pt idx="0">
                        <c:v>3.2006943607976859E-2</c:v>
                      </c:pt>
                      <c:pt idx="1">
                        <c:v>6.4013887215953719E-2</c:v>
                      </c:pt>
                      <c:pt idx="2">
                        <c:v>9.6020830823930578E-2</c:v>
                      </c:pt>
                      <c:pt idx="3">
                        <c:v>0.12802777443190744</c:v>
                      </c:pt>
                      <c:pt idx="4">
                        <c:v>0.16003471803988428</c:v>
                      </c:pt>
                      <c:pt idx="5">
                        <c:v>0.19204166164786113</c:v>
                      </c:pt>
                      <c:pt idx="6">
                        <c:v>0.22404860525583797</c:v>
                      </c:pt>
                      <c:pt idx="7">
                        <c:v>0.25605554886381482</c:v>
                      </c:pt>
                      <c:pt idx="8">
                        <c:v>0.28806249247179166</c:v>
                      </c:pt>
                      <c:pt idx="9">
                        <c:v>0.32006943607976851</c:v>
                      </c:pt>
                      <c:pt idx="10">
                        <c:v>0.35207637968774536</c:v>
                      </c:pt>
                      <c:pt idx="11">
                        <c:v>0.3840833232957222</c:v>
                      </c:pt>
                      <c:pt idx="12">
                        <c:v>0.41609026690369905</c:v>
                      </c:pt>
                      <c:pt idx="13">
                        <c:v>0.44809721051167589</c:v>
                      </c:pt>
                      <c:pt idx="14">
                        <c:v>0.48010415411965274</c:v>
                      </c:pt>
                      <c:pt idx="15">
                        <c:v>0.51211109772762964</c:v>
                      </c:pt>
                      <c:pt idx="16">
                        <c:v>0.54411804133560648</c:v>
                      </c:pt>
                      <c:pt idx="17">
                        <c:v>0.57612498494358333</c:v>
                      </c:pt>
                      <c:pt idx="18">
                        <c:v>0.60813192855156017</c:v>
                      </c:pt>
                      <c:pt idx="19">
                        <c:v>0.64013887215953702</c:v>
                      </c:pt>
                      <c:pt idx="20">
                        <c:v>0.67214581576751387</c:v>
                      </c:pt>
                      <c:pt idx="21">
                        <c:v>0.70415275937549071</c:v>
                      </c:pt>
                      <c:pt idx="22">
                        <c:v>0.73615970298346756</c:v>
                      </c:pt>
                      <c:pt idx="23">
                        <c:v>0.7681666465914444</c:v>
                      </c:pt>
                      <c:pt idx="24">
                        <c:v>0.80017359019942125</c:v>
                      </c:pt>
                      <c:pt idx="25">
                        <c:v>0.83218053380739809</c:v>
                      </c:pt>
                      <c:pt idx="26">
                        <c:v>0.86418747741537494</c:v>
                      </c:pt>
                      <c:pt idx="27">
                        <c:v>0.89619442102335178</c:v>
                      </c:pt>
                      <c:pt idx="28">
                        <c:v>0.92820136463132863</c:v>
                      </c:pt>
                      <c:pt idx="29">
                        <c:v>0.96020830823930547</c:v>
                      </c:pt>
                      <c:pt idx="30">
                        <c:v>0.99221525184728232</c:v>
                      </c:pt>
                      <c:pt idx="31">
                        <c:v>1.0242221954552593</c:v>
                      </c:pt>
                      <c:pt idx="32">
                        <c:v>1.0562291390632361</c:v>
                      </c:pt>
                      <c:pt idx="33">
                        <c:v>1.088236082671213</c:v>
                      </c:pt>
                      <c:pt idx="34">
                        <c:v>1.1202430262791898</c:v>
                      </c:pt>
                      <c:pt idx="35">
                        <c:v>1.1522499698871667</c:v>
                      </c:pt>
                      <c:pt idx="36">
                        <c:v>1.1842569134951435</c:v>
                      </c:pt>
                      <c:pt idx="37">
                        <c:v>1.2162638571031203</c:v>
                      </c:pt>
                      <c:pt idx="38">
                        <c:v>1.2482708007110972</c:v>
                      </c:pt>
                      <c:pt idx="39">
                        <c:v>1.280277744319074</c:v>
                      </c:pt>
                      <c:pt idx="40">
                        <c:v>1.3122846879270509</c:v>
                      </c:pt>
                      <c:pt idx="41">
                        <c:v>1.3442916315350277</c:v>
                      </c:pt>
                      <c:pt idx="42">
                        <c:v>1.3762985751430046</c:v>
                      </c:pt>
                      <c:pt idx="43">
                        <c:v>1.4083055187509814</c:v>
                      </c:pt>
                      <c:pt idx="44">
                        <c:v>1.4403124623589583</c:v>
                      </c:pt>
                      <c:pt idx="45">
                        <c:v>1.4723194059669351</c:v>
                      </c:pt>
                      <c:pt idx="46">
                        <c:v>1.504326349574912</c:v>
                      </c:pt>
                      <c:pt idx="47">
                        <c:v>1.5363332931828888</c:v>
                      </c:pt>
                      <c:pt idx="48">
                        <c:v>1.5683402367908656</c:v>
                      </c:pt>
                      <c:pt idx="49">
                        <c:v>1.6003471803988425</c:v>
                      </c:pt>
                      <c:pt idx="50">
                        <c:v>1.6323541240068193</c:v>
                      </c:pt>
                      <c:pt idx="51">
                        <c:v>1.6643610676147962</c:v>
                      </c:pt>
                    </c:numCache>
                  </c:numRef>
                </c:val>
                <c:smooth val="0"/>
                <c:extLst xmlns:c15="http://schemas.microsoft.com/office/drawing/2012/chart">
                  <c:ext xmlns:c16="http://schemas.microsoft.com/office/drawing/2014/chart" uri="{C3380CC4-5D6E-409C-BE32-E72D297353CC}">
                    <c16:uniqueId val="{0000000A-058C-4374-9854-3EF9CF24F6AE}"/>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'OZL Summary'!$BY$6:$BY$7</c15:sqref>
                        </c15:formulaRef>
                      </c:ext>
                    </c:extLst>
                    <c:strCache>
                      <c:ptCount val="2"/>
                      <c:pt idx="0">
                        <c:v>Max</c:v>
                      </c:pt>
                    </c:strCache>
                  </c:strRef>
                </c:tx>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Summary'!$BY$8:$BY$60</c15:sqref>
                        </c15:formulaRef>
                      </c:ext>
                    </c:extLst>
                    <c:numCache>
                      <c:formatCode>0.000</c:formatCode>
                      <c:ptCount val="53"/>
                      <c:pt idx="0">
                        <c:v>3.9503586953510528E-2</c:v>
                      </c:pt>
                      <c:pt idx="1">
                        <c:v>7.9007173907021055E-2</c:v>
                      </c:pt>
                      <c:pt idx="2">
                        <c:v>0.11851076086053158</c:v>
                      </c:pt>
                      <c:pt idx="3">
                        <c:v>0.15801434781404211</c:v>
                      </c:pt>
                      <c:pt idx="4">
                        <c:v>0.19751793476755264</c:v>
                      </c:pt>
                      <c:pt idx="5">
                        <c:v>0.23702152172106317</c:v>
                      </c:pt>
                      <c:pt idx="6">
                        <c:v>0.27652510867457369</c:v>
                      </c:pt>
                      <c:pt idx="7">
                        <c:v>0.31602869562808422</c:v>
                      </c:pt>
                      <c:pt idx="8">
                        <c:v>0.35553228258159475</c:v>
                      </c:pt>
                      <c:pt idx="9">
                        <c:v>0.39503586953510528</c:v>
                      </c:pt>
                      <c:pt idx="10">
                        <c:v>0.43453945648861581</c:v>
                      </c:pt>
                      <c:pt idx="11">
                        <c:v>0.47404304344212633</c:v>
                      </c:pt>
                      <c:pt idx="12">
                        <c:v>0.51354663039563686</c:v>
                      </c:pt>
                      <c:pt idx="13">
                        <c:v>0.55305021734914739</c:v>
                      </c:pt>
                      <c:pt idx="14">
                        <c:v>0.59255380430265792</c:v>
                      </c:pt>
                      <c:pt idx="15">
                        <c:v>0.63205739125616844</c:v>
                      </c:pt>
                      <c:pt idx="16">
                        <c:v>0.67156097820967897</c:v>
                      </c:pt>
                      <c:pt idx="17">
                        <c:v>0.7110645651631895</c:v>
                      </c:pt>
                      <c:pt idx="18">
                        <c:v>0.75056815211670003</c:v>
                      </c:pt>
                      <c:pt idx="19">
                        <c:v>0.79007173907021055</c:v>
                      </c:pt>
                      <c:pt idx="20">
                        <c:v>0.82957532602372108</c:v>
                      </c:pt>
                      <c:pt idx="21">
                        <c:v>0.86907891297723161</c:v>
                      </c:pt>
                      <c:pt idx="22">
                        <c:v>0.90858249993074214</c:v>
                      </c:pt>
                      <c:pt idx="23">
                        <c:v>0.94808608688425267</c:v>
                      </c:pt>
                      <c:pt idx="24">
                        <c:v>0.98758967383776319</c:v>
                      </c:pt>
                      <c:pt idx="25">
                        <c:v>1.0270932607912737</c:v>
                      </c:pt>
                      <c:pt idx="26">
                        <c:v>1.0665968477447842</c:v>
                      </c:pt>
                      <c:pt idx="27">
                        <c:v>1.1061004346982948</c:v>
                      </c:pt>
                      <c:pt idx="28">
                        <c:v>1.1456040216518053</c:v>
                      </c:pt>
                      <c:pt idx="29">
                        <c:v>1.1851076086053158</c:v>
                      </c:pt>
                      <c:pt idx="30">
                        <c:v>1.2246111955588264</c:v>
                      </c:pt>
                      <c:pt idx="31">
                        <c:v>1.2641147825123369</c:v>
                      </c:pt>
                      <c:pt idx="32">
                        <c:v>1.3036183694658474</c:v>
                      </c:pt>
                      <c:pt idx="33">
                        <c:v>1.3431219564193579</c:v>
                      </c:pt>
                      <c:pt idx="34">
                        <c:v>1.3826255433728685</c:v>
                      </c:pt>
                      <c:pt idx="35">
                        <c:v>1.422129130326379</c:v>
                      </c:pt>
                      <c:pt idx="36">
                        <c:v>1.4616327172798895</c:v>
                      </c:pt>
                      <c:pt idx="37">
                        <c:v>1.5011363042334001</c:v>
                      </c:pt>
                      <c:pt idx="38">
                        <c:v>1.5406398911869106</c:v>
                      </c:pt>
                      <c:pt idx="39">
                        <c:v>1.5801434781404211</c:v>
                      </c:pt>
                      <c:pt idx="40">
                        <c:v>1.6196470650939316</c:v>
                      </c:pt>
                      <c:pt idx="41">
                        <c:v>1.6591506520474422</c:v>
                      </c:pt>
                      <c:pt idx="42">
                        <c:v>1.6986542390009527</c:v>
                      </c:pt>
                      <c:pt idx="43">
                        <c:v>1.7381578259544632</c:v>
                      </c:pt>
                      <c:pt idx="44">
                        <c:v>1.7776614129079737</c:v>
                      </c:pt>
                      <c:pt idx="45">
                        <c:v>1.8171649998614843</c:v>
                      </c:pt>
                      <c:pt idx="46">
                        <c:v>1.8566685868149948</c:v>
                      </c:pt>
                      <c:pt idx="47">
                        <c:v>1.8961721737685053</c:v>
                      </c:pt>
                      <c:pt idx="48">
                        <c:v>1.9356757607220159</c:v>
                      </c:pt>
                      <c:pt idx="49">
                        <c:v>1.9751793476755264</c:v>
                      </c:pt>
                      <c:pt idx="50">
                        <c:v>2.0146829346290369</c:v>
                      </c:pt>
                      <c:pt idx="51">
                        <c:v>2.0541865215825474</c:v>
                      </c:pt>
                    </c:numCache>
                  </c:numRef>
                </c:val>
                <c:smooth val="0"/>
                <c:extLst xmlns:c15="http://schemas.microsoft.com/office/drawing/2012/chart">
                  <c:ext xmlns:c16="http://schemas.microsoft.com/office/drawing/2014/chart" uri="{C3380CC4-5D6E-409C-BE32-E72D297353CC}">
                    <c16:uniqueId val="{0000000B-058C-4374-9854-3EF9CF24F6AE}"/>
                  </c:ext>
                </c:extLst>
              </c15:ser>
            </c15:filteredLineSeries>
          </c:ext>
        </c:extLst>
      </c:lineChart>
      <c:dateAx>
        <c:axId val="1388952432"/>
        <c:scaling>
          <c:orientation val="minMax"/>
        </c:scaling>
        <c:delete val="0"/>
        <c:axPos val="b"/>
        <c:numFmt formatCode="d\-mmm\-yy_);\(###0\);&quot;-  &quot;;&quot; &quot;@&quot; &quot;"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3088"/>
        <c:crosses val="autoZero"/>
        <c:auto val="1"/>
        <c:lblOffset val="100"/>
        <c:baseTimeUnit val="days"/>
        <c:majorUnit val="3"/>
        <c:majorTimeUnit val="months"/>
      </c:dateAx>
      <c:valAx>
        <c:axId val="1388953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Ticket Sales ($b)</a:t>
                </a:r>
              </a:p>
            </c:rich>
          </c:tx>
          <c:overlay val="0"/>
          <c:spPr>
            <a:noFill/>
            <a:ln>
              <a:noFill/>
            </a:ln>
            <a:effectLst/>
          </c:sp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2432"/>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'OZL Summary'!$BN$6:$BN$7</c:f>
              <c:strCache>
                <c:ptCount val="2"/>
                <c:pt idx="0">
                  <c:v>Actual</c:v>
                </c:pt>
              </c:strCache>
            </c:strRef>
          </c:tx>
          <c:spPr>
            <a:ln w="28575" cap="rnd">
              <a:solidFill>
                <a:schemeClr val="tx2"/>
              </a:solidFill>
              <a:round/>
            </a:ln>
            <a:effectLst/>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Summary'!$BN$8:$BN$60</c:f>
              <c:numCache>
                <c:formatCode>0.000</c:formatCode>
                <c:ptCount val="53"/>
                <c:pt idx="0">
                  <c:v>3.4282144018799997E-2</c:v>
                </c:pt>
                <c:pt idx="1">
                  <c:v>4.61727482976E-2</c:v>
                </c:pt>
                <c:pt idx="2">
                  <c:v>6.0744925144799997E-2</c:v>
                </c:pt>
                <c:pt idx="3">
                  <c:v>7.9887071887199998E-2</c:v>
                </c:pt>
                <c:pt idx="4">
                  <c:v>9.0591598206000004E-2</c:v>
                </c:pt>
                <c:pt idx="5">
                  <c:v>0.10471594425839999</c:v>
                </c:pt>
                <c:pt idx="6">
                  <c:v>0.13024126318319998</c:v>
                </c:pt>
                <c:pt idx="7">
                  <c:v>0.14299494069599997</c:v>
                </c:pt>
                <c:pt idx="8">
                  <c:v>0.15712274134439999</c:v>
                </c:pt>
                <c:pt idx="9">
                  <c:v>0.18211939192799997</c:v>
                </c:pt>
                <c:pt idx="10">
                  <c:v>0.21562528822559998</c:v>
                </c:pt>
                <c:pt idx="11">
                  <c:v>0.26312805598319994</c:v>
                </c:pt>
                <c:pt idx="12">
                  <c:v>0.27559419595559997</c:v>
                </c:pt>
                <c:pt idx="13">
                  <c:v>0.29338294713839996</c:v>
                </c:pt>
                <c:pt idx="14">
                  <c:v>0.31479798774239992</c:v>
                </c:pt>
                <c:pt idx="15">
                  <c:v>0.34138237064759991</c:v>
                </c:pt>
                <c:pt idx="16">
                  <c:v>0.38401116406199992</c:v>
                </c:pt>
                <c:pt idx="17">
                  <c:v>0.45353502371519994</c:v>
                </c:pt>
                <c:pt idx="18">
                  <c:v>0.46636884785519994</c:v>
                </c:pt>
                <c:pt idx="19">
                  <c:v>0.48057414660719988</c:v>
                </c:pt>
                <c:pt idx="20">
                  <c:v>0.50512031787239997</c:v>
                </c:pt>
                <c:pt idx="21">
                  <c:v>0.53195446806839985</c:v>
                </c:pt>
                <c:pt idx="22">
                  <c:v>0.57374874624239991</c:v>
                </c:pt>
                <c:pt idx="23">
                  <c:v>0.58543426267199994</c:v>
                </c:pt>
                <c:pt idx="24">
                  <c:v>0.59798193110999986</c:v>
                </c:pt>
                <c:pt idx="25">
                  <c:v>0.60953824564919989</c:v>
                </c:pt>
                <c:pt idx="26">
                  <c:v>0.62793005414039982</c:v>
                </c:pt>
                <c:pt idx="27">
                  <c:v>0.66085868744639986</c:v>
                </c:pt>
                <c:pt idx="28">
                  <c:v>0.70280784667439988</c:v>
                </c:pt>
                <c:pt idx="29">
                  <c:v>0.76647478426919979</c:v>
                </c:pt>
                <c:pt idx="30">
                  <c:v>0.77875598820239988</c:v>
                </c:pt>
                <c:pt idx="31">
                  <c:v>0.79341798454559986</c:v>
                </c:pt>
                <c:pt idx="32">
                  <c:v>0.81253514304359986</c:v>
                </c:pt>
                <c:pt idx="33">
                  <c:v>0.82340606573639985</c:v>
                </c:pt>
                <c:pt idx="34">
                  <c:v>0.84006470341439987</c:v>
                </c:pt>
                <c:pt idx="35">
                  <c:v>0.86433934343399987</c:v>
                </c:pt>
                <c:pt idx="36">
                  <c:v>0.87578580182039989</c:v>
                </c:pt>
                <c:pt idx="37">
                  <c:v>0.89565744408479986</c:v>
                </c:pt>
                <c:pt idx="38">
                  <c:v>0.90846581936759985</c:v>
                </c:pt>
                <c:pt idx="39">
                  <c:v>0.91858582836759983</c:v>
                </c:pt>
                <c:pt idx="40">
                  <c:v>0.93370152831879982</c:v>
                </c:pt>
                <c:pt idx="41">
                  <c:v>0.95559030918759991</c:v>
                </c:pt>
                <c:pt idx="42">
                  <c:v>0.98300771034159995</c:v>
                </c:pt>
                <c:pt idx="43">
                  <c:v>0.99330666708999993</c:v>
                </c:pt>
                <c:pt idx="44">
                  <c:v>1.0075762213275998</c:v>
                </c:pt>
                <c:pt idx="45">
                  <c:v>1.0281208537475999</c:v>
                </c:pt>
                <c:pt idx="46">
                  <c:v>1.0382225415931998</c:v>
                </c:pt>
                <c:pt idx="47">
                  <c:v>1.0541579684225999</c:v>
                </c:pt>
                <c:pt idx="48">
                  <c:v>1.0687637971379997</c:v>
                </c:pt>
                <c:pt idx="49">
                  <c:v>1.0815684581785998</c:v>
                </c:pt>
                <c:pt idx="50">
                  <c:v>1.0986668252266998</c:v>
                </c:pt>
                <c:pt idx="51">
                  <c:v>1.1194431701510998</c:v>
                </c:pt>
              </c:numCache>
            </c:numRef>
          </c:val>
          <c:smooth val="0"/>
          <c:extLst>
            <c:ext xmlns:c16="http://schemas.microsoft.com/office/drawing/2014/chart" uri="{C3380CC4-5D6E-409C-BE32-E72D297353CC}">
              <c16:uniqueId val="{00000000-79FD-4B60-86DE-FC45BB741FBD}"/>
            </c:ext>
          </c:extLst>
        </c:ser>
        <c:ser>
          <c:idx val="7"/>
          <c:order val="3"/>
          <c:tx>
            <c:strRef>
              <c:f>'OZL Summary'!$BQ$6:$BQ$7</c:f>
              <c:strCache>
                <c:ptCount val="2"/>
                <c:pt idx="0">
                  <c:v>5th Percentile</c:v>
                </c:pt>
              </c:strCache>
            </c:strRef>
          </c:tx>
          <c:spPr>
            <a:ln w="28575" cap="rnd">
              <a:solidFill>
                <a:schemeClr val="bg2"/>
              </a:solidFill>
              <a:prstDash val="sysDot"/>
              <a:round/>
            </a:ln>
            <a:effectLst/>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Summary'!$BQ$8:$BQ$60</c:f>
              <c:numCache>
                <c:formatCode>0.000</c:formatCode>
                <c:ptCount val="53"/>
                <c:pt idx="0">
                  <c:v>1.9443728141978436E-2</c:v>
                </c:pt>
                <c:pt idx="1">
                  <c:v>3.8887456283956873E-2</c:v>
                </c:pt>
                <c:pt idx="2">
                  <c:v>5.8331184425935309E-2</c:v>
                </c:pt>
                <c:pt idx="3">
                  <c:v>7.7774912567913745E-2</c:v>
                </c:pt>
                <c:pt idx="4">
                  <c:v>9.7218640709892182E-2</c:v>
                </c:pt>
                <c:pt idx="5">
                  <c:v>0.11666236885187062</c:v>
                </c:pt>
                <c:pt idx="6">
                  <c:v>0.13610609699384907</c:v>
                </c:pt>
                <c:pt idx="7">
                  <c:v>0.15554982513582749</c:v>
                </c:pt>
                <c:pt idx="8">
                  <c:v>0.17499355327780591</c:v>
                </c:pt>
                <c:pt idx="9">
                  <c:v>0.19443728141978434</c:v>
                </c:pt>
                <c:pt idx="10">
                  <c:v>0.21388100956176276</c:v>
                </c:pt>
                <c:pt idx="11">
                  <c:v>0.23332473770374118</c:v>
                </c:pt>
                <c:pt idx="12">
                  <c:v>0.2527684658457196</c:v>
                </c:pt>
                <c:pt idx="13">
                  <c:v>0.27221219398769803</c:v>
                </c:pt>
                <c:pt idx="14">
                  <c:v>0.29165592212967645</c:v>
                </c:pt>
                <c:pt idx="15">
                  <c:v>0.31109965027165487</c:v>
                </c:pt>
                <c:pt idx="16">
                  <c:v>0.33054337841363329</c:v>
                </c:pt>
                <c:pt idx="17">
                  <c:v>0.34998710655561172</c:v>
                </c:pt>
                <c:pt idx="18">
                  <c:v>0.36943083469759014</c:v>
                </c:pt>
                <c:pt idx="19">
                  <c:v>0.38887456283956856</c:v>
                </c:pt>
                <c:pt idx="20">
                  <c:v>0.40831829098154698</c:v>
                </c:pt>
                <c:pt idx="21">
                  <c:v>0.42776201912352541</c:v>
                </c:pt>
                <c:pt idx="22">
                  <c:v>0.44720574726550383</c:v>
                </c:pt>
                <c:pt idx="23">
                  <c:v>0.46664947540748225</c:v>
                </c:pt>
                <c:pt idx="24">
                  <c:v>0.48609320354946067</c:v>
                </c:pt>
                <c:pt idx="25">
                  <c:v>0.5055369316914391</c:v>
                </c:pt>
                <c:pt idx="26">
                  <c:v>0.52498065983341757</c:v>
                </c:pt>
                <c:pt idx="27">
                  <c:v>0.54442438797539605</c:v>
                </c:pt>
                <c:pt idx="28">
                  <c:v>0.56386811611737453</c:v>
                </c:pt>
                <c:pt idx="29">
                  <c:v>0.58331184425935301</c:v>
                </c:pt>
                <c:pt idx="30">
                  <c:v>0.60275557240133149</c:v>
                </c:pt>
                <c:pt idx="31">
                  <c:v>0.62219930054330996</c:v>
                </c:pt>
                <c:pt idx="32">
                  <c:v>0.64164302868528844</c:v>
                </c:pt>
                <c:pt idx="33">
                  <c:v>0.66108675682726692</c:v>
                </c:pt>
                <c:pt idx="34">
                  <c:v>0.6805304849692454</c:v>
                </c:pt>
                <c:pt idx="35">
                  <c:v>0.69997421311122388</c:v>
                </c:pt>
                <c:pt idx="36">
                  <c:v>0.71941794125320235</c:v>
                </c:pt>
                <c:pt idx="37">
                  <c:v>0.73886166939518083</c:v>
                </c:pt>
                <c:pt idx="38">
                  <c:v>0.75830539753715931</c:v>
                </c:pt>
                <c:pt idx="39">
                  <c:v>0.77774912567913779</c:v>
                </c:pt>
                <c:pt idx="40">
                  <c:v>0.79719285382111627</c:v>
                </c:pt>
                <c:pt idx="41">
                  <c:v>0.81663658196309474</c:v>
                </c:pt>
                <c:pt idx="42">
                  <c:v>0.83608031010507322</c:v>
                </c:pt>
                <c:pt idx="43">
                  <c:v>0.8555240382470517</c:v>
                </c:pt>
                <c:pt idx="44">
                  <c:v>0.87496776638903018</c:v>
                </c:pt>
                <c:pt idx="45">
                  <c:v>0.89441149453100866</c:v>
                </c:pt>
                <c:pt idx="46">
                  <c:v>0.91385522267298713</c:v>
                </c:pt>
                <c:pt idx="47">
                  <c:v>0.93329895081496561</c:v>
                </c:pt>
                <c:pt idx="48">
                  <c:v>0.95274267895694409</c:v>
                </c:pt>
                <c:pt idx="49">
                  <c:v>0.97218640709892257</c:v>
                </c:pt>
                <c:pt idx="50">
                  <c:v>0.99163013524090105</c:v>
                </c:pt>
                <c:pt idx="51">
                  <c:v>1.0110738633828795</c:v>
                </c:pt>
              </c:numCache>
            </c:numRef>
          </c:val>
          <c:smooth val="0"/>
          <c:extLst xmlns:c15="http://schemas.microsoft.com/office/drawing/2012/chart">
            <c:ext xmlns:c16="http://schemas.microsoft.com/office/drawing/2014/chart" uri="{C3380CC4-5D6E-409C-BE32-E72D297353CC}">
              <c16:uniqueId val="{00000001-79FD-4B60-86DE-FC45BB741FBD}"/>
            </c:ext>
          </c:extLst>
        </c:ser>
        <c:ser>
          <c:idx val="2"/>
          <c:order val="5"/>
          <c:tx>
            <c:v>25/50/75th percentile</c:v>
          </c:tx>
          <c:spPr>
            <a:ln w="28575">
              <a:solidFill>
                <a:schemeClr val="bg2"/>
              </a:solidFill>
              <a:prstDash val="sysDot"/>
            </a:ln>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Summary'!$BS$8:$BS$60</c:f>
              <c:numCache>
                <c:formatCode>0.000</c:formatCode>
                <c:ptCount val="53"/>
                <c:pt idx="0">
                  <c:v>2.1609953490484776E-2</c:v>
                </c:pt>
                <c:pt idx="1">
                  <c:v>4.3219906980969551E-2</c:v>
                </c:pt>
                <c:pt idx="2">
                  <c:v>6.4829860471454323E-2</c:v>
                </c:pt>
                <c:pt idx="3">
                  <c:v>8.6439813961939102E-2</c:v>
                </c:pt>
                <c:pt idx="4">
                  <c:v>0.10804976745242388</c:v>
                </c:pt>
                <c:pt idx="5">
                  <c:v>0.12965972094290865</c:v>
                </c:pt>
                <c:pt idx="6">
                  <c:v>0.15126967443339343</c:v>
                </c:pt>
                <c:pt idx="7">
                  <c:v>0.1728796279238782</c:v>
                </c:pt>
                <c:pt idx="8">
                  <c:v>0.19448958141436298</c:v>
                </c:pt>
                <c:pt idx="9">
                  <c:v>0.21609953490484776</c:v>
                </c:pt>
                <c:pt idx="10">
                  <c:v>0.23770948839533254</c:v>
                </c:pt>
                <c:pt idx="11">
                  <c:v>0.25931944188581729</c:v>
                </c:pt>
                <c:pt idx="12">
                  <c:v>0.28092939537630207</c:v>
                </c:pt>
                <c:pt idx="13">
                  <c:v>0.30253934886678685</c:v>
                </c:pt>
                <c:pt idx="14">
                  <c:v>0.32414930235727163</c:v>
                </c:pt>
                <c:pt idx="15">
                  <c:v>0.34575925584775641</c:v>
                </c:pt>
                <c:pt idx="16">
                  <c:v>0.36736920933824119</c:v>
                </c:pt>
                <c:pt idx="17">
                  <c:v>0.38897916282872597</c:v>
                </c:pt>
                <c:pt idx="18">
                  <c:v>0.41058911631921075</c:v>
                </c:pt>
                <c:pt idx="19">
                  <c:v>0.43219906980969552</c:v>
                </c:pt>
                <c:pt idx="20">
                  <c:v>0.4538090233001803</c:v>
                </c:pt>
                <c:pt idx="21">
                  <c:v>0.47541897679066508</c:v>
                </c:pt>
                <c:pt idx="22">
                  <c:v>0.49702893028114986</c:v>
                </c:pt>
                <c:pt idx="23">
                  <c:v>0.51863888377163458</c:v>
                </c:pt>
                <c:pt idx="24">
                  <c:v>0.54024883726211936</c:v>
                </c:pt>
                <c:pt idx="25">
                  <c:v>0.56185879075260414</c:v>
                </c:pt>
                <c:pt idx="26">
                  <c:v>0.58346874424308892</c:v>
                </c:pt>
                <c:pt idx="27">
                  <c:v>0.6050786977335737</c:v>
                </c:pt>
                <c:pt idx="28">
                  <c:v>0.62668865122405848</c:v>
                </c:pt>
                <c:pt idx="29">
                  <c:v>0.64829860471454326</c:v>
                </c:pt>
                <c:pt idx="30">
                  <c:v>0.66990855820502804</c:v>
                </c:pt>
                <c:pt idx="31">
                  <c:v>0.69151851169551282</c:v>
                </c:pt>
                <c:pt idx="32">
                  <c:v>0.7131284651859976</c:v>
                </c:pt>
                <c:pt idx="33">
                  <c:v>0.73473841867648237</c:v>
                </c:pt>
                <c:pt idx="34">
                  <c:v>0.75634837216696715</c:v>
                </c:pt>
                <c:pt idx="35">
                  <c:v>0.77795832565745193</c:v>
                </c:pt>
                <c:pt idx="36">
                  <c:v>0.79956827914793671</c:v>
                </c:pt>
                <c:pt idx="37">
                  <c:v>0.82117823263842149</c:v>
                </c:pt>
                <c:pt idx="38">
                  <c:v>0.84278818612890627</c:v>
                </c:pt>
                <c:pt idx="39">
                  <c:v>0.86439813961939105</c:v>
                </c:pt>
                <c:pt idx="40">
                  <c:v>0.88600809310987583</c:v>
                </c:pt>
                <c:pt idx="41">
                  <c:v>0.90761804660036061</c:v>
                </c:pt>
                <c:pt idx="42">
                  <c:v>0.92922800009084539</c:v>
                </c:pt>
                <c:pt idx="43">
                  <c:v>0.95083795358133016</c:v>
                </c:pt>
                <c:pt idx="44">
                  <c:v>0.97244790707181494</c:v>
                </c:pt>
                <c:pt idx="45">
                  <c:v>0.99405786056229972</c:v>
                </c:pt>
                <c:pt idx="46">
                  <c:v>1.0156678140527844</c:v>
                </c:pt>
                <c:pt idx="47">
                  <c:v>1.0372777675432692</c:v>
                </c:pt>
                <c:pt idx="48">
                  <c:v>1.0588877210337539</c:v>
                </c:pt>
                <c:pt idx="49">
                  <c:v>1.0804976745242387</c:v>
                </c:pt>
                <c:pt idx="50">
                  <c:v>1.1021076280147235</c:v>
                </c:pt>
                <c:pt idx="51">
                  <c:v>1.1237175815052083</c:v>
                </c:pt>
              </c:numCache>
            </c:numRef>
          </c:val>
          <c:smooth val="0"/>
          <c:extLst>
            <c:ext xmlns:c16="http://schemas.microsoft.com/office/drawing/2014/chart" uri="{C3380CC4-5D6E-409C-BE32-E72D297353CC}">
              <c16:uniqueId val="{00000002-79FD-4B60-86DE-FC45BB741FBD}"/>
            </c:ext>
          </c:extLst>
        </c:ser>
        <c:ser>
          <c:idx val="4"/>
          <c:order val="6"/>
          <c:tx>
            <c:strRef>
              <c:f>'OZL Summary'!$BT$6:$BT$7</c:f>
              <c:strCache>
                <c:ptCount val="2"/>
                <c:pt idx="0">
                  <c:v>50th Percentile</c:v>
                </c:pt>
              </c:strCache>
            </c:strRef>
          </c:tx>
          <c:spPr>
            <a:ln w="28575">
              <a:solidFill>
                <a:schemeClr val="bg2"/>
              </a:solidFill>
              <a:prstDash val="sysDot"/>
            </a:ln>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Summary'!$BT$8:$BT$60</c:f>
              <c:numCache>
                <c:formatCode>0.000</c:formatCode>
                <c:ptCount val="53"/>
                <c:pt idx="0">
                  <c:v>2.3469807538576672E-2</c:v>
                </c:pt>
                <c:pt idx="1">
                  <c:v>4.6939615077153343E-2</c:v>
                </c:pt>
                <c:pt idx="2">
                  <c:v>7.0409422615730022E-2</c:v>
                </c:pt>
                <c:pt idx="3">
                  <c:v>9.3879230154306686E-2</c:v>
                </c:pt>
                <c:pt idx="4">
                  <c:v>0.11734903769288335</c:v>
                </c:pt>
                <c:pt idx="5">
                  <c:v>0.14081884523146002</c:v>
                </c:pt>
                <c:pt idx="6">
                  <c:v>0.16428865277003668</c:v>
                </c:pt>
                <c:pt idx="7">
                  <c:v>0.18775846030861335</c:v>
                </c:pt>
                <c:pt idx="8">
                  <c:v>0.21122826784719001</c:v>
                </c:pt>
                <c:pt idx="9">
                  <c:v>0.23469807538576667</c:v>
                </c:pt>
                <c:pt idx="10">
                  <c:v>0.25816788292434334</c:v>
                </c:pt>
                <c:pt idx="11">
                  <c:v>0.28163769046292003</c:v>
                </c:pt>
                <c:pt idx="12">
                  <c:v>0.30510749800149672</c:v>
                </c:pt>
                <c:pt idx="13">
                  <c:v>0.32857730554007342</c:v>
                </c:pt>
                <c:pt idx="14">
                  <c:v>0.35204711307865011</c:v>
                </c:pt>
                <c:pt idx="15">
                  <c:v>0.3755169206172268</c:v>
                </c:pt>
                <c:pt idx="16">
                  <c:v>0.39898672815580349</c:v>
                </c:pt>
                <c:pt idx="17">
                  <c:v>0.42245653569438019</c:v>
                </c:pt>
                <c:pt idx="18">
                  <c:v>0.44592634323295688</c:v>
                </c:pt>
                <c:pt idx="19">
                  <c:v>0.46939615077153357</c:v>
                </c:pt>
                <c:pt idx="20">
                  <c:v>0.49286595831011026</c:v>
                </c:pt>
                <c:pt idx="21">
                  <c:v>0.5163357658486869</c:v>
                </c:pt>
                <c:pt idx="22">
                  <c:v>0.53980557338726354</c:v>
                </c:pt>
                <c:pt idx="23">
                  <c:v>0.56327538092584017</c:v>
                </c:pt>
                <c:pt idx="24">
                  <c:v>0.58674518846441681</c:v>
                </c:pt>
                <c:pt idx="25">
                  <c:v>0.61021499600299345</c:v>
                </c:pt>
                <c:pt idx="26">
                  <c:v>0.63368480354157009</c:v>
                </c:pt>
                <c:pt idx="27">
                  <c:v>0.65715461108014672</c:v>
                </c:pt>
                <c:pt idx="28">
                  <c:v>0.68062441861872336</c:v>
                </c:pt>
                <c:pt idx="29">
                  <c:v>0.7040942261573</c:v>
                </c:pt>
                <c:pt idx="30">
                  <c:v>0.72756403369587663</c:v>
                </c:pt>
                <c:pt idx="31">
                  <c:v>0.75103384123445327</c:v>
                </c:pt>
                <c:pt idx="32">
                  <c:v>0.77450364877302991</c:v>
                </c:pt>
                <c:pt idx="33">
                  <c:v>0.79797345631160654</c:v>
                </c:pt>
                <c:pt idx="34">
                  <c:v>0.82144326385018318</c:v>
                </c:pt>
                <c:pt idx="35">
                  <c:v>0.84491307138875982</c:v>
                </c:pt>
                <c:pt idx="36">
                  <c:v>0.86838287892733645</c:v>
                </c:pt>
                <c:pt idx="37">
                  <c:v>0.89185268646591309</c:v>
                </c:pt>
                <c:pt idx="38">
                  <c:v>0.91532249400448973</c:v>
                </c:pt>
                <c:pt idx="39">
                  <c:v>0.93879230154306637</c:v>
                </c:pt>
                <c:pt idx="40">
                  <c:v>0.962262109081643</c:v>
                </c:pt>
                <c:pt idx="41">
                  <c:v>0.98573191662021964</c:v>
                </c:pt>
                <c:pt idx="42">
                  <c:v>1.0092017241587963</c:v>
                </c:pt>
                <c:pt idx="43">
                  <c:v>1.0326715316973729</c:v>
                </c:pt>
                <c:pt idx="44">
                  <c:v>1.0561413392359496</c:v>
                </c:pt>
                <c:pt idx="45">
                  <c:v>1.0796111467745262</c:v>
                </c:pt>
                <c:pt idx="46">
                  <c:v>1.1030809543131028</c:v>
                </c:pt>
                <c:pt idx="47">
                  <c:v>1.1265507618516795</c:v>
                </c:pt>
                <c:pt idx="48">
                  <c:v>1.1500205693902561</c:v>
                </c:pt>
                <c:pt idx="49">
                  <c:v>1.1734903769288327</c:v>
                </c:pt>
                <c:pt idx="50">
                  <c:v>1.1969601844674094</c:v>
                </c:pt>
                <c:pt idx="51">
                  <c:v>1.220429992005986</c:v>
                </c:pt>
              </c:numCache>
            </c:numRef>
          </c:val>
          <c:smooth val="0"/>
          <c:extLst>
            <c:ext xmlns:c16="http://schemas.microsoft.com/office/drawing/2014/chart" uri="{C3380CC4-5D6E-409C-BE32-E72D297353CC}">
              <c16:uniqueId val="{00000003-79FD-4B60-86DE-FC45BB741FBD}"/>
            </c:ext>
          </c:extLst>
        </c:ser>
        <c:ser>
          <c:idx val="6"/>
          <c:order val="7"/>
          <c:tx>
            <c:strRef>
              <c:f>'OZL Summary'!$BU$6:$BU$7</c:f>
              <c:strCache>
                <c:ptCount val="2"/>
                <c:pt idx="0">
                  <c:v>75th Percentile</c:v>
                </c:pt>
              </c:strCache>
            </c:strRef>
          </c:tx>
          <c:spPr>
            <a:ln w="28575">
              <a:solidFill>
                <a:schemeClr val="bg2"/>
              </a:solidFill>
              <a:prstDash val="sysDot"/>
            </a:ln>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Summary'!$BU$8:$BU$60</c:f>
              <c:numCache>
                <c:formatCode>0.000</c:formatCode>
                <c:ptCount val="53"/>
                <c:pt idx="0">
                  <c:v>2.5540580974329746E-2</c:v>
                </c:pt>
                <c:pt idx="1">
                  <c:v>5.1081161948659491E-2</c:v>
                </c:pt>
                <c:pt idx="2">
                  <c:v>7.6621742922989233E-2</c:v>
                </c:pt>
                <c:pt idx="3">
                  <c:v>0.10216232389731898</c:v>
                </c:pt>
                <c:pt idx="4">
                  <c:v>0.12770290487164873</c:v>
                </c:pt>
                <c:pt idx="5">
                  <c:v>0.15324348584597847</c:v>
                </c:pt>
                <c:pt idx="6">
                  <c:v>0.1787840668203082</c:v>
                </c:pt>
                <c:pt idx="7">
                  <c:v>0.20432464779463794</c:v>
                </c:pt>
                <c:pt idx="8">
                  <c:v>0.22986522876896767</c:v>
                </c:pt>
                <c:pt idx="9">
                  <c:v>0.25540580974329741</c:v>
                </c:pt>
                <c:pt idx="10">
                  <c:v>0.28094639071762717</c:v>
                </c:pt>
                <c:pt idx="11">
                  <c:v>0.30648697169195693</c:v>
                </c:pt>
                <c:pt idx="12">
                  <c:v>0.3320275526662867</c:v>
                </c:pt>
                <c:pt idx="13">
                  <c:v>0.35756813364061646</c:v>
                </c:pt>
                <c:pt idx="14">
                  <c:v>0.38310871461494622</c:v>
                </c:pt>
                <c:pt idx="15">
                  <c:v>0.40864929558927598</c:v>
                </c:pt>
                <c:pt idx="16">
                  <c:v>0.43418987656360575</c:v>
                </c:pt>
                <c:pt idx="17">
                  <c:v>0.45973045753793551</c:v>
                </c:pt>
                <c:pt idx="18">
                  <c:v>0.48527103851226527</c:v>
                </c:pt>
                <c:pt idx="19">
                  <c:v>0.51081161948659504</c:v>
                </c:pt>
                <c:pt idx="20">
                  <c:v>0.5363522004609248</c:v>
                </c:pt>
                <c:pt idx="21">
                  <c:v>0.56189278143525456</c:v>
                </c:pt>
                <c:pt idx="22">
                  <c:v>0.58743336240958433</c:v>
                </c:pt>
                <c:pt idx="23">
                  <c:v>0.61297394338391409</c:v>
                </c:pt>
                <c:pt idx="24">
                  <c:v>0.63851452435824385</c:v>
                </c:pt>
                <c:pt idx="25">
                  <c:v>0.66405510533257361</c:v>
                </c:pt>
                <c:pt idx="26">
                  <c:v>0.68959568630690338</c:v>
                </c:pt>
                <c:pt idx="27">
                  <c:v>0.71513626728123314</c:v>
                </c:pt>
                <c:pt idx="28">
                  <c:v>0.7406768482555629</c:v>
                </c:pt>
                <c:pt idx="29">
                  <c:v>0.76621742922989267</c:v>
                </c:pt>
                <c:pt idx="30">
                  <c:v>0.79175801020422243</c:v>
                </c:pt>
                <c:pt idx="31">
                  <c:v>0.81729859117855219</c:v>
                </c:pt>
                <c:pt idx="32">
                  <c:v>0.84283917215288195</c:v>
                </c:pt>
                <c:pt idx="33">
                  <c:v>0.86837975312721172</c:v>
                </c:pt>
                <c:pt idx="34">
                  <c:v>0.89392033410154148</c:v>
                </c:pt>
                <c:pt idx="35">
                  <c:v>0.91946091507587124</c:v>
                </c:pt>
                <c:pt idx="36">
                  <c:v>0.94500149605020101</c:v>
                </c:pt>
                <c:pt idx="37">
                  <c:v>0.97054207702453077</c:v>
                </c:pt>
                <c:pt idx="38">
                  <c:v>0.99608265799886053</c:v>
                </c:pt>
                <c:pt idx="39">
                  <c:v>1.0216232389731903</c:v>
                </c:pt>
                <c:pt idx="40">
                  <c:v>1.0471638199475199</c:v>
                </c:pt>
                <c:pt idx="41">
                  <c:v>1.0727044009218496</c:v>
                </c:pt>
                <c:pt idx="42">
                  <c:v>1.0982449818961793</c:v>
                </c:pt>
                <c:pt idx="43">
                  <c:v>1.1237855628705089</c:v>
                </c:pt>
                <c:pt idx="44">
                  <c:v>1.1493261438448386</c:v>
                </c:pt>
                <c:pt idx="45">
                  <c:v>1.1748667248191682</c:v>
                </c:pt>
                <c:pt idx="46">
                  <c:v>1.2004073057934979</c:v>
                </c:pt>
                <c:pt idx="47">
                  <c:v>1.2259478867678275</c:v>
                </c:pt>
                <c:pt idx="48">
                  <c:v>1.2514884677421572</c:v>
                </c:pt>
                <c:pt idx="49">
                  <c:v>1.2770290487164868</c:v>
                </c:pt>
                <c:pt idx="50">
                  <c:v>1.3025696296908165</c:v>
                </c:pt>
                <c:pt idx="51">
                  <c:v>1.3281102106651461</c:v>
                </c:pt>
              </c:numCache>
            </c:numRef>
          </c:val>
          <c:smooth val="0"/>
          <c:extLst xmlns:c15="http://schemas.microsoft.com/office/drawing/2012/chart">
            <c:ext xmlns:c16="http://schemas.microsoft.com/office/drawing/2014/chart" uri="{C3380CC4-5D6E-409C-BE32-E72D297353CC}">
              <c16:uniqueId val="{00000004-79FD-4B60-86DE-FC45BB741FBD}"/>
            </c:ext>
          </c:extLst>
        </c:ser>
        <c:ser>
          <c:idx val="9"/>
          <c:order val="9"/>
          <c:tx>
            <c:strRef>
              <c:f>'OZL Summary'!$BW$6:$BW$7</c:f>
              <c:strCache>
                <c:ptCount val="2"/>
                <c:pt idx="0">
                  <c:v>95th Percentile</c:v>
                </c:pt>
              </c:strCache>
            </c:strRef>
          </c:tx>
          <c:spPr>
            <a:ln w="28575">
              <a:solidFill>
                <a:schemeClr val="bg2"/>
              </a:solidFill>
              <a:prstDash val="sysDot"/>
            </a:ln>
          </c:spPr>
          <c:marker>
            <c:symbol val="none"/>
          </c:marker>
          <c:cat>
            <c:numRef>
              <c:f>'OZL Summary'!$BM$8:$BM$60</c:f>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f>'OZL Summary'!$BW$8:$BW$60</c:f>
              <c:numCache>
                <c:formatCode>0.000</c:formatCode>
                <c:ptCount val="53"/>
                <c:pt idx="0">
                  <c:v>2.9126260596895739E-2</c:v>
                </c:pt>
                <c:pt idx="1">
                  <c:v>5.8252521193791477E-2</c:v>
                </c:pt>
                <c:pt idx="2">
                  <c:v>8.7378781790687213E-2</c:v>
                </c:pt>
                <c:pt idx="3">
                  <c:v>0.11650504238758295</c:v>
                </c:pt>
                <c:pt idx="4">
                  <c:v>0.14563130298447868</c:v>
                </c:pt>
                <c:pt idx="5">
                  <c:v>0.17475756358137443</c:v>
                </c:pt>
                <c:pt idx="6">
                  <c:v>0.20388382417827017</c:v>
                </c:pt>
                <c:pt idx="7">
                  <c:v>0.23301008477516591</c:v>
                </c:pt>
                <c:pt idx="8">
                  <c:v>0.26213634537206165</c:v>
                </c:pt>
                <c:pt idx="9">
                  <c:v>0.29126260596895737</c:v>
                </c:pt>
                <c:pt idx="10">
                  <c:v>0.32038886656585308</c:v>
                </c:pt>
                <c:pt idx="11">
                  <c:v>0.3495151271627488</c:v>
                </c:pt>
                <c:pt idx="12">
                  <c:v>0.37864138775964451</c:v>
                </c:pt>
                <c:pt idx="13">
                  <c:v>0.40776764835654022</c:v>
                </c:pt>
                <c:pt idx="14">
                  <c:v>0.43689390895343594</c:v>
                </c:pt>
                <c:pt idx="15">
                  <c:v>0.46602016955033165</c:v>
                </c:pt>
                <c:pt idx="16">
                  <c:v>0.49514643014722737</c:v>
                </c:pt>
                <c:pt idx="17">
                  <c:v>0.52427269074412308</c:v>
                </c:pt>
                <c:pt idx="18">
                  <c:v>0.5533989513410188</c:v>
                </c:pt>
                <c:pt idx="19">
                  <c:v>0.58252521193791451</c:v>
                </c:pt>
                <c:pt idx="20">
                  <c:v>0.61165147253481023</c:v>
                </c:pt>
                <c:pt idx="21">
                  <c:v>0.64077773313170594</c:v>
                </c:pt>
                <c:pt idx="22">
                  <c:v>0.66990399372860165</c:v>
                </c:pt>
                <c:pt idx="23">
                  <c:v>0.69903025432549737</c:v>
                </c:pt>
                <c:pt idx="24">
                  <c:v>0.72815651492239308</c:v>
                </c:pt>
                <c:pt idx="25">
                  <c:v>0.7572827755192888</c:v>
                </c:pt>
                <c:pt idx="26">
                  <c:v>0.78640903611618451</c:v>
                </c:pt>
                <c:pt idx="27">
                  <c:v>0.81553529671308023</c:v>
                </c:pt>
                <c:pt idx="28">
                  <c:v>0.84466155730997594</c:v>
                </c:pt>
                <c:pt idx="29">
                  <c:v>0.87378781790687166</c:v>
                </c:pt>
                <c:pt idx="30">
                  <c:v>0.90291407850376737</c:v>
                </c:pt>
                <c:pt idx="31">
                  <c:v>0.93204033910066308</c:v>
                </c:pt>
                <c:pt idx="32">
                  <c:v>0.9611665996975588</c:v>
                </c:pt>
                <c:pt idx="33">
                  <c:v>0.99029286029445451</c:v>
                </c:pt>
                <c:pt idx="34">
                  <c:v>1.0194191208913503</c:v>
                </c:pt>
                <c:pt idx="35">
                  <c:v>1.0485453814882462</c:v>
                </c:pt>
                <c:pt idx="36">
                  <c:v>1.077671642085142</c:v>
                </c:pt>
                <c:pt idx="37">
                  <c:v>1.1067979026820378</c:v>
                </c:pt>
                <c:pt idx="38">
                  <c:v>1.1359241632789336</c:v>
                </c:pt>
                <c:pt idx="39">
                  <c:v>1.1650504238758295</c:v>
                </c:pt>
                <c:pt idx="40">
                  <c:v>1.1941766844727253</c:v>
                </c:pt>
                <c:pt idx="41">
                  <c:v>1.2233029450696211</c:v>
                </c:pt>
                <c:pt idx="42">
                  <c:v>1.2524292056665169</c:v>
                </c:pt>
                <c:pt idx="43">
                  <c:v>1.2815554662634128</c:v>
                </c:pt>
                <c:pt idx="44">
                  <c:v>1.3106817268603086</c:v>
                </c:pt>
                <c:pt idx="45">
                  <c:v>1.3398079874572044</c:v>
                </c:pt>
                <c:pt idx="46">
                  <c:v>1.3689342480541002</c:v>
                </c:pt>
                <c:pt idx="47">
                  <c:v>1.3980605086509961</c:v>
                </c:pt>
                <c:pt idx="48">
                  <c:v>1.4271867692478919</c:v>
                </c:pt>
                <c:pt idx="49">
                  <c:v>1.4563130298447877</c:v>
                </c:pt>
                <c:pt idx="50">
                  <c:v>1.4854392904416835</c:v>
                </c:pt>
                <c:pt idx="51">
                  <c:v>1.5145655510385794</c:v>
                </c:pt>
              </c:numCache>
            </c:numRef>
          </c:val>
          <c:smooth val="0"/>
          <c:extLst xmlns:c15="http://schemas.microsoft.com/office/drawing/2012/chart">
            <c:ext xmlns:c16="http://schemas.microsoft.com/office/drawing/2014/chart" uri="{C3380CC4-5D6E-409C-BE32-E72D297353CC}">
              <c16:uniqueId val="{00000005-79FD-4B60-86DE-FC45BB741FBD}"/>
            </c:ext>
          </c:extLst>
        </c:ser>
        <c:dLbls>
          <c:showLegendKey val="0"/>
          <c:showVal val="0"/>
          <c:showCatName val="0"/>
          <c:showSerName val="0"/>
          <c:showPercent val="0"/>
          <c:showBubbleSize val="0"/>
        </c:dLbls>
        <c:smooth val="0"/>
        <c:axId val="1388952432"/>
        <c:axId val="1388953088"/>
        <c:extLst>
          <c:ext xmlns:c15="http://schemas.microsoft.com/office/drawing/2012/chart" uri="{02D57815-91ED-43cb-92C2-25804820EDAC}">
            <c15:filteredLineSeries>
              <c15:ser>
                <c:idx val="3"/>
                <c:order val="1"/>
                <c:tx>
                  <c:strRef>
                    <c:extLst>
                      <c:ext uri="{02D57815-91ED-43cb-92C2-25804820EDAC}">
                        <c15:formulaRef>
                          <c15:sqref>'OZL Summary'!$BO$6:$BO$7</c15:sqref>
                        </c15:formulaRef>
                      </c:ext>
                    </c:extLst>
                    <c:strCache>
                      <c:ptCount val="2"/>
                      <c:pt idx="0">
                        <c:v>Min</c:v>
                      </c:pt>
                    </c:strCache>
                  </c:strRef>
                </c:tx>
                <c:marker>
                  <c:symbol val="none"/>
                </c:marker>
                <c:cat>
                  <c:numRef>
                    <c:extLst>
                      <c:ex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c:ext uri="{02D57815-91ED-43cb-92C2-25804820EDAC}">
                        <c15:formulaRef>
                          <c15:sqref>'OZL Summary'!$BO$8:$BO$60</c15:sqref>
                        </c15:formulaRef>
                      </c:ext>
                    </c:extLst>
                    <c:numCache>
                      <c:formatCode>0.000</c:formatCode>
                      <c:ptCount val="53"/>
                      <c:pt idx="0">
                        <c:v>1.6032204874777817E-2</c:v>
                      </c:pt>
                      <c:pt idx="1">
                        <c:v>3.2064409749555635E-2</c:v>
                      </c:pt>
                      <c:pt idx="2">
                        <c:v>4.8096614624333456E-2</c:v>
                      </c:pt>
                      <c:pt idx="3">
                        <c:v>6.412881949911127E-2</c:v>
                      </c:pt>
                      <c:pt idx="4">
                        <c:v>8.0161024373889084E-2</c:v>
                      </c:pt>
                      <c:pt idx="5">
                        <c:v>9.6193229248666898E-2</c:v>
                      </c:pt>
                      <c:pt idx="6">
                        <c:v>0.11222543412344471</c:v>
                      </c:pt>
                      <c:pt idx="7">
                        <c:v>0.12825763899822254</c:v>
                      </c:pt>
                      <c:pt idx="8">
                        <c:v>0.14428984387300037</c:v>
                      </c:pt>
                      <c:pt idx="9">
                        <c:v>0.1603220487477782</c:v>
                      </c:pt>
                      <c:pt idx="10">
                        <c:v>0.17635425362255602</c:v>
                      </c:pt>
                      <c:pt idx="11">
                        <c:v>0.19238645849733385</c:v>
                      </c:pt>
                      <c:pt idx="12">
                        <c:v>0.20841866337211168</c:v>
                      </c:pt>
                      <c:pt idx="13">
                        <c:v>0.22445086824688951</c:v>
                      </c:pt>
                      <c:pt idx="14">
                        <c:v>0.24048307312166733</c:v>
                      </c:pt>
                      <c:pt idx="15">
                        <c:v>0.25651527799644513</c:v>
                      </c:pt>
                      <c:pt idx="16">
                        <c:v>0.27254748287122293</c:v>
                      </c:pt>
                      <c:pt idx="17">
                        <c:v>0.28857968774600073</c:v>
                      </c:pt>
                      <c:pt idx="18">
                        <c:v>0.30461189262077853</c:v>
                      </c:pt>
                      <c:pt idx="19">
                        <c:v>0.32064409749555633</c:v>
                      </c:pt>
                      <c:pt idx="20">
                        <c:v>0.33667630237033414</c:v>
                      </c:pt>
                      <c:pt idx="21">
                        <c:v>0.35270850724511194</c:v>
                      </c:pt>
                      <c:pt idx="22">
                        <c:v>0.36874071211988974</c:v>
                      </c:pt>
                      <c:pt idx="23">
                        <c:v>0.38477291699466754</c:v>
                      </c:pt>
                      <c:pt idx="24">
                        <c:v>0.40080512186944534</c:v>
                      </c:pt>
                      <c:pt idx="25">
                        <c:v>0.41683732674422314</c:v>
                      </c:pt>
                      <c:pt idx="26">
                        <c:v>0.43286953161900094</c:v>
                      </c:pt>
                      <c:pt idx="27">
                        <c:v>0.44890173649377874</c:v>
                      </c:pt>
                      <c:pt idx="28">
                        <c:v>0.46493394136855654</c:v>
                      </c:pt>
                      <c:pt idx="29">
                        <c:v>0.48096614624333434</c:v>
                      </c:pt>
                      <c:pt idx="30">
                        <c:v>0.49699835111811214</c:v>
                      </c:pt>
                      <c:pt idx="31">
                        <c:v>0.51303055599288994</c:v>
                      </c:pt>
                      <c:pt idx="32">
                        <c:v>0.52906276086766779</c:v>
                      </c:pt>
                      <c:pt idx="33">
                        <c:v>0.54509496574244565</c:v>
                      </c:pt>
                      <c:pt idx="34">
                        <c:v>0.5611271706172235</c:v>
                      </c:pt>
                      <c:pt idx="35">
                        <c:v>0.57715937549200136</c:v>
                      </c:pt>
                      <c:pt idx="36">
                        <c:v>0.59319158036677921</c:v>
                      </c:pt>
                      <c:pt idx="37">
                        <c:v>0.60922378524155707</c:v>
                      </c:pt>
                      <c:pt idx="38">
                        <c:v>0.62525599011633493</c:v>
                      </c:pt>
                      <c:pt idx="39">
                        <c:v>0.64128819499111278</c:v>
                      </c:pt>
                      <c:pt idx="40">
                        <c:v>0.65732039986589064</c:v>
                      </c:pt>
                      <c:pt idx="41">
                        <c:v>0.67335260474066849</c:v>
                      </c:pt>
                      <c:pt idx="42">
                        <c:v>0.68938480961544635</c:v>
                      </c:pt>
                      <c:pt idx="43">
                        <c:v>0.7054170144902242</c:v>
                      </c:pt>
                      <c:pt idx="44">
                        <c:v>0.72144921936500206</c:v>
                      </c:pt>
                      <c:pt idx="45">
                        <c:v>0.73748142423977991</c:v>
                      </c:pt>
                      <c:pt idx="46">
                        <c:v>0.75351362911455777</c:v>
                      </c:pt>
                      <c:pt idx="47">
                        <c:v>0.76954583398933563</c:v>
                      </c:pt>
                      <c:pt idx="48">
                        <c:v>0.78557803886411348</c:v>
                      </c:pt>
                      <c:pt idx="49">
                        <c:v>0.80161024373889134</c:v>
                      </c:pt>
                      <c:pt idx="50">
                        <c:v>0.81764244861366919</c:v>
                      </c:pt>
                      <c:pt idx="51">
                        <c:v>0.83367465348844705</c:v>
                      </c:pt>
                    </c:numCache>
                  </c:numRef>
                </c:val>
                <c:smooth val="0"/>
                <c:extLst>
                  <c:ext xmlns:c16="http://schemas.microsoft.com/office/drawing/2014/chart" uri="{C3380CC4-5D6E-409C-BE32-E72D297353CC}">
                    <c16:uniqueId val="{00000006-79FD-4B60-86DE-FC45BB741FBD}"/>
                  </c:ext>
                </c:extLst>
              </c15:ser>
            </c15:filteredLineSeries>
            <c15:filteredLineSeries>
              <c15:ser>
                <c:idx val="5"/>
                <c:order val="2"/>
                <c:tx>
                  <c:strRef>
                    <c:extLst xmlns:c15="http://schemas.microsoft.com/office/drawing/2012/chart">
                      <c:ext xmlns:c15="http://schemas.microsoft.com/office/drawing/2012/chart" uri="{02D57815-91ED-43cb-92C2-25804820EDAC}">
                        <c15:formulaRef>
                          <c15:sqref>'OZL Summary'!$BP$6:$BP$7</c15:sqref>
                        </c15:formulaRef>
                      </c:ext>
                    </c:extLst>
                    <c:strCache>
                      <c:ptCount val="2"/>
                      <c:pt idx="0">
                        <c:v>1st Percentile</c:v>
                      </c:pt>
                    </c:strCache>
                  </c:strRef>
                </c:tx>
                <c:spPr>
                  <a:ln w="28575" cap="rnd">
                    <a:solidFill>
                      <a:schemeClr val="accent6"/>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Summary'!$BP$8:$BP$60</c15:sqref>
                        </c15:formulaRef>
                      </c:ext>
                    </c:extLst>
                    <c:numCache>
                      <c:formatCode>0.000</c:formatCode>
                      <c:ptCount val="53"/>
                      <c:pt idx="0">
                        <c:v>1.8223138082807688E-2</c:v>
                      </c:pt>
                      <c:pt idx="1">
                        <c:v>3.6446276165615375E-2</c:v>
                      </c:pt>
                      <c:pt idx="2">
                        <c:v>5.4669414248423059E-2</c:v>
                      </c:pt>
                      <c:pt idx="3">
                        <c:v>7.2892552331230751E-2</c:v>
                      </c:pt>
                      <c:pt idx="4">
                        <c:v>9.1115690414038442E-2</c:v>
                      </c:pt>
                      <c:pt idx="5">
                        <c:v>0.10933882849684613</c:v>
                      </c:pt>
                      <c:pt idx="6">
                        <c:v>0.12756196657965382</c:v>
                      </c:pt>
                      <c:pt idx="7">
                        <c:v>0.1457851046624615</c:v>
                      </c:pt>
                      <c:pt idx="8">
                        <c:v>0.16400824274526918</c:v>
                      </c:pt>
                      <c:pt idx="9">
                        <c:v>0.18223138082807686</c:v>
                      </c:pt>
                      <c:pt idx="10">
                        <c:v>0.20045451891088453</c:v>
                      </c:pt>
                      <c:pt idx="11">
                        <c:v>0.21867765699369221</c:v>
                      </c:pt>
                      <c:pt idx="12">
                        <c:v>0.23690079507649989</c:v>
                      </c:pt>
                      <c:pt idx="13">
                        <c:v>0.25512393315930759</c:v>
                      </c:pt>
                      <c:pt idx="14">
                        <c:v>0.27334707124211527</c:v>
                      </c:pt>
                      <c:pt idx="15">
                        <c:v>0.29157020932492295</c:v>
                      </c:pt>
                      <c:pt idx="16">
                        <c:v>0.30979334740773062</c:v>
                      </c:pt>
                      <c:pt idx="17">
                        <c:v>0.3280164854905383</c:v>
                      </c:pt>
                      <c:pt idx="18">
                        <c:v>0.34623962357334598</c:v>
                      </c:pt>
                      <c:pt idx="19">
                        <c:v>0.36446276165615366</c:v>
                      </c:pt>
                      <c:pt idx="20">
                        <c:v>0.38268589973896133</c:v>
                      </c:pt>
                      <c:pt idx="21">
                        <c:v>0.40090903782176901</c:v>
                      </c:pt>
                      <c:pt idx="22">
                        <c:v>0.41913217590457669</c:v>
                      </c:pt>
                      <c:pt idx="23">
                        <c:v>0.43735531398738436</c:v>
                      </c:pt>
                      <c:pt idx="24">
                        <c:v>0.45557845207019204</c:v>
                      </c:pt>
                      <c:pt idx="25">
                        <c:v>0.47380159015299972</c:v>
                      </c:pt>
                      <c:pt idx="26">
                        <c:v>0.4920247282358074</c:v>
                      </c:pt>
                      <c:pt idx="27">
                        <c:v>0.51024786631861507</c:v>
                      </c:pt>
                      <c:pt idx="28">
                        <c:v>0.52847100440142281</c:v>
                      </c:pt>
                      <c:pt idx="29">
                        <c:v>0.54669414248423054</c:v>
                      </c:pt>
                      <c:pt idx="30">
                        <c:v>0.56491728056703827</c:v>
                      </c:pt>
                      <c:pt idx="31">
                        <c:v>0.583140418649846</c:v>
                      </c:pt>
                      <c:pt idx="32">
                        <c:v>0.60136355673265374</c:v>
                      </c:pt>
                      <c:pt idx="33">
                        <c:v>0.61958669481546147</c:v>
                      </c:pt>
                      <c:pt idx="34">
                        <c:v>0.6378098328982692</c:v>
                      </c:pt>
                      <c:pt idx="35">
                        <c:v>0.65603297098107693</c:v>
                      </c:pt>
                      <c:pt idx="36">
                        <c:v>0.67425610906388467</c:v>
                      </c:pt>
                      <c:pt idx="37">
                        <c:v>0.6924792471466924</c:v>
                      </c:pt>
                      <c:pt idx="38">
                        <c:v>0.71070238522950013</c:v>
                      </c:pt>
                      <c:pt idx="39">
                        <c:v>0.72892552331230787</c:v>
                      </c:pt>
                      <c:pt idx="40">
                        <c:v>0.7471486613951156</c:v>
                      </c:pt>
                      <c:pt idx="41">
                        <c:v>0.76537179947792333</c:v>
                      </c:pt>
                      <c:pt idx="42">
                        <c:v>0.78359493756073106</c:v>
                      </c:pt>
                      <c:pt idx="43">
                        <c:v>0.8018180756435388</c:v>
                      </c:pt>
                      <c:pt idx="44">
                        <c:v>0.82004121372634653</c:v>
                      </c:pt>
                      <c:pt idx="45">
                        <c:v>0.83826435180915426</c:v>
                      </c:pt>
                      <c:pt idx="46">
                        <c:v>0.85648748989196199</c:v>
                      </c:pt>
                      <c:pt idx="47">
                        <c:v>0.87471062797476973</c:v>
                      </c:pt>
                      <c:pt idx="48">
                        <c:v>0.89293376605757746</c:v>
                      </c:pt>
                      <c:pt idx="49">
                        <c:v>0.91115690414038519</c:v>
                      </c:pt>
                      <c:pt idx="50">
                        <c:v>0.92938004222319293</c:v>
                      </c:pt>
                      <c:pt idx="51">
                        <c:v>0.94760318030600066</c:v>
                      </c:pt>
                    </c:numCache>
                  </c:numRef>
                </c:val>
                <c:smooth val="0"/>
                <c:extLst xmlns:c15="http://schemas.microsoft.com/office/drawing/2012/chart">
                  <c:ext xmlns:c16="http://schemas.microsoft.com/office/drawing/2014/chart" uri="{C3380CC4-5D6E-409C-BE32-E72D297353CC}">
                    <c16:uniqueId val="{00000007-79FD-4B60-86DE-FC45BB741FBD}"/>
                  </c:ext>
                </c:extLst>
              </c15:ser>
            </c15:filteredLineSeries>
            <c15:filteredLineSeries>
              <c15:ser>
                <c:idx val="1"/>
                <c:order val="4"/>
                <c:tx>
                  <c:strRef>
                    <c:extLst xmlns:c15="http://schemas.microsoft.com/office/drawing/2012/chart">
                      <c:ext xmlns:c15="http://schemas.microsoft.com/office/drawing/2012/chart" uri="{02D57815-91ED-43cb-92C2-25804820EDAC}">
                        <c15:formulaRef>
                          <c15:sqref>'OZL Summary'!$BR$6:$BR$7</c15:sqref>
                        </c15:formulaRef>
                      </c:ext>
                    </c:extLst>
                    <c:strCache>
                      <c:ptCount val="2"/>
                      <c:pt idx="0">
                        <c:v>10th Percentile</c:v>
                      </c:pt>
                    </c:strCache>
                  </c:strRef>
                </c:tx>
                <c:spPr>
                  <a:ln w="28575" cap="rnd" cmpd="sng">
                    <a:solidFill>
                      <a:schemeClr val="accent2"/>
                    </a:solidFill>
                    <a:prstDash val="sysDot"/>
                    <a:round/>
                    <a:headEnd type="none"/>
                  </a:ln>
                  <a:effectLst/>
                </c:spPr>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Summary'!$BR$8:$BR$60</c15:sqref>
                        </c15:formulaRef>
                      </c:ext>
                    </c:extLst>
                    <c:numCache>
                      <c:formatCode>0.000</c:formatCode>
                      <c:ptCount val="53"/>
                      <c:pt idx="0">
                        <c:v>2.0199848897457344E-2</c:v>
                      </c:pt>
                      <c:pt idx="1">
                        <c:v>4.0399697794914688E-2</c:v>
                      </c:pt>
                      <c:pt idx="2">
                        <c:v>6.0599546692372032E-2</c:v>
                      </c:pt>
                      <c:pt idx="3">
                        <c:v>8.0799395589829376E-2</c:v>
                      </c:pt>
                      <c:pt idx="4">
                        <c:v>0.10099924448728673</c:v>
                      </c:pt>
                      <c:pt idx="5">
                        <c:v>0.12119909338474408</c:v>
                      </c:pt>
                      <c:pt idx="6">
                        <c:v>0.14139894228220143</c:v>
                      </c:pt>
                      <c:pt idx="7">
                        <c:v>0.16159879117965878</c:v>
                      </c:pt>
                      <c:pt idx="8">
                        <c:v>0.18179864007711613</c:v>
                      </c:pt>
                      <c:pt idx="9">
                        <c:v>0.20199848897457348</c:v>
                      </c:pt>
                      <c:pt idx="10">
                        <c:v>0.22219833787203083</c:v>
                      </c:pt>
                      <c:pt idx="11">
                        <c:v>0.24239818676948818</c:v>
                      </c:pt>
                      <c:pt idx="12">
                        <c:v>0.26259803566694551</c:v>
                      </c:pt>
                      <c:pt idx="13">
                        <c:v>0.28279788456440286</c:v>
                      </c:pt>
                      <c:pt idx="14">
                        <c:v>0.30299773346186021</c:v>
                      </c:pt>
                      <c:pt idx="15">
                        <c:v>0.32319758235931756</c:v>
                      </c:pt>
                      <c:pt idx="16">
                        <c:v>0.34339743125677491</c:v>
                      </c:pt>
                      <c:pt idx="17">
                        <c:v>0.36359728015423226</c:v>
                      </c:pt>
                      <c:pt idx="18">
                        <c:v>0.38379712905168961</c:v>
                      </c:pt>
                      <c:pt idx="19">
                        <c:v>0.40399697794914696</c:v>
                      </c:pt>
                      <c:pt idx="20">
                        <c:v>0.42419682684660431</c:v>
                      </c:pt>
                      <c:pt idx="21">
                        <c:v>0.44439667574406166</c:v>
                      </c:pt>
                      <c:pt idx="22">
                        <c:v>0.46459652464151902</c:v>
                      </c:pt>
                      <c:pt idx="23">
                        <c:v>0.48479637353897637</c:v>
                      </c:pt>
                      <c:pt idx="24">
                        <c:v>0.50499622243643372</c:v>
                      </c:pt>
                      <c:pt idx="25">
                        <c:v>0.52519607133389101</c:v>
                      </c:pt>
                      <c:pt idx="26">
                        <c:v>0.54539592023134831</c:v>
                      </c:pt>
                      <c:pt idx="27">
                        <c:v>0.5655957691288056</c:v>
                      </c:pt>
                      <c:pt idx="28">
                        <c:v>0.5857956180262629</c:v>
                      </c:pt>
                      <c:pt idx="29">
                        <c:v>0.60599546692372019</c:v>
                      </c:pt>
                      <c:pt idx="30">
                        <c:v>0.62619531582117749</c:v>
                      </c:pt>
                      <c:pt idx="31">
                        <c:v>0.64639516471863478</c:v>
                      </c:pt>
                      <c:pt idx="32">
                        <c:v>0.66659501361609208</c:v>
                      </c:pt>
                      <c:pt idx="33">
                        <c:v>0.68679486251354938</c:v>
                      </c:pt>
                      <c:pt idx="34">
                        <c:v>0.70699471141100667</c:v>
                      </c:pt>
                      <c:pt idx="35">
                        <c:v>0.72719456030846397</c:v>
                      </c:pt>
                      <c:pt idx="36">
                        <c:v>0.74739440920592126</c:v>
                      </c:pt>
                      <c:pt idx="37">
                        <c:v>0.76759425810337856</c:v>
                      </c:pt>
                      <c:pt idx="38">
                        <c:v>0.78779410700083585</c:v>
                      </c:pt>
                      <c:pt idx="39">
                        <c:v>0.80799395589829315</c:v>
                      </c:pt>
                      <c:pt idx="40">
                        <c:v>0.82819380479575044</c:v>
                      </c:pt>
                      <c:pt idx="41">
                        <c:v>0.84839365369320774</c:v>
                      </c:pt>
                      <c:pt idx="42">
                        <c:v>0.86859350259066503</c:v>
                      </c:pt>
                      <c:pt idx="43">
                        <c:v>0.88879335148812233</c:v>
                      </c:pt>
                      <c:pt idx="44">
                        <c:v>0.90899320038557962</c:v>
                      </c:pt>
                      <c:pt idx="45">
                        <c:v>0.92919304928303692</c:v>
                      </c:pt>
                      <c:pt idx="46">
                        <c:v>0.94939289818049422</c:v>
                      </c:pt>
                      <c:pt idx="47">
                        <c:v>0.96959274707795151</c:v>
                      </c:pt>
                      <c:pt idx="48">
                        <c:v>0.98979259597540881</c:v>
                      </c:pt>
                      <c:pt idx="49">
                        <c:v>1.0099924448728661</c:v>
                      </c:pt>
                      <c:pt idx="50">
                        <c:v>1.0301922937703234</c:v>
                      </c:pt>
                      <c:pt idx="51">
                        <c:v>1.0503921426677807</c:v>
                      </c:pt>
                    </c:numCache>
                  </c:numRef>
                </c:val>
                <c:smooth val="0"/>
                <c:extLst xmlns:c15="http://schemas.microsoft.com/office/drawing/2012/chart">
                  <c:ext xmlns:c16="http://schemas.microsoft.com/office/drawing/2014/chart" uri="{C3380CC4-5D6E-409C-BE32-E72D297353CC}">
                    <c16:uniqueId val="{00000008-79FD-4B60-86DE-FC45BB741FBD}"/>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'OZL Summary'!$BV$6:$BV$7</c15:sqref>
                        </c15:formulaRef>
                      </c:ext>
                    </c:extLst>
                    <c:strCache>
                      <c:ptCount val="2"/>
                      <c:pt idx="0">
                        <c:v>90th Percentile</c:v>
                      </c:pt>
                    </c:strCache>
                  </c:strRef>
                </c:tx>
                <c:spPr>
                  <a:ln w="28575">
                    <a:solidFill>
                      <a:schemeClr val="accent1"/>
                    </a:solidFill>
                    <a:prstDash val="sysDot"/>
                  </a:ln>
                </c:spPr>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Summary'!$BV$8:$BV$60</c15:sqref>
                        </c15:formulaRef>
                      </c:ext>
                    </c:extLst>
                    <c:numCache>
                      <c:formatCode>0.000</c:formatCode>
                      <c:ptCount val="53"/>
                      <c:pt idx="0">
                        <c:v>2.7720420236719803E-2</c:v>
                      </c:pt>
                      <c:pt idx="1">
                        <c:v>5.5440840473439605E-2</c:v>
                      </c:pt>
                      <c:pt idx="2">
                        <c:v>8.3161260710159404E-2</c:v>
                      </c:pt>
                      <c:pt idx="3">
                        <c:v>0.11088168094687921</c:v>
                      </c:pt>
                      <c:pt idx="4">
                        <c:v>0.138602101183599</c:v>
                      </c:pt>
                      <c:pt idx="5">
                        <c:v>0.16632252142031881</c:v>
                      </c:pt>
                      <c:pt idx="6">
                        <c:v>0.19404294165703861</c:v>
                      </c:pt>
                      <c:pt idx="7">
                        <c:v>0.22176336189375842</c:v>
                      </c:pt>
                      <c:pt idx="8">
                        <c:v>0.24948378213047823</c:v>
                      </c:pt>
                      <c:pt idx="9">
                        <c:v>0.277204202367198</c:v>
                      </c:pt>
                      <c:pt idx="10">
                        <c:v>0.30492462260391778</c:v>
                      </c:pt>
                      <c:pt idx="11">
                        <c:v>0.33264504284063756</c:v>
                      </c:pt>
                      <c:pt idx="12">
                        <c:v>0.36036546307735734</c:v>
                      </c:pt>
                      <c:pt idx="13">
                        <c:v>0.38808588331407712</c:v>
                      </c:pt>
                      <c:pt idx="14">
                        <c:v>0.4158063035507969</c:v>
                      </c:pt>
                      <c:pt idx="15">
                        <c:v>0.44352672378751667</c:v>
                      </c:pt>
                      <c:pt idx="16">
                        <c:v>0.47124714402423645</c:v>
                      </c:pt>
                      <c:pt idx="17">
                        <c:v>0.49896756426095623</c:v>
                      </c:pt>
                      <c:pt idx="18">
                        <c:v>0.52668798449767606</c:v>
                      </c:pt>
                      <c:pt idx="19">
                        <c:v>0.5544084047343959</c:v>
                      </c:pt>
                      <c:pt idx="20">
                        <c:v>0.58212882497111573</c:v>
                      </c:pt>
                      <c:pt idx="21">
                        <c:v>0.60984924520783557</c:v>
                      </c:pt>
                      <c:pt idx="22">
                        <c:v>0.6375696654445554</c:v>
                      </c:pt>
                      <c:pt idx="23">
                        <c:v>0.66529008568127523</c:v>
                      </c:pt>
                      <c:pt idx="24">
                        <c:v>0.69301050591799507</c:v>
                      </c:pt>
                      <c:pt idx="25">
                        <c:v>0.7207309261547149</c:v>
                      </c:pt>
                      <c:pt idx="26">
                        <c:v>0.74845134639143474</c:v>
                      </c:pt>
                      <c:pt idx="27">
                        <c:v>0.77617176662815457</c:v>
                      </c:pt>
                      <c:pt idx="28">
                        <c:v>0.8038921868648744</c:v>
                      </c:pt>
                      <c:pt idx="29">
                        <c:v>0.83161260710159424</c:v>
                      </c:pt>
                      <c:pt idx="30">
                        <c:v>0.85933302733831407</c:v>
                      </c:pt>
                      <c:pt idx="31">
                        <c:v>0.8870534475750339</c:v>
                      </c:pt>
                      <c:pt idx="32">
                        <c:v>0.91477386781175374</c:v>
                      </c:pt>
                      <c:pt idx="33">
                        <c:v>0.94249428804847357</c:v>
                      </c:pt>
                      <c:pt idx="34">
                        <c:v>0.97021470828519341</c:v>
                      </c:pt>
                      <c:pt idx="35">
                        <c:v>0.99793512852191324</c:v>
                      </c:pt>
                      <c:pt idx="36">
                        <c:v>1.025655548758633</c:v>
                      </c:pt>
                      <c:pt idx="37">
                        <c:v>1.0533759689953528</c:v>
                      </c:pt>
                      <c:pt idx="38">
                        <c:v>1.0810963892320726</c:v>
                      </c:pt>
                      <c:pt idx="39">
                        <c:v>1.1088168094687925</c:v>
                      </c:pt>
                      <c:pt idx="40">
                        <c:v>1.1365372297055123</c:v>
                      </c:pt>
                      <c:pt idx="41">
                        <c:v>1.1642576499422321</c:v>
                      </c:pt>
                      <c:pt idx="42">
                        <c:v>1.191978070178952</c:v>
                      </c:pt>
                      <c:pt idx="43">
                        <c:v>1.2196984904156718</c:v>
                      </c:pt>
                      <c:pt idx="44">
                        <c:v>1.2474189106523916</c:v>
                      </c:pt>
                      <c:pt idx="45">
                        <c:v>1.2751393308891115</c:v>
                      </c:pt>
                      <c:pt idx="46">
                        <c:v>1.3028597511258313</c:v>
                      </c:pt>
                      <c:pt idx="47">
                        <c:v>1.3305801713625511</c:v>
                      </c:pt>
                      <c:pt idx="48">
                        <c:v>1.358300591599271</c:v>
                      </c:pt>
                      <c:pt idx="49">
                        <c:v>1.3860210118359908</c:v>
                      </c:pt>
                      <c:pt idx="50">
                        <c:v>1.4137414320727106</c:v>
                      </c:pt>
                      <c:pt idx="51">
                        <c:v>1.4414618523094305</c:v>
                      </c:pt>
                    </c:numCache>
                  </c:numRef>
                </c:val>
                <c:smooth val="0"/>
                <c:extLst xmlns:c15="http://schemas.microsoft.com/office/drawing/2012/chart">
                  <c:ext xmlns:c16="http://schemas.microsoft.com/office/drawing/2014/chart" uri="{C3380CC4-5D6E-409C-BE32-E72D297353CC}">
                    <c16:uniqueId val="{00000009-79FD-4B60-86DE-FC45BB741FBD}"/>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'OZL Summary'!$BX$6:$BX$7</c15:sqref>
                        </c15:formulaRef>
                      </c:ext>
                    </c:extLst>
                    <c:strCache>
                      <c:ptCount val="2"/>
                      <c:pt idx="0">
                        <c:v>99th Percentile</c:v>
                      </c:pt>
                    </c:strCache>
                  </c:strRef>
                </c:tx>
                <c:spPr>
                  <a:ln w="28575">
                    <a:solidFill>
                      <a:schemeClr val="accent1"/>
                    </a:solidFill>
                    <a:prstDash val="sysDot"/>
                  </a:ln>
                </c:spPr>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Summary'!$BX$8:$BX$60</c15:sqref>
                        </c15:formulaRef>
                      </c:ext>
                    </c:extLst>
                    <c:numCache>
                      <c:formatCode>0.000</c:formatCode>
                      <c:ptCount val="53"/>
                      <c:pt idx="0">
                        <c:v>3.2006943607976859E-2</c:v>
                      </c:pt>
                      <c:pt idx="1">
                        <c:v>6.4013887215953719E-2</c:v>
                      </c:pt>
                      <c:pt idx="2">
                        <c:v>9.6020830823930578E-2</c:v>
                      </c:pt>
                      <c:pt idx="3">
                        <c:v>0.12802777443190744</c:v>
                      </c:pt>
                      <c:pt idx="4">
                        <c:v>0.16003471803988428</c:v>
                      </c:pt>
                      <c:pt idx="5">
                        <c:v>0.19204166164786113</c:v>
                      </c:pt>
                      <c:pt idx="6">
                        <c:v>0.22404860525583797</c:v>
                      </c:pt>
                      <c:pt idx="7">
                        <c:v>0.25605554886381482</c:v>
                      </c:pt>
                      <c:pt idx="8">
                        <c:v>0.28806249247179166</c:v>
                      </c:pt>
                      <c:pt idx="9">
                        <c:v>0.32006943607976851</c:v>
                      </c:pt>
                      <c:pt idx="10">
                        <c:v>0.35207637968774536</c:v>
                      </c:pt>
                      <c:pt idx="11">
                        <c:v>0.3840833232957222</c:v>
                      </c:pt>
                      <c:pt idx="12">
                        <c:v>0.41609026690369905</c:v>
                      </c:pt>
                      <c:pt idx="13">
                        <c:v>0.44809721051167589</c:v>
                      </c:pt>
                      <c:pt idx="14">
                        <c:v>0.48010415411965274</c:v>
                      </c:pt>
                      <c:pt idx="15">
                        <c:v>0.51211109772762964</c:v>
                      </c:pt>
                      <c:pt idx="16">
                        <c:v>0.54411804133560648</c:v>
                      </c:pt>
                      <c:pt idx="17">
                        <c:v>0.57612498494358333</c:v>
                      </c:pt>
                      <c:pt idx="18">
                        <c:v>0.60813192855156017</c:v>
                      </c:pt>
                      <c:pt idx="19">
                        <c:v>0.64013887215953702</c:v>
                      </c:pt>
                      <c:pt idx="20">
                        <c:v>0.67214581576751387</c:v>
                      </c:pt>
                      <c:pt idx="21">
                        <c:v>0.70415275937549071</c:v>
                      </c:pt>
                      <c:pt idx="22">
                        <c:v>0.73615970298346756</c:v>
                      </c:pt>
                      <c:pt idx="23">
                        <c:v>0.7681666465914444</c:v>
                      </c:pt>
                      <c:pt idx="24">
                        <c:v>0.80017359019942125</c:v>
                      </c:pt>
                      <c:pt idx="25">
                        <c:v>0.83218053380739809</c:v>
                      </c:pt>
                      <c:pt idx="26">
                        <c:v>0.86418747741537494</c:v>
                      </c:pt>
                      <c:pt idx="27">
                        <c:v>0.89619442102335178</c:v>
                      </c:pt>
                      <c:pt idx="28">
                        <c:v>0.92820136463132863</c:v>
                      </c:pt>
                      <c:pt idx="29">
                        <c:v>0.96020830823930547</c:v>
                      </c:pt>
                      <c:pt idx="30">
                        <c:v>0.99221525184728232</c:v>
                      </c:pt>
                      <c:pt idx="31">
                        <c:v>1.0242221954552593</c:v>
                      </c:pt>
                      <c:pt idx="32">
                        <c:v>1.0562291390632361</c:v>
                      </c:pt>
                      <c:pt idx="33">
                        <c:v>1.088236082671213</c:v>
                      </c:pt>
                      <c:pt idx="34">
                        <c:v>1.1202430262791898</c:v>
                      </c:pt>
                      <c:pt idx="35">
                        <c:v>1.1522499698871667</c:v>
                      </c:pt>
                      <c:pt idx="36">
                        <c:v>1.1842569134951435</c:v>
                      </c:pt>
                      <c:pt idx="37">
                        <c:v>1.2162638571031203</c:v>
                      </c:pt>
                      <c:pt idx="38">
                        <c:v>1.2482708007110972</c:v>
                      </c:pt>
                      <c:pt idx="39">
                        <c:v>1.280277744319074</c:v>
                      </c:pt>
                      <c:pt idx="40">
                        <c:v>1.3122846879270509</c:v>
                      </c:pt>
                      <c:pt idx="41">
                        <c:v>1.3442916315350277</c:v>
                      </c:pt>
                      <c:pt idx="42">
                        <c:v>1.3762985751430046</c:v>
                      </c:pt>
                      <c:pt idx="43">
                        <c:v>1.4083055187509814</c:v>
                      </c:pt>
                      <c:pt idx="44">
                        <c:v>1.4403124623589583</c:v>
                      </c:pt>
                      <c:pt idx="45">
                        <c:v>1.4723194059669351</c:v>
                      </c:pt>
                      <c:pt idx="46">
                        <c:v>1.504326349574912</c:v>
                      </c:pt>
                      <c:pt idx="47">
                        <c:v>1.5363332931828888</c:v>
                      </c:pt>
                      <c:pt idx="48">
                        <c:v>1.5683402367908656</c:v>
                      </c:pt>
                      <c:pt idx="49">
                        <c:v>1.6003471803988425</c:v>
                      </c:pt>
                      <c:pt idx="50">
                        <c:v>1.6323541240068193</c:v>
                      </c:pt>
                      <c:pt idx="51">
                        <c:v>1.6643610676147962</c:v>
                      </c:pt>
                    </c:numCache>
                  </c:numRef>
                </c:val>
                <c:smooth val="0"/>
                <c:extLst xmlns:c15="http://schemas.microsoft.com/office/drawing/2012/chart">
                  <c:ext xmlns:c16="http://schemas.microsoft.com/office/drawing/2014/chart" uri="{C3380CC4-5D6E-409C-BE32-E72D297353CC}">
                    <c16:uniqueId val="{0000000A-79FD-4B60-86DE-FC45BB741FBD}"/>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'OZL Summary'!$BY$6:$BY$7</c15:sqref>
                        </c15:formulaRef>
                      </c:ext>
                    </c:extLst>
                    <c:strCache>
                      <c:ptCount val="2"/>
                      <c:pt idx="0">
                        <c:v>Max</c:v>
                      </c:pt>
                    </c:strCache>
                  </c:strRef>
                </c:tx>
                <c:marker>
                  <c:symbol val="none"/>
                </c:marker>
                <c:cat>
                  <c:numRef>
                    <c:extLst xmlns:c15="http://schemas.microsoft.com/office/drawing/2012/chart">
                      <c:ext xmlns:c15="http://schemas.microsoft.com/office/drawing/2012/chart" uri="{02D57815-91ED-43cb-92C2-25804820EDAC}">
                        <c15:formulaRef>
                          <c15:sqref>'OZL Summary'!$BM$8:$BM$60</c15:sqref>
                        </c15:formulaRef>
                      </c:ext>
                    </c:extLst>
                    <c:numCache>
                      <c:formatCode>d\-mmm\-yy_);\(###0\);"-  ";" "@" "</c:formatCode>
                      <c:ptCount val="53"/>
                      <c:pt idx="0">
                        <c:v>44383</c:v>
                      </c:pt>
                      <c:pt idx="1">
                        <c:v>44390</c:v>
                      </c:pt>
                      <c:pt idx="2">
                        <c:v>44397</c:v>
                      </c:pt>
                      <c:pt idx="3">
                        <c:v>44404</c:v>
                      </c:pt>
                      <c:pt idx="4">
                        <c:v>44411</c:v>
                      </c:pt>
                      <c:pt idx="5">
                        <c:v>44418</c:v>
                      </c:pt>
                      <c:pt idx="6">
                        <c:v>44425</c:v>
                      </c:pt>
                      <c:pt idx="7">
                        <c:v>44432</c:v>
                      </c:pt>
                      <c:pt idx="8">
                        <c:v>44439</c:v>
                      </c:pt>
                      <c:pt idx="9">
                        <c:v>44446</c:v>
                      </c:pt>
                      <c:pt idx="10">
                        <c:v>44453</c:v>
                      </c:pt>
                      <c:pt idx="11">
                        <c:v>44460</c:v>
                      </c:pt>
                      <c:pt idx="12">
                        <c:v>44467</c:v>
                      </c:pt>
                      <c:pt idx="13">
                        <c:v>44474</c:v>
                      </c:pt>
                      <c:pt idx="14">
                        <c:v>44481</c:v>
                      </c:pt>
                      <c:pt idx="15">
                        <c:v>44488</c:v>
                      </c:pt>
                      <c:pt idx="16">
                        <c:v>44495</c:v>
                      </c:pt>
                      <c:pt idx="17">
                        <c:v>44502</c:v>
                      </c:pt>
                      <c:pt idx="18">
                        <c:v>44509</c:v>
                      </c:pt>
                      <c:pt idx="19">
                        <c:v>44516</c:v>
                      </c:pt>
                      <c:pt idx="20">
                        <c:v>44523</c:v>
                      </c:pt>
                      <c:pt idx="21">
                        <c:v>44530</c:v>
                      </c:pt>
                      <c:pt idx="22">
                        <c:v>44537</c:v>
                      </c:pt>
                      <c:pt idx="23">
                        <c:v>44544</c:v>
                      </c:pt>
                      <c:pt idx="24">
                        <c:v>44551</c:v>
                      </c:pt>
                      <c:pt idx="25">
                        <c:v>44558</c:v>
                      </c:pt>
                      <c:pt idx="26">
                        <c:v>44565</c:v>
                      </c:pt>
                      <c:pt idx="27">
                        <c:v>44572</c:v>
                      </c:pt>
                      <c:pt idx="28">
                        <c:v>44579</c:v>
                      </c:pt>
                      <c:pt idx="29">
                        <c:v>44586</c:v>
                      </c:pt>
                      <c:pt idx="30">
                        <c:v>44593</c:v>
                      </c:pt>
                      <c:pt idx="31">
                        <c:v>44600</c:v>
                      </c:pt>
                      <c:pt idx="32">
                        <c:v>44607</c:v>
                      </c:pt>
                      <c:pt idx="33">
                        <c:v>44614</c:v>
                      </c:pt>
                      <c:pt idx="34">
                        <c:v>44621</c:v>
                      </c:pt>
                      <c:pt idx="35">
                        <c:v>44628</c:v>
                      </c:pt>
                      <c:pt idx="36">
                        <c:v>44635</c:v>
                      </c:pt>
                      <c:pt idx="37">
                        <c:v>44642</c:v>
                      </c:pt>
                      <c:pt idx="38">
                        <c:v>44649</c:v>
                      </c:pt>
                      <c:pt idx="39">
                        <c:v>44656</c:v>
                      </c:pt>
                      <c:pt idx="40">
                        <c:v>44663</c:v>
                      </c:pt>
                      <c:pt idx="41">
                        <c:v>44670</c:v>
                      </c:pt>
                      <c:pt idx="42">
                        <c:v>44677</c:v>
                      </c:pt>
                      <c:pt idx="43">
                        <c:v>44684</c:v>
                      </c:pt>
                      <c:pt idx="44">
                        <c:v>44691</c:v>
                      </c:pt>
                      <c:pt idx="45">
                        <c:v>44698</c:v>
                      </c:pt>
                      <c:pt idx="46">
                        <c:v>44705</c:v>
                      </c:pt>
                      <c:pt idx="47">
                        <c:v>44712</c:v>
                      </c:pt>
                      <c:pt idx="48">
                        <c:v>44719</c:v>
                      </c:pt>
                      <c:pt idx="49">
                        <c:v>44726</c:v>
                      </c:pt>
                      <c:pt idx="50">
                        <c:v>44733</c:v>
                      </c:pt>
                      <c:pt idx="51">
                        <c:v>44740</c:v>
                      </c:pt>
                    </c:numCache>
                  </c:numRef>
                </c:cat>
                <c:val>
                  <c:numRef>
                    <c:extLst xmlns:c15="http://schemas.microsoft.com/office/drawing/2012/chart">
                      <c:ext xmlns:c15="http://schemas.microsoft.com/office/drawing/2012/chart" uri="{02D57815-91ED-43cb-92C2-25804820EDAC}">
                        <c15:formulaRef>
                          <c15:sqref>'OZL Summary'!$BY$8:$BY$60</c15:sqref>
                        </c15:formulaRef>
                      </c:ext>
                    </c:extLst>
                    <c:numCache>
                      <c:formatCode>0.000</c:formatCode>
                      <c:ptCount val="53"/>
                      <c:pt idx="0">
                        <c:v>3.9503586953510528E-2</c:v>
                      </c:pt>
                      <c:pt idx="1">
                        <c:v>7.9007173907021055E-2</c:v>
                      </c:pt>
                      <c:pt idx="2">
                        <c:v>0.11851076086053158</c:v>
                      </c:pt>
                      <c:pt idx="3">
                        <c:v>0.15801434781404211</c:v>
                      </c:pt>
                      <c:pt idx="4">
                        <c:v>0.19751793476755264</c:v>
                      </c:pt>
                      <c:pt idx="5">
                        <c:v>0.23702152172106317</c:v>
                      </c:pt>
                      <c:pt idx="6">
                        <c:v>0.27652510867457369</c:v>
                      </c:pt>
                      <c:pt idx="7">
                        <c:v>0.31602869562808422</c:v>
                      </c:pt>
                      <c:pt idx="8">
                        <c:v>0.35553228258159475</c:v>
                      </c:pt>
                      <c:pt idx="9">
                        <c:v>0.39503586953510528</c:v>
                      </c:pt>
                      <c:pt idx="10">
                        <c:v>0.43453945648861581</c:v>
                      </c:pt>
                      <c:pt idx="11">
                        <c:v>0.47404304344212633</c:v>
                      </c:pt>
                      <c:pt idx="12">
                        <c:v>0.51354663039563686</c:v>
                      </c:pt>
                      <c:pt idx="13">
                        <c:v>0.55305021734914739</c:v>
                      </c:pt>
                      <c:pt idx="14">
                        <c:v>0.59255380430265792</c:v>
                      </c:pt>
                      <c:pt idx="15">
                        <c:v>0.63205739125616844</c:v>
                      </c:pt>
                      <c:pt idx="16">
                        <c:v>0.67156097820967897</c:v>
                      </c:pt>
                      <c:pt idx="17">
                        <c:v>0.7110645651631895</c:v>
                      </c:pt>
                      <c:pt idx="18">
                        <c:v>0.75056815211670003</c:v>
                      </c:pt>
                      <c:pt idx="19">
                        <c:v>0.79007173907021055</c:v>
                      </c:pt>
                      <c:pt idx="20">
                        <c:v>0.82957532602372108</c:v>
                      </c:pt>
                      <c:pt idx="21">
                        <c:v>0.86907891297723161</c:v>
                      </c:pt>
                      <c:pt idx="22">
                        <c:v>0.90858249993074214</c:v>
                      </c:pt>
                      <c:pt idx="23">
                        <c:v>0.94808608688425267</c:v>
                      </c:pt>
                      <c:pt idx="24">
                        <c:v>0.98758967383776319</c:v>
                      </c:pt>
                      <c:pt idx="25">
                        <c:v>1.0270932607912737</c:v>
                      </c:pt>
                      <c:pt idx="26">
                        <c:v>1.0665968477447842</c:v>
                      </c:pt>
                      <c:pt idx="27">
                        <c:v>1.1061004346982948</c:v>
                      </c:pt>
                      <c:pt idx="28">
                        <c:v>1.1456040216518053</c:v>
                      </c:pt>
                      <c:pt idx="29">
                        <c:v>1.1851076086053158</c:v>
                      </c:pt>
                      <c:pt idx="30">
                        <c:v>1.2246111955588264</c:v>
                      </c:pt>
                      <c:pt idx="31">
                        <c:v>1.2641147825123369</c:v>
                      </c:pt>
                      <c:pt idx="32">
                        <c:v>1.3036183694658474</c:v>
                      </c:pt>
                      <c:pt idx="33">
                        <c:v>1.3431219564193579</c:v>
                      </c:pt>
                      <c:pt idx="34">
                        <c:v>1.3826255433728685</c:v>
                      </c:pt>
                      <c:pt idx="35">
                        <c:v>1.422129130326379</c:v>
                      </c:pt>
                      <c:pt idx="36">
                        <c:v>1.4616327172798895</c:v>
                      </c:pt>
                      <c:pt idx="37">
                        <c:v>1.5011363042334001</c:v>
                      </c:pt>
                      <c:pt idx="38">
                        <c:v>1.5406398911869106</c:v>
                      </c:pt>
                      <c:pt idx="39">
                        <c:v>1.5801434781404211</c:v>
                      </c:pt>
                      <c:pt idx="40">
                        <c:v>1.6196470650939316</c:v>
                      </c:pt>
                      <c:pt idx="41">
                        <c:v>1.6591506520474422</c:v>
                      </c:pt>
                      <c:pt idx="42">
                        <c:v>1.6986542390009527</c:v>
                      </c:pt>
                      <c:pt idx="43">
                        <c:v>1.7381578259544632</c:v>
                      </c:pt>
                      <c:pt idx="44">
                        <c:v>1.7776614129079737</c:v>
                      </c:pt>
                      <c:pt idx="45">
                        <c:v>1.8171649998614843</c:v>
                      </c:pt>
                      <c:pt idx="46">
                        <c:v>1.8566685868149948</c:v>
                      </c:pt>
                      <c:pt idx="47">
                        <c:v>1.8961721737685053</c:v>
                      </c:pt>
                      <c:pt idx="48">
                        <c:v>1.9356757607220159</c:v>
                      </c:pt>
                      <c:pt idx="49">
                        <c:v>1.9751793476755264</c:v>
                      </c:pt>
                      <c:pt idx="50">
                        <c:v>2.0146829346290369</c:v>
                      </c:pt>
                      <c:pt idx="51">
                        <c:v>2.0541865215825474</c:v>
                      </c:pt>
                    </c:numCache>
                  </c:numRef>
                </c:val>
                <c:smooth val="0"/>
                <c:extLst xmlns:c15="http://schemas.microsoft.com/office/drawing/2012/chart">
                  <c:ext xmlns:c16="http://schemas.microsoft.com/office/drawing/2014/chart" uri="{C3380CC4-5D6E-409C-BE32-E72D297353CC}">
                    <c16:uniqueId val="{0000000B-79FD-4B60-86DE-FC45BB741FBD}"/>
                  </c:ext>
                </c:extLst>
              </c15:ser>
            </c15:filteredLineSeries>
          </c:ext>
        </c:extLst>
      </c:lineChart>
      <c:dateAx>
        <c:axId val="1388952432"/>
        <c:scaling>
          <c:orientation val="minMax"/>
        </c:scaling>
        <c:delete val="0"/>
        <c:axPos val="b"/>
        <c:numFmt formatCode="mmm\-yy" sourceLinked="0"/>
        <c:majorTickMark val="none"/>
        <c:minorTickMark val="none"/>
        <c:tickLblPos val="nextTo"/>
        <c:spPr>
          <a:noFill/>
          <a:ln w="9525" cap="flat" cmpd="sng" algn="ctr">
            <a:noFill/>
            <a:round/>
          </a:ln>
          <a:effectLst/>
        </c:spPr>
        <c:txPr>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3088"/>
        <c:crosses val="autoZero"/>
        <c:auto val="1"/>
        <c:lblOffset val="100"/>
        <c:baseTimeUnit val="days"/>
        <c:majorUnit val="1"/>
        <c:majorTimeUnit val="months"/>
      </c:dateAx>
      <c:valAx>
        <c:axId val="13889530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8952432"/>
        <c:crosses val="autoZero"/>
        <c:crossBetween val="between"/>
      </c:valAx>
    </c:plotArea>
    <c:legend>
      <c:legendPos val="b"/>
      <c:legendEntry>
        <c:idx val="3"/>
        <c:delete val="1"/>
      </c:legendEntry>
      <c:legendEntry>
        <c:idx val="4"/>
        <c:delete val="1"/>
      </c:legendEntry>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orientation="portrait"/>
  </c:printSettings>
</c:chartSpace>
</file>

<file path=xl/charts/chart1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'OZL Summary'!$CM$6</c:f>
              <c:strCache>
                <c:ptCount val="1"/>
                <c:pt idx="0">
                  <c:v>Actual</c:v>
                </c:pt>
              </c:strCache>
            </c:strRef>
          </c:tx>
          <c:spPr>
            <a:ln>
              <a:solidFill>
                <a:schemeClr val="tx2"/>
              </a:solidFill>
            </a:ln>
          </c:spPr>
          <c:marker>
            <c:symbol val="none"/>
          </c:marker>
          <c:cat>
            <c:numRef>
              <c:f>'OZL Summary'!$EG$8:$EG$60</c:f>
              <c:numCache>
                <c:formatCode>d\-mmm\-yy_);\(###0\);"-  ";" "@" "</c:formatCode>
                <c:ptCount val="53"/>
                <c:pt idx="0">
                  <c:v>45475</c:v>
                </c:pt>
                <c:pt idx="1">
                  <c:v>45482</c:v>
                </c:pt>
                <c:pt idx="2">
                  <c:v>45489</c:v>
                </c:pt>
                <c:pt idx="3">
                  <c:v>45496</c:v>
                </c:pt>
                <c:pt idx="4">
                  <c:v>45503</c:v>
                </c:pt>
                <c:pt idx="5">
                  <c:v>45510</c:v>
                </c:pt>
                <c:pt idx="6">
                  <c:v>45517</c:v>
                </c:pt>
                <c:pt idx="7">
                  <c:v>45524</c:v>
                </c:pt>
                <c:pt idx="8">
                  <c:v>45531</c:v>
                </c:pt>
                <c:pt idx="9">
                  <c:v>45538</c:v>
                </c:pt>
                <c:pt idx="10">
                  <c:v>45545</c:v>
                </c:pt>
                <c:pt idx="11">
                  <c:v>45552</c:v>
                </c:pt>
                <c:pt idx="12">
                  <c:v>45559</c:v>
                </c:pt>
                <c:pt idx="13">
                  <c:v>45566</c:v>
                </c:pt>
                <c:pt idx="14">
                  <c:v>45573</c:v>
                </c:pt>
                <c:pt idx="15">
                  <c:v>45580</c:v>
                </c:pt>
                <c:pt idx="16">
                  <c:v>45587</c:v>
                </c:pt>
                <c:pt idx="17">
                  <c:v>45594</c:v>
                </c:pt>
                <c:pt idx="18">
                  <c:v>45601</c:v>
                </c:pt>
                <c:pt idx="19">
                  <c:v>45608</c:v>
                </c:pt>
                <c:pt idx="20">
                  <c:v>45615</c:v>
                </c:pt>
                <c:pt idx="21">
                  <c:v>45622</c:v>
                </c:pt>
                <c:pt idx="22">
                  <c:v>45629</c:v>
                </c:pt>
                <c:pt idx="23">
                  <c:v>45636</c:v>
                </c:pt>
                <c:pt idx="24">
                  <c:v>45643</c:v>
                </c:pt>
                <c:pt idx="25">
                  <c:v>45650</c:v>
                </c:pt>
                <c:pt idx="26">
                  <c:v>45657</c:v>
                </c:pt>
                <c:pt idx="27">
                  <c:v>45664</c:v>
                </c:pt>
                <c:pt idx="28">
                  <c:v>45671</c:v>
                </c:pt>
                <c:pt idx="29">
                  <c:v>45678</c:v>
                </c:pt>
                <c:pt idx="30">
                  <c:v>45685</c:v>
                </c:pt>
                <c:pt idx="31">
                  <c:v>45692</c:v>
                </c:pt>
                <c:pt idx="32">
                  <c:v>45699</c:v>
                </c:pt>
                <c:pt idx="33">
                  <c:v>45706</c:v>
                </c:pt>
                <c:pt idx="34">
                  <c:v>45713</c:v>
                </c:pt>
                <c:pt idx="35">
                  <c:v>45720</c:v>
                </c:pt>
                <c:pt idx="36">
                  <c:v>45727</c:v>
                </c:pt>
                <c:pt idx="37">
                  <c:v>45734</c:v>
                </c:pt>
                <c:pt idx="38">
                  <c:v>45741</c:v>
                </c:pt>
                <c:pt idx="39">
                  <c:v>45748</c:v>
                </c:pt>
                <c:pt idx="40">
                  <c:v>45755</c:v>
                </c:pt>
                <c:pt idx="41">
                  <c:v>45762</c:v>
                </c:pt>
                <c:pt idx="42">
                  <c:v>45769</c:v>
                </c:pt>
                <c:pt idx="43">
                  <c:v>45776</c:v>
                </c:pt>
                <c:pt idx="44">
                  <c:v>45783</c:v>
                </c:pt>
                <c:pt idx="45">
                  <c:v>45790</c:v>
                </c:pt>
                <c:pt idx="46">
                  <c:v>45797</c:v>
                </c:pt>
                <c:pt idx="47">
                  <c:v>45804</c:v>
                </c:pt>
                <c:pt idx="48">
                  <c:v>45811</c:v>
                </c:pt>
                <c:pt idx="49">
                  <c:v>45818</c:v>
                </c:pt>
                <c:pt idx="50">
                  <c:v>45825</c:v>
                </c:pt>
                <c:pt idx="51">
                  <c:v>45832</c:v>
                </c:pt>
              </c:numCache>
            </c:numRef>
          </c:cat>
          <c:val>
            <c:numRef>
              <c:f>'OZL Summary'!$EH$8:$EH$60</c:f>
              <c:numCache>
                <c:formatCode>0.000</c:formatCode>
                <c:ptCount val="53"/>
                <c:pt idx="0">
                  <c:v>2.8443131540540536E-2</c:v>
                </c:pt>
                <c:pt idx="1">
                  <c:v>6.5589889606456439E-2</c:v>
                </c:pt>
                <c:pt idx="2">
                  <c:v>0.11292922684849846</c:v>
                </c:pt>
                <c:pt idx="3">
                  <c:v>0.12611776127477473</c:v>
                </c:pt>
                <c:pt idx="4">
                  <c:v>0.14516817179002073</c:v>
                </c:pt>
                <c:pt idx="5">
                  <c:v>0.15797250768206278</c:v>
                </c:pt>
                <c:pt idx="6">
                  <c:v>0.17478621813671744</c:v>
                </c:pt>
                <c:pt idx="7">
                  <c:v>0.19634093343851924</c:v>
                </c:pt>
                <c:pt idx="8">
                  <c:v>0.229293375872303</c:v>
                </c:pt>
                <c:pt idx="9">
                  <c:v>0.27071314624032106</c:v>
                </c:pt>
                <c:pt idx="10">
                  <c:v>0.28397804753311384</c:v>
                </c:pt>
                <c:pt idx="11">
                  <c:v>0.301753048854285</c:v>
                </c:pt>
                <c:pt idx="12">
                  <c:v>0.32928236410038109</c:v>
                </c:pt>
                <c:pt idx="13">
                  <c:v>0.34233770617395465</c:v>
                </c:pt>
                <c:pt idx="14">
                  <c:v>0.36209273277940623</c:v>
                </c:pt>
                <c:pt idx="15">
                  <c:v>0.37484950928421101</c:v>
                </c:pt>
                <c:pt idx="16">
                  <c:v>0.39125523299577258</c:v>
                </c:pt>
                <c:pt idx="17">
                  <c:v>0.40406108156544224</c:v>
                </c:pt>
                <c:pt idx="18">
                  <c:v>0.42103391268916601</c:v>
                </c:pt>
                <c:pt idx="19">
                  <c:v>0.44371874133601286</c:v>
                </c:pt>
                <c:pt idx="20">
                  <c:v>0.46973110683315999</c:v>
                </c:pt>
                <c:pt idx="21">
                  <c:v>0.49982132004742424</c:v>
                </c:pt>
                <c:pt idx="22">
                  <c:v>0.54603822856934614</c:v>
                </c:pt>
                <c:pt idx="23">
                  <c:v>0.60368808089622306</c:v>
                </c:pt>
                <c:pt idx="24">
                  <c:v>0.61769277648120813</c:v>
                </c:pt>
                <c:pt idx="25">
                  <c:v>0.64029154758090778</c:v>
                </c:pt>
                <c:pt idx="26">
                  <c:v>0.66903047934487181</c:v>
                </c:pt>
                <c:pt idx="27">
                  <c:v>0.70092431992700388</c:v>
                </c:pt>
                <c:pt idx="28">
                  <c:v>0.74284245290808482</c:v>
                </c:pt>
                <c:pt idx="29">
                  <c:v>0.80674230373015687</c:v>
                </c:pt>
                <c:pt idx="30">
                  <c:v>0.89623676438661337</c:v>
                </c:pt>
                <c:pt idx="31">
                  <c:v>1.0386717627059827</c:v>
                </c:pt>
                <c:pt idx="32">
                  <c:v>1.0531361473807574</c:v>
                </c:pt>
                <c:pt idx="33">
                  <c:v>1.07430977734091</c:v>
                </c:pt>
                <c:pt idx="34">
                  <c:v>1.1004901660643334</c:v>
                </c:pt>
                <c:pt idx="35">
                  <c:v>1.1145955998078771</c:v>
                </c:pt>
                <c:pt idx="36">
                  <c:v>1.1333614392047238</c:v>
                </c:pt>
                <c:pt idx="37">
                  <c:v>1.1610167525215407</c:v>
                </c:pt>
                <c:pt idx="38">
                  <c:v>1.1921940346257449</c:v>
                </c:pt>
                <c:pt idx="39">
                  <c:v>1.2320355377586276</c:v>
                </c:pt>
                <c:pt idx="40">
                  <c:v>1.2911850995924115</c:v>
                </c:pt>
                <c:pt idx="41">
                  <c:v>1.3831375546581774</c:v>
                </c:pt>
                <c:pt idx="42">
                  <c:v>1.3970265475194388</c:v>
                </c:pt>
                <c:pt idx="43">
                  <c:v>1.4164729357078771</c:v>
                </c:pt>
                <c:pt idx="44">
                  <c:v>1.440485679985805</c:v>
                </c:pt>
                <c:pt idx="45">
                  <c:v>1.4719336347668863</c:v>
                </c:pt>
                <c:pt idx="46">
                  <c:v>1.5113513657560753</c:v>
                </c:pt>
                <c:pt idx="47">
                  <c:v>1.56822999446058</c:v>
                </c:pt>
                <c:pt idx="48">
                  <c:v>1.6572116592560753</c:v>
                </c:pt>
                <c:pt idx="49">
                  <c:v>1.6706118098800993</c:v>
                </c:pt>
                <c:pt idx="50">
                  <c:v>1.6937559088459113</c:v>
                </c:pt>
                <c:pt idx="51">
                  <c:v>1.7220561684819471</c:v>
                </c:pt>
              </c:numCache>
            </c:numRef>
          </c:val>
          <c:smooth val="0"/>
          <c:extLst>
            <c:ext xmlns:c16="http://schemas.microsoft.com/office/drawing/2014/chart" uri="{C3380CC4-5D6E-409C-BE32-E72D297353CC}">
              <c16:uniqueId val="{00000000-06AE-4EBF-9798-783660C9228B}"/>
            </c:ext>
          </c:extLst>
        </c:ser>
        <c:ser>
          <c:idx val="7"/>
          <c:order val="3"/>
          <c:tx>
            <c:strRef>
              <c:f>'OZL Summary'!$CP$6:$CP$7</c:f>
              <c:strCache>
                <c:ptCount val="2"/>
                <c:pt idx="0">
                  <c:v>5th Percentile</c:v>
                </c:pt>
              </c:strCache>
            </c:strRef>
          </c:tx>
          <c:spPr>
            <a:ln>
              <a:solidFill>
                <a:schemeClr val="bg2">
                  <a:lumMod val="60000"/>
                  <a:lumOff val="40000"/>
                </a:schemeClr>
              </a:solidFill>
              <a:prstDash val="sysDot"/>
            </a:ln>
          </c:spPr>
          <c:marker>
            <c:symbol val="none"/>
          </c:marker>
          <c:cat>
            <c:numRef>
              <c:f>'OZL Summary'!$EG$8:$EG$60</c:f>
              <c:numCache>
                <c:formatCode>d\-mmm\-yy_);\(###0\);"-  ";" "@" "</c:formatCode>
                <c:ptCount val="53"/>
                <c:pt idx="0">
                  <c:v>45475</c:v>
                </c:pt>
                <c:pt idx="1">
                  <c:v>45482</c:v>
                </c:pt>
                <c:pt idx="2">
                  <c:v>45489</c:v>
                </c:pt>
                <c:pt idx="3">
                  <c:v>45496</c:v>
                </c:pt>
                <c:pt idx="4">
                  <c:v>45503</c:v>
                </c:pt>
                <c:pt idx="5">
                  <c:v>45510</c:v>
                </c:pt>
                <c:pt idx="6">
                  <c:v>45517</c:v>
                </c:pt>
                <c:pt idx="7">
                  <c:v>45524</c:v>
                </c:pt>
                <c:pt idx="8">
                  <c:v>45531</c:v>
                </c:pt>
                <c:pt idx="9">
                  <c:v>45538</c:v>
                </c:pt>
                <c:pt idx="10">
                  <c:v>45545</c:v>
                </c:pt>
                <c:pt idx="11">
                  <c:v>45552</c:v>
                </c:pt>
                <c:pt idx="12">
                  <c:v>45559</c:v>
                </c:pt>
                <c:pt idx="13">
                  <c:v>45566</c:v>
                </c:pt>
                <c:pt idx="14">
                  <c:v>45573</c:v>
                </c:pt>
                <c:pt idx="15">
                  <c:v>45580</c:v>
                </c:pt>
                <c:pt idx="16">
                  <c:v>45587</c:v>
                </c:pt>
                <c:pt idx="17">
                  <c:v>45594</c:v>
                </c:pt>
                <c:pt idx="18">
                  <c:v>45601</c:v>
                </c:pt>
                <c:pt idx="19">
                  <c:v>45608</c:v>
                </c:pt>
                <c:pt idx="20">
                  <c:v>45615</c:v>
                </c:pt>
                <c:pt idx="21">
                  <c:v>45622</c:v>
                </c:pt>
                <c:pt idx="22">
                  <c:v>45629</c:v>
                </c:pt>
                <c:pt idx="23">
                  <c:v>45636</c:v>
                </c:pt>
                <c:pt idx="24">
                  <c:v>45643</c:v>
                </c:pt>
                <c:pt idx="25">
                  <c:v>45650</c:v>
                </c:pt>
                <c:pt idx="26">
                  <c:v>45657</c:v>
                </c:pt>
                <c:pt idx="27">
                  <c:v>45664</c:v>
                </c:pt>
                <c:pt idx="28">
                  <c:v>45671</c:v>
                </c:pt>
                <c:pt idx="29">
                  <c:v>45678</c:v>
                </c:pt>
                <c:pt idx="30">
                  <c:v>45685</c:v>
                </c:pt>
                <c:pt idx="31">
                  <c:v>45692</c:v>
                </c:pt>
                <c:pt idx="32">
                  <c:v>45699</c:v>
                </c:pt>
                <c:pt idx="33">
                  <c:v>45706</c:v>
                </c:pt>
                <c:pt idx="34">
                  <c:v>45713</c:v>
                </c:pt>
                <c:pt idx="35">
                  <c:v>45720</c:v>
                </c:pt>
                <c:pt idx="36">
                  <c:v>45727</c:v>
                </c:pt>
                <c:pt idx="37">
                  <c:v>45734</c:v>
                </c:pt>
                <c:pt idx="38">
                  <c:v>45741</c:v>
                </c:pt>
                <c:pt idx="39">
                  <c:v>45748</c:v>
                </c:pt>
                <c:pt idx="40">
                  <c:v>45755</c:v>
                </c:pt>
                <c:pt idx="41">
                  <c:v>45762</c:v>
                </c:pt>
                <c:pt idx="42">
                  <c:v>45769</c:v>
                </c:pt>
                <c:pt idx="43">
                  <c:v>45776</c:v>
                </c:pt>
                <c:pt idx="44">
                  <c:v>45783</c:v>
                </c:pt>
                <c:pt idx="45">
                  <c:v>45790</c:v>
                </c:pt>
                <c:pt idx="46">
                  <c:v>45797</c:v>
                </c:pt>
                <c:pt idx="47">
                  <c:v>45804</c:v>
                </c:pt>
                <c:pt idx="48">
                  <c:v>45811</c:v>
                </c:pt>
                <c:pt idx="49">
                  <c:v>45818</c:v>
                </c:pt>
                <c:pt idx="50">
                  <c:v>45825</c:v>
                </c:pt>
                <c:pt idx="51">
                  <c:v>45832</c:v>
                </c:pt>
              </c:numCache>
            </c:numRef>
          </c:cat>
          <c:val>
            <c:numRef>
              <c:f>'OZL Summary'!$EK$8:$EK$60</c:f>
              <c:numCache>
                <c:formatCode>0.000</c:formatCode>
                <c:ptCount val="53"/>
                <c:pt idx="0">
                  <c:v>2.3526137950388291E-2</c:v>
                </c:pt>
                <c:pt idx="1">
                  <c:v>4.7052275900776583E-2</c:v>
                </c:pt>
                <c:pt idx="2">
                  <c:v>7.0578413851164867E-2</c:v>
                </c:pt>
                <c:pt idx="3">
                  <c:v>9.4104551801553166E-2</c:v>
                </c:pt>
                <c:pt idx="4">
                  <c:v>0.11763068975194146</c:v>
                </c:pt>
                <c:pt idx="5">
                  <c:v>0.14115682770232976</c:v>
                </c:pt>
                <c:pt idx="6">
                  <c:v>0.16468296565271806</c:v>
                </c:pt>
                <c:pt idx="7">
                  <c:v>0.18820910360310636</c:v>
                </c:pt>
                <c:pt idx="8">
                  <c:v>0.21173524155349466</c:v>
                </c:pt>
                <c:pt idx="9">
                  <c:v>0.23526137950388296</c:v>
                </c:pt>
                <c:pt idx="10">
                  <c:v>0.25878751745427125</c:v>
                </c:pt>
                <c:pt idx="11">
                  <c:v>0.28231365540465952</c:v>
                </c:pt>
                <c:pt idx="12">
                  <c:v>0.3058397933550478</c:v>
                </c:pt>
                <c:pt idx="13">
                  <c:v>0.32936593130543607</c:v>
                </c:pt>
                <c:pt idx="14">
                  <c:v>0.35289206925582434</c:v>
                </c:pt>
                <c:pt idx="15">
                  <c:v>0.37641820720621261</c:v>
                </c:pt>
                <c:pt idx="16">
                  <c:v>0.39994434515660088</c:v>
                </c:pt>
                <c:pt idx="17">
                  <c:v>0.42347048310698915</c:v>
                </c:pt>
                <c:pt idx="18">
                  <c:v>0.44699662105737742</c:v>
                </c:pt>
                <c:pt idx="19">
                  <c:v>0.47052275900776569</c:v>
                </c:pt>
                <c:pt idx="20">
                  <c:v>0.49404889695815396</c:v>
                </c:pt>
                <c:pt idx="21">
                  <c:v>0.51757503490854229</c:v>
                </c:pt>
                <c:pt idx="22">
                  <c:v>0.54110117285893056</c:v>
                </c:pt>
                <c:pt idx="23">
                  <c:v>0.56462731080931883</c:v>
                </c:pt>
                <c:pt idx="24">
                  <c:v>0.5881534487597071</c:v>
                </c:pt>
                <c:pt idx="25">
                  <c:v>0.61167958671009537</c:v>
                </c:pt>
                <c:pt idx="26">
                  <c:v>0.63520572466048364</c:v>
                </c:pt>
                <c:pt idx="27">
                  <c:v>0.65873186261087191</c:v>
                </c:pt>
                <c:pt idx="28">
                  <c:v>0.68225800056126018</c:v>
                </c:pt>
                <c:pt idx="29">
                  <c:v>0.70578413851164845</c:v>
                </c:pt>
                <c:pt idx="30">
                  <c:v>0.72931027646203672</c:v>
                </c:pt>
                <c:pt idx="31">
                  <c:v>0.75283641441242499</c:v>
                </c:pt>
                <c:pt idx="32">
                  <c:v>0.77636255236281326</c:v>
                </c:pt>
                <c:pt idx="33">
                  <c:v>0.79988869031320153</c:v>
                </c:pt>
                <c:pt idx="34">
                  <c:v>0.8234148282635898</c:v>
                </c:pt>
                <c:pt idx="35">
                  <c:v>0.84694096621397807</c:v>
                </c:pt>
                <c:pt idx="36">
                  <c:v>0.87046710416436635</c:v>
                </c:pt>
                <c:pt idx="37">
                  <c:v>0.89399324211475462</c:v>
                </c:pt>
                <c:pt idx="38">
                  <c:v>0.91751938006514289</c:v>
                </c:pt>
                <c:pt idx="39">
                  <c:v>0.94104551801553116</c:v>
                </c:pt>
                <c:pt idx="40">
                  <c:v>0.96457165596591943</c:v>
                </c:pt>
                <c:pt idx="41">
                  <c:v>0.9880977939163077</c:v>
                </c:pt>
                <c:pt idx="42">
                  <c:v>1.011623931866696</c:v>
                </c:pt>
                <c:pt idx="43">
                  <c:v>1.0351500698170844</c:v>
                </c:pt>
                <c:pt idx="44">
                  <c:v>1.0586762077674727</c:v>
                </c:pt>
                <c:pt idx="45">
                  <c:v>1.0822023457178611</c:v>
                </c:pt>
                <c:pt idx="46">
                  <c:v>1.1057284836682495</c:v>
                </c:pt>
                <c:pt idx="47">
                  <c:v>1.1292546216186379</c:v>
                </c:pt>
                <c:pt idx="48">
                  <c:v>1.1527807595690263</c:v>
                </c:pt>
                <c:pt idx="49">
                  <c:v>1.1763068975194146</c:v>
                </c:pt>
                <c:pt idx="50">
                  <c:v>1.199833035469803</c:v>
                </c:pt>
                <c:pt idx="51">
                  <c:v>1.2233591734201914</c:v>
                </c:pt>
              </c:numCache>
            </c:numRef>
          </c:val>
          <c:smooth val="0"/>
          <c:extLst xmlns:c15="http://schemas.microsoft.com/office/drawing/2012/chart">
            <c:ext xmlns:c16="http://schemas.microsoft.com/office/drawing/2014/chart" uri="{C3380CC4-5D6E-409C-BE32-E72D297353CC}">
              <c16:uniqueId val="{00000001-06AE-4EBF-9798-783660C9228B}"/>
            </c:ext>
          </c:extLst>
        </c:ser>
        <c:ser>
          <c:idx val="2"/>
          <c:order val="5"/>
          <c:tx>
            <c:v>5/25/50/75/95th percentile</c:v>
          </c:tx>
          <c:spPr>
            <a:ln>
              <a:solidFill>
                <a:schemeClr val="bg2">
                  <a:lumMod val="60000"/>
                  <a:lumOff val="40000"/>
                </a:schemeClr>
              </a:solidFill>
              <a:prstDash val="sysDot"/>
            </a:ln>
          </c:spPr>
          <c:marker>
            <c:symbol val="none"/>
          </c:marker>
          <c:cat>
            <c:numRef>
              <c:f>'OZL Summary'!$EG$8:$EG$60</c:f>
              <c:numCache>
                <c:formatCode>d\-mmm\-yy_);\(###0\);"-  ";" "@" "</c:formatCode>
                <c:ptCount val="53"/>
                <c:pt idx="0">
                  <c:v>45475</c:v>
                </c:pt>
                <c:pt idx="1">
                  <c:v>45482</c:v>
                </c:pt>
                <c:pt idx="2">
                  <c:v>45489</c:v>
                </c:pt>
                <c:pt idx="3">
                  <c:v>45496</c:v>
                </c:pt>
                <c:pt idx="4">
                  <c:v>45503</c:v>
                </c:pt>
                <c:pt idx="5">
                  <c:v>45510</c:v>
                </c:pt>
                <c:pt idx="6">
                  <c:v>45517</c:v>
                </c:pt>
                <c:pt idx="7">
                  <c:v>45524</c:v>
                </c:pt>
                <c:pt idx="8">
                  <c:v>45531</c:v>
                </c:pt>
                <c:pt idx="9">
                  <c:v>45538</c:v>
                </c:pt>
                <c:pt idx="10">
                  <c:v>45545</c:v>
                </c:pt>
                <c:pt idx="11">
                  <c:v>45552</c:v>
                </c:pt>
                <c:pt idx="12">
                  <c:v>45559</c:v>
                </c:pt>
                <c:pt idx="13">
                  <c:v>45566</c:v>
                </c:pt>
                <c:pt idx="14">
                  <c:v>45573</c:v>
                </c:pt>
                <c:pt idx="15">
                  <c:v>45580</c:v>
                </c:pt>
                <c:pt idx="16">
                  <c:v>45587</c:v>
                </c:pt>
                <c:pt idx="17">
                  <c:v>45594</c:v>
                </c:pt>
                <c:pt idx="18">
                  <c:v>45601</c:v>
                </c:pt>
                <c:pt idx="19">
                  <c:v>45608</c:v>
                </c:pt>
                <c:pt idx="20">
                  <c:v>45615</c:v>
                </c:pt>
                <c:pt idx="21">
                  <c:v>45622</c:v>
                </c:pt>
                <c:pt idx="22">
                  <c:v>45629</c:v>
                </c:pt>
                <c:pt idx="23">
                  <c:v>45636</c:v>
                </c:pt>
                <c:pt idx="24">
                  <c:v>45643</c:v>
                </c:pt>
                <c:pt idx="25">
                  <c:v>45650</c:v>
                </c:pt>
                <c:pt idx="26">
                  <c:v>45657</c:v>
                </c:pt>
                <c:pt idx="27">
                  <c:v>45664</c:v>
                </c:pt>
                <c:pt idx="28">
                  <c:v>45671</c:v>
                </c:pt>
                <c:pt idx="29">
                  <c:v>45678</c:v>
                </c:pt>
                <c:pt idx="30">
                  <c:v>45685</c:v>
                </c:pt>
                <c:pt idx="31">
                  <c:v>45692</c:v>
                </c:pt>
                <c:pt idx="32">
                  <c:v>45699</c:v>
                </c:pt>
                <c:pt idx="33">
                  <c:v>45706</c:v>
                </c:pt>
                <c:pt idx="34">
                  <c:v>45713</c:v>
                </c:pt>
                <c:pt idx="35">
                  <c:v>45720</c:v>
                </c:pt>
                <c:pt idx="36">
                  <c:v>45727</c:v>
                </c:pt>
                <c:pt idx="37">
                  <c:v>45734</c:v>
                </c:pt>
                <c:pt idx="38">
                  <c:v>45741</c:v>
                </c:pt>
                <c:pt idx="39">
                  <c:v>45748</c:v>
                </c:pt>
                <c:pt idx="40">
                  <c:v>45755</c:v>
                </c:pt>
                <c:pt idx="41">
                  <c:v>45762</c:v>
                </c:pt>
                <c:pt idx="42">
                  <c:v>45769</c:v>
                </c:pt>
                <c:pt idx="43">
                  <c:v>45776</c:v>
                </c:pt>
                <c:pt idx="44">
                  <c:v>45783</c:v>
                </c:pt>
                <c:pt idx="45">
                  <c:v>45790</c:v>
                </c:pt>
                <c:pt idx="46">
                  <c:v>45797</c:v>
                </c:pt>
                <c:pt idx="47">
                  <c:v>45804</c:v>
                </c:pt>
                <c:pt idx="48">
                  <c:v>45811</c:v>
                </c:pt>
                <c:pt idx="49">
                  <c:v>45818</c:v>
                </c:pt>
                <c:pt idx="50">
                  <c:v>45825</c:v>
                </c:pt>
                <c:pt idx="51">
                  <c:v>45832</c:v>
                </c:pt>
              </c:numCache>
            </c:numRef>
          </c:cat>
          <c:val>
            <c:numRef>
              <c:f>'OZL Summary'!$EM$8:$EM$60</c:f>
              <c:numCache>
                <c:formatCode>0.000</c:formatCode>
                <c:ptCount val="53"/>
                <c:pt idx="0">
                  <c:v>2.6325675332730395E-2</c:v>
                </c:pt>
                <c:pt idx="1">
                  <c:v>5.265135066546079E-2</c:v>
                </c:pt>
                <c:pt idx="2">
                  <c:v>7.8977025998191189E-2</c:v>
                </c:pt>
                <c:pt idx="3">
                  <c:v>0.10530270133092158</c:v>
                </c:pt>
                <c:pt idx="4">
                  <c:v>0.13162837666365199</c:v>
                </c:pt>
                <c:pt idx="5">
                  <c:v>0.15795405199638238</c:v>
                </c:pt>
                <c:pt idx="6">
                  <c:v>0.18427972732911277</c:v>
                </c:pt>
                <c:pt idx="7">
                  <c:v>0.21060540266184316</c:v>
                </c:pt>
                <c:pt idx="8">
                  <c:v>0.23693107799457355</c:v>
                </c:pt>
                <c:pt idx="9">
                  <c:v>0.26325675332730397</c:v>
                </c:pt>
                <c:pt idx="10">
                  <c:v>0.28958242866003436</c:v>
                </c:pt>
                <c:pt idx="11">
                  <c:v>0.31590810399276475</c:v>
                </c:pt>
                <c:pt idx="12">
                  <c:v>0.34223377932549515</c:v>
                </c:pt>
                <c:pt idx="13">
                  <c:v>0.36855945465822554</c:v>
                </c:pt>
                <c:pt idx="14">
                  <c:v>0.39488512999095593</c:v>
                </c:pt>
                <c:pt idx="15">
                  <c:v>0.42121080532368632</c:v>
                </c:pt>
                <c:pt idx="16">
                  <c:v>0.44753648065641671</c:v>
                </c:pt>
                <c:pt idx="17">
                  <c:v>0.4738621559891471</c:v>
                </c:pt>
                <c:pt idx="18">
                  <c:v>0.5001878313218775</c:v>
                </c:pt>
                <c:pt idx="19">
                  <c:v>0.52651350665460794</c:v>
                </c:pt>
                <c:pt idx="20">
                  <c:v>0.55283918198733839</c:v>
                </c:pt>
                <c:pt idx="21">
                  <c:v>0.57916485732006884</c:v>
                </c:pt>
                <c:pt idx="22">
                  <c:v>0.60549053265279928</c:v>
                </c:pt>
                <c:pt idx="23">
                  <c:v>0.63181620798552973</c:v>
                </c:pt>
                <c:pt idx="24">
                  <c:v>0.65814188331826018</c:v>
                </c:pt>
                <c:pt idx="25">
                  <c:v>0.68446755865099063</c:v>
                </c:pt>
                <c:pt idx="26">
                  <c:v>0.71079323398372107</c:v>
                </c:pt>
                <c:pt idx="27">
                  <c:v>0.73711890931645152</c:v>
                </c:pt>
                <c:pt idx="28">
                  <c:v>0.76344458464918197</c:v>
                </c:pt>
                <c:pt idx="29">
                  <c:v>0.78977025998191241</c:v>
                </c:pt>
                <c:pt idx="30">
                  <c:v>0.81609593531464286</c:v>
                </c:pt>
                <c:pt idx="31">
                  <c:v>0.84242161064737331</c:v>
                </c:pt>
                <c:pt idx="32">
                  <c:v>0.86874728598010376</c:v>
                </c:pt>
                <c:pt idx="33">
                  <c:v>0.8950729613128342</c:v>
                </c:pt>
                <c:pt idx="34">
                  <c:v>0.92139863664556465</c:v>
                </c:pt>
                <c:pt idx="35">
                  <c:v>0.9477243119782951</c:v>
                </c:pt>
                <c:pt idx="36">
                  <c:v>0.97404998731102554</c:v>
                </c:pt>
                <c:pt idx="37">
                  <c:v>1.0003756626437559</c:v>
                </c:pt>
                <c:pt idx="38">
                  <c:v>1.0267013379764862</c:v>
                </c:pt>
                <c:pt idx="39">
                  <c:v>1.0530270133092166</c:v>
                </c:pt>
                <c:pt idx="40">
                  <c:v>1.0793526886419469</c:v>
                </c:pt>
                <c:pt idx="41">
                  <c:v>1.1056783639746772</c:v>
                </c:pt>
                <c:pt idx="42">
                  <c:v>1.1320040393074076</c:v>
                </c:pt>
                <c:pt idx="43">
                  <c:v>1.1583297146401379</c:v>
                </c:pt>
                <c:pt idx="44">
                  <c:v>1.1846553899728682</c:v>
                </c:pt>
                <c:pt idx="45">
                  <c:v>1.2109810653055986</c:v>
                </c:pt>
                <c:pt idx="46">
                  <c:v>1.2373067406383289</c:v>
                </c:pt>
                <c:pt idx="47">
                  <c:v>1.2636324159710592</c:v>
                </c:pt>
                <c:pt idx="48">
                  <c:v>1.2899580913037896</c:v>
                </c:pt>
                <c:pt idx="49">
                  <c:v>1.3162837666365199</c:v>
                </c:pt>
                <c:pt idx="50">
                  <c:v>1.3426094419692503</c:v>
                </c:pt>
                <c:pt idx="51">
                  <c:v>1.3689351173019806</c:v>
                </c:pt>
              </c:numCache>
            </c:numRef>
          </c:val>
          <c:smooth val="0"/>
          <c:extLst>
            <c:ext xmlns:c16="http://schemas.microsoft.com/office/drawing/2014/chart" uri="{C3380CC4-5D6E-409C-BE32-E72D297353CC}">
              <c16:uniqueId val="{00000002-06AE-4EBF-9798-783660C9228B}"/>
            </c:ext>
          </c:extLst>
        </c:ser>
        <c:ser>
          <c:idx val="4"/>
          <c:order val="6"/>
          <c:tx>
            <c:strRef>
              <c:f>'OZL Summary'!$CS$6:$CS$7</c:f>
              <c:strCache>
                <c:ptCount val="2"/>
                <c:pt idx="0">
                  <c:v>50th Percentile</c:v>
                </c:pt>
              </c:strCache>
            </c:strRef>
          </c:tx>
          <c:spPr>
            <a:ln>
              <a:solidFill>
                <a:schemeClr val="bg2">
                  <a:lumMod val="60000"/>
                  <a:lumOff val="40000"/>
                </a:schemeClr>
              </a:solidFill>
              <a:prstDash val="sysDot"/>
            </a:ln>
          </c:spPr>
          <c:marker>
            <c:symbol val="none"/>
          </c:marker>
          <c:cat>
            <c:numRef>
              <c:f>'OZL Summary'!$EG$8:$EG$60</c:f>
              <c:numCache>
                <c:formatCode>d\-mmm\-yy_);\(###0\);"-  ";" "@" "</c:formatCode>
                <c:ptCount val="53"/>
                <c:pt idx="0">
                  <c:v>45475</c:v>
                </c:pt>
                <c:pt idx="1">
                  <c:v>45482</c:v>
                </c:pt>
                <c:pt idx="2">
                  <c:v>45489</c:v>
                </c:pt>
                <c:pt idx="3">
                  <c:v>45496</c:v>
                </c:pt>
                <c:pt idx="4">
                  <c:v>45503</c:v>
                </c:pt>
                <c:pt idx="5">
                  <c:v>45510</c:v>
                </c:pt>
                <c:pt idx="6">
                  <c:v>45517</c:v>
                </c:pt>
                <c:pt idx="7">
                  <c:v>45524</c:v>
                </c:pt>
                <c:pt idx="8">
                  <c:v>45531</c:v>
                </c:pt>
                <c:pt idx="9">
                  <c:v>45538</c:v>
                </c:pt>
                <c:pt idx="10">
                  <c:v>45545</c:v>
                </c:pt>
                <c:pt idx="11">
                  <c:v>45552</c:v>
                </c:pt>
                <c:pt idx="12">
                  <c:v>45559</c:v>
                </c:pt>
                <c:pt idx="13">
                  <c:v>45566</c:v>
                </c:pt>
                <c:pt idx="14">
                  <c:v>45573</c:v>
                </c:pt>
                <c:pt idx="15">
                  <c:v>45580</c:v>
                </c:pt>
                <c:pt idx="16">
                  <c:v>45587</c:v>
                </c:pt>
                <c:pt idx="17">
                  <c:v>45594</c:v>
                </c:pt>
                <c:pt idx="18">
                  <c:v>45601</c:v>
                </c:pt>
                <c:pt idx="19">
                  <c:v>45608</c:v>
                </c:pt>
                <c:pt idx="20">
                  <c:v>45615</c:v>
                </c:pt>
                <c:pt idx="21">
                  <c:v>45622</c:v>
                </c:pt>
                <c:pt idx="22">
                  <c:v>45629</c:v>
                </c:pt>
                <c:pt idx="23">
                  <c:v>45636</c:v>
                </c:pt>
                <c:pt idx="24">
                  <c:v>45643</c:v>
                </c:pt>
                <c:pt idx="25">
                  <c:v>45650</c:v>
                </c:pt>
                <c:pt idx="26">
                  <c:v>45657</c:v>
                </c:pt>
                <c:pt idx="27">
                  <c:v>45664</c:v>
                </c:pt>
                <c:pt idx="28">
                  <c:v>45671</c:v>
                </c:pt>
                <c:pt idx="29">
                  <c:v>45678</c:v>
                </c:pt>
                <c:pt idx="30">
                  <c:v>45685</c:v>
                </c:pt>
                <c:pt idx="31">
                  <c:v>45692</c:v>
                </c:pt>
                <c:pt idx="32">
                  <c:v>45699</c:v>
                </c:pt>
                <c:pt idx="33">
                  <c:v>45706</c:v>
                </c:pt>
                <c:pt idx="34">
                  <c:v>45713</c:v>
                </c:pt>
                <c:pt idx="35">
                  <c:v>45720</c:v>
                </c:pt>
                <c:pt idx="36">
                  <c:v>45727</c:v>
                </c:pt>
                <c:pt idx="37">
                  <c:v>45734</c:v>
                </c:pt>
                <c:pt idx="38">
                  <c:v>45741</c:v>
                </c:pt>
                <c:pt idx="39">
                  <c:v>45748</c:v>
                </c:pt>
                <c:pt idx="40">
                  <c:v>45755</c:v>
                </c:pt>
                <c:pt idx="41">
                  <c:v>45762</c:v>
                </c:pt>
                <c:pt idx="42">
                  <c:v>45769</c:v>
                </c:pt>
                <c:pt idx="43">
                  <c:v>45776</c:v>
                </c:pt>
                <c:pt idx="44">
                  <c:v>45783</c:v>
                </c:pt>
                <c:pt idx="45">
                  <c:v>45790</c:v>
                </c:pt>
                <c:pt idx="46">
                  <c:v>45797</c:v>
                </c:pt>
                <c:pt idx="47">
                  <c:v>45804</c:v>
                </c:pt>
                <c:pt idx="48">
                  <c:v>45811</c:v>
                </c:pt>
                <c:pt idx="49">
                  <c:v>45818</c:v>
                </c:pt>
                <c:pt idx="50">
                  <c:v>45825</c:v>
                </c:pt>
                <c:pt idx="51">
                  <c:v>45832</c:v>
                </c:pt>
              </c:numCache>
            </c:numRef>
          </c:cat>
          <c:val>
            <c:numRef>
              <c:f>'OZL Summary'!$EN$8:$EN$60</c:f>
              <c:numCache>
                <c:formatCode>0.000</c:formatCode>
                <c:ptCount val="53"/>
                <c:pt idx="0">
                  <c:v>2.8842512504586828E-2</c:v>
                </c:pt>
                <c:pt idx="1">
                  <c:v>5.7685025009173656E-2</c:v>
                </c:pt>
                <c:pt idx="2">
                  <c:v>8.652753751376048E-2</c:v>
                </c:pt>
                <c:pt idx="3">
                  <c:v>0.11537005001834731</c:v>
                </c:pt>
                <c:pt idx="4">
                  <c:v>0.14421256252293413</c:v>
                </c:pt>
                <c:pt idx="5">
                  <c:v>0.17305507502752096</c:v>
                </c:pt>
                <c:pt idx="6">
                  <c:v>0.20189758753210779</c:v>
                </c:pt>
                <c:pt idx="7">
                  <c:v>0.23074010003669462</c:v>
                </c:pt>
                <c:pt idx="8">
                  <c:v>0.25958261254128145</c:v>
                </c:pt>
                <c:pt idx="9">
                  <c:v>0.28842512504586826</c:v>
                </c:pt>
                <c:pt idx="10">
                  <c:v>0.31726763755045506</c:v>
                </c:pt>
                <c:pt idx="11">
                  <c:v>0.34611015005504187</c:v>
                </c:pt>
                <c:pt idx="12">
                  <c:v>0.37495266255962867</c:v>
                </c:pt>
                <c:pt idx="13">
                  <c:v>0.40379517506421547</c:v>
                </c:pt>
                <c:pt idx="14">
                  <c:v>0.43263768756880228</c:v>
                </c:pt>
                <c:pt idx="15">
                  <c:v>0.46148020007338908</c:v>
                </c:pt>
                <c:pt idx="16">
                  <c:v>0.49032271257797588</c:v>
                </c:pt>
                <c:pt idx="17">
                  <c:v>0.51916522508256269</c:v>
                </c:pt>
                <c:pt idx="18">
                  <c:v>0.54800773758714949</c:v>
                </c:pt>
                <c:pt idx="19">
                  <c:v>0.57685025009173629</c:v>
                </c:pt>
                <c:pt idx="20">
                  <c:v>0.6056927625963231</c:v>
                </c:pt>
                <c:pt idx="21">
                  <c:v>0.6345352751009099</c:v>
                </c:pt>
                <c:pt idx="22">
                  <c:v>0.6633777876054967</c:v>
                </c:pt>
                <c:pt idx="23">
                  <c:v>0.69222030011008351</c:v>
                </c:pt>
                <c:pt idx="24">
                  <c:v>0.72106281261467031</c:v>
                </c:pt>
                <c:pt idx="25">
                  <c:v>0.74990532511925712</c:v>
                </c:pt>
                <c:pt idx="26">
                  <c:v>0.77874783762384392</c:v>
                </c:pt>
                <c:pt idx="27">
                  <c:v>0.80759035012843072</c:v>
                </c:pt>
                <c:pt idx="28">
                  <c:v>0.83643286263301753</c:v>
                </c:pt>
                <c:pt idx="29">
                  <c:v>0.86527537513760433</c:v>
                </c:pt>
                <c:pt idx="30">
                  <c:v>0.89411788764219113</c:v>
                </c:pt>
                <c:pt idx="31">
                  <c:v>0.92296040014677794</c:v>
                </c:pt>
                <c:pt idx="32">
                  <c:v>0.95180291265136474</c:v>
                </c:pt>
                <c:pt idx="33">
                  <c:v>0.98064542515595154</c:v>
                </c:pt>
                <c:pt idx="34">
                  <c:v>1.0094879376605383</c:v>
                </c:pt>
                <c:pt idx="35">
                  <c:v>1.0383304501651252</c:v>
                </c:pt>
                <c:pt idx="36">
                  <c:v>1.067172962669712</c:v>
                </c:pt>
                <c:pt idx="37">
                  <c:v>1.0960154751742988</c:v>
                </c:pt>
                <c:pt idx="38">
                  <c:v>1.1248579876788856</c:v>
                </c:pt>
                <c:pt idx="39">
                  <c:v>1.1537005001834724</c:v>
                </c:pt>
                <c:pt idx="40">
                  <c:v>1.1825430126880592</c:v>
                </c:pt>
                <c:pt idx="41">
                  <c:v>1.211385525192646</c:v>
                </c:pt>
                <c:pt idx="42">
                  <c:v>1.2402280376972328</c:v>
                </c:pt>
                <c:pt idx="43">
                  <c:v>1.2690705502018196</c:v>
                </c:pt>
                <c:pt idx="44">
                  <c:v>1.2979130627064064</c:v>
                </c:pt>
                <c:pt idx="45">
                  <c:v>1.3267555752109932</c:v>
                </c:pt>
                <c:pt idx="46">
                  <c:v>1.35559808771558</c:v>
                </c:pt>
                <c:pt idx="47">
                  <c:v>1.3844406002201668</c:v>
                </c:pt>
                <c:pt idx="48">
                  <c:v>1.4132831127247536</c:v>
                </c:pt>
                <c:pt idx="49">
                  <c:v>1.4421256252293404</c:v>
                </c:pt>
                <c:pt idx="50">
                  <c:v>1.4709681377339272</c:v>
                </c:pt>
                <c:pt idx="51">
                  <c:v>1.499810650238514</c:v>
                </c:pt>
              </c:numCache>
            </c:numRef>
          </c:val>
          <c:smooth val="0"/>
          <c:extLst>
            <c:ext xmlns:c16="http://schemas.microsoft.com/office/drawing/2014/chart" uri="{C3380CC4-5D6E-409C-BE32-E72D297353CC}">
              <c16:uniqueId val="{00000003-06AE-4EBF-9798-783660C9228B}"/>
            </c:ext>
          </c:extLst>
        </c:ser>
        <c:ser>
          <c:idx val="6"/>
          <c:order val="7"/>
          <c:tx>
            <c:strRef>
              <c:f>'OZL Summary'!$CT$6:$CT$7</c:f>
              <c:strCache>
                <c:ptCount val="2"/>
                <c:pt idx="0">
                  <c:v>75th Percentile</c:v>
                </c:pt>
              </c:strCache>
            </c:strRef>
          </c:tx>
          <c:spPr>
            <a:ln>
              <a:solidFill>
                <a:schemeClr val="bg2">
                  <a:lumMod val="60000"/>
                  <a:lumOff val="40000"/>
                </a:schemeClr>
              </a:solidFill>
              <a:prstDash val="sysDot"/>
            </a:ln>
          </c:spPr>
          <c:marker>
            <c:symbol val="none"/>
          </c:marker>
          <c:cat>
            <c:numRef>
              <c:f>'OZL Summary'!$EG$8:$EG$60</c:f>
              <c:numCache>
                <c:formatCode>d\-mmm\-yy_);\(###0\);"-  ";" "@" "</c:formatCode>
                <c:ptCount val="53"/>
                <c:pt idx="0">
                  <c:v>45475</c:v>
                </c:pt>
                <c:pt idx="1">
                  <c:v>45482</c:v>
                </c:pt>
                <c:pt idx="2">
                  <c:v>45489</c:v>
                </c:pt>
                <c:pt idx="3">
                  <c:v>45496</c:v>
                </c:pt>
                <c:pt idx="4">
                  <c:v>45503</c:v>
                </c:pt>
                <c:pt idx="5">
                  <c:v>45510</c:v>
                </c:pt>
                <c:pt idx="6">
                  <c:v>45517</c:v>
                </c:pt>
                <c:pt idx="7">
                  <c:v>45524</c:v>
                </c:pt>
                <c:pt idx="8">
                  <c:v>45531</c:v>
                </c:pt>
                <c:pt idx="9">
                  <c:v>45538</c:v>
                </c:pt>
                <c:pt idx="10">
                  <c:v>45545</c:v>
                </c:pt>
                <c:pt idx="11">
                  <c:v>45552</c:v>
                </c:pt>
                <c:pt idx="12">
                  <c:v>45559</c:v>
                </c:pt>
                <c:pt idx="13">
                  <c:v>45566</c:v>
                </c:pt>
                <c:pt idx="14">
                  <c:v>45573</c:v>
                </c:pt>
                <c:pt idx="15">
                  <c:v>45580</c:v>
                </c:pt>
                <c:pt idx="16">
                  <c:v>45587</c:v>
                </c:pt>
                <c:pt idx="17">
                  <c:v>45594</c:v>
                </c:pt>
                <c:pt idx="18">
                  <c:v>45601</c:v>
                </c:pt>
                <c:pt idx="19">
                  <c:v>45608</c:v>
                </c:pt>
                <c:pt idx="20">
                  <c:v>45615</c:v>
                </c:pt>
                <c:pt idx="21">
                  <c:v>45622</c:v>
                </c:pt>
                <c:pt idx="22">
                  <c:v>45629</c:v>
                </c:pt>
                <c:pt idx="23">
                  <c:v>45636</c:v>
                </c:pt>
                <c:pt idx="24">
                  <c:v>45643</c:v>
                </c:pt>
                <c:pt idx="25">
                  <c:v>45650</c:v>
                </c:pt>
                <c:pt idx="26">
                  <c:v>45657</c:v>
                </c:pt>
                <c:pt idx="27">
                  <c:v>45664</c:v>
                </c:pt>
                <c:pt idx="28">
                  <c:v>45671</c:v>
                </c:pt>
                <c:pt idx="29">
                  <c:v>45678</c:v>
                </c:pt>
                <c:pt idx="30">
                  <c:v>45685</c:v>
                </c:pt>
                <c:pt idx="31">
                  <c:v>45692</c:v>
                </c:pt>
                <c:pt idx="32">
                  <c:v>45699</c:v>
                </c:pt>
                <c:pt idx="33">
                  <c:v>45706</c:v>
                </c:pt>
                <c:pt idx="34">
                  <c:v>45713</c:v>
                </c:pt>
                <c:pt idx="35">
                  <c:v>45720</c:v>
                </c:pt>
                <c:pt idx="36">
                  <c:v>45727</c:v>
                </c:pt>
                <c:pt idx="37">
                  <c:v>45734</c:v>
                </c:pt>
                <c:pt idx="38">
                  <c:v>45741</c:v>
                </c:pt>
                <c:pt idx="39">
                  <c:v>45748</c:v>
                </c:pt>
                <c:pt idx="40">
                  <c:v>45755</c:v>
                </c:pt>
                <c:pt idx="41">
                  <c:v>45762</c:v>
                </c:pt>
                <c:pt idx="42">
                  <c:v>45769</c:v>
                </c:pt>
                <c:pt idx="43">
                  <c:v>45776</c:v>
                </c:pt>
                <c:pt idx="44">
                  <c:v>45783</c:v>
                </c:pt>
                <c:pt idx="45">
                  <c:v>45790</c:v>
                </c:pt>
                <c:pt idx="46">
                  <c:v>45797</c:v>
                </c:pt>
                <c:pt idx="47">
                  <c:v>45804</c:v>
                </c:pt>
                <c:pt idx="48">
                  <c:v>45811</c:v>
                </c:pt>
                <c:pt idx="49">
                  <c:v>45818</c:v>
                </c:pt>
                <c:pt idx="50">
                  <c:v>45825</c:v>
                </c:pt>
                <c:pt idx="51">
                  <c:v>45832</c:v>
                </c:pt>
              </c:numCache>
            </c:numRef>
          </c:cat>
          <c:val>
            <c:numRef>
              <c:f>'OZL Summary'!$EO$8:$EO$60</c:f>
              <c:numCache>
                <c:formatCode>0.000</c:formatCode>
                <c:ptCount val="53"/>
                <c:pt idx="0">
                  <c:v>3.1771684630234193E-2</c:v>
                </c:pt>
                <c:pt idx="1">
                  <c:v>6.3543369260468385E-2</c:v>
                </c:pt>
                <c:pt idx="2">
                  <c:v>9.5315053890702578E-2</c:v>
                </c:pt>
                <c:pt idx="3">
                  <c:v>0.12708673852093677</c:v>
                </c:pt>
                <c:pt idx="4">
                  <c:v>0.15885842315117096</c:v>
                </c:pt>
                <c:pt idx="5">
                  <c:v>0.19063010778140516</c:v>
                </c:pt>
                <c:pt idx="6">
                  <c:v>0.22240179241163935</c:v>
                </c:pt>
                <c:pt idx="7">
                  <c:v>0.25417347704187354</c:v>
                </c:pt>
                <c:pt idx="8">
                  <c:v>0.28594516167210771</c:v>
                </c:pt>
                <c:pt idx="9">
                  <c:v>0.31771684630234187</c:v>
                </c:pt>
                <c:pt idx="10">
                  <c:v>0.34948853093257604</c:v>
                </c:pt>
                <c:pt idx="11">
                  <c:v>0.3812602155628102</c:v>
                </c:pt>
                <c:pt idx="12">
                  <c:v>0.41303190019304437</c:v>
                </c:pt>
                <c:pt idx="13">
                  <c:v>0.44480358482327853</c:v>
                </c:pt>
                <c:pt idx="14">
                  <c:v>0.4765752694535127</c:v>
                </c:pt>
                <c:pt idx="15">
                  <c:v>0.50834695408374686</c:v>
                </c:pt>
                <c:pt idx="16">
                  <c:v>0.54011863871398103</c:v>
                </c:pt>
                <c:pt idx="17">
                  <c:v>0.57189032334421519</c:v>
                </c:pt>
                <c:pt idx="18">
                  <c:v>0.60366200797444935</c:v>
                </c:pt>
                <c:pt idx="19">
                  <c:v>0.63543369260468352</c:v>
                </c:pt>
                <c:pt idx="20">
                  <c:v>0.66720537723491768</c:v>
                </c:pt>
                <c:pt idx="21">
                  <c:v>0.69897706186515185</c:v>
                </c:pt>
                <c:pt idx="22">
                  <c:v>0.73074874649538601</c:v>
                </c:pt>
                <c:pt idx="23">
                  <c:v>0.76252043112562018</c:v>
                </c:pt>
                <c:pt idx="24">
                  <c:v>0.79429211575585434</c:v>
                </c:pt>
                <c:pt idx="25">
                  <c:v>0.82606380038608851</c:v>
                </c:pt>
                <c:pt idx="26">
                  <c:v>0.85783548501632267</c:v>
                </c:pt>
                <c:pt idx="27">
                  <c:v>0.88960716964655684</c:v>
                </c:pt>
                <c:pt idx="28">
                  <c:v>0.921378854276791</c:v>
                </c:pt>
                <c:pt idx="29">
                  <c:v>0.95315053890702517</c:v>
                </c:pt>
                <c:pt idx="30">
                  <c:v>0.98492222353725933</c:v>
                </c:pt>
                <c:pt idx="31">
                  <c:v>1.0166939081674935</c:v>
                </c:pt>
                <c:pt idx="32">
                  <c:v>1.0484655927977278</c:v>
                </c:pt>
                <c:pt idx="33">
                  <c:v>1.0802372774279621</c:v>
                </c:pt>
                <c:pt idx="34">
                  <c:v>1.1120089620581963</c:v>
                </c:pt>
                <c:pt idx="35">
                  <c:v>1.1437806466884306</c:v>
                </c:pt>
                <c:pt idx="36">
                  <c:v>1.1755523313186649</c:v>
                </c:pt>
                <c:pt idx="37">
                  <c:v>1.2073240159488992</c:v>
                </c:pt>
                <c:pt idx="38">
                  <c:v>1.2390957005791334</c:v>
                </c:pt>
                <c:pt idx="39">
                  <c:v>1.2708673852093677</c:v>
                </c:pt>
                <c:pt idx="40">
                  <c:v>1.302639069839602</c:v>
                </c:pt>
                <c:pt idx="41">
                  <c:v>1.3344107544698363</c:v>
                </c:pt>
                <c:pt idx="42">
                  <c:v>1.3661824391000705</c:v>
                </c:pt>
                <c:pt idx="43">
                  <c:v>1.3979541237303048</c:v>
                </c:pt>
                <c:pt idx="44">
                  <c:v>1.4297258083605391</c:v>
                </c:pt>
                <c:pt idx="45">
                  <c:v>1.4614974929907734</c:v>
                </c:pt>
                <c:pt idx="46">
                  <c:v>1.4932691776210076</c:v>
                </c:pt>
                <c:pt idx="47">
                  <c:v>1.5250408622512419</c:v>
                </c:pt>
                <c:pt idx="48">
                  <c:v>1.5568125468814762</c:v>
                </c:pt>
                <c:pt idx="49">
                  <c:v>1.5885842315117105</c:v>
                </c:pt>
                <c:pt idx="50">
                  <c:v>1.6203559161419447</c:v>
                </c:pt>
                <c:pt idx="51">
                  <c:v>1.652127600772179</c:v>
                </c:pt>
              </c:numCache>
            </c:numRef>
          </c:val>
          <c:smooth val="0"/>
          <c:extLst xmlns:c15="http://schemas.microsoft.com/office/drawing/2012/chart">
            <c:ext xmlns:c16="http://schemas.microsoft.com/office/drawing/2014/chart" uri="{C3380CC4-5D6E-409C-BE32-E72D297353CC}">
              <c16:uniqueId val="{00000004-06AE-4EBF-9798-783660C9228B}"/>
            </c:ext>
          </c:extLst>
        </c:ser>
        <c:ser>
          <c:idx val="9"/>
          <c:order val="9"/>
          <c:tx>
            <c:strRef>
              <c:f>'OZL Summary'!$CV$6:$CV$7</c:f>
              <c:strCache>
                <c:ptCount val="2"/>
                <c:pt idx="0">
                  <c:v>95th Percentile</c:v>
                </c:pt>
              </c:strCache>
            </c:strRef>
          </c:tx>
          <c:spPr>
            <a:ln>
              <a:solidFill>
                <a:schemeClr val="bg2">
                  <a:lumMod val="60000"/>
                  <a:lumOff val="40000"/>
                </a:schemeClr>
              </a:solidFill>
              <a:prstDash val="sysDot"/>
            </a:ln>
          </c:spPr>
          <c:marker>
            <c:symbol val="none"/>
          </c:marker>
          <c:cat>
            <c:numRef>
              <c:f>'OZL Summary'!$EG$8:$EG$60</c:f>
              <c:numCache>
                <c:formatCode>d\-mmm\-yy_);\(###0\);"-  ";" "@" "</c:formatCode>
                <c:ptCount val="53"/>
                <c:pt idx="0">
                  <c:v>45475</c:v>
                </c:pt>
                <c:pt idx="1">
                  <c:v>45482</c:v>
                </c:pt>
                <c:pt idx="2">
                  <c:v>45489</c:v>
                </c:pt>
                <c:pt idx="3">
                  <c:v>45496</c:v>
                </c:pt>
                <c:pt idx="4">
                  <c:v>45503</c:v>
                </c:pt>
                <c:pt idx="5">
                  <c:v>45510</c:v>
                </c:pt>
                <c:pt idx="6">
                  <c:v>45517</c:v>
                </c:pt>
                <c:pt idx="7">
                  <c:v>45524</c:v>
                </c:pt>
                <c:pt idx="8">
                  <c:v>45531</c:v>
                </c:pt>
                <c:pt idx="9">
                  <c:v>45538</c:v>
                </c:pt>
                <c:pt idx="10">
                  <c:v>45545</c:v>
                </c:pt>
                <c:pt idx="11">
                  <c:v>45552</c:v>
                </c:pt>
                <c:pt idx="12">
                  <c:v>45559</c:v>
                </c:pt>
                <c:pt idx="13">
                  <c:v>45566</c:v>
                </c:pt>
                <c:pt idx="14">
                  <c:v>45573</c:v>
                </c:pt>
                <c:pt idx="15">
                  <c:v>45580</c:v>
                </c:pt>
                <c:pt idx="16">
                  <c:v>45587</c:v>
                </c:pt>
                <c:pt idx="17">
                  <c:v>45594</c:v>
                </c:pt>
                <c:pt idx="18">
                  <c:v>45601</c:v>
                </c:pt>
                <c:pt idx="19">
                  <c:v>45608</c:v>
                </c:pt>
                <c:pt idx="20">
                  <c:v>45615</c:v>
                </c:pt>
                <c:pt idx="21">
                  <c:v>45622</c:v>
                </c:pt>
                <c:pt idx="22">
                  <c:v>45629</c:v>
                </c:pt>
                <c:pt idx="23">
                  <c:v>45636</c:v>
                </c:pt>
                <c:pt idx="24">
                  <c:v>45643</c:v>
                </c:pt>
                <c:pt idx="25">
                  <c:v>45650</c:v>
                </c:pt>
                <c:pt idx="26">
                  <c:v>45657</c:v>
                </c:pt>
                <c:pt idx="27">
                  <c:v>45664</c:v>
                </c:pt>
                <c:pt idx="28">
                  <c:v>45671</c:v>
                </c:pt>
                <c:pt idx="29">
                  <c:v>45678</c:v>
                </c:pt>
                <c:pt idx="30">
                  <c:v>45685</c:v>
                </c:pt>
                <c:pt idx="31">
                  <c:v>45692</c:v>
                </c:pt>
                <c:pt idx="32">
                  <c:v>45699</c:v>
                </c:pt>
                <c:pt idx="33">
                  <c:v>45706</c:v>
                </c:pt>
                <c:pt idx="34">
                  <c:v>45713</c:v>
                </c:pt>
                <c:pt idx="35">
                  <c:v>45720</c:v>
                </c:pt>
                <c:pt idx="36">
                  <c:v>45727</c:v>
                </c:pt>
                <c:pt idx="37">
                  <c:v>45734</c:v>
                </c:pt>
                <c:pt idx="38">
                  <c:v>45741</c:v>
                </c:pt>
                <c:pt idx="39">
                  <c:v>45748</c:v>
                </c:pt>
                <c:pt idx="40">
                  <c:v>45755</c:v>
                </c:pt>
                <c:pt idx="41">
                  <c:v>45762</c:v>
                </c:pt>
                <c:pt idx="42">
                  <c:v>45769</c:v>
                </c:pt>
                <c:pt idx="43">
                  <c:v>45776</c:v>
                </c:pt>
                <c:pt idx="44">
                  <c:v>45783</c:v>
                </c:pt>
                <c:pt idx="45">
                  <c:v>45790</c:v>
                </c:pt>
                <c:pt idx="46">
                  <c:v>45797</c:v>
                </c:pt>
                <c:pt idx="47">
                  <c:v>45804</c:v>
                </c:pt>
                <c:pt idx="48">
                  <c:v>45811</c:v>
                </c:pt>
                <c:pt idx="49">
                  <c:v>45818</c:v>
                </c:pt>
                <c:pt idx="50">
                  <c:v>45825</c:v>
                </c:pt>
                <c:pt idx="51">
                  <c:v>45832</c:v>
                </c:pt>
              </c:numCache>
            </c:numRef>
          </c:cat>
          <c:val>
            <c:numRef>
              <c:f>'OZL Summary'!$EQ$8:$EQ$60</c:f>
              <c:numCache>
                <c:formatCode>0.000</c:formatCode>
                <c:ptCount val="53"/>
                <c:pt idx="0">
                  <c:v>3.6777586101275933E-2</c:v>
                </c:pt>
                <c:pt idx="1">
                  <c:v>7.3555172202551866E-2</c:v>
                </c:pt>
                <c:pt idx="2">
                  <c:v>0.1103327583038278</c:v>
                </c:pt>
                <c:pt idx="3">
                  <c:v>0.14711034440510373</c:v>
                </c:pt>
                <c:pt idx="4">
                  <c:v>0.18388793050637967</c:v>
                </c:pt>
                <c:pt idx="5">
                  <c:v>0.2206655166076556</c:v>
                </c:pt>
                <c:pt idx="6">
                  <c:v>0.25744310270893156</c:v>
                </c:pt>
                <c:pt idx="7">
                  <c:v>0.29422068881020746</c:v>
                </c:pt>
                <c:pt idx="8">
                  <c:v>0.33099827491148337</c:v>
                </c:pt>
                <c:pt idx="9">
                  <c:v>0.36777586101275928</c:v>
                </c:pt>
                <c:pt idx="10">
                  <c:v>0.40455344711403518</c:v>
                </c:pt>
                <c:pt idx="11">
                  <c:v>0.44133103321531109</c:v>
                </c:pt>
                <c:pt idx="12">
                  <c:v>0.47810861931658699</c:v>
                </c:pt>
                <c:pt idx="13">
                  <c:v>0.5148862054178629</c:v>
                </c:pt>
                <c:pt idx="14">
                  <c:v>0.5516637915191388</c:v>
                </c:pt>
                <c:pt idx="15">
                  <c:v>0.58844137762041471</c:v>
                </c:pt>
                <c:pt idx="16">
                  <c:v>0.62521896372169061</c:v>
                </c:pt>
                <c:pt idx="17">
                  <c:v>0.66199654982296652</c:v>
                </c:pt>
                <c:pt idx="18">
                  <c:v>0.69877413592424242</c:v>
                </c:pt>
                <c:pt idx="19">
                  <c:v>0.73555172202551833</c:v>
                </c:pt>
                <c:pt idx="20">
                  <c:v>0.77232930812679423</c:v>
                </c:pt>
                <c:pt idx="21">
                  <c:v>0.80910689422807014</c:v>
                </c:pt>
                <c:pt idx="22">
                  <c:v>0.84588448032934604</c:v>
                </c:pt>
                <c:pt idx="23">
                  <c:v>0.88266206643062195</c:v>
                </c:pt>
                <c:pt idx="24">
                  <c:v>0.91943965253189786</c:v>
                </c:pt>
                <c:pt idx="25">
                  <c:v>0.95621723863317376</c:v>
                </c:pt>
                <c:pt idx="26">
                  <c:v>0.99299482473444967</c:v>
                </c:pt>
                <c:pt idx="27">
                  <c:v>1.0297724108357256</c:v>
                </c:pt>
                <c:pt idx="28">
                  <c:v>1.0665499969370016</c:v>
                </c:pt>
                <c:pt idx="29">
                  <c:v>1.1033275830382776</c:v>
                </c:pt>
                <c:pt idx="30">
                  <c:v>1.1401051691395536</c:v>
                </c:pt>
                <c:pt idx="31">
                  <c:v>1.1768827552408296</c:v>
                </c:pt>
                <c:pt idx="32">
                  <c:v>1.2136603413421057</c:v>
                </c:pt>
                <c:pt idx="33">
                  <c:v>1.2504379274433817</c:v>
                </c:pt>
                <c:pt idx="34">
                  <c:v>1.2872155135446577</c:v>
                </c:pt>
                <c:pt idx="35">
                  <c:v>1.3239930996459337</c:v>
                </c:pt>
                <c:pt idx="36">
                  <c:v>1.3607706857472097</c:v>
                </c:pt>
                <c:pt idx="37">
                  <c:v>1.3975482718484857</c:v>
                </c:pt>
                <c:pt idx="38">
                  <c:v>1.4343258579497618</c:v>
                </c:pt>
                <c:pt idx="39">
                  <c:v>1.4711034440510378</c:v>
                </c:pt>
                <c:pt idx="40">
                  <c:v>1.5078810301523138</c:v>
                </c:pt>
                <c:pt idx="41">
                  <c:v>1.5446586162535898</c:v>
                </c:pt>
                <c:pt idx="42">
                  <c:v>1.5814362023548658</c:v>
                </c:pt>
                <c:pt idx="43">
                  <c:v>1.6182137884561418</c:v>
                </c:pt>
                <c:pt idx="44">
                  <c:v>1.6549913745574178</c:v>
                </c:pt>
                <c:pt idx="45">
                  <c:v>1.6917689606586939</c:v>
                </c:pt>
                <c:pt idx="46">
                  <c:v>1.7285465467599699</c:v>
                </c:pt>
                <c:pt idx="47">
                  <c:v>1.7653241328612459</c:v>
                </c:pt>
                <c:pt idx="48">
                  <c:v>1.8021017189625219</c:v>
                </c:pt>
                <c:pt idx="49">
                  <c:v>1.8388793050637979</c:v>
                </c:pt>
                <c:pt idx="50">
                  <c:v>1.8756568911650739</c:v>
                </c:pt>
                <c:pt idx="51">
                  <c:v>1.91243447726635</c:v>
                </c:pt>
              </c:numCache>
            </c:numRef>
          </c:val>
          <c:smooth val="0"/>
          <c:extLst xmlns:c15="http://schemas.microsoft.com/office/drawing/2012/chart">
            <c:ext xmlns:c16="http://schemas.microsoft.com/office/drawing/2014/chart" uri="{C3380CC4-5D6E-409C-BE32-E72D297353CC}">
              <c16:uniqueId val="{00000005-06AE-4EBF-9798-783660C9228B}"/>
            </c:ext>
          </c:extLst>
        </c:ser>
        <c:dLbls>
          <c:showLegendKey val="0"/>
          <c:showVal val="0"/>
          <c:showCatName val="0"/>
          <c:showSerName val="0"/>
          <c:showPercent val="0"/>
          <c:showBubbleSize val="0"/>
        </c:dLbls>
        <c:smooth val="0"/>
        <c:axId val="1388952432"/>
        <c:axId val="1388953088"/>
        <c:extLst>
          <c:ext xmlns:c15="http://schemas.microsoft.com/office/drawing/2012/chart" uri="{02D57815-91ED-43cb-92C2-25804820EDAC}">
            <c15:filteredLineSeries>
              <c15:ser>
                <c:idx val="3"/>
                <c:order val="1"/>
                <c:tx>
                  <c:strRef>
                    <c:extLst>
                      <c:ext uri="{02D57815-91ED-43cb-92C2-25804820EDAC}">
                        <c15:formulaRef>
                          <c15:sqref>'OZL Summary'!$BO$6:$BO$7</c15:sqref>
                        </c15:formulaRef>
                      </c:ext>
                    </c:extLst>
                    <c:strCache>
                      <c:ptCount val="2"/>
                      <c:pt idx="0">
                        <c:v>Min</c:v>
                      </c:pt>
                    </c:strCache>
                  </c:strRef>
                </c:tx>
                <c:spPr>
                  <a:ln>
                    <a:solidFill>
                      <a:schemeClr val="bg2">
                        <a:lumMod val="60000"/>
                        <a:lumOff val="40000"/>
                      </a:schemeClr>
                    </a:solidFill>
                    <a:prstDash val="sysDot"/>
                  </a:ln>
                </c:spPr>
                <c:marker>
                  <c:symbol val="none"/>
                </c:marker>
                <c:cat>
                  <c:numRef>
                    <c:extLst>
                      <c:ext uri="{02D57815-91ED-43cb-92C2-25804820EDAC}">
                        <c15:formulaRef>
                          <c15:sqref>'OZL Summary'!$EG$8:$EG$60</c15:sqref>
                        </c15:formulaRef>
                      </c:ext>
                    </c:extLst>
                    <c:numCache>
                      <c:formatCode>d\-mmm\-yy_);\(###0\);"-  ";" "@" "</c:formatCode>
                      <c:ptCount val="53"/>
                      <c:pt idx="0">
                        <c:v>45475</c:v>
                      </c:pt>
                      <c:pt idx="1">
                        <c:v>45482</c:v>
                      </c:pt>
                      <c:pt idx="2">
                        <c:v>45489</c:v>
                      </c:pt>
                      <c:pt idx="3">
                        <c:v>45496</c:v>
                      </c:pt>
                      <c:pt idx="4">
                        <c:v>45503</c:v>
                      </c:pt>
                      <c:pt idx="5">
                        <c:v>45510</c:v>
                      </c:pt>
                      <c:pt idx="6">
                        <c:v>45517</c:v>
                      </c:pt>
                      <c:pt idx="7">
                        <c:v>45524</c:v>
                      </c:pt>
                      <c:pt idx="8">
                        <c:v>45531</c:v>
                      </c:pt>
                      <c:pt idx="9">
                        <c:v>45538</c:v>
                      </c:pt>
                      <c:pt idx="10">
                        <c:v>45545</c:v>
                      </c:pt>
                      <c:pt idx="11">
                        <c:v>45552</c:v>
                      </c:pt>
                      <c:pt idx="12">
                        <c:v>45559</c:v>
                      </c:pt>
                      <c:pt idx="13">
                        <c:v>45566</c:v>
                      </c:pt>
                      <c:pt idx="14">
                        <c:v>45573</c:v>
                      </c:pt>
                      <c:pt idx="15">
                        <c:v>45580</c:v>
                      </c:pt>
                      <c:pt idx="16">
                        <c:v>45587</c:v>
                      </c:pt>
                      <c:pt idx="17">
                        <c:v>45594</c:v>
                      </c:pt>
                      <c:pt idx="18">
                        <c:v>45601</c:v>
                      </c:pt>
                      <c:pt idx="19">
                        <c:v>45608</c:v>
                      </c:pt>
                      <c:pt idx="20">
                        <c:v>45615</c:v>
                      </c:pt>
                      <c:pt idx="21">
                        <c:v>45622</c:v>
                      </c:pt>
                      <c:pt idx="22">
                        <c:v>45629</c:v>
                      </c:pt>
                      <c:pt idx="23">
                        <c:v>45636</c:v>
                      </c:pt>
                      <c:pt idx="24">
                        <c:v>45643</c:v>
                      </c:pt>
                      <c:pt idx="25">
                        <c:v>45650</c:v>
                      </c:pt>
                      <c:pt idx="26">
                        <c:v>45657</c:v>
                      </c:pt>
                      <c:pt idx="27">
                        <c:v>45664</c:v>
                      </c:pt>
                      <c:pt idx="28">
                        <c:v>45671</c:v>
                      </c:pt>
                      <c:pt idx="29">
                        <c:v>45678</c:v>
                      </c:pt>
                      <c:pt idx="30">
                        <c:v>45685</c:v>
                      </c:pt>
                      <c:pt idx="31">
                        <c:v>45692</c:v>
                      </c:pt>
                      <c:pt idx="32">
                        <c:v>45699</c:v>
                      </c:pt>
                      <c:pt idx="33">
                        <c:v>45706</c:v>
                      </c:pt>
                      <c:pt idx="34">
                        <c:v>45713</c:v>
                      </c:pt>
                      <c:pt idx="35">
                        <c:v>45720</c:v>
                      </c:pt>
                      <c:pt idx="36">
                        <c:v>45727</c:v>
                      </c:pt>
                      <c:pt idx="37">
                        <c:v>45734</c:v>
                      </c:pt>
                      <c:pt idx="38">
                        <c:v>45741</c:v>
                      </c:pt>
                      <c:pt idx="39">
                        <c:v>45748</c:v>
                      </c:pt>
                      <c:pt idx="40">
                        <c:v>45755</c:v>
                      </c:pt>
                      <c:pt idx="41">
                        <c:v>45762</c:v>
                      </c:pt>
                      <c:pt idx="42">
                        <c:v>45769</c:v>
                      </c:pt>
                      <c:pt idx="43">
                        <c:v>45776</c:v>
                      </c:pt>
                      <c:pt idx="44">
                        <c:v>45783</c:v>
                      </c:pt>
                      <c:pt idx="45">
                        <c:v>45790</c:v>
                      </c:pt>
                      <c:pt idx="46">
                        <c:v>45797</c:v>
                      </c:pt>
                      <c:pt idx="47">
                        <c:v>45804</c:v>
                      </c:pt>
                      <c:pt idx="48">
                        <c:v>45811</c:v>
                      </c:pt>
                      <c:pt idx="49">
                        <c:v>45818</c:v>
                      </c:pt>
                      <c:pt idx="50">
                        <c:v>45825</c:v>
                      </c:pt>
                      <c:pt idx="51">
                        <c:v>45832</c:v>
                      </c:pt>
                    </c:numCache>
                  </c:numRef>
                </c:cat>
                <c:val>
                  <c:numRef>
                    <c:extLst>
                      <c:ext uri="{02D57815-91ED-43cb-92C2-25804820EDAC}">
                        <c15:formulaRef>
                          <c15:sqref>'OZL Summary'!$BO$8:$BO$60</c15:sqref>
                        </c15:formulaRef>
                      </c:ext>
                    </c:extLst>
                    <c:numCache>
                      <c:formatCode>0.000</c:formatCode>
                      <c:ptCount val="53"/>
                      <c:pt idx="0">
                        <c:v>1.6032204874777817E-2</c:v>
                      </c:pt>
                      <c:pt idx="1">
                        <c:v>3.2064409749555635E-2</c:v>
                      </c:pt>
                      <c:pt idx="2">
                        <c:v>4.8096614624333456E-2</c:v>
                      </c:pt>
                      <c:pt idx="3">
                        <c:v>6.412881949911127E-2</c:v>
                      </c:pt>
                      <c:pt idx="4">
                        <c:v>8.0161024373889084E-2</c:v>
                      </c:pt>
                      <c:pt idx="5">
                        <c:v>9.6193229248666898E-2</c:v>
                      </c:pt>
                      <c:pt idx="6">
                        <c:v>0.11222543412344471</c:v>
                      </c:pt>
                      <c:pt idx="7">
                        <c:v>0.12825763899822254</c:v>
                      </c:pt>
                      <c:pt idx="8">
                        <c:v>0.14428984387300037</c:v>
                      </c:pt>
                      <c:pt idx="9">
                        <c:v>0.1603220487477782</c:v>
                      </c:pt>
                      <c:pt idx="10">
                        <c:v>0.17635425362255602</c:v>
                      </c:pt>
                      <c:pt idx="11">
                        <c:v>0.19238645849733385</c:v>
                      </c:pt>
                      <c:pt idx="12">
                        <c:v>0.20841866337211168</c:v>
                      </c:pt>
                      <c:pt idx="13">
                        <c:v>0.22445086824688951</c:v>
                      </c:pt>
                      <c:pt idx="14">
                        <c:v>0.24048307312166733</c:v>
                      </c:pt>
                      <c:pt idx="15">
                        <c:v>0.25651527799644513</c:v>
                      </c:pt>
                      <c:pt idx="16">
                        <c:v>0.27254748287122293</c:v>
                      </c:pt>
                      <c:pt idx="17">
                        <c:v>0.28857968774600073</c:v>
                      </c:pt>
                      <c:pt idx="18">
                        <c:v>0.30461189262077853</c:v>
                      </c:pt>
                      <c:pt idx="19">
                        <c:v>0.32064409749555633</c:v>
                      </c:pt>
                      <c:pt idx="20">
                        <c:v>0.33667630237033414</c:v>
                      </c:pt>
                      <c:pt idx="21">
                        <c:v>0.35270850724511194</c:v>
                      </c:pt>
                      <c:pt idx="22">
                        <c:v>0.36874071211988974</c:v>
                      </c:pt>
                      <c:pt idx="23">
                        <c:v>0.38477291699466754</c:v>
                      </c:pt>
                      <c:pt idx="24">
                        <c:v>0.40080512186944534</c:v>
                      </c:pt>
                      <c:pt idx="25">
                        <c:v>0.41683732674422314</c:v>
                      </c:pt>
                      <c:pt idx="26">
                        <c:v>0.43286953161900094</c:v>
                      </c:pt>
                      <c:pt idx="27">
                        <c:v>0.44890173649377874</c:v>
                      </c:pt>
                      <c:pt idx="28">
                        <c:v>0.46493394136855654</c:v>
                      </c:pt>
                      <c:pt idx="29">
                        <c:v>0.48096614624333434</c:v>
                      </c:pt>
                      <c:pt idx="30">
                        <c:v>0.49699835111811214</c:v>
                      </c:pt>
                      <c:pt idx="31">
                        <c:v>0.51303055599288994</c:v>
                      </c:pt>
                      <c:pt idx="32">
                        <c:v>0.52906276086766779</c:v>
                      </c:pt>
                      <c:pt idx="33">
                        <c:v>0.54509496574244565</c:v>
                      </c:pt>
                      <c:pt idx="34">
                        <c:v>0.5611271706172235</c:v>
                      </c:pt>
                      <c:pt idx="35">
                        <c:v>0.57715937549200136</c:v>
                      </c:pt>
                      <c:pt idx="36">
                        <c:v>0.59319158036677921</c:v>
                      </c:pt>
                      <c:pt idx="37">
                        <c:v>0.60922378524155707</c:v>
                      </c:pt>
                      <c:pt idx="38">
                        <c:v>0.62525599011633493</c:v>
                      </c:pt>
                      <c:pt idx="39">
                        <c:v>0.64128819499111278</c:v>
                      </c:pt>
                      <c:pt idx="40">
                        <c:v>0.65732039986589064</c:v>
                      </c:pt>
                      <c:pt idx="41">
                        <c:v>0.67335260474066849</c:v>
                      </c:pt>
                      <c:pt idx="42">
                        <c:v>0.68938480961544635</c:v>
                      </c:pt>
                      <c:pt idx="43">
                        <c:v>0.7054170144902242</c:v>
                      </c:pt>
                      <c:pt idx="44">
                        <c:v>0.72144921936500206</c:v>
                      </c:pt>
                      <c:pt idx="45">
                        <c:v>0.73748142423977991</c:v>
                      </c:pt>
                      <c:pt idx="46">
                        <c:v>0.75351362911455777</c:v>
                      </c:pt>
                      <c:pt idx="47">
                        <c:v>0.76954583398933563</c:v>
                      </c:pt>
                      <c:pt idx="48">
                        <c:v>0.78557803886411348</c:v>
                      </c:pt>
                      <c:pt idx="49">
                        <c:v>0.80161024373889134</c:v>
                      </c:pt>
                      <c:pt idx="50">
                        <c:v>0.81764244861366919</c:v>
                      </c:pt>
                      <c:pt idx="51">
                        <c:v>0.83367465348844705</c:v>
                      </c:pt>
                    </c:numCache>
                  </c:numRef>
                </c:val>
                <c:smooth val="0"/>
                <c:extLst>
                  <c:ext xmlns:c16="http://schemas.microsoft.com/office/drawing/2014/chart" uri="{C3380CC4-5D6E-409C-BE32-E72D297353CC}">
                    <c16:uniqueId val="{00000006-06AE-4EBF-9798-783660C9228B}"/>
                  </c:ext>
                </c:extLst>
              </c15:ser>
            </c15:filteredLineSeries>
            <c15:filteredLineSeries>
              <c15:ser>
                <c:idx val="5"/>
                <c:order val="2"/>
                <c:tx>
                  <c:strRef>
                    <c:extLst xmlns:c15="http://schemas.microsoft.com/office/drawing/2012/chart">
                      <c:ext xmlns:c15="http://schemas.microsoft.com/office/drawing/2012/chart" uri="{02D57815-91ED-43cb-92C2-25804820EDAC}">
                        <c15:formulaRef>
                          <c15:sqref>'OZL Summary'!$BP$6:$BP$7</c15:sqref>
                        </c15:formulaRef>
                      </c:ext>
                    </c:extLst>
                    <c:strCache>
                      <c:ptCount val="2"/>
                      <c:pt idx="0">
                        <c:v>1st Percentile</c:v>
                      </c:pt>
                    </c:strCache>
                  </c:strRef>
                </c:tx>
                <c:spPr>
                  <a:ln>
                    <a:solidFill>
                      <a:schemeClr val="bg2">
                        <a:lumMod val="60000"/>
                        <a:lumOff val="40000"/>
                      </a:schemeClr>
                    </a:solidFill>
                    <a:prstDash val="sysDot"/>
                  </a:ln>
                </c:spPr>
                <c:marker>
                  <c:symbol val="none"/>
                </c:marker>
                <c:cat>
                  <c:numRef>
                    <c:extLst xmlns:c15="http://schemas.microsoft.com/office/drawing/2012/chart">
                      <c:ext xmlns:c15="http://schemas.microsoft.com/office/drawing/2012/chart" uri="{02D57815-91ED-43cb-92C2-25804820EDAC}">
                        <c15:formulaRef>
                          <c15:sqref>'OZL Summary'!$EG$8:$EG$60</c15:sqref>
                        </c15:formulaRef>
                      </c:ext>
                    </c:extLst>
                    <c:numCache>
                      <c:formatCode>d\-mmm\-yy_);\(###0\);"-  ";" "@" "</c:formatCode>
                      <c:ptCount val="53"/>
                      <c:pt idx="0">
                        <c:v>45475</c:v>
                      </c:pt>
                      <c:pt idx="1">
                        <c:v>45482</c:v>
                      </c:pt>
                      <c:pt idx="2">
                        <c:v>45489</c:v>
                      </c:pt>
                      <c:pt idx="3">
                        <c:v>45496</c:v>
                      </c:pt>
                      <c:pt idx="4">
                        <c:v>45503</c:v>
                      </c:pt>
                      <c:pt idx="5">
                        <c:v>45510</c:v>
                      </c:pt>
                      <c:pt idx="6">
                        <c:v>45517</c:v>
                      </c:pt>
                      <c:pt idx="7">
                        <c:v>45524</c:v>
                      </c:pt>
                      <c:pt idx="8">
                        <c:v>45531</c:v>
                      </c:pt>
                      <c:pt idx="9">
                        <c:v>45538</c:v>
                      </c:pt>
                      <c:pt idx="10">
                        <c:v>45545</c:v>
                      </c:pt>
                      <c:pt idx="11">
                        <c:v>45552</c:v>
                      </c:pt>
                      <c:pt idx="12">
                        <c:v>45559</c:v>
                      </c:pt>
                      <c:pt idx="13">
                        <c:v>45566</c:v>
                      </c:pt>
                      <c:pt idx="14">
                        <c:v>45573</c:v>
                      </c:pt>
                      <c:pt idx="15">
                        <c:v>45580</c:v>
                      </c:pt>
                      <c:pt idx="16">
                        <c:v>45587</c:v>
                      </c:pt>
                      <c:pt idx="17">
                        <c:v>45594</c:v>
                      </c:pt>
                      <c:pt idx="18">
                        <c:v>45601</c:v>
                      </c:pt>
                      <c:pt idx="19">
                        <c:v>45608</c:v>
                      </c:pt>
                      <c:pt idx="20">
                        <c:v>45615</c:v>
                      </c:pt>
                      <c:pt idx="21">
                        <c:v>45622</c:v>
                      </c:pt>
                      <c:pt idx="22">
                        <c:v>45629</c:v>
                      </c:pt>
                      <c:pt idx="23">
                        <c:v>45636</c:v>
                      </c:pt>
                      <c:pt idx="24">
                        <c:v>45643</c:v>
                      </c:pt>
                      <c:pt idx="25">
                        <c:v>45650</c:v>
                      </c:pt>
                      <c:pt idx="26">
                        <c:v>45657</c:v>
                      </c:pt>
                      <c:pt idx="27">
                        <c:v>45664</c:v>
                      </c:pt>
                      <c:pt idx="28">
                        <c:v>45671</c:v>
                      </c:pt>
                      <c:pt idx="29">
                        <c:v>45678</c:v>
                      </c:pt>
                      <c:pt idx="30">
                        <c:v>45685</c:v>
                      </c:pt>
                      <c:pt idx="31">
                        <c:v>45692</c:v>
                      </c:pt>
                      <c:pt idx="32">
                        <c:v>45699</c:v>
                      </c:pt>
                      <c:pt idx="33">
                        <c:v>45706</c:v>
                      </c:pt>
                      <c:pt idx="34">
                        <c:v>45713</c:v>
                      </c:pt>
                      <c:pt idx="35">
                        <c:v>45720</c:v>
                      </c:pt>
                      <c:pt idx="36">
                        <c:v>45727</c:v>
                      </c:pt>
                      <c:pt idx="37">
                        <c:v>45734</c:v>
                      </c:pt>
                      <c:pt idx="38">
                        <c:v>45741</c:v>
                      </c:pt>
                      <c:pt idx="39">
                        <c:v>45748</c:v>
                      </c:pt>
                      <c:pt idx="40">
                        <c:v>45755</c:v>
                      </c:pt>
                      <c:pt idx="41">
                        <c:v>45762</c:v>
                      </c:pt>
                      <c:pt idx="42">
                        <c:v>45769</c:v>
                      </c:pt>
                      <c:pt idx="43">
                        <c:v>45776</c:v>
                      </c:pt>
                      <c:pt idx="44">
                        <c:v>45783</c:v>
                      </c:pt>
                      <c:pt idx="45">
                        <c:v>45790</c:v>
                      </c:pt>
                      <c:pt idx="46">
                        <c:v>45797</c:v>
                      </c:pt>
                      <c:pt idx="47">
                        <c:v>45804</c:v>
                      </c:pt>
                      <c:pt idx="48">
                        <c:v>45811</c:v>
                      </c:pt>
                      <c:pt idx="49">
                        <c:v>45818</c:v>
                      </c:pt>
                      <c:pt idx="50">
                        <c:v>45825</c:v>
                      </c:pt>
                      <c:pt idx="51">
                        <c:v>45832</c:v>
                      </c:pt>
                    </c:numCache>
                  </c:numRef>
                </c:cat>
                <c:val>
                  <c:numRef>
                    <c:extLst xmlns:c15="http://schemas.microsoft.com/office/drawing/2012/chart">
                      <c:ext xmlns:c15="http://schemas.microsoft.com/office/drawing/2012/chart" uri="{02D57815-91ED-43cb-92C2-25804820EDAC}">
                        <c15:formulaRef>
                          <c15:sqref>'OZL Summary'!$BP$8:$BP$60</c15:sqref>
                        </c15:formulaRef>
                      </c:ext>
                    </c:extLst>
                    <c:numCache>
                      <c:formatCode>0.000</c:formatCode>
                      <c:ptCount val="53"/>
                      <c:pt idx="0">
                        <c:v>1.8223138082807688E-2</c:v>
                      </c:pt>
                      <c:pt idx="1">
                        <c:v>3.6446276165615375E-2</c:v>
                      </c:pt>
                      <c:pt idx="2">
                        <c:v>5.4669414248423059E-2</c:v>
                      </c:pt>
                      <c:pt idx="3">
                        <c:v>7.2892552331230751E-2</c:v>
                      </c:pt>
                      <c:pt idx="4">
                        <c:v>9.1115690414038442E-2</c:v>
                      </c:pt>
                      <c:pt idx="5">
                        <c:v>0.10933882849684613</c:v>
                      </c:pt>
                      <c:pt idx="6">
                        <c:v>0.12756196657965382</c:v>
                      </c:pt>
                      <c:pt idx="7">
                        <c:v>0.1457851046624615</c:v>
                      </c:pt>
                      <c:pt idx="8">
                        <c:v>0.16400824274526918</c:v>
                      </c:pt>
                      <c:pt idx="9">
                        <c:v>0.18223138082807686</c:v>
                      </c:pt>
                      <c:pt idx="10">
                        <c:v>0.20045451891088453</c:v>
                      </c:pt>
                      <c:pt idx="11">
                        <c:v>0.21867765699369221</c:v>
                      </c:pt>
                      <c:pt idx="12">
                        <c:v>0.23690079507649989</c:v>
                      </c:pt>
                      <c:pt idx="13">
                        <c:v>0.25512393315930759</c:v>
                      </c:pt>
                      <c:pt idx="14">
                        <c:v>0.27334707124211527</c:v>
                      </c:pt>
                      <c:pt idx="15">
                        <c:v>0.29157020932492295</c:v>
                      </c:pt>
                      <c:pt idx="16">
                        <c:v>0.30979334740773062</c:v>
                      </c:pt>
                      <c:pt idx="17">
                        <c:v>0.3280164854905383</c:v>
                      </c:pt>
                      <c:pt idx="18">
                        <c:v>0.34623962357334598</c:v>
                      </c:pt>
                      <c:pt idx="19">
                        <c:v>0.36446276165615366</c:v>
                      </c:pt>
                      <c:pt idx="20">
                        <c:v>0.38268589973896133</c:v>
                      </c:pt>
                      <c:pt idx="21">
                        <c:v>0.40090903782176901</c:v>
                      </c:pt>
                      <c:pt idx="22">
                        <c:v>0.41913217590457669</c:v>
                      </c:pt>
                      <c:pt idx="23">
                        <c:v>0.43735531398738436</c:v>
                      </c:pt>
                      <c:pt idx="24">
                        <c:v>0.45557845207019204</c:v>
                      </c:pt>
                      <c:pt idx="25">
                        <c:v>0.47380159015299972</c:v>
                      </c:pt>
                      <c:pt idx="26">
                        <c:v>0.4920247282358074</c:v>
                      </c:pt>
                      <c:pt idx="27">
                        <c:v>0.51024786631861507</c:v>
                      </c:pt>
                      <c:pt idx="28">
                        <c:v>0.52847100440142281</c:v>
                      </c:pt>
                      <c:pt idx="29">
                        <c:v>0.54669414248423054</c:v>
                      </c:pt>
                      <c:pt idx="30">
                        <c:v>0.56491728056703827</c:v>
                      </c:pt>
                      <c:pt idx="31">
                        <c:v>0.583140418649846</c:v>
                      </c:pt>
                      <c:pt idx="32">
                        <c:v>0.60136355673265374</c:v>
                      </c:pt>
                      <c:pt idx="33">
                        <c:v>0.61958669481546147</c:v>
                      </c:pt>
                      <c:pt idx="34">
                        <c:v>0.6378098328982692</c:v>
                      </c:pt>
                      <c:pt idx="35">
                        <c:v>0.65603297098107693</c:v>
                      </c:pt>
                      <c:pt idx="36">
                        <c:v>0.67425610906388467</c:v>
                      </c:pt>
                      <c:pt idx="37">
                        <c:v>0.6924792471466924</c:v>
                      </c:pt>
                      <c:pt idx="38">
                        <c:v>0.71070238522950013</c:v>
                      </c:pt>
                      <c:pt idx="39">
                        <c:v>0.72892552331230787</c:v>
                      </c:pt>
                      <c:pt idx="40">
                        <c:v>0.7471486613951156</c:v>
                      </c:pt>
                      <c:pt idx="41">
                        <c:v>0.76537179947792333</c:v>
                      </c:pt>
                      <c:pt idx="42">
                        <c:v>0.78359493756073106</c:v>
                      </c:pt>
                      <c:pt idx="43">
                        <c:v>0.8018180756435388</c:v>
                      </c:pt>
                      <c:pt idx="44">
                        <c:v>0.82004121372634653</c:v>
                      </c:pt>
                      <c:pt idx="45">
                        <c:v>0.83826435180915426</c:v>
                      </c:pt>
                      <c:pt idx="46">
                        <c:v>0.85648748989196199</c:v>
                      </c:pt>
                      <c:pt idx="47">
                        <c:v>0.87471062797476973</c:v>
                      </c:pt>
                      <c:pt idx="48">
                        <c:v>0.89293376605757746</c:v>
                      </c:pt>
                      <c:pt idx="49">
                        <c:v>0.91115690414038519</c:v>
                      </c:pt>
                      <c:pt idx="50">
                        <c:v>0.92938004222319293</c:v>
                      </c:pt>
                      <c:pt idx="51">
                        <c:v>0.94760318030600066</c:v>
                      </c:pt>
                    </c:numCache>
                  </c:numRef>
                </c:val>
                <c:smooth val="0"/>
                <c:extLst xmlns:c15="http://schemas.microsoft.com/office/drawing/2012/chart">
                  <c:ext xmlns:c16="http://schemas.microsoft.com/office/drawing/2014/chart" uri="{C3380CC4-5D6E-409C-BE32-E72D297353CC}">
                    <c16:uniqueId val="{00000007-06AE-4EBF-9798-783660C9228B}"/>
                  </c:ext>
                </c:extLst>
              </c15:ser>
            </c15:filteredLineSeries>
            <c15:filteredLineSeries>
              <c15:ser>
                <c:idx val="1"/>
                <c:order val="4"/>
                <c:tx>
                  <c:strRef>
                    <c:extLst xmlns:c15="http://schemas.microsoft.com/office/drawing/2012/chart">
                      <c:ext xmlns:c15="http://schemas.microsoft.com/office/drawing/2012/chart" uri="{02D57815-91ED-43cb-92C2-25804820EDAC}">
                        <c15:formulaRef>
                          <c15:sqref>'OZL Summary'!$BR$6:$BR$7</c15:sqref>
                        </c15:formulaRef>
                      </c:ext>
                    </c:extLst>
                    <c:strCache>
                      <c:ptCount val="2"/>
                      <c:pt idx="0">
                        <c:v>10th Percentile</c:v>
                      </c:pt>
                    </c:strCache>
                  </c:strRef>
                </c:tx>
                <c:spPr>
                  <a:ln>
                    <a:solidFill>
                      <a:schemeClr val="bg2">
                        <a:lumMod val="60000"/>
                        <a:lumOff val="40000"/>
                      </a:schemeClr>
                    </a:solidFill>
                    <a:prstDash val="sysDot"/>
                  </a:ln>
                </c:spPr>
                <c:marker>
                  <c:symbol val="none"/>
                </c:marker>
                <c:cat>
                  <c:numRef>
                    <c:extLst xmlns:c15="http://schemas.microsoft.com/office/drawing/2012/chart">
                      <c:ext xmlns:c15="http://schemas.microsoft.com/office/drawing/2012/chart" uri="{02D57815-91ED-43cb-92C2-25804820EDAC}">
                        <c15:formulaRef>
                          <c15:sqref>'OZL Summary'!$EG$8:$EG$60</c15:sqref>
                        </c15:formulaRef>
                      </c:ext>
                    </c:extLst>
                    <c:numCache>
                      <c:formatCode>d\-mmm\-yy_);\(###0\);"-  ";" "@" "</c:formatCode>
                      <c:ptCount val="53"/>
                      <c:pt idx="0">
                        <c:v>45475</c:v>
                      </c:pt>
                      <c:pt idx="1">
                        <c:v>45482</c:v>
                      </c:pt>
                      <c:pt idx="2">
                        <c:v>45489</c:v>
                      </c:pt>
                      <c:pt idx="3">
                        <c:v>45496</c:v>
                      </c:pt>
                      <c:pt idx="4">
                        <c:v>45503</c:v>
                      </c:pt>
                      <c:pt idx="5">
                        <c:v>45510</c:v>
                      </c:pt>
                      <c:pt idx="6">
                        <c:v>45517</c:v>
                      </c:pt>
                      <c:pt idx="7">
                        <c:v>45524</c:v>
                      </c:pt>
                      <c:pt idx="8">
                        <c:v>45531</c:v>
                      </c:pt>
                      <c:pt idx="9">
                        <c:v>45538</c:v>
                      </c:pt>
                      <c:pt idx="10">
                        <c:v>45545</c:v>
                      </c:pt>
                      <c:pt idx="11">
                        <c:v>45552</c:v>
                      </c:pt>
                      <c:pt idx="12">
                        <c:v>45559</c:v>
                      </c:pt>
                      <c:pt idx="13">
                        <c:v>45566</c:v>
                      </c:pt>
                      <c:pt idx="14">
                        <c:v>45573</c:v>
                      </c:pt>
                      <c:pt idx="15">
                        <c:v>45580</c:v>
                      </c:pt>
                      <c:pt idx="16">
                        <c:v>45587</c:v>
                      </c:pt>
                      <c:pt idx="17">
                        <c:v>45594</c:v>
                      </c:pt>
                      <c:pt idx="18">
                        <c:v>45601</c:v>
                      </c:pt>
                      <c:pt idx="19">
                        <c:v>45608</c:v>
                      </c:pt>
                      <c:pt idx="20">
                        <c:v>45615</c:v>
                      </c:pt>
                      <c:pt idx="21">
                        <c:v>45622</c:v>
                      </c:pt>
                      <c:pt idx="22">
                        <c:v>45629</c:v>
                      </c:pt>
                      <c:pt idx="23">
                        <c:v>45636</c:v>
                      </c:pt>
                      <c:pt idx="24">
                        <c:v>45643</c:v>
                      </c:pt>
                      <c:pt idx="25">
                        <c:v>45650</c:v>
                      </c:pt>
                      <c:pt idx="26">
                        <c:v>45657</c:v>
                      </c:pt>
                      <c:pt idx="27">
                        <c:v>45664</c:v>
                      </c:pt>
                      <c:pt idx="28">
                        <c:v>45671</c:v>
                      </c:pt>
                      <c:pt idx="29">
                        <c:v>45678</c:v>
                      </c:pt>
                      <c:pt idx="30">
                        <c:v>45685</c:v>
                      </c:pt>
                      <c:pt idx="31">
                        <c:v>45692</c:v>
                      </c:pt>
                      <c:pt idx="32">
                        <c:v>45699</c:v>
                      </c:pt>
                      <c:pt idx="33">
                        <c:v>45706</c:v>
                      </c:pt>
                      <c:pt idx="34">
                        <c:v>45713</c:v>
                      </c:pt>
                      <c:pt idx="35">
                        <c:v>45720</c:v>
                      </c:pt>
                      <c:pt idx="36">
                        <c:v>45727</c:v>
                      </c:pt>
                      <c:pt idx="37">
                        <c:v>45734</c:v>
                      </c:pt>
                      <c:pt idx="38">
                        <c:v>45741</c:v>
                      </c:pt>
                      <c:pt idx="39">
                        <c:v>45748</c:v>
                      </c:pt>
                      <c:pt idx="40">
                        <c:v>45755</c:v>
                      </c:pt>
                      <c:pt idx="41">
                        <c:v>45762</c:v>
                      </c:pt>
                      <c:pt idx="42">
                        <c:v>45769</c:v>
                      </c:pt>
                      <c:pt idx="43">
                        <c:v>45776</c:v>
                      </c:pt>
                      <c:pt idx="44">
                        <c:v>45783</c:v>
                      </c:pt>
                      <c:pt idx="45">
                        <c:v>45790</c:v>
                      </c:pt>
                      <c:pt idx="46">
                        <c:v>45797</c:v>
                      </c:pt>
                      <c:pt idx="47">
                        <c:v>45804</c:v>
                      </c:pt>
                      <c:pt idx="48">
                        <c:v>45811</c:v>
                      </c:pt>
                      <c:pt idx="49">
                        <c:v>45818</c:v>
                      </c:pt>
                      <c:pt idx="50">
                        <c:v>45825</c:v>
                      </c:pt>
                      <c:pt idx="51">
                        <c:v>45832</c:v>
                      </c:pt>
                    </c:numCache>
                  </c:numRef>
                </c:cat>
                <c:val>
                  <c:numRef>
                    <c:extLst xmlns:c15="http://schemas.microsoft.com/office/drawing/2012/chart">
                      <c:ext xmlns:c15="http://schemas.microsoft.com/office/drawing/2012/chart" uri="{02D57815-91ED-43cb-92C2-25804820EDAC}">
                        <c15:formulaRef>
                          <c15:sqref>'OZL Summary'!$BR$8:$BR$60</c15:sqref>
                        </c15:formulaRef>
                      </c:ext>
                    </c:extLst>
                    <c:numCache>
                      <c:formatCode>0.000</c:formatCode>
                      <c:ptCount val="53"/>
                      <c:pt idx="0">
                        <c:v>2.0199848897457344E-2</c:v>
                      </c:pt>
                      <c:pt idx="1">
                        <c:v>4.0399697794914688E-2</c:v>
                      </c:pt>
                      <c:pt idx="2">
                        <c:v>6.0599546692372032E-2</c:v>
                      </c:pt>
                      <c:pt idx="3">
                        <c:v>8.0799395589829376E-2</c:v>
                      </c:pt>
                      <c:pt idx="4">
                        <c:v>0.10099924448728673</c:v>
                      </c:pt>
                      <c:pt idx="5">
                        <c:v>0.12119909338474408</c:v>
                      </c:pt>
                      <c:pt idx="6">
                        <c:v>0.14139894228220143</c:v>
                      </c:pt>
                      <c:pt idx="7">
                        <c:v>0.16159879117965878</c:v>
                      </c:pt>
                      <c:pt idx="8">
                        <c:v>0.18179864007711613</c:v>
                      </c:pt>
                      <c:pt idx="9">
                        <c:v>0.20199848897457348</c:v>
                      </c:pt>
                      <c:pt idx="10">
                        <c:v>0.22219833787203083</c:v>
                      </c:pt>
                      <c:pt idx="11">
                        <c:v>0.24239818676948818</c:v>
                      </c:pt>
                      <c:pt idx="12">
                        <c:v>0.26259803566694551</c:v>
                      </c:pt>
                      <c:pt idx="13">
                        <c:v>0.28279788456440286</c:v>
                      </c:pt>
                      <c:pt idx="14">
                        <c:v>0.30299773346186021</c:v>
                      </c:pt>
                      <c:pt idx="15">
                        <c:v>0.32319758235931756</c:v>
                      </c:pt>
                      <c:pt idx="16">
                        <c:v>0.34339743125677491</c:v>
                      </c:pt>
                      <c:pt idx="17">
                        <c:v>0.36359728015423226</c:v>
                      </c:pt>
                      <c:pt idx="18">
                        <c:v>0.38379712905168961</c:v>
                      </c:pt>
                      <c:pt idx="19">
                        <c:v>0.40399697794914696</c:v>
                      </c:pt>
                      <c:pt idx="20">
                        <c:v>0.42419682684660431</c:v>
                      </c:pt>
                      <c:pt idx="21">
                        <c:v>0.44439667574406166</c:v>
                      </c:pt>
                      <c:pt idx="22">
                        <c:v>0.46459652464151902</c:v>
                      </c:pt>
                      <c:pt idx="23">
                        <c:v>0.48479637353897637</c:v>
                      </c:pt>
                      <c:pt idx="24">
                        <c:v>0.50499622243643372</c:v>
                      </c:pt>
                      <c:pt idx="25">
                        <c:v>0.52519607133389101</c:v>
                      </c:pt>
                      <c:pt idx="26">
                        <c:v>0.54539592023134831</c:v>
                      </c:pt>
                      <c:pt idx="27">
                        <c:v>0.5655957691288056</c:v>
                      </c:pt>
                      <c:pt idx="28">
                        <c:v>0.5857956180262629</c:v>
                      </c:pt>
                      <c:pt idx="29">
                        <c:v>0.60599546692372019</c:v>
                      </c:pt>
                      <c:pt idx="30">
                        <c:v>0.62619531582117749</c:v>
                      </c:pt>
                      <c:pt idx="31">
                        <c:v>0.64639516471863478</c:v>
                      </c:pt>
                      <c:pt idx="32">
                        <c:v>0.66659501361609208</c:v>
                      </c:pt>
                      <c:pt idx="33">
                        <c:v>0.68679486251354938</c:v>
                      </c:pt>
                      <c:pt idx="34">
                        <c:v>0.70699471141100667</c:v>
                      </c:pt>
                      <c:pt idx="35">
                        <c:v>0.72719456030846397</c:v>
                      </c:pt>
                      <c:pt idx="36">
                        <c:v>0.74739440920592126</c:v>
                      </c:pt>
                      <c:pt idx="37">
                        <c:v>0.76759425810337856</c:v>
                      </c:pt>
                      <c:pt idx="38">
                        <c:v>0.78779410700083585</c:v>
                      </c:pt>
                      <c:pt idx="39">
                        <c:v>0.80799395589829315</c:v>
                      </c:pt>
                      <c:pt idx="40">
                        <c:v>0.82819380479575044</c:v>
                      </c:pt>
                      <c:pt idx="41">
                        <c:v>0.84839365369320774</c:v>
                      </c:pt>
                      <c:pt idx="42">
                        <c:v>0.86859350259066503</c:v>
                      </c:pt>
                      <c:pt idx="43">
                        <c:v>0.88879335148812233</c:v>
                      </c:pt>
                      <c:pt idx="44">
                        <c:v>0.90899320038557962</c:v>
                      </c:pt>
                      <c:pt idx="45">
                        <c:v>0.92919304928303692</c:v>
                      </c:pt>
                      <c:pt idx="46">
                        <c:v>0.94939289818049422</c:v>
                      </c:pt>
                      <c:pt idx="47">
                        <c:v>0.96959274707795151</c:v>
                      </c:pt>
                      <c:pt idx="48">
                        <c:v>0.98979259597540881</c:v>
                      </c:pt>
                      <c:pt idx="49">
                        <c:v>1.0099924448728661</c:v>
                      </c:pt>
                      <c:pt idx="50">
                        <c:v>1.0301922937703234</c:v>
                      </c:pt>
                      <c:pt idx="51">
                        <c:v>1.0503921426677807</c:v>
                      </c:pt>
                    </c:numCache>
                  </c:numRef>
                </c:val>
                <c:smooth val="0"/>
                <c:extLst xmlns:c15="http://schemas.microsoft.com/office/drawing/2012/chart">
                  <c:ext xmlns:c16="http://schemas.microsoft.com/office/drawing/2014/chart" uri="{C3380CC4-5D6E-409C-BE32-E72D297353CC}">
                    <c16:uniqueId val="{00000008-06AE-4EBF-9798-783660C9228B}"/>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'OZL Summary'!$BV$6:$BV$7</c15:sqref>
                        </c15:formulaRef>
                      </c:ext>
                    </c:extLst>
                    <c:strCache>
                      <c:ptCount val="2"/>
                      <c:pt idx="0">
                        <c:v>90th Percentile</c:v>
                      </c:pt>
                    </c:strCache>
                  </c:strRef>
                </c:tx>
                <c:marker>
                  <c:symbol val="none"/>
                </c:marker>
                <c:cat>
                  <c:numRef>
                    <c:extLst xmlns:c15="http://schemas.microsoft.com/office/drawing/2012/chart">
                      <c:ext xmlns:c15="http://schemas.microsoft.com/office/drawing/2012/chart" uri="{02D57815-91ED-43cb-92C2-25804820EDAC}">
                        <c15:formulaRef>
                          <c15:sqref>'OZL Summary'!$EG$8:$EG$60</c15:sqref>
                        </c15:formulaRef>
                      </c:ext>
                    </c:extLst>
                    <c:numCache>
                      <c:formatCode>d\-mmm\-yy_);\(###0\);"-  ";" "@" "</c:formatCode>
                      <c:ptCount val="53"/>
                      <c:pt idx="0">
                        <c:v>45475</c:v>
                      </c:pt>
                      <c:pt idx="1">
                        <c:v>45482</c:v>
                      </c:pt>
                      <c:pt idx="2">
                        <c:v>45489</c:v>
                      </c:pt>
                      <c:pt idx="3">
                        <c:v>45496</c:v>
                      </c:pt>
                      <c:pt idx="4">
                        <c:v>45503</c:v>
                      </c:pt>
                      <c:pt idx="5">
                        <c:v>45510</c:v>
                      </c:pt>
                      <c:pt idx="6">
                        <c:v>45517</c:v>
                      </c:pt>
                      <c:pt idx="7">
                        <c:v>45524</c:v>
                      </c:pt>
                      <c:pt idx="8">
                        <c:v>45531</c:v>
                      </c:pt>
                      <c:pt idx="9">
                        <c:v>45538</c:v>
                      </c:pt>
                      <c:pt idx="10">
                        <c:v>45545</c:v>
                      </c:pt>
                      <c:pt idx="11">
                        <c:v>45552</c:v>
                      </c:pt>
                      <c:pt idx="12">
                        <c:v>45559</c:v>
                      </c:pt>
                      <c:pt idx="13">
                        <c:v>45566</c:v>
                      </c:pt>
                      <c:pt idx="14">
                        <c:v>45573</c:v>
                      </c:pt>
                      <c:pt idx="15">
                        <c:v>45580</c:v>
                      </c:pt>
                      <c:pt idx="16">
                        <c:v>45587</c:v>
                      </c:pt>
                      <c:pt idx="17">
                        <c:v>45594</c:v>
                      </c:pt>
                      <c:pt idx="18">
                        <c:v>45601</c:v>
                      </c:pt>
                      <c:pt idx="19">
                        <c:v>45608</c:v>
                      </c:pt>
                      <c:pt idx="20">
                        <c:v>45615</c:v>
                      </c:pt>
                      <c:pt idx="21">
                        <c:v>45622</c:v>
                      </c:pt>
                      <c:pt idx="22">
                        <c:v>45629</c:v>
                      </c:pt>
                      <c:pt idx="23">
                        <c:v>45636</c:v>
                      </c:pt>
                      <c:pt idx="24">
                        <c:v>45643</c:v>
                      </c:pt>
                      <c:pt idx="25">
                        <c:v>45650</c:v>
                      </c:pt>
                      <c:pt idx="26">
                        <c:v>45657</c:v>
                      </c:pt>
                      <c:pt idx="27">
                        <c:v>45664</c:v>
                      </c:pt>
                      <c:pt idx="28">
                        <c:v>45671</c:v>
                      </c:pt>
                      <c:pt idx="29">
                        <c:v>45678</c:v>
                      </c:pt>
                      <c:pt idx="30">
                        <c:v>45685</c:v>
                      </c:pt>
                      <c:pt idx="31">
                        <c:v>45692</c:v>
                      </c:pt>
                      <c:pt idx="32">
                        <c:v>45699</c:v>
                      </c:pt>
                      <c:pt idx="33">
                        <c:v>45706</c:v>
                      </c:pt>
                      <c:pt idx="34">
                        <c:v>45713</c:v>
                      </c:pt>
                      <c:pt idx="35">
                        <c:v>45720</c:v>
                      </c:pt>
                      <c:pt idx="36">
                        <c:v>45727</c:v>
                      </c:pt>
                      <c:pt idx="37">
                        <c:v>45734</c:v>
                      </c:pt>
                      <c:pt idx="38">
                        <c:v>45741</c:v>
                      </c:pt>
                      <c:pt idx="39">
                        <c:v>45748</c:v>
                      </c:pt>
                      <c:pt idx="40">
                        <c:v>45755</c:v>
                      </c:pt>
                      <c:pt idx="41">
                        <c:v>45762</c:v>
                      </c:pt>
                      <c:pt idx="42">
                        <c:v>45769</c:v>
                      </c:pt>
                      <c:pt idx="43">
                        <c:v>45776</c:v>
                      </c:pt>
                      <c:pt idx="44">
                        <c:v>45783</c:v>
                      </c:pt>
                      <c:pt idx="45">
                        <c:v>45790</c:v>
                      </c:pt>
                      <c:pt idx="46">
                        <c:v>45797</c:v>
                      </c:pt>
                      <c:pt idx="47">
                        <c:v>45804</c:v>
                      </c:pt>
                      <c:pt idx="48">
                        <c:v>45811</c:v>
                      </c:pt>
                      <c:pt idx="49">
                        <c:v>45818</c:v>
                      </c:pt>
                      <c:pt idx="50">
                        <c:v>45825</c:v>
                      </c:pt>
                      <c:pt idx="51">
                        <c:v>45832</c:v>
                      </c:pt>
                    </c:numCache>
                  </c:numRef>
                </c:cat>
                <c:val>
                  <c:numRef>
                    <c:extLst xmlns:c15="http://schemas.microsoft.com/office/drawing/2012/chart">
                      <c:ext xmlns:c15="http://schemas.microsoft.com/office/drawing/2012/chart" uri="{02D57815-91ED-43cb-92C2-25804820EDAC}">
                        <c15:formulaRef>
                          <c15:sqref>'OZL Summary'!$BV$8:$BV$60</c15:sqref>
                        </c15:formulaRef>
                      </c:ext>
                    </c:extLst>
                    <c:numCache>
                      <c:formatCode>0.000</c:formatCode>
                      <c:ptCount val="53"/>
                      <c:pt idx="0">
                        <c:v>2.7720420236719803E-2</c:v>
                      </c:pt>
                      <c:pt idx="1">
                        <c:v>5.5440840473439605E-2</c:v>
                      </c:pt>
                      <c:pt idx="2">
                        <c:v>8.3161260710159404E-2</c:v>
                      </c:pt>
                      <c:pt idx="3">
                        <c:v>0.11088168094687921</c:v>
                      </c:pt>
                      <c:pt idx="4">
                        <c:v>0.138602101183599</c:v>
                      </c:pt>
                      <c:pt idx="5">
                        <c:v>0.16632252142031881</c:v>
                      </c:pt>
                      <c:pt idx="6">
                        <c:v>0.19404294165703861</c:v>
                      </c:pt>
                      <c:pt idx="7">
                        <c:v>0.22176336189375842</c:v>
                      </c:pt>
                      <c:pt idx="8">
                        <c:v>0.24948378213047823</c:v>
                      </c:pt>
                      <c:pt idx="9">
                        <c:v>0.277204202367198</c:v>
                      </c:pt>
                      <c:pt idx="10">
                        <c:v>0.30492462260391778</c:v>
                      </c:pt>
                      <c:pt idx="11">
                        <c:v>0.33264504284063756</c:v>
                      </c:pt>
                      <c:pt idx="12">
                        <c:v>0.36036546307735734</c:v>
                      </c:pt>
                      <c:pt idx="13">
                        <c:v>0.38808588331407712</c:v>
                      </c:pt>
                      <c:pt idx="14">
                        <c:v>0.4158063035507969</c:v>
                      </c:pt>
                      <c:pt idx="15">
                        <c:v>0.44352672378751667</c:v>
                      </c:pt>
                      <c:pt idx="16">
                        <c:v>0.47124714402423645</c:v>
                      </c:pt>
                      <c:pt idx="17">
                        <c:v>0.49896756426095623</c:v>
                      </c:pt>
                      <c:pt idx="18">
                        <c:v>0.52668798449767606</c:v>
                      </c:pt>
                      <c:pt idx="19">
                        <c:v>0.5544084047343959</c:v>
                      </c:pt>
                      <c:pt idx="20">
                        <c:v>0.58212882497111573</c:v>
                      </c:pt>
                      <c:pt idx="21">
                        <c:v>0.60984924520783557</c:v>
                      </c:pt>
                      <c:pt idx="22">
                        <c:v>0.6375696654445554</c:v>
                      </c:pt>
                      <c:pt idx="23">
                        <c:v>0.66529008568127523</c:v>
                      </c:pt>
                      <c:pt idx="24">
                        <c:v>0.69301050591799507</c:v>
                      </c:pt>
                      <c:pt idx="25">
                        <c:v>0.7207309261547149</c:v>
                      </c:pt>
                      <c:pt idx="26">
                        <c:v>0.74845134639143474</c:v>
                      </c:pt>
                      <c:pt idx="27">
                        <c:v>0.77617176662815457</c:v>
                      </c:pt>
                      <c:pt idx="28">
                        <c:v>0.8038921868648744</c:v>
                      </c:pt>
                      <c:pt idx="29">
                        <c:v>0.83161260710159424</c:v>
                      </c:pt>
                      <c:pt idx="30">
                        <c:v>0.85933302733831407</c:v>
                      </c:pt>
                      <c:pt idx="31">
                        <c:v>0.8870534475750339</c:v>
                      </c:pt>
                      <c:pt idx="32">
                        <c:v>0.91477386781175374</c:v>
                      </c:pt>
                      <c:pt idx="33">
                        <c:v>0.94249428804847357</c:v>
                      </c:pt>
                      <c:pt idx="34">
                        <c:v>0.97021470828519341</c:v>
                      </c:pt>
                      <c:pt idx="35">
                        <c:v>0.99793512852191324</c:v>
                      </c:pt>
                      <c:pt idx="36">
                        <c:v>1.025655548758633</c:v>
                      </c:pt>
                      <c:pt idx="37">
                        <c:v>1.0533759689953528</c:v>
                      </c:pt>
                      <c:pt idx="38">
                        <c:v>1.0810963892320726</c:v>
                      </c:pt>
                      <c:pt idx="39">
                        <c:v>1.1088168094687925</c:v>
                      </c:pt>
                      <c:pt idx="40">
                        <c:v>1.1365372297055123</c:v>
                      </c:pt>
                      <c:pt idx="41">
                        <c:v>1.1642576499422321</c:v>
                      </c:pt>
                      <c:pt idx="42">
                        <c:v>1.191978070178952</c:v>
                      </c:pt>
                      <c:pt idx="43">
                        <c:v>1.2196984904156718</c:v>
                      </c:pt>
                      <c:pt idx="44">
                        <c:v>1.2474189106523916</c:v>
                      </c:pt>
                      <c:pt idx="45">
                        <c:v>1.2751393308891115</c:v>
                      </c:pt>
                      <c:pt idx="46">
                        <c:v>1.3028597511258313</c:v>
                      </c:pt>
                      <c:pt idx="47">
                        <c:v>1.3305801713625511</c:v>
                      </c:pt>
                      <c:pt idx="48">
                        <c:v>1.358300591599271</c:v>
                      </c:pt>
                      <c:pt idx="49">
                        <c:v>1.3860210118359908</c:v>
                      </c:pt>
                      <c:pt idx="50">
                        <c:v>1.4137414320727106</c:v>
                      </c:pt>
                      <c:pt idx="51">
                        <c:v>1.4414618523094305</c:v>
                      </c:pt>
                    </c:numCache>
                  </c:numRef>
                </c:val>
                <c:smooth val="0"/>
                <c:extLst xmlns:c15="http://schemas.microsoft.com/office/drawing/2012/chart">
                  <c:ext xmlns:c16="http://schemas.microsoft.com/office/drawing/2014/chart" uri="{C3380CC4-5D6E-409C-BE32-E72D297353CC}">
                    <c16:uniqueId val="{00000009-06AE-4EBF-9798-783660C9228B}"/>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'OZL Summary'!$BX$6:$BX$7</c15:sqref>
                        </c15:formulaRef>
                      </c:ext>
                    </c:extLst>
                    <c:strCache>
                      <c:ptCount val="2"/>
                      <c:pt idx="0">
                        <c:v>99th Percentile</c:v>
                      </c:pt>
                    </c:strCache>
                  </c:strRef>
                </c:tx>
                <c:marker>
                  <c:symbol val="none"/>
                </c:marker>
                <c:cat>
                  <c:numRef>
                    <c:extLst xmlns:c15="http://schemas.microsoft.com/office/drawing/2012/chart">
                      <c:ext xmlns:c15="http://schemas.microsoft.com/office/drawing/2012/chart" uri="{02D57815-91ED-43cb-92C2-25804820EDAC}">
                        <c15:formulaRef>
                          <c15:sqref>'OZL Summary'!$EG$8:$EG$60</c15:sqref>
                        </c15:formulaRef>
                      </c:ext>
                    </c:extLst>
                    <c:numCache>
                      <c:formatCode>d\-mmm\-yy_);\(###0\);"-  ";" "@" "</c:formatCode>
                      <c:ptCount val="53"/>
                      <c:pt idx="0">
                        <c:v>45475</c:v>
                      </c:pt>
                      <c:pt idx="1">
                        <c:v>45482</c:v>
                      </c:pt>
                      <c:pt idx="2">
                        <c:v>45489</c:v>
                      </c:pt>
                      <c:pt idx="3">
                        <c:v>45496</c:v>
                      </c:pt>
                      <c:pt idx="4">
                        <c:v>45503</c:v>
                      </c:pt>
                      <c:pt idx="5">
                        <c:v>45510</c:v>
                      </c:pt>
                      <c:pt idx="6">
                        <c:v>45517</c:v>
                      </c:pt>
                      <c:pt idx="7">
                        <c:v>45524</c:v>
                      </c:pt>
                      <c:pt idx="8">
                        <c:v>45531</c:v>
                      </c:pt>
                      <c:pt idx="9">
                        <c:v>45538</c:v>
                      </c:pt>
                      <c:pt idx="10">
                        <c:v>45545</c:v>
                      </c:pt>
                      <c:pt idx="11">
                        <c:v>45552</c:v>
                      </c:pt>
                      <c:pt idx="12">
                        <c:v>45559</c:v>
                      </c:pt>
                      <c:pt idx="13">
                        <c:v>45566</c:v>
                      </c:pt>
                      <c:pt idx="14">
                        <c:v>45573</c:v>
                      </c:pt>
                      <c:pt idx="15">
                        <c:v>45580</c:v>
                      </c:pt>
                      <c:pt idx="16">
                        <c:v>45587</c:v>
                      </c:pt>
                      <c:pt idx="17">
                        <c:v>45594</c:v>
                      </c:pt>
                      <c:pt idx="18">
                        <c:v>45601</c:v>
                      </c:pt>
                      <c:pt idx="19">
                        <c:v>45608</c:v>
                      </c:pt>
                      <c:pt idx="20">
                        <c:v>45615</c:v>
                      </c:pt>
                      <c:pt idx="21">
                        <c:v>45622</c:v>
                      </c:pt>
                      <c:pt idx="22">
                        <c:v>45629</c:v>
                      </c:pt>
                      <c:pt idx="23">
                        <c:v>45636</c:v>
                      </c:pt>
                      <c:pt idx="24">
                        <c:v>45643</c:v>
                      </c:pt>
                      <c:pt idx="25">
                        <c:v>45650</c:v>
                      </c:pt>
                      <c:pt idx="26">
                        <c:v>45657</c:v>
                      </c:pt>
                      <c:pt idx="27">
                        <c:v>45664</c:v>
                      </c:pt>
                      <c:pt idx="28">
                        <c:v>45671</c:v>
                      </c:pt>
                      <c:pt idx="29">
                        <c:v>45678</c:v>
                      </c:pt>
                      <c:pt idx="30">
                        <c:v>45685</c:v>
                      </c:pt>
                      <c:pt idx="31">
                        <c:v>45692</c:v>
                      </c:pt>
                      <c:pt idx="32">
                        <c:v>45699</c:v>
                      </c:pt>
                      <c:pt idx="33">
                        <c:v>45706</c:v>
                      </c:pt>
                      <c:pt idx="34">
                        <c:v>45713</c:v>
                      </c:pt>
                      <c:pt idx="35">
                        <c:v>45720</c:v>
                      </c:pt>
                      <c:pt idx="36">
                        <c:v>45727</c:v>
                      </c:pt>
                      <c:pt idx="37">
                        <c:v>45734</c:v>
                      </c:pt>
                      <c:pt idx="38">
                        <c:v>45741</c:v>
                      </c:pt>
                      <c:pt idx="39">
                        <c:v>45748</c:v>
                      </c:pt>
                      <c:pt idx="40">
                        <c:v>45755</c:v>
                      </c:pt>
                      <c:pt idx="41">
                        <c:v>45762</c:v>
                      </c:pt>
                      <c:pt idx="42">
                        <c:v>45769</c:v>
                      </c:pt>
                      <c:pt idx="43">
                        <c:v>45776</c:v>
                      </c:pt>
                      <c:pt idx="44">
                        <c:v>45783</c:v>
                      </c:pt>
                      <c:pt idx="45">
                        <c:v>45790</c:v>
                      </c:pt>
                      <c:pt idx="46">
                        <c:v>45797</c:v>
                      </c:pt>
                      <c:pt idx="47">
                        <c:v>45804</c:v>
                      </c:pt>
                      <c:pt idx="48">
                        <c:v>45811</c:v>
                      </c:pt>
                      <c:pt idx="49">
                        <c:v>45818</c:v>
                      </c:pt>
                      <c:pt idx="50">
                        <c:v>45825</c:v>
                      </c:pt>
                      <c:pt idx="51">
                        <c:v>45832</c:v>
                      </c:pt>
                    </c:numCache>
                  </c:numRef>
                </c:cat>
                <c:val>
                  <c:numRef>
                    <c:extLst xmlns:c15="http://schemas.microsoft.com/office/drawing/2012/chart">
                      <c:ext xmlns:c15="http://schemas.microsoft.com/office/drawing/2012/chart" uri="{02D57815-91ED-43cb-92C2-25804820EDAC}">
                        <c15:formulaRef>
                          <c15:sqref>'OZL Summary'!$BX$8:$BX$60</c15:sqref>
                        </c15:formulaRef>
                      </c:ext>
                    </c:extLst>
                    <c:numCache>
                      <c:formatCode>0.000</c:formatCode>
                      <c:ptCount val="53"/>
                      <c:pt idx="0">
                        <c:v>3.2006943607976859E-2</c:v>
                      </c:pt>
                      <c:pt idx="1">
                        <c:v>6.4013887215953719E-2</c:v>
                      </c:pt>
                      <c:pt idx="2">
                        <c:v>9.6020830823930578E-2</c:v>
                      </c:pt>
                      <c:pt idx="3">
                        <c:v>0.12802777443190744</c:v>
                      </c:pt>
                      <c:pt idx="4">
                        <c:v>0.16003471803988428</c:v>
                      </c:pt>
                      <c:pt idx="5">
                        <c:v>0.19204166164786113</c:v>
                      </c:pt>
                      <c:pt idx="6">
                        <c:v>0.22404860525583797</c:v>
                      </c:pt>
                      <c:pt idx="7">
                        <c:v>0.25605554886381482</c:v>
                      </c:pt>
                      <c:pt idx="8">
                        <c:v>0.28806249247179166</c:v>
                      </c:pt>
                      <c:pt idx="9">
                        <c:v>0.32006943607976851</c:v>
                      </c:pt>
                      <c:pt idx="10">
                        <c:v>0.35207637968774536</c:v>
                      </c:pt>
                      <c:pt idx="11">
                        <c:v>0.3840833232957222</c:v>
                      </c:pt>
                      <c:pt idx="12">
                        <c:v>0.41609026690369905</c:v>
                      </c:pt>
                      <c:pt idx="13">
                        <c:v>0.44809721051167589</c:v>
                      </c:pt>
                      <c:pt idx="14">
                        <c:v>0.48010415411965274</c:v>
                      </c:pt>
                      <c:pt idx="15">
                        <c:v>0.51211109772762964</c:v>
                      </c:pt>
                      <c:pt idx="16">
                        <c:v>0.54411804133560648</c:v>
                      </c:pt>
                      <c:pt idx="17">
                        <c:v>0.57612498494358333</c:v>
                      </c:pt>
                      <c:pt idx="18">
                        <c:v>0.60813192855156017</c:v>
                      </c:pt>
                      <c:pt idx="19">
                        <c:v>0.64013887215953702</c:v>
                      </c:pt>
                      <c:pt idx="20">
                        <c:v>0.67214581576751387</c:v>
                      </c:pt>
                      <c:pt idx="21">
                        <c:v>0.70415275937549071</c:v>
                      </c:pt>
                      <c:pt idx="22">
                        <c:v>0.73615970298346756</c:v>
                      </c:pt>
                      <c:pt idx="23">
                        <c:v>0.7681666465914444</c:v>
                      </c:pt>
                      <c:pt idx="24">
                        <c:v>0.80017359019942125</c:v>
                      </c:pt>
                      <c:pt idx="25">
                        <c:v>0.83218053380739809</c:v>
                      </c:pt>
                      <c:pt idx="26">
                        <c:v>0.86418747741537494</c:v>
                      </c:pt>
                      <c:pt idx="27">
                        <c:v>0.89619442102335178</c:v>
                      </c:pt>
                      <c:pt idx="28">
                        <c:v>0.92820136463132863</c:v>
                      </c:pt>
                      <c:pt idx="29">
                        <c:v>0.96020830823930547</c:v>
                      </c:pt>
                      <c:pt idx="30">
                        <c:v>0.99221525184728232</c:v>
                      </c:pt>
                      <c:pt idx="31">
                        <c:v>1.0242221954552593</c:v>
                      </c:pt>
                      <c:pt idx="32">
                        <c:v>1.0562291390632361</c:v>
                      </c:pt>
                      <c:pt idx="33">
                        <c:v>1.088236082671213</c:v>
                      </c:pt>
                      <c:pt idx="34">
                        <c:v>1.1202430262791898</c:v>
                      </c:pt>
                      <c:pt idx="35">
                        <c:v>1.1522499698871667</c:v>
                      </c:pt>
                      <c:pt idx="36">
                        <c:v>1.1842569134951435</c:v>
                      </c:pt>
                      <c:pt idx="37">
                        <c:v>1.2162638571031203</c:v>
                      </c:pt>
                      <c:pt idx="38">
                        <c:v>1.2482708007110972</c:v>
                      </c:pt>
                      <c:pt idx="39">
                        <c:v>1.280277744319074</c:v>
                      </c:pt>
                      <c:pt idx="40">
                        <c:v>1.3122846879270509</c:v>
                      </c:pt>
                      <c:pt idx="41">
                        <c:v>1.3442916315350277</c:v>
                      </c:pt>
                      <c:pt idx="42">
                        <c:v>1.3762985751430046</c:v>
                      </c:pt>
                      <c:pt idx="43">
                        <c:v>1.4083055187509814</c:v>
                      </c:pt>
                      <c:pt idx="44">
                        <c:v>1.4403124623589583</c:v>
                      </c:pt>
                      <c:pt idx="45">
                        <c:v>1.4723194059669351</c:v>
                      </c:pt>
                      <c:pt idx="46">
                        <c:v>1.504326349574912</c:v>
                      </c:pt>
                      <c:pt idx="47">
                        <c:v>1.5363332931828888</c:v>
                      </c:pt>
                      <c:pt idx="48">
                        <c:v>1.5683402367908656</c:v>
                      </c:pt>
                      <c:pt idx="49">
                        <c:v>1.6003471803988425</c:v>
                      </c:pt>
                      <c:pt idx="50">
                        <c:v>1.6323541240068193</c:v>
                      </c:pt>
                      <c:pt idx="51">
                        <c:v>1.6643610676147962</c:v>
                      </c:pt>
                    </c:numCache>
                  </c:numRef>
                </c:val>
                <c:smooth val="0"/>
                <c:extLst xmlns:c15="http://schemas.microsoft.com/office/drawing/2012/chart">
                  <c:ext xmlns:c16="http://schemas.microsoft.com/office/drawing/2014/chart" uri="{C3380CC4-5D6E-409C-BE32-E72D297353CC}">
                    <c16:uniqueId val="{0000000A-06AE-4EBF-9798-783660C9228B}"/>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'OZL Summary'!$BY$6:$BY$7</c15:sqref>
                        </c15:formulaRef>
                      </c:ext>
                    </c:extLst>
                    <c:strCache>
                      <c:ptCount val="2"/>
                      <c:pt idx="0">
                        <c:v>Max</c:v>
                      </c:pt>
                    </c:strCache>
                  </c:strRef>
                </c:tx>
                <c:marker>
                  <c:symbol val="none"/>
                </c:marker>
                <c:cat>
                  <c:numRef>
                    <c:extLst xmlns:c15="http://schemas.microsoft.com/office/drawing/2012/chart">
                      <c:ext xmlns:c15="http://schemas.microsoft.com/office/drawing/2012/chart" uri="{02D57815-91ED-43cb-92C2-25804820EDAC}">
                        <c15:formulaRef>
                          <c15:sqref>'OZL Summary'!$EG$8:$EG$60</c15:sqref>
                        </c15:formulaRef>
                      </c:ext>
                    </c:extLst>
                    <c:numCache>
                      <c:formatCode>d\-mmm\-yy_);\(###0\);"-  ";" "@" "</c:formatCode>
                      <c:ptCount val="53"/>
                      <c:pt idx="0">
                        <c:v>45475</c:v>
                      </c:pt>
                      <c:pt idx="1">
                        <c:v>45482</c:v>
                      </c:pt>
                      <c:pt idx="2">
                        <c:v>45489</c:v>
                      </c:pt>
                      <c:pt idx="3">
                        <c:v>45496</c:v>
                      </c:pt>
                      <c:pt idx="4">
                        <c:v>45503</c:v>
                      </c:pt>
                      <c:pt idx="5">
                        <c:v>45510</c:v>
                      </c:pt>
                      <c:pt idx="6">
                        <c:v>45517</c:v>
                      </c:pt>
                      <c:pt idx="7">
                        <c:v>45524</c:v>
                      </c:pt>
                      <c:pt idx="8">
                        <c:v>45531</c:v>
                      </c:pt>
                      <c:pt idx="9">
                        <c:v>45538</c:v>
                      </c:pt>
                      <c:pt idx="10">
                        <c:v>45545</c:v>
                      </c:pt>
                      <c:pt idx="11">
                        <c:v>45552</c:v>
                      </c:pt>
                      <c:pt idx="12">
                        <c:v>45559</c:v>
                      </c:pt>
                      <c:pt idx="13">
                        <c:v>45566</c:v>
                      </c:pt>
                      <c:pt idx="14">
                        <c:v>45573</c:v>
                      </c:pt>
                      <c:pt idx="15">
                        <c:v>45580</c:v>
                      </c:pt>
                      <c:pt idx="16">
                        <c:v>45587</c:v>
                      </c:pt>
                      <c:pt idx="17">
                        <c:v>45594</c:v>
                      </c:pt>
                      <c:pt idx="18">
                        <c:v>45601</c:v>
                      </c:pt>
                      <c:pt idx="19">
                        <c:v>45608</c:v>
                      </c:pt>
                      <c:pt idx="20">
                        <c:v>45615</c:v>
                      </c:pt>
                      <c:pt idx="21">
                        <c:v>45622</c:v>
                      </c:pt>
                      <c:pt idx="22">
                        <c:v>45629</c:v>
                      </c:pt>
                      <c:pt idx="23">
                        <c:v>45636</c:v>
                      </c:pt>
                      <c:pt idx="24">
                        <c:v>45643</c:v>
                      </c:pt>
                      <c:pt idx="25">
                        <c:v>45650</c:v>
                      </c:pt>
                      <c:pt idx="26">
                        <c:v>45657</c:v>
                      </c:pt>
                      <c:pt idx="27">
                        <c:v>45664</c:v>
                      </c:pt>
                      <c:pt idx="28">
                        <c:v>45671</c:v>
                      </c:pt>
                      <c:pt idx="29">
                        <c:v>45678</c:v>
                      </c:pt>
                      <c:pt idx="30">
                        <c:v>45685</c:v>
                      </c:pt>
                      <c:pt idx="31">
                        <c:v>45692</c:v>
                      </c:pt>
                      <c:pt idx="32">
                        <c:v>45699</c:v>
                      </c:pt>
                      <c:pt idx="33">
                        <c:v>45706</c:v>
                      </c:pt>
                      <c:pt idx="34">
                        <c:v>45713</c:v>
                      </c:pt>
                      <c:pt idx="35">
                        <c:v>45720</c:v>
                      </c:pt>
                      <c:pt idx="36">
                        <c:v>45727</c:v>
                      </c:pt>
                      <c:pt idx="37">
                        <c:v>45734</c:v>
                      </c:pt>
                      <c:pt idx="38">
                        <c:v>45741</c:v>
                      </c:pt>
                      <c:pt idx="39">
                        <c:v>45748</c:v>
                      </c:pt>
                      <c:pt idx="40">
                        <c:v>45755</c:v>
                      </c:pt>
                      <c:pt idx="41">
                        <c:v>45762</c:v>
                      </c:pt>
                      <c:pt idx="42">
                        <c:v>45769</c:v>
                      </c:pt>
                      <c:pt idx="43">
                        <c:v>45776</c:v>
                      </c:pt>
                      <c:pt idx="44">
                        <c:v>45783</c:v>
                      </c:pt>
                      <c:pt idx="45">
                        <c:v>45790</c:v>
                      </c:pt>
                      <c:pt idx="46">
                        <c:v>45797</c:v>
                      </c:pt>
                      <c:pt idx="47">
                        <c:v>45804</c:v>
                      </c:pt>
                      <c:pt idx="48">
                        <c:v>45811</c:v>
                      </c:pt>
                      <c:pt idx="49">
                        <c:v>45818</c:v>
                      </c:pt>
                      <c:pt idx="50">
                        <c:v>45825</c:v>
                      </c:pt>
                      <c:pt idx="51">
                        <c:v>45832</c:v>
                      </c:pt>
                    </c:numCache>
                  </c:numRef>
                </c:cat>
                <c:val>
                  <c:numRef>
                    <c:extLst xmlns:c15="http://schemas.microsoft.com/office/drawing/2012/chart">
                      <c:ext xmlns:c15="http://schemas.microsoft.com/office/drawing/2012/chart" uri="{02D57815-91ED-43cb-92C2-25804820EDAC}">
                        <c15:formulaRef>
                          <c15:sqref>'OZL Summary'!$BY$8:$BY$60</c15:sqref>
                        </c15:formulaRef>
                      </c:ext>
                    </c:extLst>
                    <c:numCache>
                      <c:formatCode>0.000</c:formatCode>
                      <c:ptCount val="53"/>
                      <c:pt idx="0">
                        <c:v>3.9503586953510528E-2</c:v>
                      </c:pt>
                      <c:pt idx="1">
                        <c:v>7.9007173907021055E-2</c:v>
                      </c:pt>
                      <c:pt idx="2">
                        <c:v>0.11851076086053158</c:v>
                      </c:pt>
                      <c:pt idx="3">
                        <c:v>0.15801434781404211</c:v>
                      </c:pt>
                      <c:pt idx="4">
                        <c:v>0.19751793476755264</c:v>
                      </c:pt>
                      <c:pt idx="5">
                        <c:v>0.23702152172106317</c:v>
                      </c:pt>
                      <c:pt idx="6">
                        <c:v>0.27652510867457369</c:v>
                      </c:pt>
                      <c:pt idx="7">
                        <c:v>0.31602869562808422</c:v>
                      </c:pt>
                      <c:pt idx="8">
                        <c:v>0.35553228258159475</c:v>
                      </c:pt>
                      <c:pt idx="9">
                        <c:v>0.39503586953510528</c:v>
                      </c:pt>
                      <c:pt idx="10">
                        <c:v>0.43453945648861581</c:v>
                      </c:pt>
                      <c:pt idx="11">
                        <c:v>0.47404304344212633</c:v>
                      </c:pt>
                      <c:pt idx="12">
                        <c:v>0.51354663039563686</c:v>
                      </c:pt>
                      <c:pt idx="13">
                        <c:v>0.55305021734914739</c:v>
                      </c:pt>
                      <c:pt idx="14">
                        <c:v>0.59255380430265792</c:v>
                      </c:pt>
                      <c:pt idx="15">
                        <c:v>0.63205739125616844</c:v>
                      </c:pt>
                      <c:pt idx="16">
                        <c:v>0.67156097820967897</c:v>
                      </c:pt>
                      <c:pt idx="17">
                        <c:v>0.7110645651631895</c:v>
                      </c:pt>
                      <c:pt idx="18">
                        <c:v>0.75056815211670003</c:v>
                      </c:pt>
                      <c:pt idx="19">
                        <c:v>0.79007173907021055</c:v>
                      </c:pt>
                      <c:pt idx="20">
                        <c:v>0.82957532602372108</c:v>
                      </c:pt>
                      <c:pt idx="21">
                        <c:v>0.86907891297723161</c:v>
                      </c:pt>
                      <c:pt idx="22">
                        <c:v>0.90858249993074214</c:v>
                      </c:pt>
                      <c:pt idx="23">
                        <c:v>0.94808608688425267</c:v>
                      </c:pt>
                      <c:pt idx="24">
                        <c:v>0.98758967383776319</c:v>
                      </c:pt>
                      <c:pt idx="25">
                        <c:v>1.0270932607912737</c:v>
                      </c:pt>
                      <c:pt idx="26">
                        <c:v>1.0665968477447842</c:v>
                      </c:pt>
                      <c:pt idx="27">
                        <c:v>1.1061004346982948</c:v>
                      </c:pt>
                      <c:pt idx="28">
                        <c:v>1.1456040216518053</c:v>
                      </c:pt>
                      <c:pt idx="29">
                        <c:v>1.1851076086053158</c:v>
                      </c:pt>
                      <c:pt idx="30">
                        <c:v>1.2246111955588264</c:v>
                      </c:pt>
                      <c:pt idx="31">
                        <c:v>1.2641147825123369</c:v>
                      </c:pt>
                      <c:pt idx="32">
                        <c:v>1.3036183694658474</c:v>
                      </c:pt>
                      <c:pt idx="33">
                        <c:v>1.3431219564193579</c:v>
                      </c:pt>
                      <c:pt idx="34">
                        <c:v>1.3826255433728685</c:v>
                      </c:pt>
                      <c:pt idx="35">
                        <c:v>1.422129130326379</c:v>
                      </c:pt>
                      <c:pt idx="36">
                        <c:v>1.4616327172798895</c:v>
                      </c:pt>
                      <c:pt idx="37">
                        <c:v>1.5011363042334001</c:v>
                      </c:pt>
                      <c:pt idx="38">
                        <c:v>1.5406398911869106</c:v>
                      </c:pt>
                      <c:pt idx="39">
                        <c:v>1.5801434781404211</c:v>
                      </c:pt>
                      <c:pt idx="40">
                        <c:v>1.6196470650939316</c:v>
                      </c:pt>
                      <c:pt idx="41">
                        <c:v>1.6591506520474422</c:v>
                      </c:pt>
                      <c:pt idx="42">
                        <c:v>1.6986542390009527</c:v>
                      </c:pt>
                      <c:pt idx="43">
                        <c:v>1.7381578259544632</c:v>
                      </c:pt>
                      <c:pt idx="44">
                        <c:v>1.7776614129079737</c:v>
                      </c:pt>
                      <c:pt idx="45">
                        <c:v>1.8171649998614843</c:v>
                      </c:pt>
                      <c:pt idx="46">
                        <c:v>1.8566685868149948</c:v>
                      </c:pt>
                      <c:pt idx="47">
                        <c:v>1.8961721737685053</c:v>
                      </c:pt>
                      <c:pt idx="48">
                        <c:v>1.9356757607220159</c:v>
                      </c:pt>
                      <c:pt idx="49">
                        <c:v>1.9751793476755264</c:v>
                      </c:pt>
                      <c:pt idx="50">
                        <c:v>2.0146829346290369</c:v>
                      </c:pt>
                      <c:pt idx="51">
                        <c:v>2.0541865215825474</c:v>
                      </c:pt>
                    </c:numCache>
                  </c:numRef>
                </c:val>
                <c:smooth val="0"/>
                <c:extLst xmlns:c15="http://schemas.microsoft.com/office/drawing/2012/chart">
                  <c:ext xmlns:c16="http://schemas.microsoft.com/office/drawing/2014/chart" uri="{C3380CC4-5D6E-409C-BE32-E72D297353CC}">
                    <c16:uniqueId val="{0000000B-06AE-4EBF-9798-783660C9228B}"/>
                  </c:ext>
                </c:extLst>
              </c15:ser>
            </c15:filteredLineSeries>
          </c:ext>
        </c:extLst>
      </c:lineChart>
      <c:dateAx>
        <c:axId val="1388952432"/>
        <c:scaling>
          <c:orientation val="minMax"/>
        </c:scaling>
        <c:delete val="0"/>
        <c:axPos val="b"/>
        <c:numFmt formatCode="mmm\-yy" sourceLinked="0"/>
        <c:majorTickMark val="none"/>
        <c:minorTickMark val="none"/>
        <c:tickLblPos val="nextTo"/>
        <c:spPr>
          <a:noFill/>
          <a:ln w="9525" cap="flat" cmpd="sng" algn="ctr">
            <a:noFill/>
            <a:round/>
          </a:ln>
          <a:effectLst/>
        </c:spPr>
        <c:txPr>
          <a:bodyPr rot="-5400000" vert="horz"/>
          <a:lstStyle/>
          <a:p>
            <a:pPr>
              <a:defRPr/>
            </a:pPr>
            <a:endParaRPr lang="en-US"/>
          </a:p>
        </c:txPr>
        <c:crossAx val="1388953088"/>
        <c:crosses val="autoZero"/>
        <c:auto val="1"/>
        <c:lblOffset val="100"/>
        <c:baseTimeUnit val="days"/>
        <c:majorUnit val="1"/>
        <c:majorTimeUnit val="months"/>
      </c:dateAx>
      <c:valAx>
        <c:axId val="13889530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vert="horz"/>
          <a:lstStyle/>
          <a:p>
            <a:pPr>
              <a:defRPr/>
            </a:pPr>
            <a:endParaRPr lang="en-US"/>
          </a:p>
        </c:txPr>
        <c:crossAx val="1388952432"/>
        <c:crosses val="autoZero"/>
        <c:crossBetween val="between"/>
        <c:majorUnit val="0.5"/>
      </c:valAx>
    </c:plotArea>
    <c:legend>
      <c:legendPos val="b"/>
      <c:legendEntry>
        <c:idx val="1"/>
        <c:delete val="1"/>
      </c:legendEntry>
      <c:legendEntry>
        <c:idx val="3"/>
        <c:delete val="1"/>
      </c:legendEntry>
      <c:legendEntry>
        <c:idx val="4"/>
        <c:delete val="1"/>
      </c:legendEntry>
      <c:legendEntry>
        <c:idx val="5"/>
        <c:delete val="1"/>
      </c:legendEntry>
      <c:overlay val="0"/>
      <c:spPr>
        <a:noFill/>
        <a:ln>
          <a:noFill/>
        </a:ln>
        <a:effectLst/>
      </c:spPr>
      <c:txPr>
        <a:bodyPr rot="0" vert="horz"/>
        <a:lstStyle/>
        <a:p>
          <a:pPr>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sz="900">
          <a:solidFill>
            <a:sysClr val="windowText" lastClr="000000"/>
          </a:solidFill>
        </a:defRPr>
      </a:pPr>
      <a:endParaRPr lang="en-US"/>
    </a:p>
  </c:txPr>
  <c:printSettings>
    <c:headerFooter/>
    <c:pageMargins b="0.75" l="0.7" r="0.7" t="0.75" header="0.3" footer="0.3"/>
    <c:pageSetup orientation="portrait"/>
  </c:printSettings>
</c:chartSpace>
</file>

<file path=xl/charts/chart1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'OZL Summary'!$GK$6</c:f>
              <c:strCache>
                <c:ptCount val="1"/>
                <c:pt idx="0">
                  <c:v>Actual</c:v>
                </c:pt>
              </c:strCache>
            </c:strRef>
          </c:tx>
          <c:spPr>
            <a:ln>
              <a:solidFill>
                <a:schemeClr val="tx2"/>
              </a:solidFill>
            </a:ln>
          </c:spPr>
          <c:marker>
            <c:symbol val="none"/>
          </c:marker>
          <c:cat>
            <c:numRef>
              <c:f>'OZL Summary'!$HB$8:$HB$60</c:f>
              <c:numCache>
                <c:formatCode>d\-mmm\-yy_);\(###0\);"-  ";" "@" "</c:formatCode>
                <c:ptCount val="53"/>
                <c:pt idx="0">
                  <c:v>45839</c:v>
                </c:pt>
                <c:pt idx="1">
                  <c:v>45846</c:v>
                </c:pt>
                <c:pt idx="2">
                  <c:v>45853</c:v>
                </c:pt>
                <c:pt idx="3">
                  <c:v>45860</c:v>
                </c:pt>
                <c:pt idx="4">
                  <c:v>45867</c:v>
                </c:pt>
                <c:pt idx="5">
                  <c:v>45874</c:v>
                </c:pt>
                <c:pt idx="6">
                  <c:v>45881</c:v>
                </c:pt>
                <c:pt idx="7">
                  <c:v>45888</c:v>
                </c:pt>
                <c:pt idx="8">
                  <c:v>45895</c:v>
                </c:pt>
                <c:pt idx="9">
                  <c:v>45902</c:v>
                </c:pt>
                <c:pt idx="10">
                  <c:v>45909</c:v>
                </c:pt>
                <c:pt idx="11">
                  <c:v>45916</c:v>
                </c:pt>
                <c:pt idx="12">
                  <c:v>45923</c:v>
                </c:pt>
                <c:pt idx="13">
                  <c:v>45930</c:v>
                </c:pt>
                <c:pt idx="14">
                  <c:v>45937</c:v>
                </c:pt>
                <c:pt idx="15">
                  <c:v>45944</c:v>
                </c:pt>
                <c:pt idx="16">
                  <c:v>45951</c:v>
                </c:pt>
                <c:pt idx="17">
                  <c:v>45958</c:v>
                </c:pt>
                <c:pt idx="18">
                  <c:v>45965</c:v>
                </c:pt>
                <c:pt idx="19">
                  <c:v>45972</c:v>
                </c:pt>
                <c:pt idx="20">
                  <c:v>45979</c:v>
                </c:pt>
                <c:pt idx="21">
                  <c:v>45986</c:v>
                </c:pt>
                <c:pt idx="22">
                  <c:v>45993</c:v>
                </c:pt>
                <c:pt idx="23">
                  <c:v>46000</c:v>
                </c:pt>
                <c:pt idx="24">
                  <c:v>46007</c:v>
                </c:pt>
                <c:pt idx="25">
                  <c:v>46014</c:v>
                </c:pt>
                <c:pt idx="26">
                  <c:v>46021</c:v>
                </c:pt>
              </c:numCache>
            </c:numRef>
          </c:cat>
          <c:val>
            <c:numRef>
              <c:f>'OZL Summary'!$HC$8:$HC$60</c:f>
              <c:numCache>
                <c:formatCode>0.000</c:formatCode>
                <c:ptCount val="53"/>
                <c:pt idx="0">
                  <c:v>3.5725300750300289E-2</c:v>
                </c:pt>
                <c:pt idx="1">
                  <c:v>5.026881004909909E-2</c:v>
                </c:pt>
                <c:pt idx="2">
                  <c:v>6.9238359791141124E-2</c:v>
                </c:pt>
                <c:pt idx="3">
                  <c:v>9.4097844214264245E-2</c:v>
                </c:pt>
                <c:pt idx="4">
                  <c:v>0.12644394336951947</c:v>
                </c:pt>
                <c:pt idx="5">
                  <c:v>0.16768150125450448</c:v>
                </c:pt>
                <c:pt idx="6">
                  <c:v>0.18212702829744742</c:v>
                </c:pt>
                <c:pt idx="7">
                  <c:v>0.20305269005177867</c:v>
                </c:pt>
                <c:pt idx="8">
                  <c:v>0.22748216614021713</c:v>
                </c:pt>
                <c:pt idx="9">
                  <c:v>0.24061374069126817</c:v>
                </c:pt>
                <c:pt idx="10">
                  <c:v>0.26072523271168863</c:v>
                </c:pt>
                <c:pt idx="11">
                  <c:v>0.28809985656258952</c:v>
                </c:pt>
                <c:pt idx="12">
                  <c:v>0.30169140129066757</c:v>
                </c:pt>
                <c:pt idx="13">
                  <c:v>0.31924742688586277</c:v>
                </c:pt>
                <c:pt idx="14">
                  <c:v>0.34171451190297991</c:v>
                </c:pt>
                <c:pt idx="15">
                  <c:v>0.35588034753361053</c:v>
                </c:pt>
                <c:pt idx="16">
                  <c:v>0.37505091899697385</c:v>
                </c:pt>
                <c:pt idx="17">
                  <c:v>0.39909207787279971</c:v>
                </c:pt>
                <c:pt idx="18">
                  <c:v>0.42627698419457144</c:v>
                </c:pt>
                <c:pt idx="19">
                  <c:v>0.43938507185823511</c:v>
                </c:pt>
                <c:pt idx="20">
                  <c:v>0.46104199767043191</c:v>
                </c:pt>
                <c:pt idx="21">
                  <c:v>0.48909001177808958</c:v>
                </c:pt>
                <c:pt idx="22">
                  <c:v>0.52232302817403553</c:v>
                </c:pt>
                <c:pt idx="23">
                  <c:v>0.56298249988860016</c:v>
                </c:pt>
                <c:pt idx="24">
                  <c:v>0.57662538392748908</c:v>
                </c:pt>
                <c:pt idx="25">
                  <c:v>0.59567274829550709</c:v>
                </c:pt>
                <c:pt idx="26">
                  <c:v>0.62201708962313473</c:v>
                </c:pt>
              </c:numCache>
            </c:numRef>
          </c:val>
          <c:smooth val="0"/>
          <c:extLst>
            <c:ext xmlns:c16="http://schemas.microsoft.com/office/drawing/2014/chart" uri="{C3380CC4-5D6E-409C-BE32-E72D297353CC}">
              <c16:uniqueId val="{00000007-AF9F-4006-8E17-84353166E25E}"/>
            </c:ext>
          </c:extLst>
        </c:ser>
        <c:ser>
          <c:idx val="7"/>
          <c:order val="1"/>
          <c:tx>
            <c:strRef>
              <c:f>'OZL Summary'!$GN$6:$GN$7</c:f>
              <c:strCache>
                <c:ptCount val="2"/>
                <c:pt idx="0">
                  <c:v>5th Percentile</c:v>
                </c:pt>
              </c:strCache>
            </c:strRef>
          </c:tx>
          <c:spPr>
            <a:ln>
              <a:solidFill>
                <a:schemeClr val="bg2">
                  <a:lumMod val="60000"/>
                  <a:lumOff val="40000"/>
                </a:schemeClr>
              </a:solidFill>
              <a:prstDash val="sysDot"/>
            </a:ln>
          </c:spPr>
          <c:marker>
            <c:symbol val="none"/>
          </c:marker>
          <c:cat>
            <c:numRef>
              <c:f>'OZL Summary'!$HB$8:$HB$60</c:f>
              <c:numCache>
                <c:formatCode>d\-mmm\-yy_);\(###0\);"-  ";" "@" "</c:formatCode>
                <c:ptCount val="53"/>
                <c:pt idx="0">
                  <c:v>45839</c:v>
                </c:pt>
                <c:pt idx="1">
                  <c:v>45846</c:v>
                </c:pt>
                <c:pt idx="2">
                  <c:v>45853</c:v>
                </c:pt>
                <c:pt idx="3">
                  <c:v>45860</c:v>
                </c:pt>
                <c:pt idx="4">
                  <c:v>45867</c:v>
                </c:pt>
                <c:pt idx="5">
                  <c:v>45874</c:v>
                </c:pt>
                <c:pt idx="6">
                  <c:v>45881</c:v>
                </c:pt>
                <c:pt idx="7">
                  <c:v>45888</c:v>
                </c:pt>
                <c:pt idx="8">
                  <c:v>45895</c:v>
                </c:pt>
                <c:pt idx="9">
                  <c:v>45902</c:v>
                </c:pt>
                <c:pt idx="10">
                  <c:v>45909</c:v>
                </c:pt>
                <c:pt idx="11">
                  <c:v>45916</c:v>
                </c:pt>
                <c:pt idx="12">
                  <c:v>45923</c:v>
                </c:pt>
                <c:pt idx="13">
                  <c:v>45930</c:v>
                </c:pt>
                <c:pt idx="14">
                  <c:v>45937</c:v>
                </c:pt>
                <c:pt idx="15">
                  <c:v>45944</c:v>
                </c:pt>
                <c:pt idx="16">
                  <c:v>45951</c:v>
                </c:pt>
                <c:pt idx="17">
                  <c:v>45958</c:v>
                </c:pt>
                <c:pt idx="18">
                  <c:v>45965</c:v>
                </c:pt>
                <c:pt idx="19">
                  <c:v>45972</c:v>
                </c:pt>
                <c:pt idx="20">
                  <c:v>45979</c:v>
                </c:pt>
                <c:pt idx="21">
                  <c:v>45986</c:v>
                </c:pt>
                <c:pt idx="22">
                  <c:v>45993</c:v>
                </c:pt>
                <c:pt idx="23">
                  <c:v>46000</c:v>
                </c:pt>
                <c:pt idx="24">
                  <c:v>46007</c:v>
                </c:pt>
                <c:pt idx="25">
                  <c:v>46014</c:v>
                </c:pt>
                <c:pt idx="26">
                  <c:v>46021</c:v>
                </c:pt>
              </c:numCache>
            </c:numRef>
          </c:cat>
          <c:val>
            <c:numRef>
              <c:f>'OZL Summary'!$HF$8:$HF$60</c:f>
              <c:numCache>
                <c:formatCode>0.000</c:formatCode>
                <c:ptCount val="53"/>
                <c:pt idx="0">
                  <c:v>2.2572897152483607E-2</c:v>
                </c:pt>
                <c:pt idx="1">
                  <c:v>4.5145794304967214E-2</c:v>
                </c:pt>
                <c:pt idx="2">
                  <c:v>6.7718691457450825E-2</c:v>
                </c:pt>
                <c:pt idx="3">
                  <c:v>9.0291588609934428E-2</c:v>
                </c:pt>
                <c:pt idx="4">
                  <c:v>0.11286448576241803</c:v>
                </c:pt>
                <c:pt idx="5">
                  <c:v>0.13543738291490165</c:v>
                </c:pt>
                <c:pt idx="6">
                  <c:v>0.15801028006738527</c:v>
                </c:pt>
                <c:pt idx="7">
                  <c:v>0.18058317721986888</c:v>
                </c:pt>
                <c:pt idx="8">
                  <c:v>0.2031560743723525</c:v>
                </c:pt>
                <c:pt idx="9">
                  <c:v>0.22572897152483612</c:v>
                </c:pt>
                <c:pt idx="10">
                  <c:v>0.24830186867731974</c:v>
                </c:pt>
                <c:pt idx="11">
                  <c:v>0.27087476582980335</c:v>
                </c:pt>
                <c:pt idx="12">
                  <c:v>0.29344766298228697</c:v>
                </c:pt>
                <c:pt idx="13">
                  <c:v>0.31602056013477059</c:v>
                </c:pt>
                <c:pt idx="14">
                  <c:v>0.33859345728725421</c:v>
                </c:pt>
                <c:pt idx="15">
                  <c:v>0.36116635443973782</c:v>
                </c:pt>
                <c:pt idx="16">
                  <c:v>0.38373925159222144</c:v>
                </c:pt>
                <c:pt idx="17">
                  <c:v>0.40631214874470506</c:v>
                </c:pt>
                <c:pt idx="18">
                  <c:v>0.42888504589718868</c:v>
                </c:pt>
                <c:pt idx="19">
                  <c:v>0.45145794304967229</c:v>
                </c:pt>
                <c:pt idx="20">
                  <c:v>0.47403084020215591</c:v>
                </c:pt>
                <c:pt idx="21">
                  <c:v>0.49660373735463953</c:v>
                </c:pt>
                <c:pt idx="22">
                  <c:v>0.51917663450712315</c:v>
                </c:pt>
                <c:pt idx="23">
                  <c:v>0.54174953165960671</c:v>
                </c:pt>
                <c:pt idx="24">
                  <c:v>0.56432242881209027</c:v>
                </c:pt>
                <c:pt idx="25">
                  <c:v>0.58689532596457383</c:v>
                </c:pt>
                <c:pt idx="26">
                  <c:v>0.60946822311705739</c:v>
                </c:pt>
              </c:numCache>
            </c:numRef>
          </c:val>
          <c:smooth val="0"/>
          <c:extLst xmlns:c15="http://schemas.microsoft.com/office/drawing/2012/chart">
            <c:ext xmlns:c16="http://schemas.microsoft.com/office/drawing/2014/chart" uri="{C3380CC4-5D6E-409C-BE32-E72D297353CC}">
              <c16:uniqueId val="{00000009-AF9F-4006-8E17-84353166E25E}"/>
            </c:ext>
          </c:extLst>
        </c:ser>
        <c:ser>
          <c:idx val="2"/>
          <c:order val="2"/>
          <c:tx>
            <c:v>5/25/50/75/95th percentile</c:v>
          </c:tx>
          <c:spPr>
            <a:ln>
              <a:solidFill>
                <a:schemeClr val="bg2">
                  <a:lumMod val="60000"/>
                  <a:lumOff val="40000"/>
                </a:schemeClr>
              </a:solidFill>
              <a:prstDash val="sysDot"/>
            </a:ln>
          </c:spPr>
          <c:marker>
            <c:symbol val="none"/>
          </c:marker>
          <c:cat>
            <c:numRef>
              <c:f>'OZL Summary'!$HB$8:$HB$60</c:f>
              <c:numCache>
                <c:formatCode>d\-mmm\-yy_);\(###0\);"-  ";" "@" "</c:formatCode>
                <c:ptCount val="53"/>
                <c:pt idx="0">
                  <c:v>45839</c:v>
                </c:pt>
                <c:pt idx="1">
                  <c:v>45846</c:v>
                </c:pt>
                <c:pt idx="2">
                  <c:v>45853</c:v>
                </c:pt>
                <c:pt idx="3">
                  <c:v>45860</c:v>
                </c:pt>
                <c:pt idx="4">
                  <c:v>45867</c:v>
                </c:pt>
                <c:pt idx="5">
                  <c:v>45874</c:v>
                </c:pt>
                <c:pt idx="6">
                  <c:v>45881</c:v>
                </c:pt>
                <c:pt idx="7">
                  <c:v>45888</c:v>
                </c:pt>
                <c:pt idx="8">
                  <c:v>45895</c:v>
                </c:pt>
                <c:pt idx="9">
                  <c:v>45902</c:v>
                </c:pt>
                <c:pt idx="10">
                  <c:v>45909</c:v>
                </c:pt>
                <c:pt idx="11">
                  <c:v>45916</c:v>
                </c:pt>
                <c:pt idx="12">
                  <c:v>45923</c:v>
                </c:pt>
                <c:pt idx="13">
                  <c:v>45930</c:v>
                </c:pt>
                <c:pt idx="14">
                  <c:v>45937</c:v>
                </c:pt>
                <c:pt idx="15">
                  <c:v>45944</c:v>
                </c:pt>
                <c:pt idx="16">
                  <c:v>45951</c:v>
                </c:pt>
                <c:pt idx="17">
                  <c:v>45958</c:v>
                </c:pt>
                <c:pt idx="18">
                  <c:v>45965</c:v>
                </c:pt>
                <c:pt idx="19">
                  <c:v>45972</c:v>
                </c:pt>
                <c:pt idx="20">
                  <c:v>45979</c:v>
                </c:pt>
                <c:pt idx="21">
                  <c:v>45986</c:v>
                </c:pt>
                <c:pt idx="22">
                  <c:v>45993</c:v>
                </c:pt>
                <c:pt idx="23">
                  <c:v>46000</c:v>
                </c:pt>
                <c:pt idx="24">
                  <c:v>46007</c:v>
                </c:pt>
                <c:pt idx="25">
                  <c:v>46014</c:v>
                </c:pt>
                <c:pt idx="26">
                  <c:v>46021</c:v>
                </c:pt>
              </c:numCache>
            </c:numRef>
          </c:cat>
          <c:val>
            <c:numRef>
              <c:f>'OZL Summary'!$HH$8:$HH$60</c:f>
              <c:numCache>
                <c:formatCode>0.000</c:formatCode>
                <c:ptCount val="53"/>
                <c:pt idx="0">
                  <c:v>2.5887025129576319E-2</c:v>
                </c:pt>
                <c:pt idx="1">
                  <c:v>5.1774050259152639E-2</c:v>
                </c:pt>
                <c:pt idx="2">
                  <c:v>7.7661075388728962E-2</c:v>
                </c:pt>
                <c:pt idx="3">
                  <c:v>0.10354810051830528</c:v>
                </c:pt>
                <c:pt idx="4">
                  <c:v>0.12943512564788159</c:v>
                </c:pt>
                <c:pt idx="5">
                  <c:v>0.15532215077745792</c:v>
                </c:pt>
                <c:pt idx="6">
                  <c:v>0.18120917590703425</c:v>
                </c:pt>
                <c:pt idx="7">
                  <c:v>0.20709620103661058</c:v>
                </c:pt>
                <c:pt idx="8">
                  <c:v>0.23298322616618691</c:v>
                </c:pt>
                <c:pt idx="9">
                  <c:v>0.25887025129576324</c:v>
                </c:pt>
                <c:pt idx="10">
                  <c:v>0.28475727642533954</c:v>
                </c:pt>
                <c:pt idx="11">
                  <c:v>0.31064430155491585</c:v>
                </c:pt>
                <c:pt idx="12">
                  <c:v>0.33653132668449215</c:v>
                </c:pt>
                <c:pt idx="13">
                  <c:v>0.36241835181406845</c:v>
                </c:pt>
                <c:pt idx="14">
                  <c:v>0.38830537694364475</c:v>
                </c:pt>
                <c:pt idx="15">
                  <c:v>0.41419240207322106</c:v>
                </c:pt>
                <c:pt idx="16">
                  <c:v>0.44007942720279736</c:v>
                </c:pt>
                <c:pt idx="17">
                  <c:v>0.46596645233237366</c:v>
                </c:pt>
                <c:pt idx="18">
                  <c:v>0.49185347746194996</c:v>
                </c:pt>
                <c:pt idx="19">
                  <c:v>0.51774050259152626</c:v>
                </c:pt>
                <c:pt idx="20">
                  <c:v>0.54362752772110257</c:v>
                </c:pt>
                <c:pt idx="21">
                  <c:v>0.56951455285067887</c:v>
                </c:pt>
                <c:pt idx="22">
                  <c:v>0.59540157798025517</c:v>
                </c:pt>
                <c:pt idx="23">
                  <c:v>0.62128860310983147</c:v>
                </c:pt>
                <c:pt idx="24">
                  <c:v>0.64717562823940777</c:v>
                </c:pt>
                <c:pt idx="25">
                  <c:v>0.67306265336898408</c:v>
                </c:pt>
                <c:pt idx="26">
                  <c:v>0.69894967849856038</c:v>
                </c:pt>
              </c:numCache>
            </c:numRef>
          </c:val>
          <c:smooth val="0"/>
          <c:extLst>
            <c:ext xmlns:c16="http://schemas.microsoft.com/office/drawing/2014/chart" uri="{C3380CC4-5D6E-409C-BE32-E72D297353CC}">
              <c16:uniqueId val="{0000000B-AF9F-4006-8E17-84353166E25E}"/>
            </c:ext>
          </c:extLst>
        </c:ser>
        <c:ser>
          <c:idx val="4"/>
          <c:order val="3"/>
          <c:tx>
            <c:strRef>
              <c:f>'OZL Summary'!$GQ$6:$GQ$7</c:f>
              <c:strCache>
                <c:ptCount val="2"/>
                <c:pt idx="0">
                  <c:v>50th Percentile</c:v>
                </c:pt>
              </c:strCache>
            </c:strRef>
          </c:tx>
          <c:spPr>
            <a:ln>
              <a:solidFill>
                <a:schemeClr val="bg2">
                  <a:lumMod val="60000"/>
                  <a:lumOff val="40000"/>
                </a:schemeClr>
              </a:solidFill>
              <a:prstDash val="sysDot"/>
            </a:ln>
          </c:spPr>
          <c:marker>
            <c:symbol val="none"/>
          </c:marker>
          <c:cat>
            <c:numRef>
              <c:f>'OZL Summary'!$HB$8:$HB$60</c:f>
              <c:numCache>
                <c:formatCode>d\-mmm\-yy_);\(###0\);"-  ";" "@" "</c:formatCode>
                <c:ptCount val="53"/>
                <c:pt idx="0">
                  <c:v>45839</c:v>
                </c:pt>
                <c:pt idx="1">
                  <c:v>45846</c:v>
                </c:pt>
                <c:pt idx="2">
                  <c:v>45853</c:v>
                </c:pt>
                <c:pt idx="3">
                  <c:v>45860</c:v>
                </c:pt>
                <c:pt idx="4">
                  <c:v>45867</c:v>
                </c:pt>
                <c:pt idx="5">
                  <c:v>45874</c:v>
                </c:pt>
                <c:pt idx="6">
                  <c:v>45881</c:v>
                </c:pt>
                <c:pt idx="7">
                  <c:v>45888</c:v>
                </c:pt>
                <c:pt idx="8">
                  <c:v>45895</c:v>
                </c:pt>
                <c:pt idx="9">
                  <c:v>45902</c:v>
                </c:pt>
                <c:pt idx="10">
                  <c:v>45909</c:v>
                </c:pt>
                <c:pt idx="11">
                  <c:v>45916</c:v>
                </c:pt>
                <c:pt idx="12">
                  <c:v>45923</c:v>
                </c:pt>
                <c:pt idx="13">
                  <c:v>45930</c:v>
                </c:pt>
                <c:pt idx="14">
                  <c:v>45937</c:v>
                </c:pt>
                <c:pt idx="15">
                  <c:v>45944</c:v>
                </c:pt>
                <c:pt idx="16">
                  <c:v>45951</c:v>
                </c:pt>
                <c:pt idx="17">
                  <c:v>45958</c:v>
                </c:pt>
                <c:pt idx="18">
                  <c:v>45965</c:v>
                </c:pt>
                <c:pt idx="19">
                  <c:v>45972</c:v>
                </c:pt>
                <c:pt idx="20">
                  <c:v>45979</c:v>
                </c:pt>
                <c:pt idx="21">
                  <c:v>45986</c:v>
                </c:pt>
                <c:pt idx="22">
                  <c:v>45993</c:v>
                </c:pt>
                <c:pt idx="23">
                  <c:v>46000</c:v>
                </c:pt>
                <c:pt idx="24">
                  <c:v>46007</c:v>
                </c:pt>
                <c:pt idx="25">
                  <c:v>46014</c:v>
                </c:pt>
                <c:pt idx="26">
                  <c:v>46021</c:v>
                </c:pt>
              </c:numCache>
            </c:numRef>
          </c:cat>
          <c:val>
            <c:numRef>
              <c:f>'OZL Summary'!$HI$8:$HI$60</c:f>
              <c:numCache>
                <c:formatCode>0.000</c:formatCode>
                <c:ptCount val="53"/>
                <c:pt idx="0">
                  <c:v>2.9079679969067809E-2</c:v>
                </c:pt>
                <c:pt idx="1">
                  <c:v>5.8159359938135619E-2</c:v>
                </c:pt>
                <c:pt idx="2">
                  <c:v>8.7239039907203428E-2</c:v>
                </c:pt>
                <c:pt idx="3">
                  <c:v>0.11631871987627124</c:v>
                </c:pt>
                <c:pt idx="4">
                  <c:v>0.14539839984533903</c:v>
                </c:pt>
                <c:pt idx="5">
                  <c:v>0.17447807981440683</c:v>
                </c:pt>
                <c:pt idx="6">
                  <c:v>0.20355775978347462</c:v>
                </c:pt>
                <c:pt idx="7">
                  <c:v>0.23263743975254242</c:v>
                </c:pt>
                <c:pt idx="8">
                  <c:v>0.26171711972161021</c:v>
                </c:pt>
                <c:pt idx="9">
                  <c:v>0.29079679969067801</c:v>
                </c:pt>
                <c:pt idx="10">
                  <c:v>0.3198764796597458</c:v>
                </c:pt>
                <c:pt idx="11">
                  <c:v>0.3489561596288136</c:v>
                </c:pt>
                <c:pt idx="12">
                  <c:v>0.3780358395978814</c:v>
                </c:pt>
                <c:pt idx="13">
                  <c:v>0.40711551956694919</c:v>
                </c:pt>
                <c:pt idx="14">
                  <c:v>0.43619519953601699</c:v>
                </c:pt>
                <c:pt idx="15">
                  <c:v>0.46527487950508478</c:v>
                </c:pt>
                <c:pt idx="16">
                  <c:v>0.49435455947415258</c:v>
                </c:pt>
                <c:pt idx="17">
                  <c:v>0.52343423944322043</c:v>
                </c:pt>
                <c:pt idx="18">
                  <c:v>0.55251391941228822</c:v>
                </c:pt>
                <c:pt idx="19">
                  <c:v>0.58159359938135602</c:v>
                </c:pt>
                <c:pt idx="20">
                  <c:v>0.61067327935042381</c:v>
                </c:pt>
                <c:pt idx="21">
                  <c:v>0.63975295931949161</c:v>
                </c:pt>
                <c:pt idx="22">
                  <c:v>0.66883263928855941</c:v>
                </c:pt>
                <c:pt idx="23">
                  <c:v>0.6979123192576272</c:v>
                </c:pt>
                <c:pt idx="24">
                  <c:v>0.726991999226695</c:v>
                </c:pt>
                <c:pt idx="25">
                  <c:v>0.75607167919576279</c:v>
                </c:pt>
                <c:pt idx="26">
                  <c:v>0.78515135916483059</c:v>
                </c:pt>
              </c:numCache>
            </c:numRef>
          </c:val>
          <c:smooth val="0"/>
          <c:extLst>
            <c:ext xmlns:c16="http://schemas.microsoft.com/office/drawing/2014/chart" uri="{C3380CC4-5D6E-409C-BE32-E72D297353CC}">
              <c16:uniqueId val="{0000000D-AF9F-4006-8E17-84353166E25E}"/>
            </c:ext>
          </c:extLst>
        </c:ser>
        <c:ser>
          <c:idx val="6"/>
          <c:order val="4"/>
          <c:tx>
            <c:strRef>
              <c:f>'OZL Summary'!$GR$6:$GR$7</c:f>
              <c:strCache>
                <c:ptCount val="2"/>
                <c:pt idx="0">
                  <c:v>75th Percentile</c:v>
                </c:pt>
              </c:strCache>
            </c:strRef>
          </c:tx>
          <c:spPr>
            <a:ln>
              <a:solidFill>
                <a:schemeClr val="bg2">
                  <a:lumMod val="60000"/>
                  <a:lumOff val="40000"/>
                </a:schemeClr>
              </a:solidFill>
              <a:prstDash val="sysDot"/>
            </a:ln>
          </c:spPr>
          <c:marker>
            <c:symbol val="none"/>
          </c:marker>
          <c:cat>
            <c:numRef>
              <c:f>'OZL Summary'!$HB$8:$HB$60</c:f>
              <c:numCache>
                <c:formatCode>d\-mmm\-yy_);\(###0\);"-  ";" "@" "</c:formatCode>
                <c:ptCount val="53"/>
                <c:pt idx="0">
                  <c:v>45839</c:v>
                </c:pt>
                <c:pt idx="1">
                  <c:v>45846</c:v>
                </c:pt>
                <c:pt idx="2">
                  <c:v>45853</c:v>
                </c:pt>
                <c:pt idx="3">
                  <c:v>45860</c:v>
                </c:pt>
                <c:pt idx="4">
                  <c:v>45867</c:v>
                </c:pt>
                <c:pt idx="5">
                  <c:v>45874</c:v>
                </c:pt>
                <c:pt idx="6">
                  <c:v>45881</c:v>
                </c:pt>
                <c:pt idx="7">
                  <c:v>45888</c:v>
                </c:pt>
                <c:pt idx="8">
                  <c:v>45895</c:v>
                </c:pt>
                <c:pt idx="9">
                  <c:v>45902</c:v>
                </c:pt>
                <c:pt idx="10">
                  <c:v>45909</c:v>
                </c:pt>
                <c:pt idx="11">
                  <c:v>45916</c:v>
                </c:pt>
                <c:pt idx="12">
                  <c:v>45923</c:v>
                </c:pt>
                <c:pt idx="13">
                  <c:v>45930</c:v>
                </c:pt>
                <c:pt idx="14">
                  <c:v>45937</c:v>
                </c:pt>
                <c:pt idx="15">
                  <c:v>45944</c:v>
                </c:pt>
                <c:pt idx="16">
                  <c:v>45951</c:v>
                </c:pt>
                <c:pt idx="17">
                  <c:v>45958</c:v>
                </c:pt>
                <c:pt idx="18">
                  <c:v>45965</c:v>
                </c:pt>
                <c:pt idx="19">
                  <c:v>45972</c:v>
                </c:pt>
                <c:pt idx="20">
                  <c:v>45979</c:v>
                </c:pt>
                <c:pt idx="21">
                  <c:v>45986</c:v>
                </c:pt>
                <c:pt idx="22">
                  <c:v>45993</c:v>
                </c:pt>
                <c:pt idx="23">
                  <c:v>46000</c:v>
                </c:pt>
                <c:pt idx="24">
                  <c:v>46007</c:v>
                </c:pt>
                <c:pt idx="25">
                  <c:v>46014</c:v>
                </c:pt>
                <c:pt idx="26">
                  <c:v>46021</c:v>
                </c:pt>
              </c:numCache>
            </c:numRef>
          </c:cat>
          <c:val>
            <c:numRef>
              <c:f>'OZL Summary'!$HJ$8:$HJ$60</c:f>
              <c:numCache>
                <c:formatCode>0.000</c:formatCode>
                <c:ptCount val="53"/>
                <c:pt idx="0">
                  <c:v>3.3267652381548149E-2</c:v>
                </c:pt>
                <c:pt idx="1">
                  <c:v>6.6535304763096298E-2</c:v>
                </c:pt>
                <c:pt idx="2">
                  <c:v>9.9802957144644447E-2</c:v>
                </c:pt>
                <c:pt idx="3">
                  <c:v>0.1330706095261926</c:v>
                </c:pt>
                <c:pt idx="4">
                  <c:v>0.16633826190774076</c:v>
                </c:pt>
                <c:pt idx="5">
                  <c:v>0.19960591428928892</c:v>
                </c:pt>
                <c:pt idx="6">
                  <c:v>0.23287356667083708</c:v>
                </c:pt>
                <c:pt idx="7">
                  <c:v>0.26614121905238525</c:v>
                </c:pt>
                <c:pt idx="8">
                  <c:v>0.29940887143393341</c:v>
                </c:pt>
                <c:pt idx="9">
                  <c:v>0.33267652381548157</c:v>
                </c:pt>
                <c:pt idx="10">
                  <c:v>0.36594417619702974</c:v>
                </c:pt>
                <c:pt idx="11">
                  <c:v>0.3992118285785779</c:v>
                </c:pt>
                <c:pt idx="12">
                  <c:v>0.43247948096012606</c:v>
                </c:pt>
                <c:pt idx="13">
                  <c:v>0.46574713334167422</c:v>
                </c:pt>
                <c:pt idx="14">
                  <c:v>0.49901478572322239</c:v>
                </c:pt>
                <c:pt idx="15">
                  <c:v>0.53228243810477049</c:v>
                </c:pt>
                <c:pt idx="16">
                  <c:v>0.56555009048631866</c:v>
                </c:pt>
                <c:pt idx="17">
                  <c:v>0.59881774286786682</c:v>
                </c:pt>
                <c:pt idx="18">
                  <c:v>0.63208539524941498</c:v>
                </c:pt>
                <c:pt idx="19">
                  <c:v>0.66535304763096315</c:v>
                </c:pt>
                <c:pt idx="20">
                  <c:v>0.69862070001251131</c:v>
                </c:pt>
                <c:pt idx="21">
                  <c:v>0.73188835239405947</c:v>
                </c:pt>
                <c:pt idx="22">
                  <c:v>0.76515600477560763</c:v>
                </c:pt>
                <c:pt idx="23">
                  <c:v>0.7984236571571558</c:v>
                </c:pt>
                <c:pt idx="24">
                  <c:v>0.83169130953870396</c:v>
                </c:pt>
                <c:pt idx="25">
                  <c:v>0.86495896192025212</c:v>
                </c:pt>
                <c:pt idx="26">
                  <c:v>0.89822661430180029</c:v>
                </c:pt>
              </c:numCache>
            </c:numRef>
          </c:val>
          <c:smooth val="0"/>
          <c:extLst xmlns:c15="http://schemas.microsoft.com/office/drawing/2012/chart">
            <c:ext xmlns:c16="http://schemas.microsoft.com/office/drawing/2014/chart" uri="{C3380CC4-5D6E-409C-BE32-E72D297353CC}">
              <c16:uniqueId val="{0000000F-AF9F-4006-8E17-84353166E25E}"/>
            </c:ext>
          </c:extLst>
        </c:ser>
        <c:ser>
          <c:idx val="9"/>
          <c:order val="5"/>
          <c:tx>
            <c:strRef>
              <c:f>'OZL Summary'!$GT$6:$GT$7</c:f>
              <c:strCache>
                <c:ptCount val="2"/>
                <c:pt idx="0">
                  <c:v>95th Percentile</c:v>
                </c:pt>
              </c:strCache>
            </c:strRef>
          </c:tx>
          <c:spPr>
            <a:ln>
              <a:solidFill>
                <a:schemeClr val="bg2">
                  <a:lumMod val="60000"/>
                  <a:lumOff val="40000"/>
                </a:schemeClr>
              </a:solidFill>
              <a:prstDash val="sysDot"/>
            </a:ln>
          </c:spPr>
          <c:marker>
            <c:symbol val="none"/>
          </c:marker>
          <c:cat>
            <c:numRef>
              <c:f>'OZL Summary'!$HB$8:$HB$60</c:f>
              <c:numCache>
                <c:formatCode>d\-mmm\-yy_);\(###0\);"-  ";" "@" "</c:formatCode>
                <c:ptCount val="53"/>
                <c:pt idx="0">
                  <c:v>45839</c:v>
                </c:pt>
                <c:pt idx="1">
                  <c:v>45846</c:v>
                </c:pt>
                <c:pt idx="2">
                  <c:v>45853</c:v>
                </c:pt>
                <c:pt idx="3">
                  <c:v>45860</c:v>
                </c:pt>
                <c:pt idx="4">
                  <c:v>45867</c:v>
                </c:pt>
                <c:pt idx="5">
                  <c:v>45874</c:v>
                </c:pt>
                <c:pt idx="6">
                  <c:v>45881</c:v>
                </c:pt>
                <c:pt idx="7">
                  <c:v>45888</c:v>
                </c:pt>
                <c:pt idx="8">
                  <c:v>45895</c:v>
                </c:pt>
                <c:pt idx="9">
                  <c:v>45902</c:v>
                </c:pt>
                <c:pt idx="10">
                  <c:v>45909</c:v>
                </c:pt>
                <c:pt idx="11">
                  <c:v>45916</c:v>
                </c:pt>
                <c:pt idx="12">
                  <c:v>45923</c:v>
                </c:pt>
                <c:pt idx="13">
                  <c:v>45930</c:v>
                </c:pt>
                <c:pt idx="14">
                  <c:v>45937</c:v>
                </c:pt>
                <c:pt idx="15">
                  <c:v>45944</c:v>
                </c:pt>
                <c:pt idx="16">
                  <c:v>45951</c:v>
                </c:pt>
                <c:pt idx="17">
                  <c:v>45958</c:v>
                </c:pt>
                <c:pt idx="18">
                  <c:v>45965</c:v>
                </c:pt>
                <c:pt idx="19">
                  <c:v>45972</c:v>
                </c:pt>
                <c:pt idx="20">
                  <c:v>45979</c:v>
                </c:pt>
                <c:pt idx="21">
                  <c:v>45986</c:v>
                </c:pt>
                <c:pt idx="22">
                  <c:v>45993</c:v>
                </c:pt>
                <c:pt idx="23">
                  <c:v>46000</c:v>
                </c:pt>
                <c:pt idx="24">
                  <c:v>46007</c:v>
                </c:pt>
                <c:pt idx="25">
                  <c:v>46014</c:v>
                </c:pt>
                <c:pt idx="26">
                  <c:v>46021</c:v>
                </c:pt>
              </c:numCache>
            </c:numRef>
          </c:cat>
          <c:val>
            <c:numRef>
              <c:f>'OZL Summary'!$HL$8:$HL$60</c:f>
              <c:numCache>
                <c:formatCode>0.000</c:formatCode>
                <c:ptCount val="53"/>
                <c:pt idx="0">
                  <c:v>4.0978168440206485E-2</c:v>
                </c:pt>
                <c:pt idx="1">
                  <c:v>8.1956336880412969E-2</c:v>
                </c:pt>
                <c:pt idx="2">
                  <c:v>0.12293450532061945</c:v>
                </c:pt>
                <c:pt idx="3">
                  <c:v>0.16391267376082594</c:v>
                </c:pt>
                <c:pt idx="4">
                  <c:v>0.20489084220103243</c:v>
                </c:pt>
                <c:pt idx="5">
                  <c:v>0.24586901064123892</c:v>
                </c:pt>
                <c:pt idx="6">
                  <c:v>0.28684717908144541</c:v>
                </c:pt>
                <c:pt idx="7">
                  <c:v>0.32782534752165188</c:v>
                </c:pt>
                <c:pt idx="8">
                  <c:v>0.36880351596185834</c:v>
                </c:pt>
                <c:pt idx="9">
                  <c:v>0.40978168440206481</c:v>
                </c:pt>
                <c:pt idx="10">
                  <c:v>0.45075985284227127</c:v>
                </c:pt>
                <c:pt idx="11">
                  <c:v>0.49173802128247773</c:v>
                </c:pt>
                <c:pt idx="12">
                  <c:v>0.5327161897226842</c:v>
                </c:pt>
                <c:pt idx="13">
                  <c:v>0.57369435816289072</c:v>
                </c:pt>
                <c:pt idx="14">
                  <c:v>0.61467252660309724</c:v>
                </c:pt>
                <c:pt idx="15">
                  <c:v>0.65565069504330376</c:v>
                </c:pt>
                <c:pt idx="16">
                  <c:v>0.69662886348351027</c:v>
                </c:pt>
                <c:pt idx="17">
                  <c:v>0.73760703192371679</c:v>
                </c:pt>
                <c:pt idx="18">
                  <c:v>0.77858520036392331</c:v>
                </c:pt>
                <c:pt idx="19">
                  <c:v>0.81956336880412983</c:v>
                </c:pt>
                <c:pt idx="20">
                  <c:v>0.86054153724433635</c:v>
                </c:pt>
                <c:pt idx="21">
                  <c:v>0.90151970568454287</c:v>
                </c:pt>
                <c:pt idx="22">
                  <c:v>0.94249787412474939</c:v>
                </c:pt>
                <c:pt idx="23">
                  <c:v>0.98347604256495591</c:v>
                </c:pt>
                <c:pt idx="24">
                  <c:v>1.0244542110051624</c:v>
                </c:pt>
                <c:pt idx="25">
                  <c:v>1.0654323794453688</c:v>
                </c:pt>
                <c:pt idx="26">
                  <c:v>1.1064105478855752</c:v>
                </c:pt>
              </c:numCache>
            </c:numRef>
          </c:val>
          <c:smooth val="0"/>
          <c:extLst xmlns:c15="http://schemas.microsoft.com/office/drawing/2012/chart">
            <c:ext xmlns:c16="http://schemas.microsoft.com/office/drawing/2014/chart" uri="{C3380CC4-5D6E-409C-BE32-E72D297353CC}">
              <c16:uniqueId val="{00000011-AF9F-4006-8E17-84353166E25E}"/>
            </c:ext>
          </c:extLst>
        </c:ser>
        <c:dLbls>
          <c:showLegendKey val="0"/>
          <c:showVal val="0"/>
          <c:showCatName val="0"/>
          <c:showSerName val="0"/>
          <c:showPercent val="0"/>
          <c:showBubbleSize val="0"/>
        </c:dLbls>
        <c:smooth val="0"/>
        <c:axId val="1388952432"/>
        <c:axId val="1388953088"/>
        <c:extLst/>
      </c:lineChart>
      <c:dateAx>
        <c:axId val="1388952432"/>
        <c:scaling>
          <c:orientation val="minMax"/>
        </c:scaling>
        <c:delete val="0"/>
        <c:axPos val="b"/>
        <c:numFmt formatCode="mmm\-yy" sourceLinked="0"/>
        <c:majorTickMark val="none"/>
        <c:minorTickMark val="none"/>
        <c:tickLblPos val="nextTo"/>
        <c:spPr>
          <a:noFill/>
          <a:ln w="9525" cap="flat" cmpd="sng" algn="ctr">
            <a:noFill/>
            <a:round/>
          </a:ln>
          <a:effectLst/>
        </c:spPr>
        <c:txPr>
          <a:bodyPr rot="-5400000" vert="horz"/>
          <a:lstStyle/>
          <a:p>
            <a:pPr>
              <a:defRPr/>
            </a:pPr>
            <a:endParaRPr lang="en-US"/>
          </a:p>
        </c:txPr>
        <c:crossAx val="1388953088"/>
        <c:crosses val="autoZero"/>
        <c:auto val="1"/>
        <c:lblOffset val="100"/>
        <c:baseTimeUnit val="days"/>
        <c:majorUnit val="1"/>
        <c:majorTimeUnit val="months"/>
      </c:dateAx>
      <c:valAx>
        <c:axId val="1388953088"/>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vert="horz"/>
          <a:lstStyle/>
          <a:p>
            <a:pPr>
              <a:defRPr/>
            </a:pPr>
            <a:endParaRPr lang="en-US"/>
          </a:p>
        </c:txPr>
        <c:crossAx val="1388952432"/>
        <c:crosses val="autoZero"/>
        <c:crossBetween val="between"/>
        <c:majorUnit val="0.2"/>
      </c:valAx>
    </c:plotArea>
    <c:legend>
      <c:legendPos val="b"/>
      <c:legendEntry>
        <c:idx val="1"/>
        <c:delete val="1"/>
      </c:legendEntry>
      <c:legendEntry>
        <c:idx val="3"/>
        <c:delete val="1"/>
      </c:legendEntry>
      <c:legendEntry>
        <c:idx val="4"/>
        <c:delete val="1"/>
      </c:legendEntry>
      <c:legendEntry>
        <c:idx val="5"/>
        <c:delete val="1"/>
      </c:legendEntry>
      <c:overlay val="0"/>
      <c:spPr>
        <a:noFill/>
        <a:ln>
          <a:noFill/>
        </a:ln>
        <a:effectLst/>
      </c:spPr>
      <c:txPr>
        <a:bodyPr rot="0" vert="horz"/>
        <a:lstStyle/>
        <a:p>
          <a:pPr>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orientation="portrait"/>
  </c:printSettings>
</c:chartSpace>
</file>

<file path=xl/charts/chart1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'OZL Summary'!$CM$6</c:f>
              <c:strCache>
                <c:ptCount val="1"/>
                <c:pt idx="0">
                  <c:v>Actual</c:v>
                </c:pt>
              </c:strCache>
            </c:strRef>
          </c:tx>
          <c:spPr>
            <a:ln>
              <a:solidFill>
                <a:schemeClr val="tx2"/>
              </a:solidFill>
            </a:ln>
          </c:spPr>
          <c:marker>
            <c:symbol val="none"/>
          </c:marker>
          <c:cat>
            <c:numRef>
              <c:f>'OZL Summary'!$FI$8:$FI$60</c:f>
              <c:numCache>
                <c:formatCode>d\-mmm\-yy_);\(###0\);"-  ";" "@" "</c:formatCode>
                <c:ptCount val="53"/>
                <c:pt idx="0">
                  <c:v>45839</c:v>
                </c:pt>
                <c:pt idx="1">
                  <c:v>45846</c:v>
                </c:pt>
                <c:pt idx="2">
                  <c:v>45853</c:v>
                </c:pt>
                <c:pt idx="3">
                  <c:v>45860</c:v>
                </c:pt>
                <c:pt idx="4">
                  <c:v>45867</c:v>
                </c:pt>
                <c:pt idx="5">
                  <c:v>45874</c:v>
                </c:pt>
                <c:pt idx="6">
                  <c:v>45881</c:v>
                </c:pt>
                <c:pt idx="7">
                  <c:v>45888</c:v>
                </c:pt>
                <c:pt idx="8">
                  <c:v>45895</c:v>
                </c:pt>
                <c:pt idx="9">
                  <c:v>45902</c:v>
                </c:pt>
                <c:pt idx="10">
                  <c:v>45909</c:v>
                </c:pt>
                <c:pt idx="11">
                  <c:v>45916</c:v>
                </c:pt>
                <c:pt idx="12">
                  <c:v>45923</c:v>
                </c:pt>
                <c:pt idx="13">
                  <c:v>45930</c:v>
                </c:pt>
                <c:pt idx="14">
                  <c:v>45937</c:v>
                </c:pt>
                <c:pt idx="15">
                  <c:v>45944</c:v>
                </c:pt>
                <c:pt idx="16">
                  <c:v>45951</c:v>
                </c:pt>
                <c:pt idx="17">
                  <c:v>45958</c:v>
                </c:pt>
                <c:pt idx="18">
                  <c:v>45965</c:v>
                </c:pt>
                <c:pt idx="19">
                  <c:v>45972</c:v>
                </c:pt>
                <c:pt idx="20">
                  <c:v>45979</c:v>
                </c:pt>
                <c:pt idx="21">
                  <c:v>45986</c:v>
                </c:pt>
                <c:pt idx="22">
                  <c:v>45993</c:v>
                </c:pt>
                <c:pt idx="23">
                  <c:v>46000</c:v>
                </c:pt>
                <c:pt idx="24">
                  <c:v>46007</c:v>
                </c:pt>
                <c:pt idx="25">
                  <c:v>46014</c:v>
                </c:pt>
                <c:pt idx="26">
                  <c:v>46021</c:v>
                </c:pt>
                <c:pt idx="27">
                  <c:v>46028</c:v>
                </c:pt>
                <c:pt idx="28">
                  <c:v>46035</c:v>
                </c:pt>
                <c:pt idx="29">
                  <c:v>46042</c:v>
                </c:pt>
                <c:pt idx="30">
                  <c:v>46049</c:v>
                </c:pt>
                <c:pt idx="31">
                  <c:v>46056</c:v>
                </c:pt>
                <c:pt idx="32">
                  <c:v>46063</c:v>
                </c:pt>
                <c:pt idx="33">
                  <c:v>46070</c:v>
                </c:pt>
                <c:pt idx="34">
                  <c:v>46077</c:v>
                </c:pt>
                <c:pt idx="35">
                  <c:v>46084</c:v>
                </c:pt>
                <c:pt idx="36">
                  <c:v>46091</c:v>
                </c:pt>
                <c:pt idx="37">
                  <c:v>46098</c:v>
                </c:pt>
                <c:pt idx="38">
                  <c:v>46105</c:v>
                </c:pt>
                <c:pt idx="39">
                  <c:v>46112</c:v>
                </c:pt>
                <c:pt idx="40">
                  <c:v>46119</c:v>
                </c:pt>
                <c:pt idx="41">
                  <c:v>46126</c:v>
                </c:pt>
                <c:pt idx="42">
                  <c:v>46133</c:v>
                </c:pt>
                <c:pt idx="43">
                  <c:v>46140</c:v>
                </c:pt>
                <c:pt idx="44">
                  <c:v>46147</c:v>
                </c:pt>
                <c:pt idx="45">
                  <c:v>46154</c:v>
                </c:pt>
                <c:pt idx="46">
                  <c:v>46161</c:v>
                </c:pt>
                <c:pt idx="47">
                  <c:v>46168</c:v>
                </c:pt>
                <c:pt idx="48">
                  <c:v>46175</c:v>
                </c:pt>
                <c:pt idx="49">
                  <c:v>46182</c:v>
                </c:pt>
                <c:pt idx="50">
                  <c:v>46189</c:v>
                </c:pt>
                <c:pt idx="51">
                  <c:v>46196</c:v>
                </c:pt>
                <c:pt idx="52">
                  <c:v>46203</c:v>
                </c:pt>
              </c:numCache>
            </c:numRef>
          </c:cat>
          <c:val>
            <c:numRef>
              <c:f>'OZL Summary'!$FJ$8:$FJ$60</c:f>
              <c:numCache>
                <c:formatCode>0.000</c:formatCode>
                <c:ptCount val="53"/>
                <c:pt idx="0">
                  <c:v>3.5725300750300289E-2</c:v>
                </c:pt>
                <c:pt idx="1">
                  <c:v>5.026881004909909E-2</c:v>
                </c:pt>
                <c:pt idx="2">
                  <c:v>6.9238359791141124E-2</c:v>
                </c:pt>
                <c:pt idx="3">
                  <c:v>9.4097844214264245E-2</c:v>
                </c:pt>
                <c:pt idx="4">
                  <c:v>0.12644394336951947</c:v>
                </c:pt>
                <c:pt idx="5">
                  <c:v>0.16768150125450448</c:v>
                </c:pt>
                <c:pt idx="6">
                  <c:v>0.18212702829744742</c:v>
                </c:pt>
                <c:pt idx="7">
                  <c:v>0.20305269005177867</c:v>
                </c:pt>
                <c:pt idx="8">
                  <c:v>0.22748216614021713</c:v>
                </c:pt>
                <c:pt idx="9">
                  <c:v>0.24061374069126817</c:v>
                </c:pt>
                <c:pt idx="10">
                  <c:v>0.26072523271168863</c:v>
                </c:pt>
                <c:pt idx="11">
                  <c:v>0.28809985656258952</c:v>
                </c:pt>
                <c:pt idx="12">
                  <c:v>0.30169140129066757</c:v>
                </c:pt>
                <c:pt idx="13">
                  <c:v>0.31924742688586277</c:v>
                </c:pt>
                <c:pt idx="14">
                  <c:v>0.34171451190297991</c:v>
                </c:pt>
                <c:pt idx="15">
                  <c:v>0.35588034753361053</c:v>
                </c:pt>
                <c:pt idx="16">
                  <c:v>0.37505091899697385</c:v>
                </c:pt>
                <c:pt idx="17">
                  <c:v>0.39909207787279971</c:v>
                </c:pt>
                <c:pt idx="18">
                  <c:v>0.42627698419457144</c:v>
                </c:pt>
                <c:pt idx="19">
                  <c:v>0.43938507185823511</c:v>
                </c:pt>
                <c:pt idx="20">
                  <c:v>0.46104199767043191</c:v>
                </c:pt>
                <c:pt idx="21">
                  <c:v>0.48909001177808958</c:v>
                </c:pt>
                <c:pt idx="22">
                  <c:v>0.52232302817403553</c:v>
                </c:pt>
                <c:pt idx="23">
                  <c:v>0.56298249988860016</c:v>
                </c:pt>
                <c:pt idx="24">
                  <c:v>0.57662538392748908</c:v>
                </c:pt>
                <c:pt idx="25">
                  <c:v>0.59567274829550709</c:v>
                </c:pt>
                <c:pt idx="26">
                  <c:v>0.62201708962313473</c:v>
                </c:pt>
                <c:pt idx="27">
                  <c:v>0.63560844937658822</c:v>
                </c:pt>
                <c:pt idx="28">
                  <c:v>0.65435791742313476</c:v>
                </c:pt>
                <c:pt idx="29">
                  <c:v>0.66780905545091263</c:v>
                </c:pt>
                <c:pt idx="30">
                  <c:v>0.68436247372808978</c:v>
                </c:pt>
                <c:pt idx="31">
                  <c:v>0.7072535721821438</c:v>
                </c:pt>
                <c:pt idx="32">
                  <c:v>0.733245554723435</c:v>
                </c:pt>
                <c:pt idx="33">
                  <c:v>0.7715283142965581</c:v>
                </c:pt>
                <c:pt idx="34">
                  <c:v>0.81688261363784942</c:v>
                </c:pt>
                <c:pt idx="35">
                  <c:v>0.8314320844479095</c:v>
                </c:pt>
                <c:pt idx="36">
                  <c:v>0.84838592135872026</c:v>
                </c:pt>
                <c:pt idx="37">
                  <c:v>0.87349901172523681</c:v>
                </c:pt>
                <c:pt idx="38">
                  <c:v>0.88768345205977128</c:v>
                </c:pt>
                <c:pt idx="39">
                  <c:v>0.90158148641998148</c:v>
                </c:pt>
                <c:pt idx="40">
                  <c:v>0.91963838734398251</c:v>
                </c:pt>
                <c:pt idx="41">
                  <c:v>0.94182324543061913</c:v>
                </c:pt>
                <c:pt idx="42">
                  <c:v>0.95660304674443297</c:v>
                </c:pt>
                <c:pt idx="43">
                  <c:v>0.9760312342391777</c:v>
                </c:pt>
                <c:pt idx="44">
                  <c:v>0.98966504929428278</c:v>
                </c:pt>
                <c:pt idx="45">
                  <c:v>1.0068224375429315</c:v>
                </c:pt>
                <c:pt idx="46">
                  <c:v>1.028537310855544</c:v>
                </c:pt>
                <c:pt idx="47">
                  <c:v>1.0538284606285171</c:v>
                </c:pt>
                <c:pt idx="48">
                  <c:v>1.0683392292501386</c:v>
                </c:pt>
                <c:pt idx="49">
                  <c:v>1.0863203958349736</c:v>
                </c:pt>
                <c:pt idx="50">
                  <c:v>1.108962369385424</c:v>
                </c:pt>
                <c:pt idx="51">
                  <c:v>1.1350612279716104</c:v>
                </c:pt>
                <c:pt idx="52">
                  <c:v>1.1718493048960847</c:v>
                </c:pt>
              </c:numCache>
            </c:numRef>
          </c:val>
          <c:smooth val="0"/>
          <c:extLst>
            <c:ext xmlns:c16="http://schemas.microsoft.com/office/drawing/2014/chart" uri="{C3380CC4-5D6E-409C-BE32-E72D297353CC}">
              <c16:uniqueId val="{00000000-5A4A-4CD8-88A1-5E8794B518D2}"/>
            </c:ext>
          </c:extLst>
        </c:ser>
        <c:ser>
          <c:idx val="7"/>
          <c:order val="3"/>
          <c:tx>
            <c:strRef>
              <c:f>'OZL Summary'!$CP$6:$CP$7</c:f>
              <c:strCache>
                <c:ptCount val="2"/>
                <c:pt idx="0">
                  <c:v>5th Percentile</c:v>
                </c:pt>
              </c:strCache>
            </c:strRef>
          </c:tx>
          <c:spPr>
            <a:ln>
              <a:solidFill>
                <a:schemeClr val="bg2">
                  <a:lumMod val="60000"/>
                  <a:lumOff val="40000"/>
                </a:schemeClr>
              </a:solidFill>
              <a:prstDash val="sysDot"/>
            </a:ln>
          </c:spPr>
          <c:marker>
            <c:symbol val="none"/>
          </c:marker>
          <c:cat>
            <c:numRef>
              <c:f>'OZL Summary'!$FI$8:$FI$60</c:f>
              <c:numCache>
                <c:formatCode>d\-mmm\-yy_);\(###0\);"-  ";" "@" "</c:formatCode>
                <c:ptCount val="53"/>
                <c:pt idx="0">
                  <c:v>45839</c:v>
                </c:pt>
                <c:pt idx="1">
                  <c:v>45846</c:v>
                </c:pt>
                <c:pt idx="2">
                  <c:v>45853</c:v>
                </c:pt>
                <c:pt idx="3">
                  <c:v>45860</c:v>
                </c:pt>
                <c:pt idx="4">
                  <c:v>45867</c:v>
                </c:pt>
                <c:pt idx="5">
                  <c:v>45874</c:v>
                </c:pt>
                <c:pt idx="6">
                  <c:v>45881</c:v>
                </c:pt>
                <c:pt idx="7">
                  <c:v>45888</c:v>
                </c:pt>
                <c:pt idx="8">
                  <c:v>45895</c:v>
                </c:pt>
                <c:pt idx="9">
                  <c:v>45902</c:v>
                </c:pt>
                <c:pt idx="10">
                  <c:v>45909</c:v>
                </c:pt>
                <c:pt idx="11">
                  <c:v>45916</c:v>
                </c:pt>
                <c:pt idx="12">
                  <c:v>45923</c:v>
                </c:pt>
                <c:pt idx="13">
                  <c:v>45930</c:v>
                </c:pt>
                <c:pt idx="14">
                  <c:v>45937</c:v>
                </c:pt>
                <c:pt idx="15">
                  <c:v>45944</c:v>
                </c:pt>
                <c:pt idx="16">
                  <c:v>45951</c:v>
                </c:pt>
                <c:pt idx="17">
                  <c:v>45958</c:v>
                </c:pt>
                <c:pt idx="18">
                  <c:v>45965</c:v>
                </c:pt>
                <c:pt idx="19">
                  <c:v>45972</c:v>
                </c:pt>
                <c:pt idx="20">
                  <c:v>45979</c:v>
                </c:pt>
                <c:pt idx="21">
                  <c:v>45986</c:v>
                </c:pt>
                <c:pt idx="22">
                  <c:v>45993</c:v>
                </c:pt>
                <c:pt idx="23">
                  <c:v>46000</c:v>
                </c:pt>
                <c:pt idx="24">
                  <c:v>46007</c:v>
                </c:pt>
                <c:pt idx="25">
                  <c:v>46014</c:v>
                </c:pt>
                <c:pt idx="26">
                  <c:v>46021</c:v>
                </c:pt>
                <c:pt idx="27">
                  <c:v>46028</c:v>
                </c:pt>
                <c:pt idx="28">
                  <c:v>46035</c:v>
                </c:pt>
                <c:pt idx="29">
                  <c:v>46042</c:v>
                </c:pt>
                <c:pt idx="30">
                  <c:v>46049</c:v>
                </c:pt>
                <c:pt idx="31">
                  <c:v>46056</c:v>
                </c:pt>
                <c:pt idx="32">
                  <c:v>46063</c:v>
                </c:pt>
                <c:pt idx="33">
                  <c:v>46070</c:v>
                </c:pt>
                <c:pt idx="34">
                  <c:v>46077</c:v>
                </c:pt>
                <c:pt idx="35">
                  <c:v>46084</c:v>
                </c:pt>
                <c:pt idx="36">
                  <c:v>46091</c:v>
                </c:pt>
                <c:pt idx="37">
                  <c:v>46098</c:v>
                </c:pt>
                <c:pt idx="38">
                  <c:v>46105</c:v>
                </c:pt>
                <c:pt idx="39">
                  <c:v>46112</c:v>
                </c:pt>
                <c:pt idx="40">
                  <c:v>46119</c:v>
                </c:pt>
                <c:pt idx="41">
                  <c:v>46126</c:v>
                </c:pt>
                <c:pt idx="42">
                  <c:v>46133</c:v>
                </c:pt>
                <c:pt idx="43">
                  <c:v>46140</c:v>
                </c:pt>
                <c:pt idx="44">
                  <c:v>46147</c:v>
                </c:pt>
                <c:pt idx="45">
                  <c:v>46154</c:v>
                </c:pt>
                <c:pt idx="46">
                  <c:v>46161</c:v>
                </c:pt>
                <c:pt idx="47">
                  <c:v>46168</c:v>
                </c:pt>
                <c:pt idx="48">
                  <c:v>46175</c:v>
                </c:pt>
                <c:pt idx="49">
                  <c:v>46182</c:v>
                </c:pt>
                <c:pt idx="50">
                  <c:v>46189</c:v>
                </c:pt>
                <c:pt idx="51">
                  <c:v>46196</c:v>
                </c:pt>
                <c:pt idx="52">
                  <c:v>46203</c:v>
                </c:pt>
              </c:numCache>
            </c:numRef>
          </c:cat>
          <c:val>
            <c:numRef>
              <c:f>'OZL Summary'!$FM$8:$FM$60</c:f>
              <c:numCache>
                <c:formatCode>0.000</c:formatCode>
                <c:ptCount val="53"/>
                <c:pt idx="0">
                  <c:v>2.3526137950388291E-2</c:v>
                </c:pt>
                <c:pt idx="1">
                  <c:v>4.7052275900776583E-2</c:v>
                </c:pt>
                <c:pt idx="2">
                  <c:v>7.0578413851164867E-2</c:v>
                </c:pt>
                <c:pt idx="3">
                  <c:v>9.4104551801553166E-2</c:v>
                </c:pt>
                <c:pt idx="4">
                  <c:v>0.11763068975194146</c:v>
                </c:pt>
                <c:pt idx="5">
                  <c:v>0.14115682770232976</c:v>
                </c:pt>
                <c:pt idx="6">
                  <c:v>0.16468296565271806</c:v>
                </c:pt>
                <c:pt idx="7">
                  <c:v>0.18820910360310636</c:v>
                </c:pt>
                <c:pt idx="8">
                  <c:v>0.21173524155349466</c:v>
                </c:pt>
                <c:pt idx="9">
                  <c:v>0.23526137950388296</c:v>
                </c:pt>
                <c:pt idx="10">
                  <c:v>0.25878751745427125</c:v>
                </c:pt>
                <c:pt idx="11">
                  <c:v>0.28231365540465952</c:v>
                </c:pt>
                <c:pt idx="12">
                  <c:v>0.3058397933550478</c:v>
                </c:pt>
                <c:pt idx="13">
                  <c:v>0.32936593130543607</c:v>
                </c:pt>
                <c:pt idx="14">
                  <c:v>0.35289206925582434</c:v>
                </c:pt>
                <c:pt idx="15">
                  <c:v>0.37641820720621261</c:v>
                </c:pt>
                <c:pt idx="16">
                  <c:v>0.39994434515660088</c:v>
                </c:pt>
                <c:pt idx="17">
                  <c:v>0.42347048310698915</c:v>
                </c:pt>
                <c:pt idx="18">
                  <c:v>0.44699662105737742</c:v>
                </c:pt>
                <c:pt idx="19">
                  <c:v>0.47052275900776569</c:v>
                </c:pt>
                <c:pt idx="20">
                  <c:v>0.49404889695815396</c:v>
                </c:pt>
                <c:pt idx="21">
                  <c:v>0.51757503490854229</c:v>
                </c:pt>
                <c:pt idx="22">
                  <c:v>0.54110117285893056</c:v>
                </c:pt>
                <c:pt idx="23">
                  <c:v>0.56462731080931883</c:v>
                </c:pt>
                <c:pt idx="24">
                  <c:v>0.5881534487597071</c:v>
                </c:pt>
                <c:pt idx="25">
                  <c:v>0.61167958671009537</c:v>
                </c:pt>
                <c:pt idx="26">
                  <c:v>0.63520572466048364</c:v>
                </c:pt>
                <c:pt idx="27">
                  <c:v>0.65873186261087191</c:v>
                </c:pt>
                <c:pt idx="28">
                  <c:v>0.68225800056126018</c:v>
                </c:pt>
                <c:pt idx="29">
                  <c:v>0.70578413851164845</c:v>
                </c:pt>
                <c:pt idx="30">
                  <c:v>0.72931027646203672</c:v>
                </c:pt>
                <c:pt idx="31">
                  <c:v>0.75283641441242499</c:v>
                </c:pt>
                <c:pt idx="32">
                  <c:v>0.77636255236281326</c:v>
                </c:pt>
                <c:pt idx="33">
                  <c:v>0.79988869031320153</c:v>
                </c:pt>
                <c:pt idx="34">
                  <c:v>0.8234148282635898</c:v>
                </c:pt>
                <c:pt idx="35">
                  <c:v>0.84694096621397807</c:v>
                </c:pt>
                <c:pt idx="36">
                  <c:v>0.87046710416436635</c:v>
                </c:pt>
                <c:pt idx="37">
                  <c:v>0.89399324211475462</c:v>
                </c:pt>
                <c:pt idx="38">
                  <c:v>0.91751938006514289</c:v>
                </c:pt>
                <c:pt idx="39">
                  <c:v>0.94104551801553116</c:v>
                </c:pt>
                <c:pt idx="40">
                  <c:v>0.96457165596591943</c:v>
                </c:pt>
                <c:pt idx="41">
                  <c:v>0.9880977939163077</c:v>
                </c:pt>
                <c:pt idx="42">
                  <c:v>1.011623931866696</c:v>
                </c:pt>
                <c:pt idx="43">
                  <c:v>1.0351500698170844</c:v>
                </c:pt>
                <c:pt idx="44">
                  <c:v>1.0586762077674727</c:v>
                </c:pt>
                <c:pt idx="45">
                  <c:v>1.0822023457178611</c:v>
                </c:pt>
                <c:pt idx="46">
                  <c:v>1.1057284836682495</c:v>
                </c:pt>
                <c:pt idx="47">
                  <c:v>1.1292546216186379</c:v>
                </c:pt>
                <c:pt idx="48">
                  <c:v>1.1527807595690263</c:v>
                </c:pt>
                <c:pt idx="49">
                  <c:v>1.1763068975194146</c:v>
                </c:pt>
                <c:pt idx="50">
                  <c:v>1.199833035469803</c:v>
                </c:pt>
                <c:pt idx="51">
                  <c:v>1.2233591734201914</c:v>
                </c:pt>
                <c:pt idx="52">
                  <c:v>1.2468853113705798</c:v>
                </c:pt>
              </c:numCache>
            </c:numRef>
          </c:val>
          <c:smooth val="0"/>
          <c:extLst xmlns:c15="http://schemas.microsoft.com/office/drawing/2012/chart">
            <c:ext xmlns:c16="http://schemas.microsoft.com/office/drawing/2014/chart" uri="{C3380CC4-5D6E-409C-BE32-E72D297353CC}">
              <c16:uniqueId val="{00000001-5A4A-4CD8-88A1-5E8794B518D2}"/>
            </c:ext>
          </c:extLst>
        </c:ser>
        <c:ser>
          <c:idx val="2"/>
          <c:order val="5"/>
          <c:tx>
            <c:v>5/25/50/75/95th percentile</c:v>
          </c:tx>
          <c:spPr>
            <a:ln>
              <a:solidFill>
                <a:schemeClr val="bg2">
                  <a:lumMod val="60000"/>
                  <a:lumOff val="40000"/>
                </a:schemeClr>
              </a:solidFill>
              <a:prstDash val="sysDot"/>
            </a:ln>
          </c:spPr>
          <c:marker>
            <c:symbol val="none"/>
          </c:marker>
          <c:cat>
            <c:numRef>
              <c:f>'OZL Summary'!$FI$8:$FI$60</c:f>
              <c:numCache>
                <c:formatCode>d\-mmm\-yy_);\(###0\);"-  ";" "@" "</c:formatCode>
                <c:ptCount val="53"/>
                <c:pt idx="0">
                  <c:v>45839</c:v>
                </c:pt>
                <c:pt idx="1">
                  <c:v>45846</c:v>
                </c:pt>
                <c:pt idx="2">
                  <c:v>45853</c:v>
                </c:pt>
                <c:pt idx="3">
                  <c:v>45860</c:v>
                </c:pt>
                <c:pt idx="4">
                  <c:v>45867</c:v>
                </c:pt>
                <c:pt idx="5">
                  <c:v>45874</c:v>
                </c:pt>
                <c:pt idx="6">
                  <c:v>45881</c:v>
                </c:pt>
                <c:pt idx="7">
                  <c:v>45888</c:v>
                </c:pt>
                <c:pt idx="8">
                  <c:v>45895</c:v>
                </c:pt>
                <c:pt idx="9">
                  <c:v>45902</c:v>
                </c:pt>
                <c:pt idx="10">
                  <c:v>45909</c:v>
                </c:pt>
                <c:pt idx="11">
                  <c:v>45916</c:v>
                </c:pt>
                <c:pt idx="12">
                  <c:v>45923</c:v>
                </c:pt>
                <c:pt idx="13">
                  <c:v>45930</c:v>
                </c:pt>
                <c:pt idx="14">
                  <c:v>45937</c:v>
                </c:pt>
                <c:pt idx="15">
                  <c:v>45944</c:v>
                </c:pt>
                <c:pt idx="16">
                  <c:v>45951</c:v>
                </c:pt>
                <c:pt idx="17">
                  <c:v>45958</c:v>
                </c:pt>
                <c:pt idx="18">
                  <c:v>45965</c:v>
                </c:pt>
                <c:pt idx="19">
                  <c:v>45972</c:v>
                </c:pt>
                <c:pt idx="20">
                  <c:v>45979</c:v>
                </c:pt>
                <c:pt idx="21">
                  <c:v>45986</c:v>
                </c:pt>
                <c:pt idx="22">
                  <c:v>45993</c:v>
                </c:pt>
                <c:pt idx="23">
                  <c:v>46000</c:v>
                </c:pt>
                <c:pt idx="24">
                  <c:v>46007</c:v>
                </c:pt>
                <c:pt idx="25">
                  <c:v>46014</c:v>
                </c:pt>
                <c:pt idx="26">
                  <c:v>46021</c:v>
                </c:pt>
                <c:pt idx="27">
                  <c:v>46028</c:v>
                </c:pt>
                <c:pt idx="28">
                  <c:v>46035</c:v>
                </c:pt>
                <c:pt idx="29">
                  <c:v>46042</c:v>
                </c:pt>
                <c:pt idx="30">
                  <c:v>46049</c:v>
                </c:pt>
                <c:pt idx="31">
                  <c:v>46056</c:v>
                </c:pt>
                <c:pt idx="32">
                  <c:v>46063</c:v>
                </c:pt>
                <c:pt idx="33">
                  <c:v>46070</c:v>
                </c:pt>
                <c:pt idx="34">
                  <c:v>46077</c:v>
                </c:pt>
                <c:pt idx="35">
                  <c:v>46084</c:v>
                </c:pt>
                <c:pt idx="36">
                  <c:v>46091</c:v>
                </c:pt>
                <c:pt idx="37">
                  <c:v>46098</c:v>
                </c:pt>
                <c:pt idx="38">
                  <c:v>46105</c:v>
                </c:pt>
                <c:pt idx="39">
                  <c:v>46112</c:v>
                </c:pt>
                <c:pt idx="40">
                  <c:v>46119</c:v>
                </c:pt>
                <c:pt idx="41">
                  <c:v>46126</c:v>
                </c:pt>
                <c:pt idx="42">
                  <c:v>46133</c:v>
                </c:pt>
                <c:pt idx="43">
                  <c:v>46140</c:v>
                </c:pt>
                <c:pt idx="44">
                  <c:v>46147</c:v>
                </c:pt>
                <c:pt idx="45">
                  <c:v>46154</c:v>
                </c:pt>
                <c:pt idx="46">
                  <c:v>46161</c:v>
                </c:pt>
                <c:pt idx="47">
                  <c:v>46168</c:v>
                </c:pt>
                <c:pt idx="48">
                  <c:v>46175</c:v>
                </c:pt>
                <c:pt idx="49">
                  <c:v>46182</c:v>
                </c:pt>
                <c:pt idx="50">
                  <c:v>46189</c:v>
                </c:pt>
                <c:pt idx="51">
                  <c:v>46196</c:v>
                </c:pt>
                <c:pt idx="52">
                  <c:v>46203</c:v>
                </c:pt>
              </c:numCache>
            </c:numRef>
          </c:cat>
          <c:val>
            <c:numRef>
              <c:f>'OZL Summary'!$FO$8:$FO$60</c:f>
              <c:numCache>
                <c:formatCode>0.000</c:formatCode>
                <c:ptCount val="53"/>
                <c:pt idx="0">
                  <c:v>2.6325675332730395E-2</c:v>
                </c:pt>
                <c:pt idx="1">
                  <c:v>5.265135066546079E-2</c:v>
                </c:pt>
                <c:pt idx="2">
                  <c:v>7.8977025998191189E-2</c:v>
                </c:pt>
                <c:pt idx="3">
                  <c:v>0.10530270133092158</c:v>
                </c:pt>
                <c:pt idx="4">
                  <c:v>0.13162837666365199</c:v>
                </c:pt>
                <c:pt idx="5">
                  <c:v>0.15795405199638238</c:v>
                </c:pt>
                <c:pt idx="6">
                  <c:v>0.18427972732911277</c:v>
                </c:pt>
                <c:pt idx="7">
                  <c:v>0.21060540266184316</c:v>
                </c:pt>
                <c:pt idx="8">
                  <c:v>0.23693107799457355</c:v>
                </c:pt>
                <c:pt idx="9">
                  <c:v>0.26325675332730397</c:v>
                </c:pt>
                <c:pt idx="10">
                  <c:v>0.28958242866003436</c:v>
                </c:pt>
                <c:pt idx="11">
                  <c:v>0.31590810399276475</c:v>
                </c:pt>
                <c:pt idx="12">
                  <c:v>0.34223377932549515</c:v>
                </c:pt>
                <c:pt idx="13">
                  <c:v>0.36855945465822554</c:v>
                </c:pt>
                <c:pt idx="14">
                  <c:v>0.39488512999095593</c:v>
                </c:pt>
                <c:pt idx="15">
                  <c:v>0.42121080532368632</c:v>
                </c:pt>
                <c:pt idx="16">
                  <c:v>0.44753648065641671</c:v>
                </c:pt>
                <c:pt idx="17">
                  <c:v>0.4738621559891471</c:v>
                </c:pt>
                <c:pt idx="18">
                  <c:v>0.5001878313218775</c:v>
                </c:pt>
                <c:pt idx="19">
                  <c:v>0.52651350665460794</c:v>
                </c:pt>
                <c:pt idx="20">
                  <c:v>0.55283918198733839</c:v>
                </c:pt>
                <c:pt idx="21">
                  <c:v>0.57916485732006884</c:v>
                </c:pt>
                <c:pt idx="22">
                  <c:v>0.60549053265279928</c:v>
                </c:pt>
                <c:pt idx="23">
                  <c:v>0.63181620798552973</c:v>
                </c:pt>
                <c:pt idx="24">
                  <c:v>0.65814188331826018</c:v>
                </c:pt>
                <c:pt idx="25">
                  <c:v>0.68446755865099063</c:v>
                </c:pt>
                <c:pt idx="26">
                  <c:v>0.71079323398372107</c:v>
                </c:pt>
                <c:pt idx="27">
                  <c:v>0.73711890931645152</c:v>
                </c:pt>
                <c:pt idx="28">
                  <c:v>0.76344458464918197</c:v>
                </c:pt>
                <c:pt idx="29">
                  <c:v>0.78977025998191241</c:v>
                </c:pt>
                <c:pt idx="30">
                  <c:v>0.81609593531464286</c:v>
                </c:pt>
                <c:pt idx="31">
                  <c:v>0.84242161064737331</c:v>
                </c:pt>
                <c:pt idx="32">
                  <c:v>0.86874728598010376</c:v>
                </c:pt>
                <c:pt idx="33">
                  <c:v>0.8950729613128342</c:v>
                </c:pt>
                <c:pt idx="34">
                  <c:v>0.92139863664556465</c:v>
                </c:pt>
                <c:pt idx="35">
                  <c:v>0.9477243119782951</c:v>
                </c:pt>
                <c:pt idx="36">
                  <c:v>0.97404998731102554</c:v>
                </c:pt>
                <c:pt idx="37">
                  <c:v>1.0003756626437559</c:v>
                </c:pt>
                <c:pt idx="38">
                  <c:v>1.0267013379764862</c:v>
                </c:pt>
                <c:pt idx="39">
                  <c:v>1.0530270133092166</c:v>
                </c:pt>
                <c:pt idx="40">
                  <c:v>1.0793526886419469</c:v>
                </c:pt>
                <c:pt idx="41">
                  <c:v>1.1056783639746772</c:v>
                </c:pt>
                <c:pt idx="42">
                  <c:v>1.1320040393074076</c:v>
                </c:pt>
                <c:pt idx="43">
                  <c:v>1.1583297146401379</c:v>
                </c:pt>
                <c:pt idx="44">
                  <c:v>1.1846553899728682</c:v>
                </c:pt>
                <c:pt idx="45">
                  <c:v>1.2109810653055986</c:v>
                </c:pt>
                <c:pt idx="46">
                  <c:v>1.2373067406383289</c:v>
                </c:pt>
                <c:pt idx="47">
                  <c:v>1.2636324159710592</c:v>
                </c:pt>
                <c:pt idx="48">
                  <c:v>1.2899580913037896</c:v>
                </c:pt>
                <c:pt idx="49">
                  <c:v>1.3162837666365199</c:v>
                </c:pt>
                <c:pt idx="50">
                  <c:v>1.3426094419692503</c:v>
                </c:pt>
                <c:pt idx="51">
                  <c:v>1.3689351173019806</c:v>
                </c:pt>
                <c:pt idx="52">
                  <c:v>1.3952607926347109</c:v>
                </c:pt>
              </c:numCache>
            </c:numRef>
          </c:val>
          <c:smooth val="0"/>
          <c:extLst>
            <c:ext xmlns:c16="http://schemas.microsoft.com/office/drawing/2014/chart" uri="{C3380CC4-5D6E-409C-BE32-E72D297353CC}">
              <c16:uniqueId val="{00000002-5A4A-4CD8-88A1-5E8794B518D2}"/>
            </c:ext>
          </c:extLst>
        </c:ser>
        <c:ser>
          <c:idx val="4"/>
          <c:order val="6"/>
          <c:tx>
            <c:strRef>
              <c:f>'OZL Summary'!$CS$6:$CS$7</c:f>
              <c:strCache>
                <c:ptCount val="2"/>
                <c:pt idx="0">
                  <c:v>50th Percentile</c:v>
                </c:pt>
              </c:strCache>
            </c:strRef>
          </c:tx>
          <c:spPr>
            <a:ln>
              <a:solidFill>
                <a:schemeClr val="bg2">
                  <a:lumMod val="60000"/>
                  <a:lumOff val="40000"/>
                </a:schemeClr>
              </a:solidFill>
              <a:prstDash val="sysDot"/>
            </a:ln>
          </c:spPr>
          <c:marker>
            <c:symbol val="none"/>
          </c:marker>
          <c:cat>
            <c:numRef>
              <c:f>'OZL Summary'!$FI$8:$FI$60</c:f>
              <c:numCache>
                <c:formatCode>d\-mmm\-yy_);\(###0\);"-  ";" "@" "</c:formatCode>
                <c:ptCount val="53"/>
                <c:pt idx="0">
                  <c:v>45839</c:v>
                </c:pt>
                <c:pt idx="1">
                  <c:v>45846</c:v>
                </c:pt>
                <c:pt idx="2">
                  <c:v>45853</c:v>
                </c:pt>
                <c:pt idx="3">
                  <c:v>45860</c:v>
                </c:pt>
                <c:pt idx="4">
                  <c:v>45867</c:v>
                </c:pt>
                <c:pt idx="5">
                  <c:v>45874</c:v>
                </c:pt>
                <c:pt idx="6">
                  <c:v>45881</c:v>
                </c:pt>
                <c:pt idx="7">
                  <c:v>45888</c:v>
                </c:pt>
                <c:pt idx="8">
                  <c:v>45895</c:v>
                </c:pt>
                <c:pt idx="9">
                  <c:v>45902</c:v>
                </c:pt>
                <c:pt idx="10">
                  <c:v>45909</c:v>
                </c:pt>
                <c:pt idx="11">
                  <c:v>45916</c:v>
                </c:pt>
                <c:pt idx="12">
                  <c:v>45923</c:v>
                </c:pt>
                <c:pt idx="13">
                  <c:v>45930</c:v>
                </c:pt>
                <c:pt idx="14">
                  <c:v>45937</c:v>
                </c:pt>
                <c:pt idx="15">
                  <c:v>45944</c:v>
                </c:pt>
                <c:pt idx="16">
                  <c:v>45951</c:v>
                </c:pt>
                <c:pt idx="17">
                  <c:v>45958</c:v>
                </c:pt>
                <c:pt idx="18">
                  <c:v>45965</c:v>
                </c:pt>
                <c:pt idx="19">
                  <c:v>45972</c:v>
                </c:pt>
                <c:pt idx="20">
                  <c:v>45979</c:v>
                </c:pt>
                <c:pt idx="21">
                  <c:v>45986</c:v>
                </c:pt>
                <c:pt idx="22">
                  <c:v>45993</c:v>
                </c:pt>
                <c:pt idx="23">
                  <c:v>46000</c:v>
                </c:pt>
                <c:pt idx="24">
                  <c:v>46007</c:v>
                </c:pt>
                <c:pt idx="25">
                  <c:v>46014</c:v>
                </c:pt>
                <c:pt idx="26">
                  <c:v>46021</c:v>
                </c:pt>
                <c:pt idx="27">
                  <c:v>46028</c:v>
                </c:pt>
                <c:pt idx="28">
                  <c:v>46035</c:v>
                </c:pt>
                <c:pt idx="29">
                  <c:v>46042</c:v>
                </c:pt>
                <c:pt idx="30">
                  <c:v>46049</c:v>
                </c:pt>
                <c:pt idx="31">
                  <c:v>46056</c:v>
                </c:pt>
                <c:pt idx="32">
                  <c:v>46063</c:v>
                </c:pt>
                <c:pt idx="33">
                  <c:v>46070</c:v>
                </c:pt>
                <c:pt idx="34">
                  <c:v>46077</c:v>
                </c:pt>
                <c:pt idx="35">
                  <c:v>46084</c:v>
                </c:pt>
                <c:pt idx="36">
                  <c:v>46091</c:v>
                </c:pt>
                <c:pt idx="37">
                  <c:v>46098</c:v>
                </c:pt>
                <c:pt idx="38">
                  <c:v>46105</c:v>
                </c:pt>
                <c:pt idx="39">
                  <c:v>46112</c:v>
                </c:pt>
                <c:pt idx="40">
                  <c:v>46119</c:v>
                </c:pt>
                <c:pt idx="41">
                  <c:v>46126</c:v>
                </c:pt>
                <c:pt idx="42">
                  <c:v>46133</c:v>
                </c:pt>
                <c:pt idx="43">
                  <c:v>46140</c:v>
                </c:pt>
                <c:pt idx="44">
                  <c:v>46147</c:v>
                </c:pt>
                <c:pt idx="45">
                  <c:v>46154</c:v>
                </c:pt>
                <c:pt idx="46">
                  <c:v>46161</c:v>
                </c:pt>
                <c:pt idx="47">
                  <c:v>46168</c:v>
                </c:pt>
                <c:pt idx="48">
                  <c:v>46175</c:v>
                </c:pt>
                <c:pt idx="49">
                  <c:v>46182</c:v>
                </c:pt>
                <c:pt idx="50">
                  <c:v>46189</c:v>
                </c:pt>
                <c:pt idx="51">
                  <c:v>46196</c:v>
                </c:pt>
                <c:pt idx="52">
                  <c:v>46203</c:v>
                </c:pt>
              </c:numCache>
            </c:numRef>
          </c:cat>
          <c:val>
            <c:numRef>
              <c:f>'OZL Summary'!$FP$8:$FP$60</c:f>
              <c:numCache>
                <c:formatCode>0.000</c:formatCode>
                <c:ptCount val="53"/>
                <c:pt idx="0">
                  <c:v>2.8842512504586828E-2</c:v>
                </c:pt>
                <c:pt idx="1">
                  <c:v>5.7685025009173656E-2</c:v>
                </c:pt>
                <c:pt idx="2">
                  <c:v>8.652753751376048E-2</c:v>
                </c:pt>
                <c:pt idx="3">
                  <c:v>0.11537005001834731</c:v>
                </c:pt>
                <c:pt idx="4">
                  <c:v>0.14421256252293413</c:v>
                </c:pt>
                <c:pt idx="5">
                  <c:v>0.17305507502752096</c:v>
                </c:pt>
                <c:pt idx="6">
                  <c:v>0.20189758753210779</c:v>
                </c:pt>
                <c:pt idx="7">
                  <c:v>0.23074010003669462</c:v>
                </c:pt>
                <c:pt idx="8">
                  <c:v>0.25958261254128145</c:v>
                </c:pt>
                <c:pt idx="9">
                  <c:v>0.28842512504586826</c:v>
                </c:pt>
                <c:pt idx="10">
                  <c:v>0.31726763755045506</c:v>
                </c:pt>
                <c:pt idx="11">
                  <c:v>0.34611015005504187</c:v>
                </c:pt>
                <c:pt idx="12">
                  <c:v>0.37495266255962867</c:v>
                </c:pt>
                <c:pt idx="13">
                  <c:v>0.40379517506421547</c:v>
                </c:pt>
                <c:pt idx="14">
                  <c:v>0.43263768756880228</c:v>
                </c:pt>
                <c:pt idx="15">
                  <c:v>0.46148020007338908</c:v>
                </c:pt>
                <c:pt idx="16">
                  <c:v>0.49032271257797588</c:v>
                </c:pt>
                <c:pt idx="17">
                  <c:v>0.51916522508256269</c:v>
                </c:pt>
                <c:pt idx="18">
                  <c:v>0.54800773758714949</c:v>
                </c:pt>
                <c:pt idx="19">
                  <c:v>0.57685025009173629</c:v>
                </c:pt>
                <c:pt idx="20">
                  <c:v>0.6056927625963231</c:v>
                </c:pt>
                <c:pt idx="21">
                  <c:v>0.6345352751009099</c:v>
                </c:pt>
                <c:pt idx="22">
                  <c:v>0.6633777876054967</c:v>
                </c:pt>
                <c:pt idx="23">
                  <c:v>0.69222030011008351</c:v>
                </c:pt>
                <c:pt idx="24">
                  <c:v>0.72106281261467031</c:v>
                </c:pt>
                <c:pt idx="25">
                  <c:v>0.74990532511925712</c:v>
                </c:pt>
                <c:pt idx="26">
                  <c:v>0.77874783762384392</c:v>
                </c:pt>
                <c:pt idx="27">
                  <c:v>0.80759035012843072</c:v>
                </c:pt>
                <c:pt idx="28">
                  <c:v>0.83643286263301753</c:v>
                </c:pt>
                <c:pt idx="29">
                  <c:v>0.86527537513760433</c:v>
                </c:pt>
                <c:pt idx="30">
                  <c:v>0.89411788764219113</c:v>
                </c:pt>
                <c:pt idx="31">
                  <c:v>0.92296040014677794</c:v>
                </c:pt>
                <c:pt idx="32">
                  <c:v>0.95180291265136474</c:v>
                </c:pt>
                <c:pt idx="33">
                  <c:v>0.98064542515595154</c:v>
                </c:pt>
                <c:pt idx="34">
                  <c:v>1.0094879376605383</c:v>
                </c:pt>
                <c:pt idx="35">
                  <c:v>1.0383304501651252</c:v>
                </c:pt>
                <c:pt idx="36">
                  <c:v>1.067172962669712</c:v>
                </c:pt>
                <c:pt idx="37">
                  <c:v>1.0960154751742988</c:v>
                </c:pt>
                <c:pt idx="38">
                  <c:v>1.1248579876788856</c:v>
                </c:pt>
                <c:pt idx="39">
                  <c:v>1.1537005001834724</c:v>
                </c:pt>
                <c:pt idx="40">
                  <c:v>1.1825430126880592</c:v>
                </c:pt>
                <c:pt idx="41">
                  <c:v>1.211385525192646</c:v>
                </c:pt>
                <c:pt idx="42">
                  <c:v>1.2402280376972328</c:v>
                </c:pt>
                <c:pt idx="43">
                  <c:v>1.2690705502018196</c:v>
                </c:pt>
                <c:pt idx="44">
                  <c:v>1.2979130627064064</c:v>
                </c:pt>
                <c:pt idx="45">
                  <c:v>1.3267555752109932</c:v>
                </c:pt>
                <c:pt idx="46">
                  <c:v>1.35559808771558</c:v>
                </c:pt>
                <c:pt idx="47">
                  <c:v>1.3844406002201668</c:v>
                </c:pt>
                <c:pt idx="48">
                  <c:v>1.4132831127247536</c:v>
                </c:pt>
                <c:pt idx="49">
                  <c:v>1.4421256252293404</c:v>
                </c:pt>
                <c:pt idx="50">
                  <c:v>1.4709681377339272</c:v>
                </c:pt>
                <c:pt idx="51">
                  <c:v>1.499810650238514</c:v>
                </c:pt>
                <c:pt idx="52">
                  <c:v>1.5286531627431008</c:v>
                </c:pt>
              </c:numCache>
            </c:numRef>
          </c:val>
          <c:smooth val="0"/>
          <c:extLst>
            <c:ext xmlns:c16="http://schemas.microsoft.com/office/drawing/2014/chart" uri="{C3380CC4-5D6E-409C-BE32-E72D297353CC}">
              <c16:uniqueId val="{00000003-5A4A-4CD8-88A1-5E8794B518D2}"/>
            </c:ext>
          </c:extLst>
        </c:ser>
        <c:ser>
          <c:idx val="6"/>
          <c:order val="7"/>
          <c:tx>
            <c:strRef>
              <c:f>'OZL Summary'!$CT$6:$CT$7</c:f>
              <c:strCache>
                <c:ptCount val="2"/>
                <c:pt idx="0">
                  <c:v>75th Percentile</c:v>
                </c:pt>
              </c:strCache>
            </c:strRef>
          </c:tx>
          <c:spPr>
            <a:ln>
              <a:solidFill>
                <a:schemeClr val="bg2">
                  <a:lumMod val="60000"/>
                  <a:lumOff val="40000"/>
                </a:schemeClr>
              </a:solidFill>
              <a:prstDash val="sysDot"/>
            </a:ln>
          </c:spPr>
          <c:marker>
            <c:symbol val="none"/>
          </c:marker>
          <c:cat>
            <c:numRef>
              <c:f>'OZL Summary'!$FI$8:$FI$60</c:f>
              <c:numCache>
                <c:formatCode>d\-mmm\-yy_);\(###0\);"-  ";" "@" "</c:formatCode>
                <c:ptCount val="53"/>
                <c:pt idx="0">
                  <c:v>45839</c:v>
                </c:pt>
                <c:pt idx="1">
                  <c:v>45846</c:v>
                </c:pt>
                <c:pt idx="2">
                  <c:v>45853</c:v>
                </c:pt>
                <c:pt idx="3">
                  <c:v>45860</c:v>
                </c:pt>
                <c:pt idx="4">
                  <c:v>45867</c:v>
                </c:pt>
                <c:pt idx="5">
                  <c:v>45874</c:v>
                </c:pt>
                <c:pt idx="6">
                  <c:v>45881</c:v>
                </c:pt>
                <c:pt idx="7">
                  <c:v>45888</c:v>
                </c:pt>
                <c:pt idx="8">
                  <c:v>45895</c:v>
                </c:pt>
                <c:pt idx="9">
                  <c:v>45902</c:v>
                </c:pt>
                <c:pt idx="10">
                  <c:v>45909</c:v>
                </c:pt>
                <c:pt idx="11">
                  <c:v>45916</c:v>
                </c:pt>
                <c:pt idx="12">
                  <c:v>45923</c:v>
                </c:pt>
                <c:pt idx="13">
                  <c:v>45930</c:v>
                </c:pt>
                <c:pt idx="14">
                  <c:v>45937</c:v>
                </c:pt>
                <c:pt idx="15">
                  <c:v>45944</c:v>
                </c:pt>
                <c:pt idx="16">
                  <c:v>45951</c:v>
                </c:pt>
                <c:pt idx="17">
                  <c:v>45958</c:v>
                </c:pt>
                <c:pt idx="18">
                  <c:v>45965</c:v>
                </c:pt>
                <c:pt idx="19">
                  <c:v>45972</c:v>
                </c:pt>
                <c:pt idx="20">
                  <c:v>45979</c:v>
                </c:pt>
                <c:pt idx="21">
                  <c:v>45986</c:v>
                </c:pt>
                <c:pt idx="22">
                  <c:v>45993</c:v>
                </c:pt>
                <c:pt idx="23">
                  <c:v>46000</c:v>
                </c:pt>
                <c:pt idx="24">
                  <c:v>46007</c:v>
                </c:pt>
                <c:pt idx="25">
                  <c:v>46014</c:v>
                </c:pt>
                <c:pt idx="26">
                  <c:v>46021</c:v>
                </c:pt>
                <c:pt idx="27">
                  <c:v>46028</c:v>
                </c:pt>
                <c:pt idx="28">
                  <c:v>46035</c:v>
                </c:pt>
                <c:pt idx="29">
                  <c:v>46042</c:v>
                </c:pt>
                <c:pt idx="30">
                  <c:v>46049</c:v>
                </c:pt>
                <c:pt idx="31">
                  <c:v>46056</c:v>
                </c:pt>
                <c:pt idx="32">
                  <c:v>46063</c:v>
                </c:pt>
                <c:pt idx="33">
                  <c:v>46070</c:v>
                </c:pt>
                <c:pt idx="34">
                  <c:v>46077</c:v>
                </c:pt>
                <c:pt idx="35">
                  <c:v>46084</c:v>
                </c:pt>
                <c:pt idx="36">
                  <c:v>46091</c:v>
                </c:pt>
                <c:pt idx="37">
                  <c:v>46098</c:v>
                </c:pt>
                <c:pt idx="38">
                  <c:v>46105</c:v>
                </c:pt>
                <c:pt idx="39">
                  <c:v>46112</c:v>
                </c:pt>
                <c:pt idx="40">
                  <c:v>46119</c:v>
                </c:pt>
                <c:pt idx="41">
                  <c:v>46126</c:v>
                </c:pt>
                <c:pt idx="42">
                  <c:v>46133</c:v>
                </c:pt>
                <c:pt idx="43">
                  <c:v>46140</c:v>
                </c:pt>
                <c:pt idx="44">
                  <c:v>46147</c:v>
                </c:pt>
                <c:pt idx="45">
                  <c:v>46154</c:v>
                </c:pt>
                <c:pt idx="46">
                  <c:v>46161</c:v>
                </c:pt>
                <c:pt idx="47">
                  <c:v>46168</c:v>
                </c:pt>
                <c:pt idx="48">
                  <c:v>46175</c:v>
                </c:pt>
                <c:pt idx="49">
                  <c:v>46182</c:v>
                </c:pt>
                <c:pt idx="50">
                  <c:v>46189</c:v>
                </c:pt>
                <c:pt idx="51">
                  <c:v>46196</c:v>
                </c:pt>
                <c:pt idx="52">
                  <c:v>46203</c:v>
                </c:pt>
              </c:numCache>
            </c:numRef>
          </c:cat>
          <c:val>
            <c:numRef>
              <c:f>'OZL Summary'!$FQ$8:$FQ$60</c:f>
              <c:numCache>
                <c:formatCode>0.000</c:formatCode>
                <c:ptCount val="53"/>
                <c:pt idx="0">
                  <c:v>3.1771684630234193E-2</c:v>
                </c:pt>
                <c:pt idx="1">
                  <c:v>6.3543369260468385E-2</c:v>
                </c:pt>
                <c:pt idx="2">
                  <c:v>9.5315053890702578E-2</c:v>
                </c:pt>
                <c:pt idx="3">
                  <c:v>0.12708673852093677</c:v>
                </c:pt>
                <c:pt idx="4">
                  <c:v>0.15885842315117096</c:v>
                </c:pt>
                <c:pt idx="5">
                  <c:v>0.19063010778140516</c:v>
                </c:pt>
                <c:pt idx="6">
                  <c:v>0.22240179241163935</c:v>
                </c:pt>
                <c:pt idx="7">
                  <c:v>0.25417347704187354</c:v>
                </c:pt>
                <c:pt idx="8">
                  <c:v>0.28594516167210771</c:v>
                </c:pt>
                <c:pt idx="9">
                  <c:v>0.31771684630234187</c:v>
                </c:pt>
                <c:pt idx="10">
                  <c:v>0.34948853093257604</c:v>
                </c:pt>
                <c:pt idx="11">
                  <c:v>0.3812602155628102</c:v>
                </c:pt>
                <c:pt idx="12">
                  <c:v>0.41303190019304437</c:v>
                </c:pt>
                <c:pt idx="13">
                  <c:v>0.44480358482327853</c:v>
                </c:pt>
                <c:pt idx="14">
                  <c:v>0.4765752694535127</c:v>
                </c:pt>
                <c:pt idx="15">
                  <c:v>0.50834695408374686</c:v>
                </c:pt>
                <c:pt idx="16">
                  <c:v>0.54011863871398103</c:v>
                </c:pt>
                <c:pt idx="17">
                  <c:v>0.57189032334421519</c:v>
                </c:pt>
                <c:pt idx="18">
                  <c:v>0.60366200797444935</c:v>
                </c:pt>
                <c:pt idx="19">
                  <c:v>0.63543369260468352</c:v>
                </c:pt>
                <c:pt idx="20">
                  <c:v>0.66720537723491768</c:v>
                </c:pt>
                <c:pt idx="21">
                  <c:v>0.69897706186515185</c:v>
                </c:pt>
                <c:pt idx="22">
                  <c:v>0.73074874649538601</c:v>
                </c:pt>
                <c:pt idx="23">
                  <c:v>0.76252043112562018</c:v>
                </c:pt>
                <c:pt idx="24">
                  <c:v>0.79429211575585434</c:v>
                </c:pt>
                <c:pt idx="25">
                  <c:v>0.82606380038608851</c:v>
                </c:pt>
                <c:pt idx="26">
                  <c:v>0.85783548501632267</c:v>
                </c:pt>
                <c:pt idx="27">
                  <c:v>0.88960716964655684</c:v>
                </c:pt>
                <c:pt idx="28">
                  <c:v>0.921378854276791</c:v>
                </c:pt>
                <c:pt idx="29">
                  <c:v>0.95315053890702517</c:v>
                </c:pt>
                <c:pt idx="30">
                  <c:v>0.98492222353725933</c:v>
                </c:pt>
                <c:pt idx="31">
                  <c:v>1.0166939081674935</c:v>
                </c:pt>
                <c:pt idx="32">
                  <c:v>1.0484655927977278</c:v>
                </c:pt>
                <c:pt idx="33">
                  <c:v>1.0802372774279621</c:v>
                </c:pt>
                <c:pt idx="34">
                  <c:v>1.1120089620581963</c:v>
                </c:pt>
                <c:pt idx="35">
                  <c:v>1.1437806466884306</c:v>
                </c:pt>
                <c:pt idx="36">
                  <c:v>1.1755523313186649</c:v>
                </c:pt>
                <c:pt idx="37">
                  <c:v>1.2073240159488992</c:v>
                </c:pt>
                <c:pt idx="38">
                  <c:v>1.2390957005791334</c:v>
                </c:pt>
                <c:pt idx="39">
                  <c:v>1.2708673852093677</c:v>
                </c:pt>
                <c:pt idx="40">
                  <c:v>1.302639069839602</c:v>
                </c:pt>
                <c:pt idx="41">
                  <c:v>1.3344107544698363</c:v>
                </c:pt>
                <c:pt idx="42">
                  <c:v>1.3661824391000705</c:v>
                </c:pt>
                <c:pt idx="43">
                  <c:v>1.3979541237303048</c:v>
                </c:pt>
                <c:pt idx="44">
                  <c:v>1.4297258083605391</c:v>
                </c:pt>
                <c:pt idx="45">
                  <c:v>1.4614974929907734</c:v>
                </c:pt>
                <c:pt idx="46">
                  <c:v>1.4932691776210076</c:v>
                </c:pt>
                <c:pt idx="47">
                  <c:v>1.5250408622512419</c:v>
                </c:pt>
                <c:pt idx="48">
                  <c:v>1.5568125468814762</c:v>
                </c:pt>
                <c:pt idx="49">
                  <c:v>1.5885842315117105</c:v>
                </c:pt>
                <c:pt idx="50">
                  <c:v>1.6203559161419447</c:v>
                </c:pt>
                <c:pt idx="51">
                  <c:v>1.652127600772179</c:v>
                </c:pt>
                <c:pt idx="52">
                  <c:v>1.6838992854024133</c:v>
                </c:pt>
              </c:numCache>
            </c:numRef>
          </c:val>
          <c:smooth val="0"/>
          <c:extLst xmlns:c15="http://schemas.microsoft.com/office/drawing/2012/chart">
            <c:ext xmlns:c16="http://schemas.microsoft.com/office/drawing/2014/chart" uri="{C3380CC4-5D6E-409C-BE32-E72D297353CC}">
              <c16:uniqueId val="{00000004-5A4A-4CD8-88A1-5E8794B518D2}"/>
            </c:ext>
          </c:extLst>
        </c:ser>
        <c:ser>
          <c:idx val="9"/>
          <c:order val="9"/>
          <c:tx>
            <c:strRef>
              <c:f>'OZL Summary'!$CV$6:$CV$7</c:f>
              <c:strCache>
                <c:ptCount val="2"/>
                <c:pt idx="0">
                  <c:v>95th Percentile</c:v>
                </c:pt>
              </c:strCache>
            </c:strRef>
          </c:tx>
          <c:spPr>
            <a:ln>
              <a:solidFill>
                <a:schemeClr val="bg2">
                  <a:lumMod val="60000"/>
                  <a:lumOff val="40000"/>
                </a:schemeClr>
              </a:solidFill>
              <a:prstDash val="sysDot"/>
            </a:ln>
          </c:spPr>
          <c:marker>
            <c:symbol val="none"/>
          </c:marker>
          <c:cat>
            <c:numRef>
              <c:f>'OZL Summary'!$FI$8:$FI$60</c:f>
              <c:numCache>
                <c:formatCode>d\-mmm\-yy_);\(###0\);"-  ";" "@" "</c:formatCode>
                <c:ptCount val="53"/>
                <c:pt idx="0">
                  <c:v>45839</c:v>
                </c:pt>
                <c:pt idx="1">
                  <c:v>45846</c:v>
                </c:pt>
                <c:pt idx="2">
                  <c:v>45853</c:v>
                </c:pt>
                <c:pt idx="3">
                  <c:v>45860</c:v>
                </c:pt>
                <c:pt idx="4">
                  <c:v>45867</c:v>
                </c:pt>
                <c:pt idx="5">
                  <c:v>45874</c:v>
                </c:pt>
                <c:pt idx="6">
                  <c:v>45881</c:v>
                </c:pt>
                <c:pt idx="7">
                  <c:v>45888</c:v>
                </c:pt>
                <c:pt idx="8">
                  <c:v>45895</c:v>
                </c:pt>
                <c:pt idx="9">
                  <c:v>45902</c:v>
                </c:pt>
                <c:pt idx="10">
                  <c:v>45909</c:v>
                </c:pt>
                <c:pt idx="11">
                  <c:v>45916</c:v>
                </c:pt>
                <c:pt idx="12">
                  <c:v>45923</c:v>
                </c:pt>
                <c:pt idx="13">
                  <c:v>45930</c:v>
                </c:pt>
                <c:pt idx="14">
                  <c:v>45937</c:v>
                </c:pt>
                <c:pt idx="15">
                  <c:v>45944</c:v>
                </c:pt>
                <c:pt idx="16">
                  <c:v>45951</c:v>
                </c:pt>
                <c:pt idx="17">
                  <c:v>45958</c:v>
                </c:pt>
                <c:pt idx="18">
                  <c:v>45965</c:v>
                </c:pt>
                <c:pt idx="19">
                  <c:v>45972</c:v>
                </c:pt>
                <c:pt idx="20">
                  <c:v>45979</c:v>
                </c:pt>
                <c:pt idx="21">
                  <c:v>45986</c:v>
                </c:pt>
                <c:pt idx="22">
                  <c:v>45993</c:v>
                </c:pt>
                <c:pt idx="23">
                  <c:v>46000</c:v>
                </c:pt>
                <c:pt idx="24">
                  <c:v>46007</c:v>
                </c:pt>
                <c:pt idx="25">
                  <c:v>46014</c:v>
                </c:pt>
                <c:pt idx="26">
                  <c:v>46021</c:v>
                </c:pt>
                <c:pt idx="27">
                  <c:v>46028</c:v>
                </c:pt>
                <c:pt idx="28">
                  <c:v>46035</c:v>
                </c:pt>
                <c:pt idx="29">
                  <c:v>46042</c:v>
                </c:pt>
                <c:pt idx="30">
                  <c:v>46049</c:v>
                </c:pt>
                <c:pt idx="31">
                  <c:v>46056</c:v>
                </c:pt>
                <c:pt idx="32">
                  <c:v>46063</c:v>
                </c:pt>
                <c:pt idx="33">
                  <c:v>46070</c:v>
                </c:pt>
                <c:pt idx="34">
                  <c:v>46077</c:v>
                </c:pt>
                <c:pt idx="35">
                  <c:v>46084</c:v>
                </c:pt>
                <c:pt idx="36">
                  <c:v>46091</c:v>
                </c:pt>
                <c:pt idx="37">
                  <c:v>46098</c:v>
                </c:pt>
                <c:pt idx="38">
                  <c:v>46105</c:v>
                </c:pt>
                <c:pt idx="39">
                  <c:v>46112</c:v>
                </c:pt>
                <c:pt idx="40">
                  <c:v>46119</c:v>
                </c:pt>
                <c:pt idx="41">
                  <c:v>46126</c:v>
                </c:pt>
                <c:pt idx="42">
                  <c:v>46133</c:v>
                </c:pt>
                <c:pt idx="43">
                  <c:v>46140</c:v>
                </c:pt>
                <c:pt idx="44">
                  <c:v>46147</c:v>
                </c:pt>
                <c:pt idx="45">
                  <c:v>46154</c:v>
                </c:pt>
                <c:pt idx="46">
                  <c:v>46161</c:v>
                </c:pt>
                <c:pt idx="47">
                  <c:v>46168</c:v>
                </c:pt>
                <c:pt idx="48">
                  <c:v>46175</c:v>
                </c:pt>
                <c:pt idx="49">
                  <c:v>46182</c:v>
                </c:pt>
                <c:pt idx="50">
                  <c:v>46189</c:v>
                </c:pt>
                <c:pt idx="51">
                  <c:v>46196</c:v>
                </c:pt>
                <c:pt idx="52">
                  <c:v>46203</c:v>
                </c:pt>
              </c:numCache>
            </c:numRef>
          </c:cat>
          <c:val>
            <c:numRef>
              <c:f>'OZL Summary'!$FS$8:$FS$60</c:f>
              <c:numCache>
                <c:formatCode>0.000</c:formatCode>
                <c:ptCount val="53"/>
                <c:pt idx="0">
                  <c:v>3.6777586101275933E-2</c:v>
                </c:pt>
                <c:pt idx="1">
                  <c:v>7.3555172202551866E-2</c:v>
                </c:pt>
                <c:pt idx="2">
                  <c:v>0.1103327583038278</c:v>
                </c:pt>
                <c:pt idx="3">
                  <c:v>0.14711034440510373</c:v>
                </c:pt>
                <c:pt idx="4">
                  <c:v>0.18388793050637967</c:v>
                </c:pt>
                <c:pt idx="5">
                  <c:v>0.2206655166076556</c:v>
                </c:pt>
                <c:pt idx="6">
                  <c:v>0.25744310270893156</c:v>
                </c:pt>
                <c:pt idx="7">
                  <c:v>0.29422068881020746</c:v>
                </c:pt>
                <c:pt idx="8">
                  <c:v>0.33099827491148337</c:v>
                </c:pt>
                <c:pt idx="9">
                  <c:v>0.36777586101275928</c:v>
                </c:pt>
                <c:pt idx="10">
                  <c:v>0.40455344711403518</c:v>
                </c:pt>
                <c:pt idx="11">
                  <c:v>0.44133103321531109</c:v>
                </c:pt>
                <c:pt idx="12">
                  <c:v>0.47810861931658699</c:v>
                </c:pt>
                <c:pt idx="13">
                  <c:v>0.5148862054178629</c:v>
                </c:pt>
                <c:pt idx="14">
                  <c:v>0.5516637915191388</c:v>
                </c:pt>
                <c:pt idx="15">
                  <c:v>0.58844137762041471</c:v>
                </c:pt>
                <c:pt idx="16">
                  <c:v>0.62521896372169061</c:v>
                </c:pt>
                <c:pt idx="17">
                  <c:v>0.66199654982296652</c:v>
                </c:pt>
                <c:pt idx="18">
                  <c:v>0.69877413592424242</c:v>
                </c:pt>
                <c:pt idx="19">
                  <c:v>0.73555172202551833</c:v>
                </c:pt>
                <c:pt idx="20">
                  <c:v>0.77232930812679423</c:v>
                </c:pt>
                <c:pt idx="21">
                  <c:v>0.80910689422807014</c:v>
                </c:pt>
                <c:pt idx="22">
                  <c:v>0.84588448032934604</c:v>
                </c:pt>
                <c:pt idx="23">
                  <c:v>0.88266206643062195</c:v>
                </c:pt>
                <c:pt idx="24">
                  <c:v>0.91943965253189786</c:v>
                </c:pt>
                <c:pt idx="25">
                  <c:v>0.95621723863317376</c:v>
                </c:pt>
                <c:pt idx="26">
                  <c:v>0.99299482473444967</c:v>
                </c:pt>
                <c:pt idx="27">
                  <c:v>1.0297724108357256</c:v>
                </c:pt>
                <c:pt idx="28">
                  <c:v>1.0665499969370016</c:v>
                </c:pt>
                <c:pt idx="29">
                  <c:v>1.1033275830382776</c:v>
                </c:pt>
                <c:pt idx="30">
                  <c:v>1.1401051691395536</c:v>
                </c:pt>
                <c:pt idx="31">
                  <c:v>1.1768827552408296</c:v>
                </c:pt>
                <c:pt idx="32">
                  <c:v>1.2136603413421057</c:v>
                </c:pt>
                <c:pt idx="33">
                  <c:v>1.2504379274433817</c:v>
                </c:pt>
                <c:pt idx="34">
                  <c:v>1.2872155135446577</c:v>
                </c:pt>
                <c:pt idx="35">
                  <c:v>1.3239930996459337</c:v>
                </c:pt>
                <c:pt idx="36">
                  <c:v>1.3607706857472097</c:v>
                </c:pt>
                <c:pt idx="37">
                  <c:v>1.3975482718484857</c:v>
                </c:pt>
                <c:pt idx="38">
                  <c:v>1.4343258579497618</c:v>
                </c:pt>
                <c:pt idx="39">
                  <c:v>1.4711034440510378</c:v>
                </c:pt>
                <c:pt idx="40">
                  <c:v>1.5078810301523138</c:v>
                </c:pt>
                <c:pt idx="41">
                  <c:v>1.5446586162535898</c:v>
                </c:pt>
                <c:pt idx="42">
                  <c:v>1.5814362023548658</c:v>
                </c:pt>
                <c:pt idx="43">
                  <c:v>1.6182137884561418</c:v>
                </c:pt>
                <c:pt idx="44">
                  <c:v>1.6549913745574178</c:v>
                </c:pt>
                <c:pt idx="45">
                  <c:v>1.6917689606586939</c:v>
                </c:pt>
                <c:pt idx="46">
                  <c:v>1.7285465467599699</c:v>
                </c:pt>
                <c:pt idx="47">
                  <c:v>1.7653241328612459</c:v>
                </c:pt>
                <c:pt idx="48">
                  <c:v>1.8021017189625219</c:v>
                </c:pt>
                <c:pt idx="49">
                  <c:v>1.8388793050637979</c:v>
                </c:pt>
                <c:pt idx="50">
                  <c:v>1.8756568911650739</c:v>
                </c:pt>
                <c:pt idx="51">
                  <c:v>1.91243447726635</c:v>
                </c:pt>
                <c:pt idx="52">
                  <c:v>1.949212063367626</c:v>
                </c:pt>
              </c:numCache>
            </c:numRef>
          </c:val>
          <c:smooth val="0"/>
          <c:extLst xmlns:c15="http://schemas.microsoft.com/office/drawing/2012/chart">
            <c:ext xmlns:c16="http://schemas.microsoft.com/office/drawing/2014/chart" uri="{C3380CC4-5D6E-409C-BE32-E72D297353CC}">
              <c16:uniqueId val="{00000005-5A4A-4CD8-88A1-5E8794B518D2}"/>
            </c:ext>
          </c:extLst>
        </c:ser>
        <c:dLbls>
          <c:showLegendKey val="0"/>
          <c:showVal val="0"/>
          <c:showCatName val="0"/>
          <c:showSerName val="0"/>
          <c:showPercent val="0"/>
          <c:showBubbleSize val="0"/>
        </c:dLbls>
        <c:smooth val="0"/>
        <c:axId val="1388952432"/>
        <c:axId val="1388953088"/>
        <c:extLst>
          <c:ext xmlns:c15="http://schemas.microsoft.com/office/drawing/2012/chart" uri="{02D57815-91ED-43cb-92C2-25804820EDAC}">
            <c15:filteredLineSeries>
              <c15:ser>
                <c:idx val="3"/>
                <c:order val="1"/>
                <c:tx>
                  <c:strRef>
                    <c:extLst>
                      <c:ext uri="{02D57815-91ED-43cb-92C2-25804820EDAC}">
                        <c15:formulaRef>
                          <c15:sqref>'OZL Summary'!$BO$6:$BO$7</c15:sqref>
                        </c15:formulaRef>
                      </c:ext>
                    </c:extLst>
                    <c:strCache>
                      <c:ptCount val="2"/>
                      <c:pt idx="0">
                        <c:v>Min</c:v>
                      </c:pt>
                    </c:strCache>
                  </c:strRef>
                </c:tx>
                <c:spPr>
                  <a:ln>
                    <a:solidFill>
                      <a:schemeClr val="bg2">
                        <a:lumMod val="60000"/>
                        <a:lumOff val="40000"/>
                      </a:schemeClr>
                    </a:solidFill>
                    <a:prstDash val="sysDot"/>
                  </a:ln>
                </c:spPr>
                <c:marker>
                  <c:symbol val="none"/>
                </c:marker>
                <c:cat>
                  <c:numRef>
                    <c:extLst>
                      <c:ext uri="{02D57815-91ED-43cb-92C2-25804820EDAC}">
                        <c15:formulaRef>
                          <c15:sqref>'OZL Summary'!$FI$8:$FI$60</c15:sqref>
                        </c15:formulaRef>
                      </c:ext>
                    </c:extLst>
                    <c:numCache>
                      <c:formatCode>d\-mmm\-yy_);\(###0\);"-  ";" "@" "</c:formatCode>
                      <c:ptCount val="53"/>
                      <c:pt idx="0">
                        <c:v>45839</c:v>
                      </c:pt>
                      <c:pt idx="1">
                        <c:v>45846</c:v>
                      </c:pt>
                      <c:pt idx="2">
                        <c:v>45853</c:v>
                      </c:pt>
                      <c:pt idx="3">
                        <c:v>45860</c:v>
                      </c:pt>
                      <c:pt idx="4">
                        <c:v>45867</c:v>
                      </c:pt>
                      <c:pt idx="5">
                        <c:v>45874</c:v>
                      </c:pt>
                      <c:pt idx="6">
                        <c:v>45881</c:v>
                      </c:pt>
                      <c:pt idx="7">
                        <c:v>45888</c:v>
                      </c:pt>
                      <c:pt idx="8">
                        <c:v>45895</c:v>
                      </c:pt>
                      <c:pt idx="9">
                        <c:v>45902</c:v>
                      </c:pt>
                      <c:pt idx="10">
                        <c:v>45909</c:v>
                      </c:pt>
                      <c:pt idx="11">
                        <c:v>45916</c:v>
                      </c:pt>
                      <c:pt idx="12">
                        <c:v>45923</c:v>
                      </c:pt>
                      <c:pt idx="13">
                        <c:v>45930</c:v>
                      </c:pt>
                      <c:pt idx="14">
                        <c:v>45937</c:v>
                      </c:pt>
                      <c:pt idx="15">
                        <c:v>45944</c:v>
                      </c:pt>
                      <c:pt idx="16">
                        <c:v>45951</c:v>
                      </c:pt>
                      <c:pt idx="17">
                        <c:v>45958</c:v>
                      </c:pt>
                      <c:pt idx="18">
                        <c:v>45965</c:v>
                      </c:pt>
                      <c:pt idx="19">
                        <c:v>45972</c:v>
                      </c:pt>
                      <c:pt idx="20">
                        <c:v>45979</c:v>
                      </c:pt>
                      <c:pt idx="21">
                        <c:v>45986</c:v>
                      </c:pt>
                      <c:pt idx="22">
                        <c:v>45993</c:v>
                      </c:pt>
                      <c:pt idx="23">
                        <c:v>46000</c:v>
                      </c:pt>
                      <c:pt idx="24">
                        <c:v>46007</c:v>
                      </c:pt>
                      <c:pt idx="25">
                        <c:v>46014</c:v>
                      </c:pt>
                      <c:pt idx="26">
                        <c:v>46021</c:v>
                      </c:pt>
                      <c:pt idx="27">
                        <c:v>46028</c:v>
                      </c:pt>
                      <c:pt idx="28">
                        <c:v>46035</c:v>
                      </c:pt>
                      <c:pt idx="29">
                        <c:v>46042</c:v>
                      </c:pt>
                      <c:pt idx="30">
                        <c:v>46049</c:v>
                      </c:pt>
                      <c:pt idx="31">
                        <c:v>46056</c:v>
                      </c:pt>
                      <c:pt idx="32">
                        <c:v>46063</c:v>
                      </c:pt>
                      <c:pt idx="33">
                        <c:v>46070</c:v>
                      </c:pt>
                      <c:pt idx="34">
                        <c:v>46077</c:v>
                      </c:pt>
                      <c:pt idx="35">
                        <c:v>46084</c:v>
                      </c:pt>
                      <c:pt idx="36">
                        <c:v>46091</c:v>
                      </c:pt>
                      <c:pt idx="37">
                        <c:v>46098</c:v>
                      </c:pt>
                      <c:pt idx="38">
                        <c:v>46105</c:v>
                      </c:pt>
                      <c:pt idx="39">
                        <c:v>46112</c:v>
                      </c:pt>
                      <c:pt idx="40">
                        <c:v>46119</c:v>
                      </c:pt>
                      <c:pt idx="41">
                        <c:v>46126</c:v>
                      </c:pt>
                      <c:pt idx="42">
                        <c:v>46133</c:v>
                      </c:pt>
                      <c:pt idx="43">
                        <c:v>46140</c:v>
                      </c:pt>
                      <c:pt idx="44">
                        <c:v>46147</c:v>
                      </c:pt>
                      <c:pt idx="45">
                        <c:v>46154</c:v>
                      </c:pt>
                      <c:pt idx="46">
                        <c:v>46161</c:v>
                      </c:pt>
                      <c:pt idx="47">
                        <c:v>46168</c:v>
                      </c:pt>
                      <c:pt idx="48">
                        <c:v>46175</c:v>
                      </c:pt>
                      <c:pt idx="49">
                        <c:v>46182</c:v>
                      </c:pt>
                      <c:pt idx="50">
                        <c:v>46189</c:v>
                      </c:pt>
                      <c:pt idx="51">
                        <c:v>46196</c:v>
                      </c:pt>
                      <c:pt idx="52">
                        <c:v>46203</c:v>
                      </c:pt>
                    </c:numCache>
                  </c:numRef>
                </c:cat>
                <c:val>
                  <c:numRef>
                    <c:extLst>
                      <c:ext uri="{02D57815-91ED-43cb-92C2-25804820EDAC}">
                        <c15:formulaRef>
                          <c15:sqref>'OZL Summary'!$BO$8:$BO$60</c15:sqref>
                        </c15:formulaRef>
                      </c:ext>
                    </c:extLst>
                    <c:numCache>
                      <c:formatCode>0.000</c:formatCode>
                      <c:ptCount val="53"/>
                      <c:pt idx="0">
                        <c:v>1.6032204874777817E-2</c:v>
                      </c:pt>
                      <c:pt idx="1">
                        <c:v>3.2064409749555635E-2</c:v>
                      </c:pt>
                      <c:pt idx="2">
                        <c:v>4.8096614624333456E-2</c:v>
                      </c:pt>
                      <c:pt idx="3">
                        <c:v>6.412881949911127E-2</c:v>
                      </c:pt>
                      <c:pt idx="4">
                        <c:v>8.0161024373889084E-2</c:v>
                      </c:pt>
                      <c:pt idx="5">
                        <c:v>9.6193229248666898E-2</c:v>
                      </c:pt>
                      <c:pt idx="6">
                        <c:v>0.11222543412344471</c:v>
                      </c:pt>
                      <c:pt idx="7">
                        <c:v>0.12825763899822254</c:v>
                      </c:pt>
                      <c:pt idx="8">
                        <c:v>0.14428984387300037</c:v>
                      </c:pt>
                      <c:pt idx="9">
                        <c:v>0.1603220487477782</c:v>
                      </c:pt>
                      <c:pt idx="10">
                        <c:v>0.17635425362255602</c:v>
                      </c:pt>
                      <c:pt idx="11">
                        <c:v>0.19238645849733385</c:v>
                      </c:pt>
                      <c:pt idx="12">
                        <c:v>0.20841866337211168</c:v>
                      </c:pt>
                      <c:pt idx="13">
                        <c:v>0.22445086824688951</c:v>
                      </c:pt>
                      <c:pt idx="14">
                        <c:v>0.24048307312166733</c:v>
                      </c:pt>
                      <c:pt idx="15">
                        <c:v>0.25651527799644513</c:v>
                      </c:pt>
                      <c:pt idx="16">
                        <c:v>0.27254748287122293</c:v>
                      </c:pt>
                      <c:pt idx="17">
                        <c:v>0.28857968774600073</c:v>
                      </c:pt>
                      <c:pt idx="18">
                        <c:v>0.30461189262077853</c:v>
                      </c:pt>
                      <c:pt idx="19">
                        <c:v>0.32064409749555633</c:v>
                      </c:pt>
                      <c:pt idx="20">
                        <c:v>0.33667630237033414</c:v>
                      </c:pt>
                      <c:pt idx="21">
                        <c:v>0.35270850724511194</c:v>
                      </c:pt>
                      <c:pt idx="22">
                        <c:v>0.36874071211988974</c:v>
                      </c:pt>
                      <c:pt idx="23">
                        <c:v>0.38477291699466754</c:v>
                      </c:pt>
                      <c:pt idx="24">
                        <c:v>0.40080512186944534</c:v>
                      </c:pt>
                      <c:pt idx="25">
                        <c:v>0.41683732674422314</c:v>
                      </c:pt>
                      <c:pt idx="26">
                        <c:v>0.43286953161900094</c:v>
                      </c:pt>
                      <c:pt idx="27">
                        <c:v>0.44890173649377874</c:v>
                      </c:pt>
                      <c:pt idx="28">
                        <c:v>0.46493394136855654</c:v>
                      </c:pt>
                      <c:pt idx="29">
                        <c:v>0.48096614624333434</c:v>
                      </c:pt>
                      <c:pt idx="30">
                        <c:v>0.49699835111811214</c:v>
                      </c:pt>
                      <c:pt idx="31">
                        <c:v>0.51303055599288994</c:v>
                      </c:pt>
                      <c:pt idx="32">
                        <c:v>0.52906276086766779</c:v>
                      </c:pt>
                      <c:pt idx="33">
                        <c:v>0.54509496574244565</c:v>
                      </c:pt>
                      <c:pt idx="34">
                        <c:v>0.5611271706172235</c:v>
                      </c:pt>
                      <c:pt idx="35">
                        <c:v>0.57715937549200136</c:v>
                      </c:pt>
                      <c:pt idx="36">
                        <c:v>0.59319158036677921</c:v>
                      </c:pt>
                      <c:pt idx="37">
                        <c:v>0.60922378524155707</c:v>
                      </c:pt>
                      <c:pt idx="38">
                        <c:v>0.62525599011633493</c:v>
                      </c:pt>
                      <c:pt idx="39">
                        <c:v>0.64128819499111278</c:v>
                      </c:pt>
                      <c:pt idx="40">
                        <c:v>0.65732039986589064</c:v>
                      </c:pt>
                      <c:pt idx="41">
                        <c:v>0.67335260474066849</c:v>
                      </c:pt>
                      <c:pt idx="42">
                        <c:v>0.68938480961544635</c:v>
                      </c:pt>
                      <c:pt idx="43">
                        <c:v>0.7054170144902242</c:v>
                      </c:pt>
                      <c:pt idx="44">
                        <c:v>0.72144921936500206</c:v>
                      </c:pt>
                      <c:pt idx="45">
                        <c:v>0.73748142423977991</c:v>
                      </c:pt>
                      <c:pt idx="46">
                        <c:v>0.75351362911455777</c:v>
                      </c:pt>
                      <c:pt idx="47">
                        <c:v>0.76954583398933563</c:v>
                      </c:pt>
                      <c:pt idx="48">
                        <c:v>0.78557803886411348</c:v>
                      </c:pt>
                      <c:pt idx="49">
                        <c:v>0.80161024373889134</c:v>
                      </c:pt>
                      <c:pt idx="50">
                        <c:v>0.81764244861366919</c:v>
                      </c:pt>
                      <c:pt idx="51">
                        <c:v>0.83367465348844705</c:v>
                      </c:pt>
                    </c:numCache>
                  </c:numRef>
                </c:val>
                <c:smooth val="0"/>
                <c:extLst>
                  <c:ext xmlns:c16="http://schemas.microsoft.com/office/drawing/2014/chart" uri="{C3380CC4-5D6E-409C-BE32-E72D297353CC}">
                    <c16:uniqueId val="{00000006-5A4A-4CD8-88A1-5E8794B518D2}"/>
                  </c:ext>
                </c:extLst>
              </c15:ser>
            </c15:filteredLineSeries>
            <c15:filteredLineSeries>
              <c15:ser>
                <c:idx val="5"/>
                <c:order val="2"/>
                <c:tx>
                  <c:strRef>
                    <c:extLst xmlns:c15="http://schemas.microsoft.com/office/drawing/2012/chart">
                      <c:ext xmlns:c15="http://schemas.microsoft.com/office/drawing/2012/chart" uri="{02D57815-91ED-43cb-92C2-25804820EDAC}">
                        <c15:formulaRef>
                          <c15:sqref>'OZL Summary'!$BP$6:$BP$7</c15:sqref>
                        </c15:formulaRef>
                      </c:ext>
                    </c:extLst>
                    <c:strCache>
                      <c:ptCount val="2"/>
                      <c:pt idx="0">
                        <c:v>1st Percentile</c:v>
                      </c:pt>
                    </c:strCache>
                  </c:strRef>
                </c:tx>
                <c:spPr>
                  <a:ln>
                    <a:solidFill>
                      <a:schemeClr val="bg2">
                        <a:lumMod val="60000"/>
                        <a:lumOff val="40000"/>
                      </a:schemeClr>
                    </a:solidFill>
                    <a:prstDash val="sysDot"/>
                  </a:ln>
                </c:spPr>
                <c:marker>
                  <c:symbol val="none"/>
                </c:marker>
                <c:cat>
                  <c:numRef>
                    <c:extLst xmlns:c15="http://schemas.microsoft.com/office/drawing/2012/chart">
                      <c:ext xmlns:c15="http://schemas.microsoft.com/office/drawing/2012/chart" uri="{02D57815-91ED-43cb-92C2-25804820EDAC}">
                        <c15:formulaRef>
                          <c15:sqref>'OZL Summary'!$FI$8:$FI$60</c15:sqref>
                        </c15:formulaRef>
                      </c:ext>
                    </c:extLst>
                    <c:numCache>
                      <c:formatCode>d\-mmm\-yy_);\(###0\);"-  ";" "@" "</c:formatCode>
                      <c:ptCount val="53"/>
                      <c:pt idx="0">
                        <c:v>45839</c:v>
                      </c:pt>
                      <c:pt idx="1">
                        <c:v>45846</c:v>
                      </c:pt>
                      <c:pt idx="2">
                        <c:v>45853</c:v>
                      </c:pt>
                      <c:pt idx="3">
                        <c:v>45860</c:v>
                      </c:pt>
                      <c:pt idx="4">
                        <c:v>45867</c:v>
                      </c:pt>
                      <c:pt idx="5">
                        <c:v>45874</c:v>
                      </c:pt>
                      <c:pt idx="6">
                        <c:v>45881</c:v>
                      </c:pt>
                      <c:pt idx="7">
                        <c:v>45888</c:v>
                      </c:pt>
                      <c:pt idx="8">
                        <c:v>45895</c:v>
                      </c:pt>
                      <c:pt idx="9">
                        <c:v>45902</c:v>
                      </c:pt>
                      <c:pt idx="10">
                        <c:v>45909</c:v>
                      </c:pt>
                      <c:pt idx="11">
                        <c:v>45916</c:v>
                      </c:pt>
                      <c:pt idx="12">
                        <c:v>45923</c:v>
                      </c:pt>
                      <c:pt idx="13">
                        <c:v>45930</c:v>
                      </c:pt>
                      <c:pt idx="14">
                        <c:v>45937</c:v>
                      </c:pt>
                      <c:pt idx="15">
                        <c:v>45944</c:v>
                      </c:pt>
                      <c:pt idx="16">
                        <c:v>45951</c:v>
                      </c:pt>
                      <c:pt idx="17">
                        <c:v>45958</c:v>
                      </c:pt>
                      <c:pt idx="18">
                        <c:v>45965</c:v>
                      </c:pt>
                      <c:pt idx="19">
                        <c:v>45972</c:v>
                      </c:pt>
                      <c:pt idx="20">
                        <c:v>45979</c:v>
                      </c:pt>
                      <c:pt idx="21">
                        <c:v>45986</c:v>
                      </c:pt>
                      <c:pt idx="22">
                        <c:v>45993</c:v>
                      </c:pt>
                      <c:pt idx="23">
                        <c:v>46000</c:v>
                      </c:pt>
                      <c:pt idx="24">
                        <c:v>46007</c:v>
                      </c:pt>
                      <c:pt idx="25">
                        <c:v>46014</c:v>
                      </c:pt>
                      <c:pt idx="26">
                        <c:v>46021</c:v>
                      </c:pt>
                      <c:pt idx="27">
                        <c:v>46028</c:v>
                      </c:pt>
                      <c:pt idx="28">
                        <c:v>46035</c:v>
                      </c:pt>
                      <c:pt idx="29">
                        <c:v>46042</c:v>
                      </c:pt>
                      <c:pt idx="30">
                        <c:v>46049</c:v>
                      </c:pt>
                      <c:pt idx="31">
                        <c:v>46056</c:v>
                      </c:pt>
                      <c:pt idx="32">
                        <c:v>46063</c:v>
                      </c:pt>
                      <c:pt idx="33">
                        <c:v>46070</c:v>
                      </c:pt>
                      <c:pt idx="34">
                        <c:v>46077</c:v>
                      </c:pt>
                      <c:pt idx="35">
                        <c:v>46084</c:v>
                      </c:pt>
                      <c:pt idx="36">
                        <c:v>46091</c:v>
                      </c:pt>
                      <c:pt idx="37">
                        <c:v>46098</c:v>
                      </c:pt>
                      <c:pt idx="38">
                        <c:v>46105</c:v>
                      </c:pt>
                      <c:pt idx="39">
                        <c:v>46112</c:v>
                      </c:pt>
                      <c:pt idx="40">
                        <c:v>46119</c:v>
                      </c:pt>
                      <c:pt idx="41">
                        <c:v>46126</c:v>
                      </c:pt>
                      <c:pt idx="42">
                        <c:v>46133</c:v>
                      </c:pt>
                      <c:pt idx="43">
                        <c:v>46140</c:v>
                      </c:pt>
                      <c:pt idx="44">
                        <c:v>46147</c:v>
                      </c:pt>
                      <c:pt idx="45">
                        <c:v>46154</c:v>
                      </c:pt>
                      <c:pt idx="46">
                        <c:v>46161</c:v>
                      </c:pt>
                      <c:pt idx="47">
                        <c:v>46168</c:v>
                      </c:pt>
                      <c:pt idx="48">
                        <c:v>46175</c:v>
                      </c:pt>
                      <c:pt idx="49">
                        <c:v>46182</c:v>
                      </c:pt>
                      <c:pt idx="50">
                        <c:v>46189</c:v>
                      </c:pt>
                      <c:pt idx="51">
                        <c:v>46196</c:v>
                      </c:pt>
                      <c:pt idx="52">
                        <c:v>46203</c:v>
                      </c:pt>
                    </c:numCache>
                  </c:numRef>
                </c:cat>
                <c:val>
                  <c:numRef>
                    <c:extLst xmlns:c15="http://schemas.microsoft.com/office/drawing/2012/chart">
                      <c:ext xmlns:c15="http://schemas.microsoft.com/office/drawing/2012/chart" uri="{02D57815-91ED-43cb-92C2-25804820EDAC}">
                        <c15:formulaRef>
                          <c15:sqref>'OZL Summary'!$BP$8:$BP$60</c15:sqref>
                        </c15:formulaRef>
                      </c:ext>
                    </c:extLst>
                    <c:numCache>
                      <c:formatCode>0.000</c:formatCode>
                      <c:ptCount val="53"/>
                      <c:pt idx="0">
                        <c:v>1.8223138082807688E-2</c:v>
                      </c:pt>
                      <c:pt idx="1">
                        <c:v>3.6446276165615375E-2</c:v>
                      </c:pt>
                      <c:pt idx="2">
                        <c:v>5.4669414248423059E-2</c:v>
                      </c:pt>
                      <c:pt idx="3">
                        <c:v>7.2892552331230751E-2</c:v>
                      </c:pt>
                      <c:pt idx="4">
                        <c:v>9.1115690414038442E-2</c:v>
                      </c:pt>
                      <c:pt idx="5">
                        <c:v>0.10933882849684613</c:v>
                      </c:pt>
                      <c:pt idx="6">
                        <c:v>0.12756196657965382</c:v>
                      </c:pt>
                      <c:pt idx="7">
                        <c:v>0.1457851046624615</c:v>
                      </c:pt>
                      <c:pt idx="8">
                        <c:v>0.16400824274526918</c:v>
                      </c:pt>
                      <c:pt idx="9">
                        <c:v>0.18223138082807686</c:v>
                      </c:pt>
                      <c:pt idx="10">
                        <c:v>0.20045451891088453</c:v>
                      </c:pt>
                      <c:pt idx="11">
                        <c:v>0.21867765699369221</c:v>
                      </c:pt>
                      <c:pt idx="12">
                        <c:v>0.23690079507649989</c:v>
                      </c:pt>
                      <c:pt idx="13">
                        <c:v>0.25512393315930759</c:v>
                      </c:pt>
                      <c:pt idx="14">
                        <c:v>0.27334707124211527</c:v>
                      </c:pt>
                      <c:pt idx="15">
                        <c:v>0.29157020932492295</c:v>
                      </c:pt>
                      <c:pt idx="16">
                        <c:v>0.30979334740773062</c:v>
                      </c:pt>
                      <c:pt idx="17">
                        <c:v>0.3280164854905383</c:v>
                      </c:pt>
                      <c:pt idx="18">
                        <c:v>0.34623962357334598</c:v>
                      </c:pt>
                      <c:pt idx="19">
                        <c:v>0.36446276165615366</c:v>
                      </c:pt>
                      <c:pt idx="20">
                        <c:v>0.38268589973896133</c:v>
                      </c:pt>
                      <c:pt idx="21">
                        <c:v>0.40090903782176901</c:v>
                      </c:pt>
                      <c:pt idx="22">
                        <c:v>0.41913217590457669</c:v>
                      </c:pt>
                      <c:pt idx="23">
                        <c:v>0.43735531398738436</c:v>
                      </c:pt>
                      <c:pt idx="24">
                        <c:v>0.45557845207019204</c:v>
                      </c:pt>
                      <c:pt idx="25">
                        <c:v>0.47380159015299972</c:v>
                      </c:pt>
                      <c:pt idx="26">
                        <c:v>0.4920247282358074</c:v>
                      </c:pt>
                      <c:pt idx="27">
                        <c:v>0.51024786631861507</c:v>
                      </c:pt>
                      <c:pt idx="28">
                        <c:v>0.52847100440142281</c:v>
                      </c:pt>
                      <c:pt idx="29">
                        <c:v>0.54669414248423054</c:v>
                      </c:pt>
                      <c:pt idx="30">
                        <c:v>0.56491728056703827</c:v>
                      </c:pt>
                      <c:pt idx="31">
                        <c:v>0.583140418649846</c:v>
                      </c:pt>
                      <c:pt idx="32">
                        <c:v>0.60136355673265374</c:v>
                      </c:pt>
                      <c:pt idx="33">
                        <c:v>0.61958669481546147</c:v>
                      </c:pt>
                      <c:pt idx="34">
                        <c:v>0.6378098328982692</c:v>
                      </c:pt>
                      <c:pt idx="35">
                        <c:v>0.65603297098107693</c:v>
                      </c:pt>
                      <c:pt idx="36">
                        <c:v>0.67425610906388467</c:v>
                      </c:pt>
                      <c:pt idx="37">
                        <c:v>0.6924792471466924</c:v>
                      </c:pt>
                      <c:pt idx="38">
                        <c:v>0.71070238522950013</c:v>
                      </c:pt>
                      <c:pt idx="39">
                        <c:v>0.72892552331230787</c:v>
                      </c:pt>
                      <c:pt idx="40">
                        <c:v>0.7471486613951156</c:v>
                      </c:pt>
                      <c:pt idx="41">
                        <c:v>0.76537179947792333</c:v>
                      </c:pt>
                      <c:pt idx="42">
                        <c:v>0.78359493756073106</c:v>
                      </c:pt>
                      <c:pt idx="43">
                        <c:v>0.8018180756435388</c:v>
                      </c:pt>
                      <c:pt idx="44">
                        <c:v>0.82004121372634653</c:v>
                      </c:pt>
                      <c:pt idx="45">
                        <c:v>0.83826435180915426</c:v>
                      </c:pt>
                      <c:pt idx="46">
                        <c:v>0.85648748989196199</c:v>
                      </c:pt>
                      <c:pt idx="47">
                        <c:v>0.87471062797476973</c:v>
                      </c:pt>
                      <c:pt idx="48">
                        <c:v>0.89293376605757746</c:v>
                      </c:pt>
                      <c:pt idx="49">
                        <c:v>0.91115690414038519</c:v>
                      </c:pt>
                      <c:pt idx="50">
                        <c:v>0.92938004222319293</c:v>
                      </c:pt>
                      <c:pt idx="51">
                        <c:v>0.94760318030600066</c:v>
                      </c:pt>
                    </c:numCache>
                  </c:numRef>
                </c:val>
                <c:smooth val="0"/>
                <c:extLst xmlns:c15="http://schemas.microsoft.com/office/drawing/2012/chart">
                  <c:ext xmlns:c16="http://schemas.microsoft.com/office/drawing/2014/chart" uri="{C3380CC4-5D6E-409C-BE32-E72D297353CC}">
                    <c16:uniqueId val="{00000007-5A4A-4CD8-88A1-5E8794B518D2}"/>
                  </c:ext>
                </c:extLst>
              </c15:ser>
            </c15:filteredLineSeries>
            <c15:filteredLineSeries>
              <c15:ser>
                <c:idx val="1"/>
                <c:order val="4"/>
                <c:tx>
                  <c:strRef>
                    <c:extLst xmlns:c15="http://schemas.microsoft.com/office/drawing/2012/chart">
                      <c:ext xmlns:c15="http://schemas.microsoft.com/office/drawing/2012/chart" uri="{02D57815-91ED-43cb-92C2-25804820EDAC}">
                        <c15:formulaRef>
                          <c15:sqref>'OZL Summary'!$BR$6:$BR$7</c15:sqref>
                        </c15:formulaRef>
                      </c:ext>
                    </c:extLst>
                    <c:strCache>
                      <c:ptCount val="2"/>
                      <c:pt idx="0">
                        <c:v>10th Percentile</c:v>
                      </c:pt>
                    </c:strCache>
                  </c:strRef>
                </c:tx>
                <c:spPr>
                  <a:ln>
                    <a:solidFill>
                      <a:schemeClr val="bg2">
                        <a:lumMod val="60000"/>
                        <a:lumOff val="40000"/>
                      </a:schemeClr>
                    </a:solidFill>
                    <a:prstDash val="sysDot"/>
                  </a:ln>
                </c:spPr>
                <c:marker>
                  <c:symbol val="none"/>
                </c:marker>
                <c:cat>
                  <c:numRef>
                    <c:extLst xmlns:c15="http://schemas.microsoft.com/office/drawing/2012/chart">
                      <c:ext xmlns:c15="http://schemas.microsoft.com/office/drawing/2012/chart" uri="{02D57815-91ED-43cb-92C2-25804820EDAC}">
                        <c15:formulaRef>
                          <c15:sqref>'OZL Summary'!$FI$8:$FI$60</c15:sqref>
                        </c15:formulaRef>
                      </c:ext>
                    </c:extLst>
                    <c:numCache>
                      <c:formatCode>d\-mmm\-yy_);\(###0\);"-  ";" "@" "</c:formatCode>
                      <c:ptCount val="53"/>
                      <c:pt idx="0">
                        <c:v>45839</c:v>
                      </c:pt>
                      <c:pt idx="1">
                        <c:v>45846</c:v>
                      </c:pt>
                      <c:pt idx="2">
                        <c:v>45853</c:v>
                      </c:pt>
                      <c:pt idx="3">
                        <c:v>45860</c:v>
                      </c:pt>
                      <c:pt idx="4">
                        <c:v>45867</c:v>
                      </c:pt>
                      <c:pt idx="5">
                        <c:v>45874</c:v>
                      </c:pt>
                      <c:pt idx="6">
                        <c:v>45881</c:v>
                      </c:pt>
                      <c:pt idx="7">
                        <c:v>45888</c:v>
                      </c:pt>
                      <c:pt idx="8">
                        <c:v>45895</c:v>
                      </c:pt>
                      <c:pt idx="9">
                        <c:v>45902</c:v>
                      </c:pt>
                      <c:pt idx="10">
                        <c:v>45909</c:v>
                      </c:pt>
                      <c:pt idx="11">
                        <c:v>45916</c:v>
                      </c:pt>
                      <c:pt idx="12">
                        <c:v>45923</c:v>
                      </c:pt>
                      <c:pt idx="13">
                        <c:v>45930</c:v>
                      </c:pt>
                      <c:pt idx="14">
                        <c:v>45937</c:v>
                      </c:pt>
                      <c:pt idx="15">
                        <c:v>45944</c:v>
                      </c:pt>
                      <c:pt idx="16">
                        <c:v>45951</c:v>
                      </c:pt>
                      <c:pt idx="17">
                        <c:v>45958</c:v>
                      </c:pt>
                      <c:pt idx="18">
                        <c:v>45965</c:v>
                      </c:pt>
                      <c:pt idx="19">
                        <c:v>45972</c:v>
                      </c:pt>
                      <c:pt idx="20">
                        <c:v>45979</c:v>
                      </c:pt>
                      <c:pt idx="21">
                        <c:v>45986</c:v>
                      </c:pt>
                      <c:pt idx="22">
                        <c:v>45993</c:v>
                      </c:pt>
                      <c:pt idx="23">
                        <c:v>46000</c:v>
                      </c:pt>
                      <c:pt idx="24">
                        <c:v>46007</c:v>
                      </c:pt>
                      <c:pt idx="25">
                        <c:v>46014</c:v>
                      </c:pt>
                      <c:pt idx="26">
                        <c:v>46021</c:v>
                      </c:pt>
                      <c:pt idx="27">
                        <c:v>46028</c:v>
                      </c:pt>
                      <c:pt idx="28">
                        <c:v>46035</c:v>
                      </c:pt>
                      <c:pt idx="29">
                        <c:v>46042</c:v>
                      </c:pt>
                      <c:pt idx="30">
                        <c:v>46049</c:v>
                      </c:pt>
                      <c:pt idx="31">
                        <c:v>46056</c:v>
                      </c:pt>
                      <c:pt idx="32">
                        <c:v>46063</c:v>
                      </c:pt>
                      <c:pt idx="33">
                        <c:v>46070</c:v>
                      </c:pt>
                      <c:pt idx="34">
                        <c:v>46077</c:v>
                      </c:pt>
                      <c:pt idx="35">
                        <c:v>46084</c:v>
                      </c:pt>
                      <c:pt idx="36">
                        <c:v>46091</c:v>
                      </c:pt>
                      <c:pt idx="37">
                        <c:v>46098</c:v>
                      </c:pt>
                      <c:pt idx="38">
                        <c:v>46105</c:v>
                      </c:pt>
                      <c:pt idx="39">
                        <c:v>46112</c:v>
                      </c:pt>
                      <c:pt idx="40">
                        <c:v>46119</c:v>
                      </c:pt>
                      <c:pt idx="41">
                        <c:v>46126</c:v>
                      </c:pt>
                      <c:pt idx="42">
                        <c:v>46133</c:v>
                      </c:pt>
                      <c:pt idx="43">
                        <c:v>46140</c:v>
                      </c:pt>
                      <c:pt idx="44">
                        <c:v>46147</c:v>
                      </c:pt>
                      <c:pt idx="45">
                        <c:v>46154</c:v>
                      </c:pt>
                      <c:pt idx="46">
                        <c:v>46161</c:v>
                      </c:pt>
                      <c:pt idx="47">
                        <c:v>46168</c:v>
                      </c:pt>
                      <c:pt idx="48">
                        <c:v>46175</c:v>
                      </c:pt>
                      <c:pt idx="49">
                        <c:v>46182</c:v>
                      </c:pt>
                      <c:pt idx="50">
                        <c:v>46189</c:v>
                      </c:pt>
                      <c:pt idx="51">
                        <c:v>46196</c:v>
                      </c:pt>
                      <c:pt idx="52">
                        <c:v>46203</c:v>
                      </c:pt>
                    </c:numCache>
                  </c:numRef>
                </c:cat>
                <c:val>
                  <c:numRef>
                    <c:extLst xmlns:c15="http://schemas.microsoft.com/office/drawing/2012/chart">
                      <c:ext xmlns:c15="http://schemas.microsoft.com/office/drawing/2012/chart" uri="{02D57815-91ED-43cb-92C2-25804820EDAC}">
                        <c15:formulaRef>
                          <c15:sqref>'OZL Summary'!$BR$8:$BR$60</c15:sqref>
                        </c15:formulaRef>
                      </c:ext>
                    </c:extLst>
                    <c:numCache>
                      <c:formatCode>0.000</c:formatCode>
                      <c:ptCount val="53"/>
                      <c:pt idx="0">
                        <c:v>2.0199848897457344E-2</c:v>
                      </c:pt>
                      <c:pt idx="1">
                        <c:v>4.0399697794914688E-2</c:v>
                      </c:pt>
                      <c:pt idx="2">
                        <c:v>6.0599546692372032E-2</c:v>
                      </c:pt>
                      <c:pt idx="3">
                        <c:v>8.0799395589829376E-2</c:v>
                      </c:pt>
                      <c:pt idx="4">
                        <c:v>0.10099924448728673</c:v>
                      </c:pt>
                      <c:pt idx="5">
                        <c:v>0.12119909338474408</c:v>
                      </c:pt>
                      <c:pt idx="6">
                        <c:v>0.14139894228220143</c:v>
                      </c:pt>
                      <c:pt idx="7">
                        <c:v>0.16159879117965878</c:v>
                      </c:pt>
                      <c:pt idx="8">
                        <c:v>0.18179864007711613</c:v>
                      </c:pt>
                      <c:pt idx="9">
                        <c:v>0.20199848897457348</c:v>
                      </c:pt>
                      <c:pt idx="10">
                        <c:v>0.22219833787203083</c:v>
                      </c:pt>
                      <c:pt idx="11">
                        <c:v>0.24239818676948818</c:v>
                      </c:pt>
                      <c:pt idx="12">
                        <c:v>0.26259803566694551</c:v>
                      </c:pt>
                      <c:pt idx="13">
                        <c:v>0.28279788456440286</c:v>
                      </c:pt>
                      <c:pt idx="14">
                        <c:v>0.30299773346186021</c:v>
                      </c:pt>
                      <c:pt idx="15">
                        <c:v>0.32319758235931756</c:v>
                      </c:pt>
                      <c:pt idx="16">
                        <c:v>0.34339743125677491</c:v>
                      </c:pt>
                      <c:pt idx="17">
                        <c:v>0.36359728015423226</c:v>
                      </c:pt>
                      <c:pt idx="18">
                        <c:v>0.38379712905168961</c:v>
                      </c:pt>
                      <c:pt idx="19">
                        <c:v>0.40399697794914696</c:v>
                      </c:pt>
                      <c:pt idx="20">
                        <c:v>0.42419682684660431</c:v>
                      </c:pt>
                      <c:pt idx="21">
                        <c:v>0.44439667574406166</c:v>
                      </c:pt>
                      <c:pt idx="22">
                        <c:v>0.46459652464151902</c:v>
                      </c:pt>
                      <c:pt idx="23">
                        <c:v>0.48479637353897637</c:v>
                      </c:pt>
                      <c:pt idx="24">
                        <c:v>0.50499622243643372</c:v>
                      </c:pt>
                      <c:pt idx="25">
                        <c:v>0.52519607133389101</c:v>
                      </c:pt>
                      <c:pt idx="26">
                        <c:v>0.54539592023134831</c:v>
                      </c:pt>
                      <c:pt idx="27">
                        <c:v>0.5655957691288056</c:v>
                      </c:pt>
                      <c:pt idx="28">
                        <c:v>0.5857956180262629</c:v>
                      </c:pt>
                      <c:pt idx="29">
                        <c:v>0.60599546692372019</c:v>
                      </c:pt>
                      <c:pt idx="30">
                        <c:v>0.62619531582117749</c:v>
                      </c:pt>
                      <c:pt idx="31">
                        <c:v>0.64639516471863478</c:v>
                      </c:pt>
                      <c:pt idx="32">
                        <c:v>0.66659501361609208</c:v>
                      </c:pt>
                      <c:pt idx="33">
                        <c:v>0.68679486251354938</c:v>
                      </c:pt>
                      <c:pt idx="34">
                        <c:v>0.70699471141100667</c:v>
                      </c:pt>
                      <c:pt idx="35">
                        <c:v>0.72719456030846397</c:v>
                      </c:pt>
                      <c:pt idx="36">
                        <c:v>0.74739440920592126</c:v>
                      </c:pt>
                      <c:pt idx="37">
                        <c:v>0.76759425810337856</c:v>
                      </c:pt>
                      <c:pt idx="38">
                        <c:v>0.78779410700083585</c:v>
                      </c:pt>
                      <c:pt idx="39">
                        <c:v>0.80799395589829315</c:v>
                      </c:pt>
                      <c:pt idx="40">
                        <c:v>0.82819380479575044</c:v>
                      </c:pt>
                      <c:pt idx="41">
                        <c:v>0.84839365369320774</c:v>
                      </c:pt>
                      <c:pt idx="42">
                        <c:v>0.86859350259066503</c:v>
                      </c:pt>
                      <c:pt idx="43">
                        <c:v>0.88879335148812233</c:v>
                      </c:pt>
                      <c:pt idx="44">
                        <c:v>0.90899320038557962</c:v>
                      </c:pt>
                      <c:pt idx="45">
                        <c:v>0.92919304928303692</c:v>
                      </c:pt>
                      <c:pt idx="46">
                        <c:v>0.94939289818049422</c:v>
                      </c:pt>
                      <c:pt idx="47">
                        <c:v>0.96959274707795151</c:v>
                      </c:pt>
                      <c:pt idx="48">
                        <c:v>0.98979259597540881</c:v>
                      </c:pt>
                      <c:pt idx="49">
                        <c:v>1.0099924448728661</c:v>
                      </c:pt>
                      <c:pt idx="50">
                        <c:v>1.0301922937703234</c:v>
                      </c:pt>
                      <c:pt idx="51">
                        <c:v>1.0503921426677807</c:v>
                      </c:pt>
                    </c:numCache>
                  </c:numRef>
                </c:val>
                <c:smooth val="0"/>
                <c:extLst xmlns:c15="http://schemas.microsoft.com/office/drawing/2012/chart">
                  <c:ext xmlns:c16="http://schemas.microsoft.com/office/drawing/2014/chart" uri="{C3380CC4-5D6E-409C-BE32-E72D297353CC}">
                    <c16:uniqueId val="{00000008-5A4A-4CD8-88A1-5E8794B518D2}"/>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'OZL Summary'!$BV$6:$BV$7</c15:sqref>
                        </c15:formulaRef>
                      </c:ext>
                    </c:extLst>
                    <c:strCache>
                      <c:ptCount val="2"/>
                      <c:pt idx="0">
                        <c:v>90th Percentile</c:v>
                      </c:pt>
                    </c:strCache>
                  </c:strRef>
                </c:tx>
                <c:spPr>
                  <a:ln>
                    <a:solidFill>
                      <a:schemeClr val="bg2">
                        <a:lumMod val="60000"/>
                        <a:lumOff val="40000"/>
                      </a:schemeClr>
                    </a:solidFill>
                    <a:prstDash val="sysDot"/>
                  </a:ln>
                </c:spPr>
                <c:marker>
                  <c:symbol val="none"/>
                </c:marker>
                <c:cat>
                  <c:numRef>
                    <c:extLst xmlns:c15="http://schemas.microsoft.com/office/drawing/2012/chart">
                      <c:ext xmlns:c15="http://schemas.microsoft.com/office/drawing/2012/chart" uri="{02D57815-91ED-43cb-92C2-25804820EDAC}">
                        <c15:formulaRef>
                          <c15:sqref>'OZL Summary'!$FI$8:$FI$60</c15:sqref>
                        </c15:formulaRef>
                      </c:ext>
                    </c:extLst>
                    <c:numCache>
                      <c:formatCode>d\-mmm\-yy_);\(###0\);"-  ";" "@" "</c:formatCode>
                      <c:ptCount val="53"/>
                      <c:pt idx="0">
                        <c:v>45839</c:v>
                      </c:pt>
                      <c:pt idx="1">
                        <c:v>45846</c:v>
                      </c:pt>
                      <c:pt idx="2">
                        <c:v>45853</c:v>
                      </c:pt>
                      <c:pt idx="3">
                        <c:v>45860</c:v>
                      </c:pt>
                      <c:pt idx="4">
                        <c:v>45867</c:v>
                      </c:pt>
                      <c:pt idx="5">
                        <c:v>45874</c:v>
                      </c:pt>
                      <c:pt idx="6">
                        <c:v>45881</c:v>
                      </c:pt>
                      <c:pt idx="7">
                        <c:v>45888</c:v>
                      </c:pt>
                      <c:pt idx="8">
                        <c:v>45895</c:v>
                      </c:pt>
                      <c:pt idx="9">
                        <c:v>45902</c:v>
                      </c:pt>
                      <c:pt idx="10">
                        <c:v>45909</c:v>
                      </c:pt>
                      <c:pt idx="11">
                        <c:v>45916</c:v>
                      </c:pt>
                      <c:pt idx="12">
                        <c:v>45923</c:v>
                      </c:pt>
                      <c:pt idx="13">
                        <c:v>45930</c:v>
                      </c:pt>
                      <c:pt idx="14">
                        <c:v>45937</c:v>
                      </c:pt>
                      <c:pt idx="15">
                        <c:v>45944</c:v>
                      </c:pt>
                      <c:pt idx="16">
                        <c:v>45951</c:v>
                      </c:pt>
                      <c:pt idx="17">
                        <c:v>45958</c:v>
                      </c:pt>
                      <c:pt idx="18">
                        <c:v>45965</c:v>
                      </c:pt>
                      <c:pt idx="19">
                        <c:v>45972</c:v>
                      </c:pt>
                      <c:pt idx="20">
                        <c:v>45979</c:v>
                      </c:pt>
                      <c:pt idx="21">
                        <c:v>45986</c:v>
                      </c:pt>
                      <c:pt idx="22">
                        <c:v>45993</c:v>
                      </c:pt>
                      <c:pt idx="23">
                        <c:v>46000</c:v>
                      </c:pt>
                      <c:pt idx="24">
                        <c:v>46007</c:v>
                      </c:pt>
                      <c:pt idx="25">
                        <c:v>46014</c:v>
                      </c:pt>
                      <c:pt idx="26">
                        <c:v>46021</c:v>
                      </c:pt>
                      <c:pt idx="27">
                        <c:v>46028</c:v>
                      </c:pt>
                      <c:pt idx="28">
                        <c:v>46035</c:v>
                      </c:pt>
                      <c:pt idx="29">
                        <c:v>46042</c:v>
                      </c:pt>
                      <c:pt idx="30">
                        <c:v>46049</c:v>
                      </c:pt>
                      <c:pt idx="31">
                        <c:v>46056</c:v>
                      </c:pt>
                      <c:pt idx="32">
                        <c:v>46063</c:v>
                      </c:pt>
                      <c:pt idx="33">
                        <c:v>46070</c:v>
                      </c:pt>
                      <c:pt idx="34">
                        <c:v>46077</c:v>
                      </c:pt>
                      <c:pt idx="35">
                        <c:v>46084</c:v>
                      </c:pt>
                      <c:pt idx="36">
                        <c:v>46091</c:v>
                      </c:pt>
                      <c:pt idx="37">
                        <c:v>46098</c:v>
                      </c:pt>
                      <c:pt idx="38">
                        <c:v>46105</c:v>
                      </c:pt>
                      <c:pt idx="39">
                        <c:v>46112</c:v>
                      </c:pt>
                      <c:pt idx="40">
                        <c:v>46119</c:v>
                      </c:pt>
                      <c:pt idx="41">
                        <c:v>46126</c:v>
                      </c:pt>
                      <c:pt idx="42">
                        <c:v>46133</c:v>
                      </c:pt>
                      <c:pt idx="43">
                        <c:v>46140</c:v>
                      </c:pt>
                      <c:pt idx="44">
                        <c:v>46147</c:v>
                      </c:pt>
                      <c:pt idx="45">
                        <c:v>46154</c:v>
                      </c:pt>
                      <c:pt idx="46">
                        <c:v>46161</c:v>
                      </c:pt>
                      <c:pt idx="47">
                        <c:v>46168</c:v>
                      </c:pt>
                      <c:pt idx="48">
                        <c:v>46175</c:v>
                      </c:pt>
                      <c:pt idx="49">
                        <c:v>46182</c:v>
                      </c:pt>
                      <c:pt idx="50">
                        <c:v>46189</c:v>
                      </c:pt>
                      <c:pt idx="51">
                        <c:v>46196</c:v>
                      </c:pt>
                      <c:pt idx="52">
                        <c:v>46203</c:v>
                      </c:pt>
                    </c:numCache>
                  </c:numRef>
                </c:cat>
                <c:val>
                  <c:numRef>
                    <c:extLst xmlns:c15="http://schemas.microsoft.com/office/drawing/2012/chart">
                      <c:ext xmlns:c15="http://schemas.microsoft.com/office/drawing/2012/chart" uri="{02D57815-91ED-43cb-92C2-25804820EDAC}">
                        <c15:formulaRef>
                          <c15:sqref>'OZL Summary'!$BV$8:$BV$60</c15:sqref>
                        </c15:formulaRef>
                      </c:ext>
                    </c:extLst>
                    <c:numCache>
                      <c:formatCode>0.000</c:formatCode>
                      <c:ptCount val="53"/>
                      <c:pt idx="0">
                        <c:v>2.7720420236719803E-2</c:v>
                      </c:pt>
                      <c:pt idx="1">
                        <c:v>5.5440840473439605E-2</c:v>
                      </c:pt>
                      <c:pt idx="2">
                        <c:v>8.3161260710159404E-2</c:v>
                      </c:pt>
                      <c:pt idx="3">
                        <c:v>0.11088168094687921</c:v>
                      </c:pt>
                      <c:pt idx="4">
                        <c:v>0.138602101183599</c:v>
                      </c:pt>
                      <c:pt idx="5">
                        <c:v>0.16632252142031881</c:v>
                      </c:pt>
                      <c:pt idx="6">
                        <c:v>0.19404294165703861</c:v>
                      </c:pt>
                      <c:pt idx="7">
                        <c:v>0.22176336189375842</c:v>
                      </c:pt>
                      <c:pt idx="8">
                        <c:v>0.24948378213047823</c:v>
                      </c:pt>
                      <c:pt idx="9">
                        <c:v>0.277204202367198</c:v>
                      </c:pt>
                      <c:pt idx="10">
                        <c:v>0.30492462260391778</c:v>
                      </c:pt>
                      <c:pt idx="11">
                        <c:v>0.33264504284063756</c:v>
                      </c:pt>
                      <c:pt idx="12">
                        <c:v>0.36036546307735734</c:v>
                      </c:pt>
                      <c:pt idx="13">
                        <c:v>0.38808588331407712</c:v>
                      </c:pt>
                      <c:pt idx="14">
                        <c:v>0.4158063035507969</c:v>
                      </c:pt>
                      <c:pt idx="15">
                        <c:v>0.44352672378751667</c:v>
                      </c:pt>
                      <c:pt idx="16">
                        <c:v>0.47124714402423645</c:v>
                      </c:pt>
                      <c:pt idx="17">
                        <c:v>0.49896756426095623</c:v>
                      </c:pt>
                      <c:pt idx="18">
                        <c:v>0.52668798449767606</c:v>
                      </c:pt>
                      <c:pt idx="19">
                        <c:v>0.5544084047343959</c:v>
                      </c:pt>
                      <c:pt idx="20">
                        <c:v>0.58212882497111573</c:v>
                      </c:pt>
                      <c:pt idx="21">
                        <c:v>0.60984924520783557</c:v>
                      </c:pt>
                      <c:pt idx="22">
                        <c:v>0.6375696654445554</c:v>
                      </c:pt>
                      <c:pt idx="23">
                        <c:v>0.66529008568127523</c:v>
                      </c:pt>
                      <c:pt idx="24">
                        <c:v>0.69301050591799507</c:v>
                      </c:pt>
                      <c:pt idx="25">
                        <c:v>0.7207309261547149</c:v>
                      </c:pt>
                      <c:pt idx="26">
                        <c:v>0.74845134639143474</c:v>
                      </c:pt>
                      <c:pt idx="27">
                        <c:v>0.77617176662815457</c:v>
                      </c:pt>
                      <c:pt idx="28">
                        <c:v>0.8038921868648744</c:v>
                      </c:pt>
                      <c:pt idx="29">
                        <c:v>0.83161260710159424</c:v>
                      </c:pt>
                      <c:pt idx="30">
                        <c:v>0.85933302733831407</c:v>
                      </c:pt>
                      <c:pt idx="31">
                        <c:v>0.8870534475750339</c:v>
                      </c:pt>
                      <c:pt idx="32">
                        <c:v>0.91477386781175374</c:v>
                      </c:pt>
                      <c:pt idx="33">
                        <c:v>0.94249428804847357</c:v>
                      </c:pt>
                      <c:pt idx="34">
                        <c:v>0.97021470828519341</c:v>
                      </c:pt>
                      <c:pt idx="35">
                        <c:v>0.99793512852191324</c:v>
                      </c:pt>
                      <c:pt idx="36">
                        <c:v>1.025655548758633</c:v>
                      </c:pt>
                      <c:pt idx="37">
                        <c:v>1.0533759689953528</c:v>
                      </c:pt>
                      <c:pt idx="38">
                        <c:v>1.0810963892320726</c:v>
                      </c:pt>
                      <c:pt idx="39">
                        <c:v>1.1088168094687925</c:v>
                      </c:pt>
                      <c:pt idx="40">
                        <c:v>1.1365372297055123</c:v>
                      </c:pt>
                      <c:pt idx="41">
                        <c:v>1.1642576499422321</c:v>
                      </c:pt>
                      <c:pt idx="42">
                        <c:v>1.191978070178952</c:v>
                      </c:pt>
                      <c:pt idx="43">
                        <c:v>1.2196984904156718</c:v>
                      </c:pt>
                      <c:pt idx="44">
                        <c:v>1.2474189106523916</c:v>
                      </c:pt>
                      <c:pt idx="45">
                        <c:v>1.2751393308891115</c:v>
                      </c:pt>
                      <c:pt idx="46">
                        <c:v>1.3028597511258313</c:v>
                      </c:pt>
                      <c:pt idx="47">
                        <c:v>1.3305801713625511</c:v>
                      </c:pt>
                      <c:pt idx="48">
                        <c:v>1.358300591599271</c:v>
                      </c:pt>
                      <c:pt idx="49">
                        <c:v>1.3860210118359908</c:v>
                      </c:pt>
                      <c:pt idx="50">
                        <c:v>1.4137414320727106</c:v>
                      </c:pt>
                      <c:pt idx="51">
                        <c:v>1.4414618523094305</c:v>
                      </c:pt>
                    </c:numCache>
                  </c:numRef>
                </c:val>
                <c:smooth val="0"/>
                <c:extLst xmlns:c15="http://schemas.microsoft.com/office/drawing/2012/chart">
                  <c:ext xmlns:c16="http://schemas.microsoft.com/office/drawing/2014/chart" uri="{C3380CC4-5D6E-409C-BE32-E72D297353CC}">
                    <c16:uniqueId val="{00000009-5A4A-4CD8-88A1-5E8794B518D2}"/>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'OZL Summary'!$BX$6:$BX$7</c15:sqref>
                        </c15:formulaRef>
                      </c:ext>
                    </c:extLst>
                    <c:strCache>
                      <c:ptCount val="2"/>
                      <c:pt idx="0">
                        <c:v>99th Percentile</c:v>
                      </c:pt>
                    </c:strCache>
                  </c:strRef>
                </c:tx>
                <c:spPr>
                  <a:ln>
                    <a:solidFill>
                      <a:schemeClr val="bg2">
                        <a:lumMod val="60000"/>
                        <a:lumOff val="40000"/>
                      </a:schemeClr>
                    </a:solidFill>
                    <a:prstDash val="sysDot"/>
                  </a:ln>
                </c:spPr>
                <c:marker>
                  <c:symbol val="none"/>
                </c:marker>
                <c:cat>
                  <c:numRef>
                    <c:extLst xmlns:c15="http://schemas.microsoft.com/office/drawing/2012/chart">
                      <c:ext xmlns:c15="http://schemas.microsoft.com/office/drawing/2012/chart" uri="{02D57815-91ED-43cb-92C2-25804820EDAC}">
                        <c15:formulaRef>
                          <c15:sqref>'OZL Summary'!$FI$8:$FI$60</c15:sqref>
                        </c15:formulaRef>
                      </c:ext>
                    </c:extLst>
                    <c:numCache>
                      <c:formatCode>d\-mmm\-yy_);\(###0\);"-  ";" "@" "</c:formatCode>
                      <c:ptCount val="53"/>
                      <c:pt idx="0">
                        <c:v>45839</c:v>
                      </c:pt>
                      <c:pt idx="1">
                        <c:v>45846</c:v>
                      </c:pt>
                      <c:pt idx="2">
                        <c:v>45853</c:v>
                      </c:pt>
                      <c:pt idx="3">
                        <c:v>45860</c:v>
                      </c:pt>
                      <c:pt idx="4">
                        <c:v>45867</c:v>
                      </c:pt>
                      <c:pt idx="5">
                        <c:v>45874</c:v>
                      </c:pt>
                      <c:pt idx="6">
                        <c:v>45881</c:v>
                      </c:pt>
                      <c:pt idx="7">
                        <c:v>45888</c:v>
                      </c:pt>
                      <c:pt idx="8">
                        <c:v>45895</c:v>
                      </c:pt>
                      <c:pt idx="9">
                        <c:v>45902</c:v>
                      </c:pt>
                      <c:pt idx="10">
                        <c:v>45909</c:v>
                      </c:pt>
                      <c:pt idx="11">
                        <c:v>45916</c:v>
                      </c:pt>
                      <c:pt idx="12">
                        <c:v>45923</c:v>
                      </c:pt>
                      <c:pt idx="13">
                        <c:v>45930</c:v>
                      </c:pt>
                      <c:pt idx="14">
                        <c:v>45937</c:v>
                      </c:pt>
                      <c:pt idx="15">
                        <c:v>45944</c:v>
                      </c:pt>
                      <c:pt idx="16">
                        <c:v>45951</c:v>
                      </c:pt>
                      <c:pt idx="17">
                        <c:v>45958</c:v>
                      </c:pt>
                      <c:pt idx="18">
                        <c:v>45965</c:v>
                      </c:pt>
                      <c:pt idx="19">
                        <c:v>45972</c:v>
                      </c:pt>
                      <c:pt idx="20">
                        <c:v>45979</c:v>
                      </c:pt>
                      <c:pt idx="21">
                        <c:v>45986</c:v>
                      </c:pt>
                      <c:pt idx="22">
                        <c:v>45993</c:v>
                      </c:pt>
                      <c:pt idx="23">
                        <c:v>46000</c:v>
                      </c:pt>
                      <c:pt idx="24">
                        <c:v>46007</c:v>
                      </c:pt>
                      <c:pt idx="25">
                        <c:v>46014</c:v>
                      </c:pt>
                      <c:pt idx="26">
                        <c:v>46021</c:v>
                      </c:pt>
                      <c:pt idx="27">
                        <c:v>46028</c:v>
                      </c:pt>
                      <c:pt idx="28">
                        <c:v>46035</c:v>
                      </c:pt>
                      <c:pt idx="29">
                        <c:v>46042</c:v>
                      </c:pt>
                      <c:pt idx="30">
                        <c:v>46049</c:v>
                      </c:pt>
                      <c:pt idx="31">
                        <c:v>46056</c:v>
                      </c:pt>
                      <c:pt idx="32">
                        <c:v>46063</c:v>
                      </c:pt>
                      <c:pt idx="33">
                        <c:v>46070</c:v>
                      </c:pt>
                      <c:pt idx="34">
                        <c:v>46077</c:v>
                      </c:pt>
                      <c:pt idx="35">
                        <c:v>46084</c:v>
                      </c:pt>
                      <c:pt idx="36">
                        <c:v>46091</c:v>
                      </c:pt>
                      <c:pt idx="37">
                        <c:v>46098</c:v>
                      </c:pt>
                      <c:pt idx="38">
                        <c:v>46105</c:v>
                      </c:pt>
                      <c:pt idx="39">
                        <c:v>46112</c:v>
                      </c:pt>
                      <c:pt idx="40">
                        <c:v>46119</c:v>
                      </c:pt>
                      <c:pt idx="41">
                        <c:v>46126</c:v>
                      </c:pt>
                      <c:pt idx="42">
                        <c:v>46133</c:v>
                      </c:pt>
                      <c:pt idx="43">
                        <c:v>46140</c:v>
                      </c:pt>
                      <c:pt idx="44">
                        <c:v>46147</c:v>
                      </c:pt>
                      <c:pt idx="45">
                        <c:v>46154</c:v>
                      </c:pt>
                      <c:pt idx="46">
                        <c:v>46161</c:v>
                      </c:pt>
                      <c:pt idx="47">
                        <c:v>46168</c:v>
                      </c:pt>
                      <c:pt idx="48">
                        <c:v>46175</c:v>
                      </c:pt>
                      <c:pt idx="49">
                        <c:v>46182</c:v>
                      </c:pt>
                      <c:pt idx="50">
                        <c:v>46189</c:v>
                      </c:pt>
                      <c:pt idx="51">
                        <c:v>46196</c:v>
                      </c:pt>
                      <c:pt idx="52">
                        <c:v>46203</c:v>
                      </c:pt>
                    </c:numCache>
                  </c:numRef>
                </c:cat>
                <c:val>
                  <c:numRef>
                    <c:extLst xmlns:c15="http://schemas.microsoft.com/office/drawing/2012/chart">
                      <c:ext xmlns:c15="http://schemas.microsoft.com/office/drawing/2012/chart" uri="{02D57815-91ED-43cb-92C2-25804820EDAC}">
                        <c15:formulaRef>
                          <c15:sqref>'OZL Summary'!$BX$8:$BX$60</c15:sqref>
                        </c15:formulaRef>
                      </c:ext>
                    </c:extLst>
                    <c:numCache>
                      <c:formatCode>0.000</c:formatCode>
                      <c:ptCount val="53"/>
                      <c:pt idx="0">
                        <c:v>3.2006943607976859E-2</c:v>
                      </c:pt>
                      <c:pt idx="1">
                        <c:v>6.4013887215953719E-2</c:v>
                      </c:pt>
                      <c:pt idx="2">
                        <c:v>9.6020830823930578E-2</c:v>
                      </c:pt>
                      <c:pt idx="3">
                        <c:v>0.12802777443190744</c:v>
                      </c:pt>
                      <c:pt idx="4">
                        <c:v>0.16003471803988428</c:v>
                      </c:pt>
                      <c:pt idx="5">
                        <c:v>0.19204166164786113</c:v>
                      </c:pt>
                      <c:pt idx="6">
                        <c:v>0.22404860525583797</c:v>
                      </c:pt>
                      <c:pt idx="7">
                        <c:v>0.25605554886381482</c:v>
                      </c:pt>
                      <c:pt idx="8">
                        <c:v>0.28806249247179166</c:v>
                      </c:pt>
                      <c:pt idx="9">
                        <c:v>0.32006943607976851</c:v>
                      </c:pt>
                      <c:pt idx="10">
                        <c:v>0.35207637968774536</c:v>
                      </c:pt>
                      <c:pt idx="11">
                        <c:v>0.3840833232957222</c:v>
                      </c:pt>
                      <c:pt idx="12">
                        <c:v>0.41609026690369905</c:v>
                      </c:pt>
                      <c:pt idx="13">
                        <c:v>0.44809721051167589</c:v>
                      </c:pt>
                      <c:pt idx="14">
                        <c:v>0.48010415411965274</c:v>
                      </c:pt>
                      <c:pt idx="15">
                        <c:v>0.51211109772762964</c:v>
                      </c:pt>
                      <c:pt idx="16">
                        <c:v>0.54411804133560648</c:v>
                      </c:pt>
                      <c:pt idx="17">
                        <c:v>0.57612498494358333</c:v>
                      </c:pt>
                      <c:pt idx="18">
                        <c:v>0.60813192855156017</c:v>
                      </c:pt>
                      <c:pt idx="19">
                        <c:v>0.64013887215953702</c:v>
                      </c:pt>
                      <c:pt idx="20">
                        <c:v>0.67214581576751387</c:v>
                      </c:pt>
                      <c:pt idx="21">
                        <c:v>0.70415275937549071</c:v>
                      </c:pt>
                      <c:pt idx="22">
                        <c:v>0.73615970298346756</c:v>
                      </c:pt>
                      <c:pt idx="23">
                        <c:v>0.7681666465914444</c:v>
                      </c:pt>
                      <c:pt idx="24">
                        <c:v>0.80017359019942125</c:v>
                      </c:pt>
                      <c:pt idx="25">
                        <c:v>0.83218053380739809</c:v>
                      </c:pt>
                      <c:pt idx="26">
                        <c:v>0.86418747741537494</c:v>
                      </c:pt>
                      <c:pt idx="27">
                        <c:v>0.89619442102335178</c:v>
                      </c:pt>
                      <c:pt idx="28">
                        <c:v>0.92820136463132863</c:v>
                      </c:pt>
                      <c:pt idx="29">
                        <c:v>0.96020830823930547</c:v>
                      </c:pt>
                      <c:pt idx="30">
                        <c:v>0.99221525184728232</c:v>
                      </c:pt>
                      <c:pt idx="31">
                        <c:v>1.0242221954552593</c:v>
                      </c:pt>
                      <c:pt idx="32">
                        <c:v>1.0562291390632361</c:v>
                      </c:pt>
                      <c:pt idx="33">
                        <c:v>1.088236082671213</c:v>
                      </c:pt>
                      <c:pt idx="34">
                        <c:v>1.1202430262791898</c:v>
                      </c:pt>
                      <c:pt idx="35">
                        <c:v>1.1522499698871667</c:v>
                      </c:pt>
                      <c:pt idx="36">
                        <c:v>1.1842569134951435</c:v>
                      </c:pt>
                      <c:pt idx="37">
                        <c:v>1.2162638571031203</c:v>
                      </c:pt>
                      <c:pt idx="38">
                        <c:v>1.2482708007110972</c:v>
                      </c:pt>
                      <c:pt idx="39">
                        <c:v>1.280277744319074</c:v>
                      </c:pt>
                      <c:pt idx="40">
                        <c:v>1.3122846879270509</c:v>
                      </c:pt>
                      <c:pt idx="41">
                        <c:v>1.3442916315350277</c:v>
                      </c:pt>
                      <c:pt idx="42">
                        <c:v>1.3762985751430046</c:v>
                      </c:pt>
                      <c:pt idx="43">
                        <c:v>1.4083055187509814</c:v>
                      </c:pt>
                      <c:pt idx="44">
                        <c:v>1.4403124623589583</c:v>
                      </c:pt>
                      <c:pt idx="45">
                        <c:v>1.4723194059669351</c:v>
                      </c:pt>
                      <c:pt idx="46">
                        <c:v>1.504326349574912</c:v>
                      </c:pt>
                      <c:pt idx="47">
                        <c:v>1.5363332931828888</c:v>
                      </c:pt>
                      <c:pt idx="48">
                        <c:v>1.5683402367908656</c:v>
                      </c:pt>
                      <c:pt idx="49">
                        <c:v>1.6003471803988425</c:v>
                      </c:pt>
                      <c:pt idx="50">
                        <c:v>1.6323541240068193</c:v>
                      </c:pt>
                      <c:pt idx="51">
                        <c:v>1.6643610676147962</c:v>
                      </c:pt>
                    </c:numCache>
                  </c:numRef>
                </c:val>
                <c:smooth val="0"/>
                <c:extLst xmlns:c15="http://schemas.microsoft.com/office/drawing/2012/chart">
                  <c:ext xmlns:c16="http://schemas.microsoft.com/office/drawing/2014/chart" uri="{C3380CC4-5D6E-409C-BE32-E72D297353CC}">
                    <c16:uniqueId val="{0000000A-5A4A-4CD8-88A1-5E8794B518D2}"/>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'OZL Summary'!$BY$6:$BY$7</c15:sqref>
                        </c15:formulaRef>
                      </c:ext>
                    </c:extLst>
                    <c:strCache>
                      <c:ptCount val="2"/>
                      <c:pt idx="0">
                        <c:v>Max</c:v>
                      </c:pt>
                    </c:strCache>
                  </c:strRef>
                </c:tx>
                <c:marker>
                  <c:symbol val="none"/>
                </c:marker>
                <c:cat>
                  <c:numRef>
                    <c:extLst xmlns:c15="http://schemas.microsoft.com/office/drawing/2012/chart">
                      <c:ext xmlns:c15="http://schemas.microsoft.com/office/drawing/2012/chart" uri="{02D57815-91ED-43cb-92C2-25804820EDAC}">
                        <c15:formulaRef>
                          <c15:sqref>'OZL Summary'!$FI$8:$FI$60</c15:sqref>
                        </c15:formulaRef>
                      </c:ext>
                    </c:extLst>
                    <c:numCache>
                      <c:formatCode>d\-mmm\-yy_);\(###0\);"-  ";" "@" "</c:formatCode>
                      <c:ptCount val="53"/>
                      <c:pt idx="0">
                        <c:v>45839</c:v>
                      </c:pt>
                      <c:pt idx="1">
                        <c:v>45846</c:v>
                      </c:pt>
                      <c:pt idx="2">
                        <c:v>45853</c:v>
                      </c:pt>
                      <c:pt idx="3">
                        <c:v>45860</c:v>
                      </c:pt>
                      <c:pt idx="4">
                        <c:v>45867</c:v>
                      </c:pt>
                      <c:pt idx="5">
                        <c:v>45874</c:v>
                      </c:pt>
                      <c:pt idx="6">
                        <c:v>45881</c:v>
                      </c:pt>
                      <c:pt idx="7">
                        <c:v>45888</c:v>
                      </c:pt>
                      <c:pt idx="8">
                        <c:v>45895</c:v>
                      </c:pt>
                      <c:pt idx="9">
                        <c:v>45902</c:v>
                      </c:pt>
                      <c:pt idx="10">
                        <c:v>45909</c:v>
                      </c:pt>
                      <c:pt idx="11">
                        <c:v>45916</c:v>
                      </c:pt>
                      <c:pt idx="12">
                        <c:v>45923</c:v>
                      </c:pt>
                      <c:pt idx="13">
                        <c:v>45930</c:v>
                      </c:pt>
                      <c:pt idx="14">
                        <c:v>45937</c:v>
                      </c:pt>
                      <c:pt idx="15">
                        <c:v>45944</c:v>
                      </c:pt>
                      <c:pt idx="16">
                        <c:v>45951</c:v>
                      </c:pt>
                      <c:pt idx="17">
                        <c:v>45958</c:v>
                      </c:pt>
                      <c:pt idx="18">
                        <c:v>45965</c:v>
                      </c:pt>
                      <c:pt idx="19">
                        <c:v>45972</c:v>
                      </c:pt>
                      <c:pt idx="20">
                        <c:v>45979</c:v>
                      </c:pt>
                      <c:pt idx="21">
                        <c:v>45986</c:v>
                      </c:pt>
                      <c:pt idx="22">
                        <c:v>45993</c:v>
                      </c:pt>
                      <c:pt idx="23">
                        <c:v>46000</c:v>
                      </c:pt>
                      <c:pt idx="24">
                        <c:v>46007</c:v>
                      </c:pt>
                      <c:pt idx="25">
                        <c:v>46014</c:v>
                      </c:pt>
                      <c:pt idx="26">
                        <c:v>46021</c:v>
                      </c:pt>
                      <c:pt idx="27">
                        <c:v>46028</c:v>
                      </c:pt>
                      <c:pt idx="28">
                        <c:v>46035</c:v>
                      </c:pt>
                      <c:pt idx="29">
                        <c:v>46042</c:v>
                      </c:pt>
                      <c:pt idx="30">
                        <c:v>46049</c:v>
                      </c:pt>
                      <c:pt idx="31">
                        <c:v>46056</c:v>
                      </c:pt>
                      <c:pt idx="32">
                        <c:v>46063</c:v>
                      </c:pt>
                      <c:pt idx="33">
                        <c:v>46070</c:v>
                      </c:pt>
                      <c:pt idx="34">
                        <c:v>46077</c:v>
                      </c:pt>
                      <c:pt idx="35">
                        <c:v>46084</c:v>
                      </c:pt>
                      <c:pt idx="36">
                        <c:v>46091</c:v>
                      </c:pt>
                      <c:pt idx="37">
                        <c:v>46098</c:v>
                      </c:pt>
                      <c:pt idx="38">
                        <c:v>46105</c:v>
                      </c:pt>
                      <c:pt idx="39">
                        <c:v>46112</c:v>
                      </c:pt>
                      <c:pt idx="40">
                        <c:v>46119</c:v>
                      </c:pt>
                      <c:pt idx="41">
                        <c:v>46126</c:v>
                      </c:pt>
                      <c:pt idx="42">
                        <c:v>46133</c:v>
                      </c:pt>
                      <c:pt idx="43">
                        <c:v>46140</c:v>
                      </c:pt>
                      <c:pt idx="44">
                        <c:v>46147</c:v>
                      </c:pt>
                      <c:pt idx="45">
                        <c:v>46154</c:v>
                      </c:pt>
                      <c:pt idx="46">
                        <c:v>46161</c:v>
                      </c:pt>
                      <c:pt idx="47">
                        <c:v>46168</c:v>
                      </c:pt>
                      <c:pt idx="48">
                        <c:v>46175</c:v>
                      </c:pt>
                      <c:pt idx="49">
                        <c:v>46182</c:v>
                      </c:pt>
                      <c:pt idx="50">
                        <c:v>46189</c:v>
                      </c:pt>
                      <c:pt idx="51">
                        <c:v>46196</c:v>
                      </c:pt>
                      <c:pt idx="52">
                        <c:v>46203</c:v>
                      </c:pt>
                    </c:numCache>
                  </c:numRef>
                </c:cat>
                <c:val>
                  <c:numRef>
                    <c:extLst xmlns:c15="http://schemas.microsoft.com/office/drawing/2012/chart">
                      <c:ext xmlns:c15="http://schemas.microsoft.com/office/drawing/2012/chart" uri="{02D57815-91ED-43cb-92C2-25804820EDAC}">
                        <c15:formulaRef>
                          <c15:sqref>'OZL Summary'!$BY$8:$BY$60</c15:sqref>
                        </c15:formulaRef>
                      </c:ext>
                    </c:extLst>
                    <c:numCache>
                      <c:formatCode>0.000</c:formatCode>
                      <c:ptCount val="53"/>
                      <c:pt idx="0">
                        <c:v>3.9503586953510528E-2</c:v>
                      </c:pt>
                      <c:pt idx="1">
                        <c:v>7.9007173907021055E-2</c:v>
                      </c:pt>
                      <c:pt idx="2">
                        <c:v>0.11851076086053158</c:v>
                      </c:pt>
                      <c:pt idx="3">
                        <c:v>0.15801434781404211</c:v>
                      </c:pt>
                      <c:pt idx="4">
                        <c:v>0.19751793476755264</c:v>
                      </c:pt>
                      <c:pt idx="5">
                        <c:v>0.23702152172106317</c:v>
                      </c:pt>
                      <c:pt idx="6">
                        <c:v>0.27652510867457369</c:v>
                      </c:pt>
                      <c:pt idx="7">
                        <c:v>0.31602869562808422</c:v>
                      </c:pt>
                      <c:pt idx="8">
                        <c:v>0.35553228258159475</c:v>
                      </c:pt>
                      <c:pt idx="9">
                        <c:v>0.39503586953510528</c:v>
                      </c:pt>
                      <c:pt idx="10">
                        <c:v>0.43453945648861581</c:v>
                      </c:pt>
                      <c:pt idx="11">
                        <c:v>0.47404304344212633</c:v>
                      </c:pt>
                      <c:pt idx="12">
                        <c:v>0.51354663039563686</c:v>
                      </c:pt>
                      <c:pt idx="13">
                        <c:v>0.55305021734914739</c:v>
                      </c:pt>
                      <c:pt idx="14">
                        <c:v>0.59255380430265792</c:v>
                      </c:pt>
                      <c:pt idx="15">
                        <c:v>0.63205739125616844</c:v>
                      </c:pt>
                      <c:pt idx="16">
                        <c:v>0.67156097820967897</c:v>
                      </c:pt>
                      <c:pt idx="17">
                        <c:v>0.7110645651631895</c:v>
                      </c:pt>
                      <c:pt idx="18">
                        <c:v>0.75056815211670003</c:v>
                      </c:pt>
                      <c:pt idx="19">
                        <c:v>0.79007173907021055</c:v>
                      </c:pt>
                      <c:pt idx="20">
                        <c:v>0.82957532602372108</c:v>
                      </c:pt>
                      <c:pt idx="21">
                        <c:v>0.86907891297723161</c:v>
                      </c:pt>
                      <c:pt idx="22">
                        <c:v>0.90858249993074214</c:v>
                      </c:pt>
                      <c:pt idx="23">
                        <c:v>0.94808608688425267</c:v>
                      </c:pt>
                      <c:pt idx="24">
                        <c:v>0.98758967383776319</c:v>
                      </c:pt>
                      <c:pt idx="25">
                        <c:v>1.0270932607912737</c:v>
                      </c:pt>
                      <c:pt idx="26">
                        <c:v>1.0665968477447842</c:v>
                      </c:pt>
                      <c:pt idx="27">
                        <c:v>1.1061004346982948</c:v>
                      </c:pt>
                      <c:pt idx="28">
                        <c:v>1.1456040216518053</c:v>
                      </c:pt>
                      <c:pt idx="29">
                        <c:v>1.1851076086053158</c:v>
                      </c:pt>
                      <c:pt idx="30">
                        <c:v>1.2246111955588264</c:v>
                      </c:pt>
                      <c:pt idx="31">
                        <c:v>1.2641147825123369</c:v>
                      </c:pt>
                      <c:pt idx="32">
                        <c:v>1.3036183694658474</c:v>
                      </c:pt>
                      <c:pt idx="33">
                        <c:v>1.3431219564193579</c:v>
                      </c:pt>
                      <c:pt idx="34">
                        <c:v>1.3826255433728685</c:v>
                      </c:pt>
                      <c:pt idx="35">
                        <c:v>1.422129130326379</c:v>
                      </c:pt>
                      <c:pt idx="36">
                        <c:v>1.4616327172798895</c:v>
                      </c:pt>
                      <c:pt idx="37">
                        <c:v>1.5011363042334001</c:v>
                      </c:pt>
                      <c:pt idx="38">
                        <c:v>1.5406398911869106</c:v>
                      </c:pt>
                      <c:pt idx="39">
                        <c:v>1.5801434781404211</c:v>
                      </c:pt>
                      <c:pt idx="40">
                        <c:v>1.6196470650939316</c:v>
                      </c:pt>
                      <c:pt idx="41">
                        <c:v>1.6591506520474422</c:v>
                      </c:pt>
                      <c:pt idx="42">
                        <c:v>1.6986542390009527</c:v>
                      </c:pt>
                      <c:pt idx="43">
                        <c:v>1.7381578259544632</c:v>
                      </c:pt>
                      <c:pt idx="44">
                        <c:v>1.7776614129079737</c:v>
                      </c:pt>
                      <c:pt idx="45">
                        <c:v>1.8171649998614843</c:v>
                      </c:pt>
                      <c:pt idx="46">
                        <c:v>1.8566685868149948</c:v>
                      </c:pt>
                      <c:pt idx="47">
                        <c:v>1.8961721737685053</c:v>
                      </c:pt>
                      <c:pt idx="48">
                        <c:v>1.9356757607220159</c:v>
                      </c:pt>
                      <c:pt idx="49">
                        <c:v>1.9751793476755264</c:v>
                      </c:pt>
                      <c:pt idx="50">
                        <c:v>2.0146829346290369</c:v>
                      </c:pt>
                      <c:pt idx="51">
                        <c:v>2.0541865215825474</c:v>
                      </c:pt>
                    </c:numCache>
                  </c:numRef>
                </c:val>
                <c:smooth val="0"/>
                <c:extLst xmlns:c15="http://schemas.microsoft.com/office/drawing/2012/chart">
                  <c:ext xmlns:c16="http://schemas.microsoft.com/office/drawing/2014/chart" uri="{C3380CC4-5D6E-409C-BE32-E72D297353CC}">
                    <c16:uniqueId val="{0000000B-5A4A-4CD8-88A1-5E8794B518D2}"/>
                  </c:ext>
                </c:extLst>
              </c15:ser>
            </c15:filteredLineSeries>
          </c:ext>
        </c:extLst>
      </c:lineChart>
      <c:dateAx>
        <c:axId val="1388952432"/>
        <c:scaling>
          <c:orientation val="minMax"/>
        </c:scaling>
        <c:delete val="0"/>
        <c:axPos val="b"/>
        <c:numFmt formatCode="mmm\-yy" sourceLinked="0"/>
        <c:majorTickMark val="none"/>
        <c:minorTickMark val="none"/>
        <c:tickLblPos val="nextTo"/>
        <c:spPr>
          <a:noFill/>
          <a:ln w="9525" cap="flat" cmpd="sng" algn="ctr">
            <a:noFill/>
            <a:round/>
          </a:ln>
          <a:effectLst/>
        </c:spPr>
        <c:txPr>
          <a:bodyPr rot="-5400000" vert="horz"/>
          <a:lstStyle/>
          <a:p>
            <a:pPr>
              <a:defRPr/>
            </a:pPr>
            <a:endParaRPr lang="en-US"/>
          </a:p>
        </c:txPr>
        <c:crossAx val="1388953088"/>
        <c:crosses val="autoZero"/>
        <c:auto val="1"/>
        <c:lblOffset val="100"/>
        <c:baseTimeUnit val="days"/>
        <c:majorUnit val="1"/>
        <c:majorTimeUnit val="months"/>
      </c:dateAx>
      <c:valAx>
        <c:axId val="1388953088"/>
        <c:scaling>
          <c:orientation val="minMax"/>
          <c:max val="2"/>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vert="horz"/>
          <a:lstStyle/>
          <a:p>
            <a:pPr>
              <a:defRPr/>
            </a:pPr>
            <a:endParaRPr lang="en-US"/>
          </a:p>
        </c:txPr>
        <c:crossAx val="1388952432"/>
        <c:crosses val="autoZero"/>
        <c:crossBetween val="between"/>
        <c:majorUnit val="0.5"/>
      </c:valAx>
    </c:plotArea>
    <c:legend>
      <c:legendPos val="b"/>
      <c:legendEntry>
        <c:idx val="1"/>
        <c:delete val="1"/>
      </c:legendEntry>
      <c:legendEntry>
        <c:idx val="3"/>
        <c:delete val="1"/>
      </c:legendEntry>
      <c:legendEntry>
        <c:idx val="4"/>
        <c:delete val="1"/>
      </c:legendEntry>
      <c:legendEntry>
        <c:idx val="5"/>
        <c:delete val="1"/>
      </c:legendEntry>
      <c:overlay val="0"/>
      <c:spPr>
        <a:noFill/>
        <a:ln>
          <a:noFill/>
        </a:ln>
        <a:effectLst/>
      </c:spPr>
      <c:txPr>
        <a:bodyPr rot="0" vert="horz"/>
        <a:lstStyle/>
        <a:p>
          <a:pPr>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sz="900">
          <a:solidFill>
            <a:sysClr val="windowText" lastClr="000000"/>
          </a:solidFill>
        </a:defRPr>
      </a:pPr>
      <a:endParaRPr lang="en-US"/>
    </a:p>
  </c:txPr>
  <c:printSettings>
    <c:headerFooter/>
    <c:pageMargins b="0.75" l="0.7" r="0.7" t="0.75" header="0.3" footer="0.3"/>
    <c:pageSetup orientation="portrait"/>
  </c:printSettings>
</c:chartSpace>
</file>

<file path=xl/charts/chart1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v>Actual</c:v>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'OZL Tables'!$CQ$13:$CQ$22</c:f>
              <c:numCache>
                <c:formatCode>General</c:formatCode>
                <c:ptCount val="10"/>
                <c:pt idx="0">
                  <c:v>3000000</c:v>
                </c:pt>
                <c:pt idx="1">
                  <c:v>6000000</c:v>
                </c:pt>
                <c:pt idx="2">
                  <c:v>10000000</c:v>
                </c:pt>
                <c:pt idx="3">
                  <c:v>15000000</c:v>
                </c:pt>
                <c:pt idx="4">
                  <c:v>25000000</c:v>
                </c:pt>
                <c:pt idx="5">
                  <c:v>40000000</c:v>
                </c:pt>
                <c:pt idx="6">
                  <c:v>55000000</c:v>
                </c:pt>
                <c:pt idx="7" formatCode="#,##0">
                  <c:v>80000000</c:v>
                </c:pt>
                <c:pt idx="8" formatCode="#,##0">
                  <c:v>100000000</c:v>
                </c:pt>
                <c:pt idx="9" formatCode="#,##0">
                  <c:v>150000000</c:v>
                </c:pt>
              </c:numCache>
            </c:numRef>
          </c:cat>
          <c:val>
            <c:numRef>
              <c:f>'OZL Tables'!$CR$13:$CR$22</c:f>
              <c:numCache>
                <c:formatCode>#,##0.0</c:formatCode>
                <c:ptCount val="10"/>
                <c:pt idx="0">
                  <c:v>0</c:v>
                </c:pt>
                <c:pt idx="1">
                  <c:v>0</c:v>
                </c:pt>
                <c:pt idx="2">
                  <c:v>15463414.216199609</c:v>
                </c:pt>
                <c:pt idx="3">
                  <c:v>18349197.278269421</c:v>
                </c:pt>
                <c:pt idx="4">
                  <c:v>0</c:v>
                </c:pt>
                <c:pt idx="5">
                  <c:v>39675925.946247138</c:v>
                </c:pt>
                <c:pt idx="6">
                  <c:v>0</c:v>
                </c:pt>
              </c:numCache>
            </c:numRef>
          </c:val>
          <c:smooth val="0"/>
          <c:extLst>
            <c:ext xmlns:c16="http://schemas.microsoft.com/office/drawing/2014/chart" uri="{C3380CC4-5D6E-409C-BE32-E72D297353CC}">
              <c16:uniqueId val="{00000001-3AAE-4564-A5EB-2EB801E61C8C}"/>
            </c:ext>
          </c:extLst>
        </c:ser>
        <c:ser>
          <c:idx val="1"/>
          <c:order val="1"/>
          <c:tx>
            <c:v>Projection</c:v>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'OZL Tables'!$CQ$13:$CQ$22</c:f>
              <c:numCache>
                <c:formatCode>General</c:formatCode>
                <c:ptCount val="10"/>
                <c:pt idx="0">
                  <c:v>3000000</c:v>
                </c:pt>
                <c:pt idx="1">
                  <c:v>6000000</c:v>
                </c:pt>
                <c:pt idx="2">
                  <c:v>10000000</c:v>
                </c:pt>
                <c:pt idx="3">
                  <c:v>15000000</c:v>
                </c:pt>
                <c:pt idx="4">
                  <c:v>25000000</c:v>
                </c:pt>
                <c:pt idx="5">
                  <c:v>40000000</c:v>
                </c:pt>
                <c:pt idx="6">
                  <c:v>55000000</c:v>
                </c:pt>
                <c:pt idx="7" formatCode="#,##0">
                  <c:v>80000000</c:v>
                </c:pt>
                <c:pt idx="8" formatCode="#,##0">
                  <c:v>100000000</c:v>
                </c:pt>
                <c:pt idx="9" formatCode="#,##0">
                  <c:v>150000000</c:v>
                </c:pt>
              </c:numCache>
            </c:numRef>
          </c:cat>
          <c:val>
            <c:numRef>
              <c:f>'OZL Tables'!$CS$13:$CS$22</c:f>
              <c:numCache>
                <c:formatCode>General</c:formatCode>
                <c:ptCount val="10"/>
                <c:pt idx="7" formatCode="#,##0">
                  <c:v>128354999.99999999</c:v>
                </c:pt>
                <c:pt idx="8" formatCode="#,##0">
                  <c:v>197191250</c:v>
                </c:pt>
                <c:pt idx="9" formatCode="#,##0">
                  <c:v>289060000</c:v>
                </c:pt>
              </c:numCache>
            </c:numRef>
          </c:val>
          <c:smooth val="0"/>
          <c:extLst>
            <c:ext xmlns:c16="http://schemas.microsoft.com/office/drawing/2014/chart" uri="{C3380CC4-5D6E-409C-BE32-E72D297353CC}">
              <c16:uniqueId val="{00000002-3AAE-4564-A5EB-2EB801E61C8C}"/>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1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'OZL Tables'!$CQ$32:$CQ$41</c:f>
              <c:numCache>
                <c:formatCode>General</c:formatCode>
                <c:ptCount val="10"/>
                <c:pt idx="0">
                  <c:v>3000000</c:v>
                </c:pt>
                <c:pt idx="1">
                  <c:v>8000000</c:v>
                </c:pt>
                <c:pt idx="2">
                  <c:v>12000000</c:v>
                </c:pt>
                <c:pt idx="3">
                  <c:v>20000000</c:v>
                </c:pt>
                <c:pt idx="4">
                  <c:v>30000000</c:v>
                </c:pt>
                <c:pt idx="5">
                  <c:v>40000000</c:v>
                </c:pt>
                <c:pt idx="6">
                  <c:v>50000000</c:v>
                </c:pt>
                <c:pt idx="7" formatCode="#,##0">
                  <c:v>80000000</c:v>
                </c:pt>
                <c:pt idx="8" formatCode="#,##0">
                  <c:v>100000000</c:v>
                </c:pt>
                <c:pt idx="9" formatCode="#,##0">
                  <c:v>150000000</c:v>
                </c:pt>
              </c:numCache>
            </c:numRef>
          </c:cat>
          <c:val>
            <c:numRef>
              <c:f>'OZL Tables'!$CR$32:$CR$41</c:f>
              <c:numCache>
                <c:formatCode>#,##0.0</c:formatCode>
                <c:ptCount val="10"/>
                <c:pt idx="0">
                  <c:v>0</c:v>
                </c:pt>
                <c:pt idx="1">
                  <c:v>0</c:v>
                </c:pt>
                <c:pt idx="2">
                  <c:v>0</c:v>
                </c:pt>
                <c:pt idx="3">
                  <c:v>0</c:v>
                </c:pt>
                <c:pt idx="4">
                  <c:v>0</c:v>
                </c:pt>
                <c:pt idx="5">
                  <c:v>0</c:v>
                </c:pt>
                <c:pt idx="6">
                  <c:v>0</c:v>
                </c:pt>
              </c:numCache>
            </c:numRef>
          </c:val>
          <c:smooth val="0"/>
          <c:extLst>
            <c:ext xmlns:c16="http://schemas.microsoft.com/office/drawing/2014/chart" uri="{C3380CC4-5D6E-409C-BE32-E72D297353CC}">
              <c16:uniqueId val="{00000001-F272-4E07-BC0A-27A310094BE7}"/>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'OZL Tables'!$CQ$32:$CQ$41</c:f>
              <c:numCache>
                <c:formatCode>General</c:formatCode>
                <c:ptCount val="10"/>
                <c:pt idx="0">
                  <c:v>3000000</c:v>
                </c:pt>
                <c:pt idx="1">
                  <c:v>8000000</c:v>
                </c:pt>
                <c:pt idx="2">
                  <c:v>12000000</c:v>
                </c:pt>
                <c:pt idx="3">
                  <c:v>20000000</c:v>
                </c:pt>
                <c:pt idx="4">
                  <c:v>30000000</c:v>
                </c:pt>
                <c:pt idx="5">
                  <c:v>40000000</c:v>
                </c:pt>
                <c:pt idx="6">
                  <c:v>50000000</c:v>
                </c:pt>
                <c:pt idx="7" formatCode="#,##0">
                  <c:v>80000000</c:v>
                </c:pt>
                <c:pt idx="8" formatCode="#,##0">
                  <c:v>100000000</c:v>
                </c:pt>
                <c:pt idx="9" formatCode="#,##0">
                  <c:v>150000000</c:v>
                </c:pt>
              </c:numCache>
            </c:numRef>
          </c:cat>
          <c:val>
            <c:numRef>
              <c:f>'OZL Tables'!$CS$32:$CS$41</c:f>
              <c:numCache>
                <c:formatCode>General</c:formatCode>
                <c:ptCount val="10"/>
                <c:pt idx="7" formatCode="#,##0">
                  <c:v>101329200</c:v>
                </c:pt>
                <c:pt idx="8" formatCode="#,##0">
                  <c:v>156806500</c:v>
                </c:pt>
                <c:pt idx="9" formatCode="#,##0">
                  <c:v>232169000</c:v>
                </c:pt>
              </c:numCache>
            </c:numRef>
          </c:val>
          <c:smooth val="0"/>
          <c:extLst>
            <c:ext xmlns:c16="http://schemas.microsoft.com/office/drawing/2014/chart" uri="{C3380CC4-5D6E-409C-BE32-E72D297353CC}">
              <c16:uniqueId val="{00000002-F272-4E07-BC0A-27A310094BE7}"/>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1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'OZL Tables'!$CQ$51:$CQ$60</c:f>
              <c:numCache>
                <c:formatCode>General</c:formatCode>
                <c:ptCount val="10"/>
                <c:pt idx="0">
                  <c:v>3000000</c:v>
                </c:pt>
                <c:pt idx="1">
                  <c:v>8000000</c:v>
                </c:pt>
                <c:pt idx="2">
                  <c:v>12000000</c:v>
                </c:pt>
                <c:pt idx="3">
                  <c:v>20000000</c:v>
                </c:pt>
                <c:pt idx="4">
                  <c:v>30000000</c:v>
                </c:pt>
                <c:pt idx="5">
                  <c:v>40000000</c:v>
                </c:pt>
                <c:pt idx="6">
                  <c:v>50000000</c:v>
                </c:pt>
                <c:pt idx="7">
                  <c:v>80000000</c:v>
                </c:pt>
                <c:pt idx="8">
                  <c:v>100000000</c:v>
                </c:pt>
                <c:pt idx="9" formatCode="#,##0">
                  <c:v>150000000</c:v>
                </c:pt>
              </c:numCache>
            </c:numRef>
          </c:cat>
          <c:val>
            <c:numRef>
              <c:f>'OZL Tables'!$CR$51:$CR$60</c:f>
              <c:numCache>
                <c:formatCode>#,##0.0</c:formatCode>
                <c:ptCount val="10"/>
                <c:pt idx="0">
                  <c:v>0</c:v>
                </c:pt>
                <c:pt idx="1">
                  <c:v>0</c:v>
                </c:pt>
                <c:pt idx="2">
                  <c:v>0</c:v>
                </c:pt>
                <c:pt idx="3">
                  <c:v>23609991.027531959</c:v>
                </c:pt>
                <c:pt idx="4">
                  <c:v>26116733.191986237</c:v>
                </c:pt>
                <c:pt idx="5">
                  <c:v>31951974.106850218</c:v>
                </c:pt>
                <c:pt idx="6">
                  <c:v>41006778.392330386</c:v>
                </c:pt>
                <c:pt idx="7">
                  <c:v>80928666.175024584</c:v>
                </c:pt>
                <c:pt idx="8">
                  <c:v>0</c:v>
                </c:pt>
              </c:numCache>
            </c:numRef>
          </c:val>
          <c:smooth val="0"/>
          <c:extLst>
            <c:ext xmlns:c16="http://schemas.microsoft.com/office/drawing/2014/chart" uri="{C3380CC4-5D6E-409C-BE32-E72D297353CC}">
              <c16:uniqueId val="{00000001-3EBF-4C35-BA85-7B342CDD4DD5}"/>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'OZL Tables'!$CQ$51:$CQ$60</c:f>
              <c:numCache>
                <c:formatCode>General</c:formatCode>
                <c:ptCount val="10"/>
                <c:pt idx="0">
                  <c:v>3000000</c:v>
                </c:pt>
                <c:pt idx="1">
                  <c:v>8000000</c:v>
                </c:pt>
                <c:pt idx="2">
                  <c:v>12000000</c:v>
                </c:pt>
                <c:pt idx="3">
                  <c:v>20000000</c:v>
                </c:pt>
                <c:pt idx="4">
                  <c:v>30000000</c:v>
                </c:pt>
                <c:pt idx="5">
                  <c:v>40000000</c:v>
                </c:pt>
                <c:pt idx="6">
                  <c:v>50000000</c:v>
                </c:pt>
                <c:pt idx="7">
                  <c:v>80000000</c:v>
                </c:pt>
                <c:pt idx="8">
                  <c:v>100000000</c:v>
                </c:pt>
                <c:pt idx="9" formatCode="#,##0">
                  <c:v>150000000</c:v>
                </c:pt>
              </c:numCache>
            </c:numRef>
          </c:cat>
          <c:val>
            <c:numRef>
              <c:f>'OZL Tables'!$CS$51:$CS$60</c:f>
              <c:numCache>
                <c:formatCode>General</c:formatCode>
                <c:ptCount val="10"/>
                <c:pt idx="9" formatCode="#,##0">
                  <c:v>251811124.99999997</c:v>
                </c:pt>
              </c:numCache>
            </c:numRef>
          </c:val>
          <c:smooth val="0"/>
          <c:extLst>
            <c:ext xmlns:c16="http://schemas.microsoft.com/office/drawing/2014/chart" uri="{C3380CC4-5D6E-409C-BE32-E72D297353CC}">
              <c16:uniqueId val="{00000002-3EBF-4C35-BA85-7B342CDD4DD5}"/>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1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'OZL Tables'!$CQ$70:$CQ$79</c:f>
              <c:numCache>
                <c:formatCode>General</c:formatCode>
                <c:ptCount val="10"/>
                <c:pt idx="0">
                  <c:v>3000000</c:v>
                </c:pt>
                <c:pt idx="1">
                  <c:v>8000000</c:v>
                </c:pt>
                <c:pt idx="2">
                  <c:v>12000000</c:v>
                </c:pt>
                <c:pt idx="3">
                  <c:v>20000000</c:v>
                </c:pt>
                <c:pt idx="4">
                  <c:v>40000000</c:v>
                </c:pt>
                <c:pt idx="5">
                  <c:v>60000000</c:v>
                </c:pt>
                <c:pt idx="6">
                  <c:v>80000000</c:v>
                </c:pt>
                <c:pt idx="7">
                  <c:v>100000000</c:v>
                </c:pt>
                <c:pt idx="8">
                  <c:v>150000000</c:v>
                </c:pt>
                <c:pt idx="9" formatCode="#,##0">
                  <c:v>200000000</c:v>
                </c:pt>
              </c:numCache>
            </c:numRef>
          </c:cat>
          <c:val>
            <c:numRef>
              <c:f>'OZL Tables'!$CR$70:$CR$79</c:f>
              <c:numCache>
                <c:formatCode>#,##0.0</c:formatCode>
                <c:ptCount val="10"/>
                <c:pt idx="0">
                  <c:v>0</c:v>
                </c:pt>
                <c:pt idx="1">
                  <c:v>0</c:v>
                </c:pt>
                <c:pt idx="2">
                  <c:v>0</c:v>
                </c:pt>
                <c:pt idx="3">
                  <c:v>23167806.66175025</c:v>
                </c:pt>
                <c:pt idx="4">
                  <c:v>34731075.34414947</c:v>
                </c:pt>
                <c:pt idx="5">
                  <c:v>0</c:v>
                </c:pt>
                <c:pt idx="6">
                  <c:v>0</c:v>
                </c:pt>
                <c:pt idx="7">
                  <c:v>0</c:v>
                </c:pt>
                <c:pt idx="8">
                  <c:v>0</c:v>
                </c:pt>
              </c:numCache>
            </c:numRef>
          </c:val>
          <c:smooth val="0"/>
          <c:extLst>
            <c:ext xmlns:c16="http://schemas.microsoft.com/office/drawing/2014/chart" uri="{C3380CC4-5D6E-409C-BE32-E72D297353CC}">
              <c16:uniqueId val="{00000001-3584-48E4-A63B-421CE425105A}"/>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'OZL Tables'!$CQ$70:$CQ$79</c:f>
              <c:numCache>
                <c:formatCode>General</c:formatCode>
                <c:ptCount val="10"/>
                <c:pt idx="0">
                  <c:v>3000000</c:v>
                </c:pt>
                <c:pt idx="1">
                  <c:v>8000000</c:v>
                </c:pt>
                <c:pt idx="2">
                  <c:v>12000000</c:v>
                </c:pt>
                <c:pt idx="3">
                  <c:v>20000000</c:v>
                </c:pt>
                <c:pt idx="4">
                  <c:v>40000000</c:v>
                </c:pt>
                <c:pt idx="5">
                  <c:v>60000000</c:v>
                </c:pt>
                <c:pt idx="6">
                  <c:v>80000000</c:v>
                </c:pt>
                <c:pt idx="7">
                  <c:v>100000000</c:v>
                </c:pt>
                <c:pt idx="8">
                  <c:v>150000000</c:v>
                </c:pt>
                <c:pt idx="9" formatCode="#,##0">
                  <c:v>200000000</c:v>
                </c:pt>
              </c:numCache>
            </c:numRef>
          </c:cat>
          <c:val>
            <c:numRef>
              <c:f>'OZL Tables'!$CS$70:$CS$79</c:f>
              <c:numCache>
                <c:formatCode>General</c:formatCode>
                <c:ptCount val="10"/>
                <c:pt idx="9" formatCode="#,##0">
                  <c:v>285756249.99999994</c:v>
                </c:pt>
              </c:numCache>
            </c:numRef>
          </c:val>
          <c:smooth val="0"/>
          <c:extLst>
            <c:ext xmlns:c16="http://schemas.microsoft.com/office/drawing/2014/chart" uri="{C3380CC4-5D6E-409C-BE32-E72D297353CC}">
              <c16:uniqueId val="{00000002-3584-48E4-A63B-421CE425105A}"/>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1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'OZL Tables'!$CQ$89:$CQ$98</c:f>
              <c:numCache>
                <c:formatCode>General</c:formatCode>
                <c:ptCount val="10"/>
                <c:pt idx="0">
                  <c:v>3000000</c:v>
                </c:pt>
                <c:pt idx="1">
                  <c:v>8000000</c:v>
                </c:pt>
                <c:pt idx="2">
                  <c:v>20000000</c:v>
                </c:pt>
                <c:pt idx="3">
                  <c:v>40000000</c:v>
                </c:pt>
                <c:pt idx="4">
                  <c:v>60000000</c:v>
                </c:pt>
                <c:pt idx="5">
                  <c:v>80000000</c:v>
                </c:pt>
                <c:pt idx="6" formatCode="#,##0">
                  <c:v>120000000</c:v>
                </c:pt>
                <c:pt idx="7" formatCode="#,##0">
                  <c:v>160000000</c:v>
                </c:pt>
                <c:pt idx="8" formatCode="#,##0">
                  <c:v>200000000</c:v>
                </c:pt>
                <c:pt idx="9" formatCode="#,##0">
                  <c:v>250000000</c:v>
                </c:pt>
              </c:numCache>
            </c:numRef>
          </c:cat>
          <c:val>
            <c:numRef>
              <c:f>'OZL Tables'!$CR$89:$CR$98</c:f>
              <c:numCache>
                <c:formatCode>#,##0.0</c:formatCode>
                <c:ptCount val="10"/>
                <c:pt idx="0">
                  <c:v>0</c:v>
                </c:pt>
                <c:pt idx="1">
                  <c:v>0</c:v>
                </c:pt>
                <c:pt idx="2">
                  <c:v>25015065.142576206</c:v>
                </c:pt>
                <c:pt idx="3">
                  <c:v>0</c:v>
                </c:pt>
                <c:pt idx="4">
                  <c:v>0</c:v>
                </c:pt>
                <c:pt idx="5">
                  <c:v>0</c:v>
                </c:pt>
              </c:numCache>
            </c:numRef>
          </c:val>
          <c:smooth val="0"/>
          <c:extLst>
            <c:ext xmlns:c16="http://schemas.microsoft.com/office/drawing/2014/chart" uri="{C3380CC4-5D6E-409C-BE32-E72D297353CC}">
              <c16:uniqueId val="{00000001-9CB0-4887-B5D3-81D127274DC0}"/>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'OZL Tables'!$CQ$89:$CQ$98</c:f>
              <c:numCache>
                <c:formatCode>General</c:formatCode>
                <c:ptCount val="10"/>
                <c:pt idx="0">
                  <c:v>3000000</c:v>
                </c:pt>
                <c:pt idx="1">
                  <c:v>8000000</c:v>
                </c:pt>
                <c:pt idx="2">
                  <c:v>20000000</c:v>
                </c:pt>
                <c:pt idx="3">
                  <c:v>40000000</c:v>
                </c:pt>
                <c:pt idx="4">
                  <c:v>60000000</c:v>
                </c:pt>
                <c:pt idx="5">
                  <c:v>80000000</c:v>
                </c:pt>
                <c:pt idx="6" formatCode="#,##0">
                  <c:v>120000000</c:v>
                </c:pt>
                <c:pt idx="7" formatCode="#,##0">
                  <c:v>160000000</c:v>
                </c:pt>
                <c:pt idx="8" formatCode="#,##0">
                  <c:v>200000000</c:v>
                </c:pt>
                <c:pt idx="9" formatCode="#,##0">
                  <c:v>250000000</c:v>
                </c:pt>
              </c:numCache>
            </c:numRef>
          </c:cat>
          <c:val>
            <c:numRef>
              <c:f>'OZL Tables'!$CS$89:$CS$98</c:f>
              <c:numCache>
                <c:formatCode>#,##0.0</c:formatCode>
                <c:ptCount val="10"/>
                <c:pt idx="6" formatCode="#,##0">
                  <c:v>213915800</c:v>
                </c:pt>
                <c:pt idx="7" formatCode="#,##0">
                  <c:v>277862199.99999994</c:v>
                </c:pt>
                <c:pt idx="8" formatCode="#,##0">
                  <c:v>341808600</c:v>
                </c:pt>
                <c:pt idx="9" formatCode="#,##0">
                  <c:v>421741600</c:v>
                </c:pt>
              </c:numCache>
            </c:numRef>
          </c:val>
          <c:smooth val="0"/>
          <c:extLst>
            <c:ext xmlns:c16="http://schemas.microsoft.com/office/drawing/2014/chart" uri="{C3380CC4-5D6E-409C-BE32-E72D297353CC}">
              <c16:uniqueId val="{00000002-9CB0-4887-B5D3-81D127274DC0}"/>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1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'OZL Tables'!$CQ$127:$CQ$136</c:f>
              <c:numCache>
                <c:formatCode>General</c:formatCode>
                <c:ptCount val="10"/>
                <c:pt idx="0">
                  <c:v>3000000</c:v>
                </c:pt>
                <c:pt idx="1">
                  <c:v>8000000</c:v>
                </c:pt>
                <c:pt idx="2">
                  <c:v>20000000</c:v>
                </c:pt>
                <c:pt idx="3">
                  <c:v>40000000</c:v>
                </c:pt>
                <c:pt idx="4">
                  <c:v>60000000</c:v>
                </c:pt>
                <c:pt idx="5">
                  <c:v>80000000</c:v>
                </c:pt>
                <c:pt idx="6">
                  <c:v>120000000</c:v>
                </c:pt>
                <c:pt idx="7" formatCode="#,##0">
                  <c:v>160000000</c:v>
                </c:pt>
                <c:pt idx="8" formatCode="#,##0">
                  <c:v>200000000</c:v>
                </c:pt>
                <c:pt idx="9" formatCode="#,##0">
                  <c:v>250000000</c:v>
                </c:pt>
              </c:numCache>
            </c:numRef>
          </c:cat>
          <c:val>
            <c:numRef>
              <c:f>'OZL Tables'!$CR$127:$CR$136</c:f>
              <c:numCache>
                <c:formatCode>#,##0.0</c:formatCode>
                <c:ptCount val="10"/>
                <c:pt idx="0">
                  <c:v>8724753.8574994337</c:v>
                </c:pt>
                <c:pt idx="1">
                  <c:v>0</c:v>
                </c:pt>
                <c:pt idx="2">
                  <c:v>22336329.078738373</c:v>
                </c:pt>
                <c:pt idx="3">
                  <c:v>0</c:v>
                </c:pt>
                <c:pt idx="4">
                  <c:v>0</c:v>
                </c:pt>
                <c:pt idx="5">
                  <c:v>0</c:v>
                </c:pt>
                <c:pt idx="6">
                  <c:v>0</c:v>
                </c:pt>
              </c:numCache>
            </c:numRef>
          </c:val>
          <c:smooth val="0"/>
          <c:extLst>
            <c:ext xmlns:c16="http://schemas.microsoft.com/office/drawing/2014/chart" uri="{C3380CC4-5D6E-409C-BE32-E72D297353CC}">
              <c16:uniqueId val="{00000001-47E3-4E38-B483-FC0594A8D3B8}"/>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'OZL Tables'!$CQ$127:$CQ$136</c:f>
              <c:numCache>
                <c:formatCode>General</c:formatCode>
                <c:ptCount val="10"/>
                <c:pt idx="0">
                  <c:v>3000000</c:v>
                </c:pt>
                <c:pt idx="1">
                  <c:v>8000000</c:v>
                </c:pt>
                <c:pt idx="2">
                  <c:v>20000000</c:v>
                </c:pt>
                <c:pt idx="3">
                  <c:v>40000000</c:v>
                </c:pt>
                <c:pt idx="4">
                  <c:v>60000000</c:v>
                </c:pt>
                <c:pt idx="5">
                  <c:v>80000000</c:v>
                </c:pt>
                <c:pt idx="6">
                  <c:v>120000000</c:v>
                </c:pt>
                <c:pt idx="7" formatCode="#,##0">
                  <c:v>160000000</c:v>
                </c:pt>
                <c:pt idx="8" formatCode="#,##0">
                  <c:v>200000000</c:v>
                </c:pt>
                <c:pt idx="9" formatCode="#,##0">
                  <c:v>250000000</c:v>
                </c:pt>
              </c:numCache>
            </c:numRef>
          </c:cat>
          <c:val>
            <c:numRef>
              <c:f>'OZL Tables'!$CS$127:$CS$136</c:f>
              <c:numCache>
                <c:formatCode>#,##0.0</c:formatCode>
                <c:ptCount val="10"/>
                <c:pt idx="7" formatCode="#,##0">
                  <c:v>291387500</c:v>
                </c:pt>
                <c:pt idx="8" formatCode="#,##0">
                  <c:v>360527500</c:v>
                </c:pt>
                <c:pt idx="9" formatCode="#,##0">
                  <c:v>446952500</c:v>
                </c:pt>
              </c:numCache>
            </c:numRef>
          </c:val>
          <c:smooth val="0"/>
          <c:extLst>
            <c:ext xmlns:c16="http://schemas.microsoft.com/office/drawing/2014/chart" uri="{C3380CC4-5D6E-409C-BE32-E72D297353CC}">
              <c16:uniqueId val="{00000002-47E3-4E38-B483-FC0594A8D3B8}"/>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1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v>Actual</c:v>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'OZL Tables'!$BH$13:$BH$22</c:f>
              <c:numCache>
                <c:formatCode>General</c:formatCode>
                <c:ptCount val="10"/>
                <c:pt idx="0">
                  <c:v>4000000</c:v>
                </c:pt>
                <c:pt idx="1">
                  <c:v>8000000</c:v>
                </c:pt>
                <c:pt idx="2">
                  <c:v>20000000</c:v>
                </c:pt>
                <c:pt idx="3">
                  <c:v>40000000</c:v>
                </c:pt>
                <c:pt idx="4">
                  <c:v>60000000</c:v>
                </c:pt>
                <c:pt idx="5">
                  <c:v>80000000</c:v>
                </c:pt>
                <c:pt idx="6">
                  <c:v>120000000</c:v>
                </c:pt>
                <c:pt idx="7" formatCode="#,##0">
                  <c:v>150000000</c:v>
                </c:pt>
                <c:pt idx="8" formatCode="#,##0">
                  <c:v>200000000</c:v>
                </c:pt>
                <c:pt idx="9" formatCode="#,##0">
                  <c:v>250000000</c:v>
                </c:pt>
              </c:numCache>
            </c:numRef>
          </c:cat>
          <c:val>
            <c:numRef>
              <c:f>'OZL Tables'!$BI$13:$BI$22</c:f>
              <c:numCache>
                <c:formatCode>#,##0</c:formatCode>
                <c:ptCount val="10"/>
                <c:pt idx="0">
                  <c:v>19109771.374760438</c:v>
                </c:pt>
                <c:pt idx="1">
                  <c:v>23289148.265343774</c:v>
                </c:pt>
                <c:pt idx="2">
                  <c:v>37073147.564176887</c:v>
                </c:pt>
                <c:pt idx="3">
                  <c:v>53171402.9233898</c:v>
                </c:pt>
                <c:pt idx="4">
                  <c:v>77545671.333813921</c:v>
                </c:pt>
                <c:pt idx="5">
                  <c:v>113751244.41664214</c:v>
                </c:pt>
                <c:pt idx="6">
                  <c:v>226126304.09125558</c:v>
                </c:pt>
              </c:numCache>
            </c:numRef>
          </c:val>
          <c:smooth val="0"/>
          <c:extLst>
            <c:ext xmlns:c16="http://schemas.microsoft.com/office/drawing/2014/chart" uri="{C3380CC4-5D6E-409C-BE32-E72D297353CC}">
              <c16:uniqueId val="{00000001-15C2-49F3-BA6C-55D9FC3C2C99}"/>
            </c:ext>
          </c:extLst>
        </c:ser>
        <c:ser>
          <c:idx val="1"/>
          <c:order val="1"/>
          <c:tx>
            <c:v>Projection</c:v>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'OZL Tables'!$BH$13:$BH$22</c:f>
              <c:numCache>
                <c:formatCode>General</c:formatCode>
                <c:ptCount val="10"/>
                <c:pt idx="0">
                  <c:v>4000000</c:v>
                </c:pt>
                <c:pt idx="1">
                  <c:v>8000000</c:v>
                </c:pt>
                <c:pt idx="2">
                  <c:v>20000000</c:v>
                </c:pt>
                <c:pt idx="3">
                  <c:v>40000000</c:v>
                </c:pt>
                <c:pt idx="4">
                  <c:v>60000000</c:v>
                </c:pt>
                <c:pt idx="5">
                  <c:v>80000000</c:v>
                </c:pt>
                <c:pt idx="6">
                  <c:v>120000000</c:v>
                </c:pt>
                <c:pt idx="7" formatCode="#,##0">
                  <c:v>150000000</c:v>
                </c:pt>
                <c:pt idx="8" formatCode="#,##0">
                  <c:v>200000000</c:v>
                </c:pt>
                <c:pt idx="9" formatCode="#,##0">
                  <c:v>250000000</c:v>
                </c:pt>
              </c:numCache>
            </c:numRef>
          </c:cat>
          <c:val>
            <c:numRef>
              <c:f>'OZL Tables'!$BJ$13:$BJ$22</c:f>
              <c:numCache>
                <c:formatCode>General</c:formatCode>
                <c:ptCount val="10"/>
                <c:pt idx="7" formatCode="#,##0">
                  <c:v>295000000</c:v>
                </c:pt>
                <c:pt idx="8" formatCode="#,##0">
                  <c:v>396000000</c:v>
                </c:pt>
                <c:pt idx="9" formatCode="#,##0">
                  <c:v>510000000</c:v>
                </c:pt>
              </c:numCache>
            </c:numRef>
          </c:val>
          <c:smooth val="0"/>
          <c:extLst>
            <c:ext xmlns:c16="http://schemas.microsoft.com/office/drawing/2014/chart" uri="{C3380CC4-5D6E-409C-BE32-E72D297353CC}">
              <c16:uniqueId val="{00000002-15C2-49F3-BA6C-55D9FC3C2C99}"/>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1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'OZL Tables'!$CA$13:$CA$22</c:f>
              <c:numCache>
                <c:formatCode>General</c:formatCode>
                <c:ptCount val="10"/>
                <c:pt idx="0">
                  <c:v>4000000</c:v>
                </c:pt>
                <c:pt idx="1">
                  <c:v>8000000</c:v>
                </c:pt>
                <c:pt idx="2">
                  <c:v>20000000</c:v>
                </c:pt>
                <c:pt idx="3">
                  <c:v>40000000</c:v>
                </c:pt>
                <c:pt idx="4">
                  <c:v>60000000</c:v>
                </c:pt>
                <c:pt idx="5">
                  <c:v>80000000</c:v>
                </c:pt>
                <c:pt idx="6">
                  <c:v>120000000</c:v>
                </c:pt>
                <c:pt idx="7" formatCode="#,##0">
                  <c:v>160000000</c:v>
                </c:pt>
                <c:pt idx="8" formatCode="#,##0">
                  <c:v>200000000</c:v>
                </c:pt>
                <c:pt idx="9" formatCode="#,##0">
                  <c:v>250000000</c:v>
                </c:pt>
              </c:numCache>
            </c:numRef>
          </c:cat>
          <c:val>
            <c:numRef>
              <c:f>'OZL Tables'!$CB$13:$CB$22</c:f>
              <c:numCache>
                <c:formatCode>#,##0</c:formatCode>
                <c:ptCount val="10"/>
                <c:pt idx="0">
                  <c:v>19109771.374760438</c:v>
                </c:pt>
                <c:pt idx="1">
                  <c:v>23289148.265343774</c:v>
                </c:pt>
                <c:pt idx="2">
                  <c:v>37073147.564176887</c:v>
                </c:pt>
                <c:pt idx="3">
                  <c:v>53171402.9233898</c:v>
                </c:pt>
                <c:pt idx="4">
                  <c:v>77545671.333813921</c:v>
                </c:pt>
                <c:pt idx="5">
                  <c:v>113751244.41664214</c:v>
                </c:pt>
                <c:pt idx="6">
                  <c:v>226126304.09125558</c:v>
                </c:pt>
              </c:numCache>
            </c:numRef>
          </c:val>
          <c:smooth val="0"/>
          <c:extLst>
            <c:ext xmlns:c16="http://schemas.microsoft.com/office/drawing/2014/chart" uri="{C3380CC4-5D6E-409C-BE32-E72D297353CC}">
              <c16:uniqueId val="{00000001-F770-4A9D-839F-DDAEDE5A6DB7}"/>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'OZL Tables'!$CA$13:$CA$22</c:f>
              <c:numCache>
                <c:formatCode>General</c:formatCode>
                <c:ptCount val="10"/>
                <c:pt idx="0">
                  <c:v>4000000</c:v>
                </c:pt>
                <c:pt idx="1">
                  <c:v>8000000</c:v>
                </c:pt>
                <c:pt idx="2">
                  <c:v>20000000</c:v>
                </c:pt>
                <c:pt idx="3">
                  <c:v>40000000</c:v>
                </c:pt>
                <c:pt idx="4">
                  <c:v>60000000</c:v>
                </c:pt>
                <c:pt idx="5">
                  <c:v>80000000</c:v>
                </c:pt>
                <c:pt idx="6">
                  <c:v>120000000</c:v>
                </c:pt>
                <c:pt idx="7" formatCode="#,##0">
                  <c:v>160000000</c:v>
                </c:pt>
                <c:pt idx="8" formatCode="#,##0">
                  <c:v>200000000</c:v>
                </c:pt>
                <c:pt idx="9" formatCode="#,##0">
                  <c:v>250000000</c:v>
                </c:pt>
              </c:numCache>
            </c:numRef>
          </c:cat>
          <c:val>
            <c:numRef>
              <c:f>'OZL Tables'!$CC$13:$CC$22</c:f>
              <c:numCache>
                <c:formatCode>General</c:formatCode>
                <c:ptCount val="10"/>
                <c:pt idx="4" formatCode="#,##0">
                  <c:v>84874000</c:v>
                </c:pt>
                <c:pt idx="5" formatCode="#,##0">
                  <c:v>107612000</c:v>
                </c:pt>
                <c:pt idx="6" formatCode="#,##0">
                  <c:v>214323200</c:v>
                </c:pt>
                <c:pt idx="7" formatCode="#,##0">
                  <c:v>277989600</c:v>
                </c:pt>
                <c:pt idx="8" formatCode="#,##0">
                  <c:v>341656000</c:v>
                </c:pt>
                <c:pt idx="9" formatCode="#,##0">
                  <c:v>421239000.00000006</c:v>
                </c:pt>
              </c:numCache>
            </c:numRef>
          </c:val>
          <c:smooth val="0"/>
          <c:extLst>
            <c:ext xmlns:c16="http://schemas.microsoft.com/office/drawing/2014/chart" uri="{C3380CC4-5D6E-409C-BE32-E72D297353CC}">
              <c16:uniqueId val="{00000002-F770-4A9D-839F-DDAEDE5A6DB7}"/>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1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'OZL Tables'!$CA$32:$CA$41</c:f>
              <c:numCache>
                <c:formatCode>General</c:formatCode>
                <c:ptCount val="10"/>
                <c:pt idx="0">
                  <c:v>4000000</c:v>
                </c:pt>
                <c:pt idx="1">
                  <c:v>8000000</c:v>
                </c:pt>
                <c:pt idx="2">
                  <c:v>20000000</c:v>
                </c:pt>
                <c:pt idx="3">
                  <c:v>40000000</c:v>
                </c:pt>
                <c:pt idx="4">
                  <c:v>60000000</c:v>
                </c:pt>
                <c:pt idx="5">
                  <c:v>80000000</c:v>
                </c:pt>
                <c:pt idx="6">
                  <c:v>120000000</c:v>
                </c:pt>
                <c:pt idx="7" formatCode="#,##0">
                  <c:v>150000000</c:v>
                </c:pt>
                <c:pt idx="8" formatCode="#,##0">
                  <c:v>200000000</c:v>
                </c:pt>
                <c:pt idx="9" formatCode="#,##0">
                  <c:v>250000000</c:v>
                </c:pt>
              </c:numCache>
            </c:numRef>
          </c:cat>
          <c:val>
            <c:numRef>
              <c:f>'OZL Tables'!$CB$32:$CB$41</c:f>
              <c:numCache>
                <c:formatCode>#,##0</c:formatCode>
                <c:ptCount val="10"/>
                <c:pt idx="0">
                  <c:v>0</c:v>
                </c:pt>
                <c:pt idx="1">
                  <c:v>0</c:v>
                </c:pt>
                <c:pt idx="2">
                  <c:v>20463382.076809622</c:v>
                </c:pt>
                <c:pt idx="3">
                  <c:v>0</c:v>
                </c:pt>
                <c:pt idx="4">
                  <c:v>0</c:v>
                </c:pt>
                <c:pt idx="5">
                  <c:v>0</c:v>
                </c:pt>
                <c:pt idx="6">
                  <c:v>226126304.09125599</c:v>
                </c:pt>
              </c:numCache>
            </c:numRef>
          </c:val>
          <c:smooth val="0"/>
          <c:extLst>
            <c:ext xmlns:c16="http://schemas.microsoft.com/office/drawing/2014/chart" uri="{C3380CC4-5D6E-409C-BE32-E72D297353CC}">
              <c16:uniqueId val="{00000001-E7AC-455F-9A11-06FC478A5455}"/>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'OZL Tables'!$CA$32:$CA$41</c:f>
              <c:numCache>
                <c:formatCode>General</c:formatCode>
                <c:ptCount val="10"/>
                <c:pt idx="0">
                  <c:v>4000000</c:v>
                </c:pt>
                <c:pt idx="1">
                  <c:v>8000000</c:v>
                </c:pt>
                <c:pt idx="2">
                  <c:v>20000000</c:v>
                </c:pt>
                <c:pt idx="3">
                  <c:v>40000000</c:v>
                </c:pt>
                <c:pt idx="4">
                  <c:v>60000000</c:v>
                </c:pt>
                <c:pt idx="5">
                  <c:v>80000000</c:v>
                </c:pt>
                <c:pt idx="6">
                  <c:v>120000000</c:v>
                </c:pt>
                <c:pt idx="7" formatCode="#,##0">
                  <c:v>150000000</c:v>
                </c:pt>
                <c:pt idx="8" formatCode="#,##0">
                  <c:v>200000000</c:v>
                </c:pt>
                <c:pt idx="9" formatCode="#,##0">
                  <c:v>250000000</c:v>
                </c:pt>
              </c:numCache>
            </c:numRef>
          </c:cat>
          <c:val>
            <c:numRef>
              <c:f>'OZL Tables'!$CC$32:$CC$41</c:f>
              <c:numCache>
                <c:formatCode>General</c:formatCode>
                <c:ptCount val="10"/>
                <c:pt idx="7" formatCode="#,##0">
                  <c:v>277989600</c:v>
                </c:pt>
                <c:pt idx="8" formatCode="#,##0">
                  <c:v>341656000</c:v>
                </c:pt>
                <c:pt idx="9" formatCode="#,##0">
                  <c:v>421239000.00000006</c:v>
                </c:pt>
              </c:numCache>
            </c:numRef>
          </c:val>
          <c:smooth val="0"/>
          <c:extLst>
            <c:ext xmlns:c16="http://schemas.microsoft.com/office/drawing/2014/chart" uri="{C3380CC4-5D6E-409C-BE32-E72D297353CC}">
              <c16:uniqueId val="{00000002-E7AC-455F-9A11-06FC478A5455}"/>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1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'OZL Tables'!$DG$13:$DG$22</c:f>
              <c:numCache>
                <c:formatCode>General</c:formatCode>
                <c:ptCount val="10"/>
                <c:pt idx="0">
                  <c:v>3000000</c:v>
                </c:pt>
                <c:pt idx="1">
                  <c:v>6000000</c:v>
                </c:pt>
                <c:pt idx="2">
                  <c:v>10000000</c:v>
                </c:pt>
                <c:pt idx="3">
                  <c:v>15000000</c:v>
                </c:pt>
                <c:pt idx="4">
                  <c:v>30000000</c:v>
                </c:pt>
                <c:pt idx="5">
                  <c:v>50000000</c:v>
                </c:pt>
                <c:pt idx="6" formatCode="#,##0">
                  <c:v>80000000</c:v>
                </c:pt>
                <c:pt idx="7" formatCode="#,##0">
                  <c:v>100000000</c:v>
                </c:pt>
                <c:pt idx="8" formatCode="#,##0">
                  <c:v>120000000</c:v>
                </c:pt>
                <c:pt idx="9" formatCode="#,##0">
                  <c:v>150000000</c:v>
                </c:pt>
              </c:numCache>
            </c:numRef>
          </c:cat>
          <c:val>
            <c:numRef>
              <c:f>'OZL Tables'!$DH$13:$DH$22</c:f>
              <c:numCache>
                <c:formatCode>#,##0.0</c:formatCode>
                <c:ptCount val="10"/>
                <c:pt idx="0">
                  <c:v>0</c:v>
                </c:pt>
                <c:pt idx="1">
                  <c:v>0</c:v>
                </c:pt>
                <c:pt idx="2">
                  <c:v>14678466</c:v>
                </c:pt>
                <c:pt idx="3">
                  <c:v>17950057.5</c:v>
                </c:pt>
                <c:pt idx="4">
                  <c:v>29662236.75</c:v>
                </c:pt>
                <c:pt idx="5">
                  <c:v>59494776</c:v>
                </c:pt>
              </c:numCache>
            </c:numRef>
          </c:val>
          <c:smooth val="0"/>
          <c:extLst>
            <c:ext xmlns:c16="http://schemas.microsoft.com/office/drawing/2014/chart" uri="{C3380CC4-5D6E-409C-BE32-E72D297353CC}">
              <c16:uniqueId val="{00000001-655F-4A5B-9875-6A8B8125FD58}"/>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'OZL Tables'!$DG$13:$DG$22</c:f>
              <c:numCache>
                <c:formatCode>General</c:formatCode>
                <c:ptCount val="10"/>
                <c:pt idx="0">
                  <c:v>3000000</c:v>
                </c:pt>
                <c:pt idx="1">
                  <c:v>6000000</c:v>
                </c:pt>
                <c:pt idx="2">
                  <c:v>10000000</c:v>
                </c:pt>
                <c:pt idx="3">
                  <c:v>15000000</c:v>
                </c:pt>
                <c:pt idx="4">
                  <c:v>30000000</c:v>
                </c:pt>
                <c:pt idx="5">
                  <c:v>50000000</c:v>
                </c:pt>
                <c:pt idx="6" formatCode="#,##0">
                  <c:v>80000000</c:v>
                </c:pt>
                <c:pt idx="7" formatCode="#,##0">
                  <c:v>100000000</c:v>
                </c:pt>
                <c:pt idx="8" formatCode="#,##0">
                  <c:v>120000000</c:v>
                </c:pt>
                <c:pt idx="9" formatCode="#,##0">
                  <c:v>150000000</c:v>
                </c:pt>
              </c:numCache>
            </c:numRef>
          </c:cat>
          <c:val>
            <c:numRef>
              <c:f>'OZL Tables'!$DI$13:$DI$22</c:f>
              <c:numCache>
                <c:formatCode>General</c:formatCode>
                <c:ptCount val="10"/>
                <c:pt idx="6" formatCode="#,##0">
                  <c:v>128354999.99999999</c:v>
                </c:pt>
                <c:pt idx="7" formatCode="#,##0">
                  <c:v>197191250</c:v>
                </c:pt>
                <c:pt idx="8" formatCode="#,##0">
                  <c:v>233938750</c:v>
                </c:pt>
                <c:pt idx="9" formatCode="#,##0">
                  <c:v>289060000</c:v>
                </c:pt>
              </c:numCache>
            </c:numRef>
          </c:val>
          <c:smooth val="0"/>
          <c:extLst>
            <c:ext xmlns:c16="http://schemas.microsoft.com/office/drawing/2014/chart" uri="{C3380CC4-5D6E-409C-BE32-E72D297353CC}">
              <c16:uniqueId val="{00000002-655F-4A5B-9875-6A8B8125FD58}"/>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1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'OZL Tables'!$BH$32:$BH$41</c:f>
              <c:numCache>
                <c:formatCode>General</c:formatCode>
                <c:ptCount val="10"/>
                <c:pt idx="0">
                  <c:v>4000000</c:v>
                </c:pt>
                <c:pt idx="1">
                  <c:v>8000000</c:v>
                </c:pt>
                <c:pt idx="2">
                  <c:v>20000000</c:v>
                </c:pt>
                <c:pt idx="3">
                  <c:v>40000000</c:v>
                </c:pt>
                <c:pt idx="4">
                  <c:v>60000000</c:v>
                </c:pt>
                <c:pt idx="5">
                  <c:v>80000000</c:v>
                </c:pt>
                <c:pt idx="6">
                  <c:v>120000000</c:v>
                </c:pt>
                <c:pt idx="7" formatCode="#,##0">
                  <c:v>160000000</c:v>
                </c:pt>
                <c:pt idx="8" formatCode="#,##0">
                  <c:v>200000000</c:v>
                </c:pt>
                <c:pt idx="9" formatCode="#,##0">
                  <c:v>250000000</c:v>
                </c:pt>
              </c:numCache>
            </c:numRef>
          </c:cat>
          <c:val>
            <c:numRef>
              <c:f>'OZL Tables'!$BI$32:$BI$41</c:f>
              <c:numCache>
                <c:formatCode>#,##0</c:formatCode>
                <c:ptCount val="10"/>
                <c:pt idx="0">
                  <c:v>0</c:v>
                </c:pt>
                <c:pt idx="1">
                  <c:v>0</c:v>
                </c:pt>
                <c:pt idx="2">
                  <c:v>20463382.076809622</c:v>
                </c:pt>
                <c:pt idx="3">
                  <c:v>0</c:v>
                </c:pt>
                <c:pt idx="4">
                  <c:v>0</c:v>
                </c:pt>
                <c:pt idx="5">
                  <c:v>0</c:v>
                </c:pt>
                <c:pt idx="6">
                  <c:v>226126304.09125558</c:v>
                </c:pt>
              </c:numCache>
            </c:numRef>
          </c:val>
          <c:smooth val="0"/>
          <c:extLst>
            <c:ext xmlns:c16="http://schemas.microsoft.com/office/drawing/2014/chart" uri="{C3380CC4-5D6E-409C-BE32-E72D297353CC}">
              <c16:uniqueId val="{00000001-5F0F-48EE-B842-3699B2BA3A21}"/>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'OZL Tables'!$BH$32:$BH$41</c:f>
              <c:numCache>
                <c:formatCode>General</c:formatCode>
                <c:ptCount val="10"/>
                <c:pt idx="0">
                  <c:v>4000000</c:v>
                </c:pt>
                <c:pt idx="1">
                  <c:v>8000000</c:v>
                </c:pt>
                <c:pt idx="2">
                  <c:v>20000000</c:v>
                </c:pt>
                <c:pt idx="3">
                  <c:v>40000000</c:v>
                </c:pt>
                <c:pt idx="4">
                  <c:v>60000000</c:v>
                </c:pt>
                <c:pt idx="5">
                  <c:v>80000000</c:v>
                </c:pt>
                <c:pt idx="6">
                  <c:v>120000000</c:v>
                </c:pt>
                <c:pt idx="7" formatCode="#,##0">
                  <c:v>160000000</c:v>
                </c:pt>
                <c:pt idx="8" formatCode="#,##0">
                  <c:v>200000000</c:v>
                </c:pt>
                <c:pt idx="9" formatCode="#,##0">
                  <c:v>250000000</c:v>
                </c:pt>
              </c:numCache>
            </c:numRef>
          </c:cat>
          <c:val>
            <c:numRef>
              <c:f>'OZL Tables'!$BJ$32:$BJ$41</c:f>
              <c:numCache>
                <c:formatCode>General</c:formatCode>
                <c:ptCount val="10"/>
                <c:pt idx="7" formatCode="#,##0">
                  <c:v>267534399.99999997</c:v>
                </c:pt>
                <c:pt idx="8" formatCode="#,##0">
                  <c:v>328305600</c:v>
                </c:pt>
                <c:pt idx="9" formatCode="#,##0">
                  <c:v>404269600</c:v>
                </c:pt>
              </c:numCache>
            </c:numRef>
          </c:val>
          <c:smooth val="0"/>
          <c:extLst>
            <c:ext xmlns:c16="http://schemas.microsoft.com/office/drawing/2014/chart" uri="{C3380CC4-5D6E-409C-BE32-E72D297353CC}">
              <c16:uniqueId val="{00000002-5F0F-48EE-B842-3699B2BA3A21}"/>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1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'OZL Tables'!$DG$32:$DG$41</c:f>
              <c:numCache>
                <c:formatCode>General</c:formatCode>
                <c:ptCount val="10"/>
                <c:pt idx="0">
                  <c:v>3000000</c:v>
                </c:pt>
                <c:pt idx="1">
                  <c:v>6000000</c:v>
                </c:pt>
                <c:pt idx="2">
                  <c:v>10000000</c:v>
                </c:pt>
                <c:pt idx="3">
                  <c:v>15000000</c:v>
                </c:pt>
                <c:pt idx="4">
                  <c:v>30000000</c:v>
                </c:pt>
                <c:pt idx="5">
                  <c:v>40000000</c:v>
                </c:pt>
                <c:pt idx="6" formatCode="#,##0">
                  <c:v>60000000</c:v>
                </c:pt>
                <c:pt idx="7" formatCode="#,##0">
                  <c:v>80000000</c:v>
                </c:pt>
                <c:pt idx="8" formatCode="#,##0">
                  <c:v>100000000</c:v>
                </c:pt>
                <c:pt idx="9" formatCode="#,##0">
                  <c:v>150000000</c:v>
                </c:pt>
              </c:numCache>
            </c:numRef>
          </c:cat>
          <c:val>
            <c:numRef>
              <c:f>'OZL Tables'!$DH$32:$DH$41</c:f>
              <c:numCache>
                <c:formatCode>#,##0.0</c:formatCode>
                <c:ptCount val="10"/>
                <c:pt idx="0">
                  <c:v>0</c:v>
                </c:pt>
                <c:pt idx="1">
                  <c:v>0</c:v>
                </c:pt>
                <c:pt idx="2">
                  <c:v>16455899.172402494</c:v>
                </c:pt>
                <c:pt idx="3">
                  <c:v>19945756.391347103</c:v>
                </c:pt>
                <c:pt idx="4">
                  <c:v>29082690.634218294</c:v>
                </c:pt>
                <c:pt idx="5">
                  <c:v>37889141.838741407</c:v>
                </c:pt>
              </c:numCache>
            </c:numRef>
          </c:val>
          <c:smooth val="0"/>
          <c:extLst>
            <c:ext xmlns:c16="http://schemas.microsoft.com/office/drawing/2014/chart" uri="{C3380CC4-5D6E-409C-BE32-E72D297353CC}">
              <c16:uniqueId val="{00000001-1540-4530-A518-C1EBC18381F8}"/>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'OZL Tables'!$DG$32:$DG$41</c:f>
              <c:numCache>
                <c:formatCode>General</c:formatCode>
                <c:ptCount val="10"/>
                <c:pt idx="0">
                  <c:v>3000000</c:v>
                </c:pt>
                <c:pt idx="1">
                  <c:v>6000000</c:v>
                </c:pt>
                <c:pt idx="2">
                  <c:v>10000000</c:v>
                </c:pt>
                <c:pt idx="3">
                  <c:v>15000000</c:v>
                </c:pt>
                <c:pt idx="4">
                  <c:v>30000000</c:v>
                </c:pt>
                <c:pt idx="5">
                  <c:v>40000000</c:v>
                </c:pt>
                <c:pt idx="6" formatCode="#,##0">
                  <c:v>60000000</c:v>
                </c:pt>
                <c:pt idx="7" formatCode="#,##0">
                  <c:v>80000000</c:v>
                </c:pt>
                <c:pt idx="8" formatCode="#,##0">
                  <c:v>100000000</c:v>
                </c:pt>
                <c:pt idx="9" formatCode="#,##0">
                  <c:v>150000000</c:v>
                </c:pt>
              </c:numCache>
            </c:numRef>
          </c:cat>
          <c:val>
            <c:numRef>
              <c:f>'OZL Tables'!$DI$32:$DI$41</c:f>
              <c:numCache>
                <c:formatCode>General</c:formatCode>
                <c:ptCount val="10"/>
                <c:pt idx="6" formatCode="#,##0">
                  <c:v>98957000.000000015</c:v>
                </c:pt>
                <c:pt idx="7" formatCode="#,##0">
                  <c:v>128354999.99999999</c:v>
                </c:pt>
                <c:pt idx="8" formatCode="#,##0">
                  <c:v>197191250</c:v>
                </c:pt>
                <c:pt idx="9" formatCode="#,##0">
                  <c:v>289060000</c:v>
                </c:pt>
              </c:numCache>
            </c:numRef>
          </c:val>
          <c:smooth val="0"/>
          <c:extLst>
            <c:ext xmlns:c16="http://schemas.microsoft.com/office/drawing/2014/chart" uri="{C3380CC4-5D6E-409C-BE32-E72D297353CC}">
              <c16:uniqueId val="{00000002-1540-4530-A518-C1EBC18381F8}"/>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1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'OZL Tables'!$DG$51:$DG$60</c:f>
              <c:numCache>
                <c:formatCode>General</c:formatCode>
                <c:ptCount val="10"/>
                <c:pt idx="0">
                  <c:v>3000000</c:v>
                </c:pt>
                <c:pt idx="1">
                  <c:v>8000000</c:v>
                </c:pt>
                <c:pt idx="2">
                  <c:v>12000000</c:v>
                </c:pt>
                <c:pt idx="3">
                  <c:v>20000000</c:v>
                </c:pt>
                <c:pt idx="4">
                  <c:v>30000000</c:v>
                </c:pt>
                <c:pt idx="5">
                  <c:v>40000000</c:v>
                </c:pt>
                <c:pt idx="6">
                  <c:v>50000000</c:v>
                </c:pt>
                <c:pt idx="7" formatCode="#,##0">
                  <c:v>80000000</c:v>
                </c:pt>
                <c:pt idx="8" formatCode="#,##0">
                  <c:v>100000000</c:v>
                </c:pt>
                <c:pt idx="9" formatCode="#,##0">
                  <c:v>150000000</c:v>
                </c:pt>
              </c:numCache>
            </c:numRef>
          </c:cat>
          <c:val>
            <c:numRef>
              <c:f>'OZL Tables'!$DH$51:$DH$60</c:f>
              <c:numCache>
                <c:formatCode>#,##0.0</c:formatCode>
                <c:ptCount val="10"/>
                <c:pt idx="0">
                  <c:v>0</c:v>
                </c:pt>
                <c:pt idx="1">
                  <c:v>0</c:v>
                </c:pt>
                <c:pt idx="2">
                  <c:v>0</c:v>
                </c:pt>
                <c:pt idx="3">
                  <c:v>0</c:v>
                </c:pt>
                <c:pt idx="4">
                  <c:v>0</c:v>
                </c:pt>
                <c:pt idx="5">
                  <c:v>0</c:v>
                </c:pt>
                <c:pt idx="6">
                  <c:v>0</c:v>
                </c:pt>
              </c:numCache>
            </c:numRef>
          </c:val>
          <c:smooth val="0"/>
          <c:extLst>
            <c:ext xmlns:c16="http://schemas.microsoft.com/office/drawing/2014/chart" uri="{C3380CC4-5D6E-409C-BE32-E72D297353CC}">
              <c16:uniqueId val="{00000001-57D1-4439-8F20-045989ADEA63}"/>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'OZL Tables'!$DG$51:$DG$60</c:f>
              <c:numCache>
                <c:formatCode>General</c:formatCode>
                <c:ptCount val="10"/>
                <c:pt idx="0">
                  <c:v>3000000</c:v>
                </c:pt>
                <c:pt idx="1">
                  <c:v>8000000</c:v>
                </c:pt>
                <c:pt idx="2">
                  <c:v>12000000</c:v>
                </c:pt>
                <c:pt idx="3">
                  <c:v>20000000</c:v>
                </c:pt>
                <c:pt idx="4">
                  <c:v>30000000</c:v>
                </c:pt>
                <c:pt idx="5">
                  <c:v>40000000</c:v>
                </c:pt>
                <c:pt idx="6">
                  <c:v>50000000</c:v>
                </c:pt>
                <c:pt idx="7" formatCode="#,##0">
                  <c:v>80000000</c:v>
                </c:pt>
                <c:pt idx="8" formatCode="#,##0">
                  <c:v>100000000</c:v>
                </c:pt>
                <c:pt idx="9" formatCode="#,##0">
                  <c:v>150000000</c:v>
                </c:pt>
              </c:numCache>
            </c:numRef>
          </c:cat>
          <c:val>
            <c:numRef>
              <c:f>'OZL Tables'!$DI$51:$DI$60</c:f>
              <c:numCache>
                <c:formatCode>General</c:formatCode>
                <c:ptCount val="10"/>
                <c:pt idx="7" formatCode="#,##0">
                  <c:v>101329200</c:v>
                </c:pt>
                <c:pt idx="8" formatCode="#,##0">
                  <c:v>156806500</c:v>
                </c:pt>
                <c:pt idx="9" formatCode="#,##0">
                  <c:v>232169000</c:v>
                </c:pt>
              </c:numCache>
            </c:numRef>
          </c:val>
          <c:smooth val="0"/>
          <c:extLst>
            <c:ext xmlns:c16="http://schemas.microsoft.com/office/drawing/2014/chart" uri="{C3380CC4-5D6E-409C-BE32-E72D297353CC}">
              <c16:uniqueId val="{00000002-57D1-4439-8F20-045989ADEA63}"/>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1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'OZL Tables'!$DG$70:$DG$79</c:f>
              <c:numCache>
                <c:formatCode>General</c:formatCode>
                <c:ptCount val="10"/>
                <c:pt idx="0">
                  <c:v>3000000</c:v>
                </c:pt>
                <c:pt idx="1">
                  <c:v>8000000</c:v>
                </c:pt>
                <c:pt idx="2">
                  <c:v>12000000</c:v>
                </c:pt>
                <c:pt idx="3">
                  <c:v>20000000</c:v>
                </c:pt>
                <c:pt idx="4">
                  <c:v>30000000</c:v>
                </c:pt>
                <c:pt idx="5">
                  <c:v>40000000</c:v>
                </c:pt>
                <c:pt idx="6">
                  <c:v>50000000</c:v>
                </c:pt>
                <c:pt idx="7">
                  <c:v>80000000</c:v>
                </c:pt>
                <c:pt idx="8">
                  <c:v>100000000</c:v>
                </c:pt>
                <c:pt idx="9" formatCode="#,##0">
                  <c:v>150000000</c:v>
                </c:pt>
              </c:numCache>
            </c:numRef>
          </c:cat>
          <c:val>
            <c:numRef>
              <c:f>'OZL Tables'!$DH$70:$DH$79</c:f>
              <c:numCache>
                <c:formatCode>#,##0.0</c:formatCode>
                <c:ptCount val="10"/>
                <c:pt idx="0">
                  <c:v>0</c:v>
                </c:pt>
                <c:pt idx="1">
                  <c:v>0</c:v>
                </c:pt>
                <c:pt idx="2">
                  <c:v>0</c:v>
                </c:pt>
                <c:pt idx="3">
                  <c:v>0</c:v>
                </c:pt>
                <c:pt idx="4">
                  <c:v>26519776.610127833</c:v>
                </c:pt>
                <c:pt idx="5">
                  <c:v>31103626.106194694</c:v>
                </c:pt>
                <c:pt idx="6">
                  <c:v>38919567.477876119</c:v>
                </c:pt>
                <c:pt idx="7">
                  <c:v>0</c:v>
                </c:pt>
                <c:pt idx="8">
                  <c:v>0</c:v>
                </c:pt>
              </c:numCache>
            </c:numRef>
          </c:val>
          <c:smooth val="0"/>
          <c:extLst>
            <c:ext xmlns:c16="http://schemas.microsoft.com/office/drawing/2014/chart" uri="{C3380CC4-5D6E-409C-BE32-E72D297353CC}">
              <c16:uniqueId val="{00000001-659E-45ED-860C-9B1185B7EBBC}"/>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'OZL Tables'!$DG$70:$DG$79</c:f>
              <c:numCache>
                <c:formatCode>General</c:formatCode>
                <c:ptCount val="10"/>
                <c:pt idx="0">
                  <c:v>3000000</c:v>
                </c:pt>
                <c:pt idx="1">
                  <c:v>8000000</c:v>
                </c:pt>
                <c:pt idx="2">
                  <c:v>12000000</c:v>
                </c:pt>
                <c:pt idx="3">
                  <c:v>20000000</c:v>
                </c:pt>
                <c:pt idx="4">
                  <c:v>30000000</c:v>
                </c:pt>
                <c:pt idx="5">
                  <c:v>40000000</c:v>
                </c:pt>
                <c:pt idx="6">
                  <c:v>50000000</c:v>
                </c:pt>
                <c:pt idx="7">
                  <c:v>80000000</c:v>
                </c:pt>
                <c:pt idx="8">
                  <c:v>100000000</c:v>
                </c:pt>
                <c:pt idx="9" formatCode="#,##0">
                  <c:v>150000000</c:v>
                </c:pt>
              </c:numCache>
            </c:numRef>
          </c:cat>
          <c:val>
            <c:numRef>
              <c:f>'OZL Tables'!$DI$70:$DI$79</c:f>
              <c:numCache>
                <c:formatCode>General</c:formatCode>
                <c:ptCount val="10"/>
                <c:pt idx="9" formatCode="#,##0">
                  <c:v>251811124.99999997</c:v>
                </c:pt>
              </c:numCache>
            </c:numRef>
          </c:val>
          <c:smooth val="0"/>
          <c:extLst>
            <c:ext xmlns:c16="http://schemas.microsoft.com/office/drawing/2014/chart" uri="{C3380CC4-5D6E-409C-BE32-E72D297353CC}">
              <c16:uniqueId val="{00000002-659E-45ED-860C-9B1185B7EBBC}"/>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1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'OZL Tables'!$DG$89:$DG$98</c:f>
              <c:numCache>
                <c:formatCode>General</c:formatCode>
                <c:ptCount val="10"/>
                <c:pt idx="0">
                  <c:v>3000000</c:v>
                </c:pt>
                <c:pt idx="1">
                  <c:v>8000000</c:v>
                </c:pt>
                <c:pt idx="2">
                  <c:v>12000000</c:v>
                </c:pt>
                <c:pt idx="3">
                  <c:v>20000000</c:v>
                </c:pt>
                <c:pt idx="4">
                  <c:v>30000000</c:v>
                </c:pt>
                <c:pt idx="5">
                  <c:v>40000000</c:v>
                </c:pt>
                <c:pt idx="6">
                  <c:v>50000000</c:v>
                </c:pt>
                <c:pt idx="7">
                  <c:v>80000000</c:v>
                </c:pt>
                <c:pt idx="8">
                  <c:v>100000000</c:v>
                </c:pt>
                <c:pt idx="9" formatCode="#,##0">
                  <c:v>150000000</c:v>
                </c:pt>
              </c:numCache>
            </c:numRef>
          </c:cat>
          <c:val>
            <c:numRef>
              <c:f>'OZL Tables'!$DH$89:$DH$98</c:f>
              <c:numCache>
                <c:formatCode>#,##0.0</c:formatCode>
                <c:ptCount val="10"/>
                <c:pt idx="0">
                  <c:v>0</c:v>
                </c:pt>
                <c:pt idx="1">
                  <c:v>0</c:v>
                </c:pt>
                <c:pt idx="2">
                  <c:v>0</c:v>
                </c:pt>
                <c:pt idx="3">
                  <c:v>23609991.027531959</c:v>
                </c:pt>
                <c:pt idx="4">
                  <c:v>25713689.773844644</c:v>
                </c:pt>
                <c:pt idx="5">
                  <c:v>32376148.10717798</c:v>
                </c:pt>
                <c:pt idx="6">
                  <c:v>42050383.849557526</c:v>
                </c:pt>
                <c:pt idx="7">
                  <c:v>80928666.175024584</c:v>
                </c:pt>
                <c:pt idx="8">
                  <c:v>0</c:v>
                </c:pt>
              </c:numCache>
            </c:numRef>
          </c:val>
          <c:smooth val="0"/>
          <c:extLst>
            <c:ext xmlns:c16="http://schemas.microsoft.com/office/drawing/2014/chart" uri="{C3380CC4-5D6E-409C-BE32-E72D297353CC}">
              <c16:uniqueId val="{00000001-A503-4481-B046-69D7975862A7}"/>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'OZL Tables'!$DG$89:$DG$98</c:f>
              <c:numCache>
                <c:formatCode>General</c:formatCode>
                <c:ptCount val="10"/>
                <c:pt idx="0">
                  <c:v>3000000</c:v>
                </c:pt>
                <c:pt idx="1">
                  <c:v>8000000</c:v>
                </c:pt>
                <c:pt idx="2">
                  <c:v>12000000</c:v>
                </c:pt>
                <c:pt idx="3">
                  <c:v>20000000</c:v>
                </c:pt>
                <c:pt idx="4">
                  <c:v>30000000</c:v>
                </c:pt>
                <c:pt idx="5">
                  <c:v>40000000</c:v>
                </c:pt>
                <c:pt idx="6">
                  <c:v>50000000</c:v>
                </c:pt>
                <c:pt idx="7">
                  <c:v>80000000</c:v>
                </c:pt>
                <c:pt idx="8">
                  <c:v>100000000</c:v>
                </c:pt>
                <c:pt idx="9" formatCode="#,##0">
                  <c:v>150000000</c:v>
                </c:pt>
              </c:numCache>
            </c:numRef>
          </c:cat>
          <c:val>
            <c:numRef>
              <c:f>'OZL Tables'!$DI$89:$DI$98</c:f>
              <c:numCache>
                <c:formatCode>General</c:formatCode>
                <c:ptCount val="10"/>
                <c:pt idx="9" formatCode="#,##0">
                  <c:v>251811124.99999997</c:v>
                </c:pt>
              </c:numCache>
            </c:numRef>
          </c:val>
          <c:smooth val="0"/>
          <c:extLst>
            <c:ext xmlns:c16="http://schemas.microsoft.com/office/drawing/2014/chart" uri="{C3380CC4-5D6E-409C-BE32-E72D297353CC}">
              <c16:uniqueId val="{00000002-A503-4481-B046-69D7975862A7}"/>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1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'OZL Tables'!$DG$108:$DG$117</c:f>
              <c:numCache>
                <c:formatCode>General</c:formatCode>
                <c:ptCount val="10"/>
                <c:pt idx="0">
                  <c:v>3000000</c:v>
                </c:pt>
                <c:pt idx="1">
                  <c:v>8000000</c:v>
                </c:pt>
                <c:pt idx="2">
                  <c:v>12000000</c:v>
                </c:pt>
                <c:pt idx="3">
                  <c:v>20000000</c:v>
                </c:pt>
                <c:pt idx="4">
                  <c:v>40000000</c:v>
                </c:pt>
                <c:pt idx="5">
                  <c:v>60000000</c:v>
                </c:pt>
                <c:pt idx="6">
                  <c:v>80000000</c:v>
                </c:pt>
                <c:pt idx="7">
                  <c:v>100000000</c:v>
                </c:pt>
                <c:pt idx="8">
                  <c:v>150000000</c:v>
                </c:pt>
                <c:pt idx="9" formatCode="#,##0">
                  <c:v>200000000</c:v>
                </c:pt>
              </c:numCache>
            </c:numRef>
          </c:cat>
          <c:val>
            <c:numRef>
              <c:f>'OZL Tables'!$DH$108:$DH$117</c:f>
              <c:numCache>
                <c:formatCode>#,##0.0</c:formatCode>
                <c:ptCount val="10"/>
                <c:pt idx="0">
                  <c:v>0</c:v>
                </c:pt>
                <c:pt idx="1">
                  <c:v>0</c:v>
                </c:pt>
                <c:pt idx="2">
                  <c:v>0</c:v>
                </c:pt>
                <c:pt idx="3">
                  <c:v>21870114.798426747</c:v>
                </c:pt>
                <c:pt idx="4">
                  <c:v>34731075.34414947</c:v>
                </c:pt>
                <c:pt idx="5">
                  <c:v>0</c:v>
                </c:pt>
                <c:pt idx="6">
                  <c:v>0</c:v>
                </c:pt>
                <c:pt idx="7">
                  <c:v>0</c:v>
                </c:pt>
                <c:pt idx="8">
                  <c:v>0</c:v>
                </c:pt>
              </c:numCache>
            </c:numRef>
          </c:val>
          <c:smooth val="0"/>
          <c:extLst>
            <c:ext xmlns:c16="http://schemas.microsoft.com/office/drawing/2014/chart" uri="{C3380CC4-5D6E-409C-BE32-E72D297353CC}">
              <c16:uniqueId val="{00000001-70B9-4E1F-9CEC-32A4B4F9F8BA}"/>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'OZL Tables'!$DG$108:$DG$117</c:f>
              <c:numCache>
                <c:formatCode>General</c:formatCode>
                <c:ptCount val="10"/>
                <c:pt idx="0">
                  <c:v>3000000</c:v>
                </c:pt>
                <c:pt idx="1">
                  <c:v>8000000</c:v>
                </c:pt>
                <c:pt idx="2">
                  <c:v>12000000</c:v>
                </c:pt>
                <c:pt idx="3">
                  <c:v>20000000</c:v>
                </c:pt>
                <c:pt idx="4">
                  <c:v>40000000</c:v>
                </c:pt>
                <c:pt idx="5">
                  <c:v>60000000</c:v>
                </c:pt>
                <c:pt idx="6">
                  <c:v>80000000</c:v>
                </c:pt>
                <c:pt idx="7">
                  <c:v>100000000</c:v>
                </c:pt>
                <c:pt idx="8">
                  <c:v>150000000</c:v>
                </c:pt>
                <c:pt idx="9" formatCode="#,##0">
                  <c:v>200000000</c:v>
                </c:pt>
              </c:numCache>
            </c:numRef>
          </c:cat>
          <c:val>
            <c:numRef>
              <c:f>'OZL Tables'!$DI$108:$DI$117</c:f>
              <c:numCache>
                <c:formatCode>General</c:formatCode>
                <c:ptCount val="10"/>
                <c:pt idx="9" formatCode="#,##0">
                  <c:v>285756249.99999994</c:v>
                </c:pt>
              </c:numCache>
            </c:numRef>
          </c:val>
          <c:smooth val="0"/>
          <c:extLst>
            <c:ext xmlns:c16="http://schemas.microsoft.com/office/drawing/2014/chart" uri="{C3380CC4-5D6E-409C-BE32-E72D297353CC}">
              <c16:uniqueId val="{00000002-70B9-4E1F-9CEC-32A4B4F9F8BA}"/>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1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'OZL Tables'!$DG$127:$DG$136</c:f>
              <c:numCache>
                <c:formatCode>General</c:formatCode>
                <c:ptCount val="10"/>
                <c:pt idx="0">
                  <c:v>3000000</c:v>
                </c:pt>
                <c:pt idx="1">
                  <c:v>8000000</c:v>
                </c:pt>
                <c:pt idx="2">
                  <c:v>12000000</c:v>
                </c:pt>
                <c:pt idx="3">
                  <c:v>20000000</c:v>
                </c:pt>
                <c:pt idx="4">
                  <c:v>40000000</c:v>
                </c:pt>
                <c:pt idx="5">
                  <c:v>60000000</c:v>
                </c:pt>
                <c:pt idx="6">
                  <c:v>80000000</c:v>
                </c:pt>
                <c:pt idx="7" formatCode="#,##0">
                  <c:v>100000000</c:v>
                </c:pt>
                <c:pt idx="8" formatCode="#,##0">
                  <c:v>150000000</c:v>
                </c:pt>
                <c:pt idx="9" formatCode="#,##0">
                  <c:v>200000000</c:v>
                </c:pt>
              </c:numCache>
            </c:numRef>
          </c:cat>
          <c:val>
            <c:numRef>
              <c:f>'OZL Tables'!$DH$127:$DH$136</c:f>
              <c:numCache>
                <c:formatCode>#,##0.0</c:formatCode>
                <c:ptCount val="10"/>
                <c:pt idx="0">
                  <c:v>0</c:v>
                </c:pt>
                <c:pt idx="1">
                  <c:v>0</c:v>
                </c:pt>
                <c:pt idx="2">
                  <c:v>0</c:v>
                </c:pt>
                <c:pt idx="3">
                  <c:v>24465498.525073752</c:v>
                </c:pt>
                <c:pt idx="4">
                  <c:v>0</c:v>
                </c:pt>
                <c:pt idx="5">
                  <c:v>0</c:v>
                </c:pt>
                <c:pt idx="6">
                  <c:v>0</c:v>
                </c:pt>
              </c:numCache>
            </c:numRef>
          </c:val>
          <c:smooth val="0"/>
          <c:extLst>
            <c:ext xmlns:c16="http://schemas.microsoft.com/office/drawing/2014/chart" uri="{C3380CC4-5D6E-409C-BE32-E72D297353CC}">
              <c16:uniqueId val="{00000001-786D-422C-83C5-90F7F9F7D7DA}"/>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'OZL Tables'!$DG$127:$DG$136</c:f>
              <c:numCache>
                <c:formatCode>General</c:formatCode>
                <c:ptCount val="10"/>
                <c:pt idx="0">
                  <c:v>3000000</c:v>
                </c:pt>
                <c:pt idx="1">
                  <c:v>8000000</c:v>
                </c:pt>
                <c:pt idx="2">
                  <c:v>12000000</c:v>
                </c:pt>
                <c:pt idx="3">
                  <c:v>20000000</c:v>
                </c:pt>
                <c:pt idx="4">
                  <c:v>40000000</c:v>
                </c:pt>
                <c:pt idx="5">
                  <c:v>60000000</c:v>
                </c:pt>
                <c:pt idx="6">
                  <c:v>80000000</c:v>
                </c:pt>
                <c:pt idx="7" formatCode="#,##0">
                  <c:v>100000000</c:v>
                </c:pt>
                <c:pt idx="8" formatCode="#,##0">
                  <c:v>150000000</c:v>
                </c:pt>
                <c:pt idx="9" formatCode="#,##0">
                  <c:v>200000000</c:v>
                </c:pt>
              </c:numCache>
            </c:numRef>
          </c:cat>
          <c:val>
            <c:numRef>
              <c:f>'OZL Tables'!$DI$127:$DI$136</c:f>
              <c:numCache>
                <c:formatCode>General</c:formatCode>
                <c:ptCount val="10"/>
                <c:pt idx="7" formatCode="#,##0">
                  <c:v>149293749.99999997</c:v>
                </c:pt>
                <c:pt idx="8" formatCode="#,##0">
                  <c:v>217524999.99999997</c:v>
                </c:pt>
                <c:pt idx="9" formatCode="#,##0">
                  <c:v>285756249.99999994</c:v>
                </c:pt>
              </c:numCache>
            </c:numRef>
          </c:val>
          <c:smooth val="0"/>
          <c:extLst>
            <c:ext xmlns:c16="http://schemas.microsoft.com/office/drawing/2014/chart" uri="{C3380CC4-5D6E-409C-BE32-E72D297353CC}">
              <c16:uniqueId val="{00000002-786D-422C-83C5-90F7F9F7D7DA}"/>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1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'OZL Tables'!$DG$146:$DG$155</c:f>
              <c:numCache>
                <c:formatCode>General</c:formatCode>
                <c:ptCount val="10"/>
                <c:pt idx="0">
                  <c:v>3000000</c:v>
                </c:pt>
                <c:pt idx="1">
                  <c:v>8000000</c:v>
                </c:pt>
                <c:pt idx="2">
                  <c:v>20000000</c:v>
                </c:pt>
                <c:pt idx="3">
                  <c:v>40000000</c:v>
                </c:pt>
                <c:pt idx="4">
                  <c:v>60000000</c:v>
                </c:pt>
                <c:pt idx="5" formatCode="#,##0">
                  <c:v>80000000</c:v>
                </c:pt>
                <c:pt idx="6" formatCode="#,##0">
                  <c:v>100000000</c:v>
                </c:pt>
                <c:pt idx="7" formatCode="#,##0">
                  <c:v>120000000</c:v>
                </c:pt>
                <c:pt idx="8" formatCode="#,##0">
                  <c:v>160000000</c:v>
                </c:pt>
                <c:pt idx="9" formatCode="#,##0">
                  <c:v>200000000</c:v>
                </c:pt>
              </c:numCache>
            </c:numRef>
          </c:cat>
          <c:val>
            <c:numRef>
              <c:f>'OZL Tables'!$DH$146:$DH$155</c:f>
              <c:numCache>
                <c:formatCode>#,##0.0</c:formatCode>
                <c:ptCount val="10"/>
                <c:pt idx="0">
                  <c:v>0</c:v>
                </c:pt>
                <c:pt idx="1">
                  <c:v>0</c:v>
                </c:pt>
                <c:pt idx="2">
                  <c:v>24641486.356932156</c:v>
                </c:pt>
                <c:pt idx="3">
                  <c:v>0</c:v>
                </c:pt>
                <c:pt idx="4">
                  <c:v>0</c:v>
                </c:pt>
              </c:numCache>
            </c:numRef>
          </c:val>
          <c:smooth val="0"/>
          <c:extLst>
            <c:ext xmlns:c16="http://schemas.microsoft.com/office/drawing/2014/chart" uri="{C3380CC4-5D6E-409C-BE32-E72D297353CC}">
              <c16:uniqueId val="{00000001-43A5-44F1-BA68-3ABFEA8DA94C}"/>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'OZL Tables'!$DG$146:$DG$155</c:f>
              <c:numCache>
                <c:formatCode>General</c:formatCode>
                <c:ptCount val="10"/>
                <c:pt idx="0">
                  <c:v>3000000</c:v>
                </c:pt>
                <c:pt idx="1">
                  <c:v>8000000</c:v>
                </c:pt>
                <c:pt idx="2">
                  <c:v>20000000</c:v>
                </c:pt>
                <c:pt idx="3">
                  <c:v>40000000</c:v>
                </c:pt>
                <c:pt idx="4">
                  <c:v>60000000</c:v>
                </c:pt>
                <c:pt idx="5" formatCode="#,##0">
                  <c:v>80000000</c:v>
                </c:pt>
                <c:pt idx="6" formatCode="#,##0">
                  <c:v>100000000</c:v>
                </c:pt>
                <c:pt idx="7" formatCode="#,##0">
                  <c:v>120000000</c:v>
                </c:pt>
                <c:pt idx="8" formatCode="#,##0">
                  <c:v>160000000</c:v>
                </c:pt>
                <c:pt idx="9" formatCode="#,##0">
                  <c:v>200000000</c:v>
                </c:pt>
              </c:numCache>
            </c:numRef>
          </c:cat>
          <c:val>
            <c:numRef>
              <c:f>'OZL Tables'!$DI$146:$DI$155</c:f>
              <c:numCache>
                <c:formatCode>General</c:formatCode>
                <c:ptCount val="10"/>
                <c:pt idx="5" formatCode="#,##0">
                  <c:v>107121000</c:v>
                </c:pt>
                <c:pt idx="6" formatCode="#,##0">
                  <c:v>162448750</c:v>
                </c:pt>
                <c:pt idx="7" formatCode="#,##0">
                  <c:v>190996250</c:v>
                </c:pt>
                <c:pt idx="8" formatCode="#,##0">
                  <c:v>248091249.99999997</c:v>
                </c:pt>
                <c:pt idx="9" formatCode="#,##0">
                  <c:v>305186250</c:v>
                </c:pt>
              </c:numCache>
            </c:numRef>
          </c:val>
          <c:smooth val="0"/>
          <c:extLst>
            <c:ext xmlns:c16="http://schemas.microsoft.com/office/drawing/2014/chart" uri="{C3380CC4-5D6E-409C-BE32-E72D297353CC}">
              <c16:uniqueId val="{00000002-43A5-44F1-BA68-3ABFEA8DA94C}"/>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1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'OZL Tables'!$DG$165:$DG$174</c:f>
              <c:numCache>
                <c:formatCode>General</c:formatCode>
                <c:ptCount val="10"/>
                <c:pt idx="0">
                  <c:v>3000000</c:v>
                </c:pt>
                <c:pt idx="1">
                  <c:v>8000000</c:v>
                </c:pt>
                <c:pt idx="2">
                  <c:v>20000000</c:v>
                </c:pt>
                <c:pt idx="3">
                  <c:v>30000000</c:v>
                </c:pt>
                <c:pt idx="4">
                  <c:v>50000000</c:v>
                </c:pt>
                <c:pt idx="5">
                  <c:v>80000000</c:v>
                </c:pt>
                <c:pt idx="6" formatCode="#,##0">
                  <c:v>100000000</c:v>
                </c:pt>
                <c:pt idx="7" formatCode="#,##0">
                  <c:v>120000000</c:v>
                </c:pt>
                <c:pt idx="8" formatCode="#,##0">
                  <c:v>160000000</c:v>
                </c:pt>
                <c:pt idx="9" formatCode="#,##0">
                  <c:v>200000000</c:v>
                </c:pt>
              </c:numCache>
            </c:numRef>
          </c:cat>
          <c:val>
            <c:numRef>
              <c:f>'OZL Tables'!$DH$165:$DH$174</c:f>
              <c:numCache>
                <c:formatCode>#,##0.0</c:formatCode>
                <c:ptCount val="10"/>
                <c:pt idx="0">
                  <c:v>0</c:v>
                </c:pt>
                <c:pt idx="1">
                  <c:v>0</c:v>
                </c:pt>
                <c:pt idx="2">
                  <c:v>25388643.928220261</c:v>
                </c:pt>
                <c:pt idx="3">
                  <c:v>32679496.312684372</c:v>
                </c:pt>
                <c:pt idx="4">
                  <c:v>0</c:v>
                </c:pt>
                <c:pt idx="5">
                  <c:v>0</c:v>
                </c:pt>
              </c:numCache>
            </c:numRef>
          </c:val>
          <c:smooth val="0"/>
          <c:extLst>
            <c:ext xmlns:c16="http://schemas.microsoft.com/office/drawing/2014/chart" uri="{C3380CC4-5D6E-409C-BE32-E72D297353CC}">
              <c16:uniqueId val="{00000001-9479-43F3-90DB-D8B682F3905C}"/>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'OZL Tables'!$DG$165:$DG$174</c:f>
              <c:numCache>
                <c:formatCode>General</c:formatCode>
                <c:ptCount val="10"/>
                <c:pt idx="0">
                  <c:v>3000000</c:v>
                </c:pt>
                <c:pt idx="1">
                  <c:v>8000000</c:v>
                </c:pt>
                <c:pt idx="2">
                  <c:v>20000000</c:v>
                </c:pt>
                <c:pt idx="3">
                  <c:v>30000000</c:v>
                </c:pt>
                <c:pt idx="4">
                  <c:v>50000000</c:v>
                </c:pt>
                <c:pt idx="5">
                  <c:v>80000000</c:v>
                </c:pt>
                <c:pt idx="6" formatCode="#,##0">
                  <c:v>100000000</c:v>
                </c:pt>
                <c:pt idx="7" formatCode="#,##0">
                  <c:v>120000000</c:v>
                </c:pt>
                <c:pt idx="8" formatCode="#,##0">
                  <c:v>160000000</c:v>
                </c:pt>
                <c:pt idx="9" formatCode="#,##0">
                  <c:v>200000000</c:v>
                </c:pt>
              </c:numCache>
            </c:numRef>
          </c:cat>
          <c:val>
            <c:numRef>
              <c:f>'OZL Tables'!$DI$165:$DI$174</c:f>
              <c:numCache>
                <c:formatCode>General</c:formatCode>
                <c:ptCount val="10"/>
                <c:pt idx="6" formatCode="#,##0">
                  <c:v>162448750</c:v>
                </c:pt>
                <c:pt idx="7" formatCode="#,##0">
                  <c:v>190996250</c:v>
                </c:pt>
                <c:pt idx="8" formatCode="#,##0">
                  <c:v>248091249.99999997</c:v>
                </c:pt>
                <c:pt idx="9" formatCode="#,##0">
                  <c:v>305186250</c:v>
                </c:pt>
              </c:numCache>
            </c:numRef>
          </c:val>
          <c:smooth val="0"/>
          <c:extLst>
            <c:ext xmlns:c16="http://schemas.microsoft.com/office/drawing/2014/chart" uri="{C3380CC4-5D6E-409C-BE32-E72D297353CC}">
              <c16:uniqueId val="{00000002-9479-43F3-90DB-D8B682F3905C}"/>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1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'OZL Tables'!$DG$184:$DG$193</c:f>
              <c:numCache>
                <c:formatCode>General</c:formatCode>
                <c:ptCount val="10"/>
                <c:pt idx="0">
                  <c:v>3000000</c:v>
                </c:pt>
                <c:pt idx="1">
                  <c:v>8000000</c:v>
                </c:pt>
                <c:pt idx="2">
                  <c:v>20000000</c:v>
                </c:pt>
                <c:pt idx="3">
                  <c:v>40000000</c:v>
                </c:pt>
                <c:pt idx="4">
                  <c:v>60000000</c:v>
                </c:pt>
                <c:pt idx="5">
                  <c:v>80000000</c:v>
                </c:pt>
                <c:pt idx="6" formatCode="#,##0">
                  <c:v>120000000</c:v>
                </c:pt>
                <c:pt idx="7" formatCode="#,##0">
                  <c:v>160000000</c:v>
                </c:pt>
                <c:pt idx="8" formatCode="#,##0">
                  <c:v>200000000</c:v>
                </c:pt>
                <c:pt idx="9" formatCode="#,##0">
                  <c:v>250000000</c:v>
                </c:pt>
              </c:numCache>
            </c:numRef>
          </c:cat>
          <c:val>
            <c:numRef>
              <c:f>'OZL Tables'!$DH$184:$DH$193</c:f>
              <c:numCache>
                <c:formatCode>#,##0.0</c:formatCode>
                <c:ptCount val="10"/>
                <c:pt idx="0">
                  <c:v>0</c:v>
                </c:pt>
                <c:pt idx="1">
                  <c:v>0</c:v>
                </c:pt>
                <c:pt idx="2">
                  <c:v>23426704.492379554</c:v>
                </c:pt>
                <c:pt idx="3">
                  <c:v>0</c:v>
                </c:pt>
                <c:pt idx="4">
                  <c:v>0</c:v>
                </c:pt>
                <c:pt idx="5">
                  <c:v>0</c:v>
                </c:pt>
              </c:numCache>
            </c:numRef>
          </c:val>
          <c:smooth val="0"/>
          <c:extLst>
            <c:ext xmlns:c16="http://schemas.microsoft.com/office/drawing/2014/chart" uri="{C3380CC4-5D6E-409C-BE32-E72D297353CC}">
              <c16:uniqueId val="{00000001-EF38-42E9-A143-A3CACD4B1FF2}"/>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'OZL Tables'!$DG$184:$DG$193</c:f>
              <c:numCache>
                <c:formatCode>General</c:formatCode>
                <c:ptCount val="10"/>
                <c:pt idx="0">
                  <c:v>3000000</c:v>
                </c:pt>
                <c:pt idx="1">
                  <c:v>8000000</c:v>
                </c:pt>
                <c:pt idx="2">
                  <c:v>20000000</c:v>
                </c:pt>
                <c:pt idx="3">
                  <c:v>40000000</c:v>
                </c:pt>
                <c:pt idx="4">
                  <c:v>60000000</c:v>
                </c:pt>
                <c:pt idx="5">
                  <c:v>80000000</c:v>
                </c:pt>
                <c:pt idx="6" formatCode="#,##0">
                  <c:v>120000000</c:v>
                </c:pt>
                <c:pt idx="7" formatCode="#,##0">
                  <c:v>160000000</c:v>
                </c:pt>
                <c:pt idx="8" formatCode="#,##0">
                  <c:v>200000000</c:v>
                </c:pt>
                <c:pt idx="9" formatCode="#,##0">
                  <c:v>250000000</c:v>
                </c:pt>
              </c:numCache>
            </c:numRef>
          </c:cat>
          <c:val>
            <c:numRef>
              <c:f>'OZL Tables'!$DI$184:$DI$193</c:f>
              <c:numCache>
                <c:formatCode>General</c:formatCode>
                <c:ptCount val="10"/>
                <c:pt idx="6" formatCode="#,##0">
                  <c:v>222247500</c:v>
                </c:pt>
                <c:pt idx="7" formatCode="#,##0">
                  <c:v>291387500</c:v>
                </c:pt>
                <c:pt idx="8" formatCode="#,##0">
                  <c:v>360527500</c:v>
                </c:pt>
                <c:pt idx="9" formatCode="#,##0">
                  <c:v>446952500</c:v>
                </c:pt>
              </c:numCache>
            </c:numRef>
          </c:val>
          <c:smooth val="0"/>
          <c:extLst>
            <c:ext xmlns:c16="http://schemas.microsoft.com/office/drawing/2014/chart" uri="{C3380CC4-5D6E-409C-BE32-E72D297353CC}">
              <c16:uniqueId val="{00000002-EF38-42E9-A143-A3CACD4B1FF2}"/>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1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'OZL Tables'!$DG$203:$DG$212</c:f>
              <c:numCache>
                <c:formatCode>General</c:formatCode>
                <c:ptCount val="10"/>
                <c:pt idx="0">
                  <c:v>3000000</c:v>
                </c:pt>
                <c:pt idx="1">
                  <c:v>8000000</c:v>
                </c:pt>
                <c:pt idx="2">
                  <c:v>20000000</c:v>
                </c:pt>
                <c:pt idx="3">
                  <c:v>40000000</c:v>
                </c:pt>
                <c:pt idx="4">
                  <c:v>60000000</c:v>
                </c:pt>
                <c:pt idx="5">
                  <c:v>80000000</c:v>
                </c:pt>
                <c:pt idx="6">
                  <c:v>120000000</c:v>
                </c:pt>
                <c:pt idx="7" formatCode="#,##0">
                  <c:v>160000000</c:v>
                </c:pt>
                <c:pt idx="8" formatCode="#,##0">
                  <c:v>200000000</c:v>
                </c:pt>
                <c:pt idx="9" formatCode="#,##0">
                  <c:v>250000000</c:v>
                </c:pt>
              </c:numCache>
            </c:numRef>
          </c:cat>
          <c:val>
            <c:numRef>
              <c:f>'OZL Tables'!$DH$203:$DH$212</c:f>
              <c:numCache>
                <c:formatCode>#,##0.0</c:formatCode>
                <c:ptCount val="10"/>
                <c:pt idx="0">
                  <c:v>8724753.8574994337</c:v>
                </c:pt>
                <c:pt idx="1">
                  <c:v>0</c:v>
                </c:pt>
                <c:pt idx="2">
                  <c:v>20882495.193883467</c:v>
                </c:pt>
                <c:pt idx="3">
                  <c:v>0</c:v>
                </c:pt>
                <c:pt idx="4">
                  <c:v>0</c:v>
                </c:pt>
                <c:pt idx="5">
                  <c:v>0</c:v>
                </c:pt>
                <c:pt idx="6">
                  <c:v>0</c:v>
                </c:pt>
              </c:numCache>
            </c:numRef>
          </c:val>
          <c:smooth val="0"/>
          <c:extLst>
            <c:ext xmlns:c16="http://schemas.microsoft.com/office/drawing/2014/chart" uri="{C3380CC4-5D6E-409C-BE32-E72D297353CC}">
              <c16:uniqueId val="{00000001-0C21-4F91-B20A-4F528327FB40}"/>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'OZL Tables'!$DG$203:$DG$212</c:f>
              <c:numCache>
                <c:formatCode>General</c:formatCode>
                <c:ptCount val="10"/>
                <c:pt idx="0">
                  <c:v>3000000</c:v>
                </c:pt>
                <c:pt idx="1">
                  <c:v>8000000</c:v>
                </c:pt>
                <c:pt idx="2">
                  <c:v>20000000</c:v>
                </c:pt>
                <c:pt idx="3">
                  <c:v>40000000</c:v>
                </c:pt>
                <c:pt idx="4">
                  <c:v>60000000</c:v>
                </c:pt>
                <c:pt idx="5">
                  <c:v>80000000</c:v>
                </c:pt>
                <c:pt idx="6">
                  <c:v>120000000</c:v>
                </c:pt>
                <c:pt idx="7" formatCode="#,##0">
                  <c:v>160000000</c:v>
                </c:pt>
                <c:pt idx="8" formatCode="#,##0">
                  <c:v>200000000</c:v>
                </c:pt>
                <c:pt idx="9" formatCode="#,##0">
                  <c:v>250000000</c:v>
                </c:pt>
              </c:numCache>
            </c:numRef>
          </c:cat>
          <c:val>
            <c:numRef>
              <c:f>'OZL Tables'!$DI$203:$DI$212</c:f>
              <c:numCache>
                <c:formatCode>General</c:formatCode>
                <c:ptCount val="10"/>
                <c:pt idx="7" formatCode="#,##0">
                  <c:v>291387500</c:v>
                </c:pt>
                <c:pt idx="8" formatCode="#,##0">
                  <c:v>360527500</c:v>
                </c:pt>
                <c:pt idx="9" formatCode="#,##0">
                  <c:v>446952500</c:v>
                </c:pt>
              </c:numCache>
            </c:numRef>
          </c:val>
          <c:smooth val="0"/>
          <c:extLst>
            <c:ext xmlns:c16="http://schemas.microsoft.com/office/drawing/2014/chart" uri="{C3380CC4-5D6E-409C-BE32-E72D297353CC}">
              <c16:uniqueId val="{00000002-0C21-4F91-B20A-4F528327FB40}"/>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1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'OZL Tables'!$DG$222:$DG$231</c:f>
              <c:numCache>
                <c:formatCode>General</c:formatCode>
                <c:ptCount val="10"/>
                <c:pt idx="0">
                  <c:v>4000000</c:v>
                </c:pt>
                <c:pt idx="1">
                  <c:v>8000000</c:v>
                </c:pt>
                <c:pt idx="2">
                  <c:v>20000000</c:v>
                </c:pt>
                <c:pt idx="3">
                  <c:v>40000000</c:v>
                </c:pt>
                <c:pt idx="4">
                  <c:v>60000000</c:v>
                </c:pt>
                <c:pt idx="5">
                  <c:v>80000000</c:v>
                </c:pt>
                <c:pt idx="6">
                  <c:v>120000000</c:v>
                </c:pt>
                <c:pt idx="7" formatCode="#,##0">
                  <c:v>160000000</c:v>
                </c:pt>
                <c:pt idx="8" formatCode="#,##0">
                  <c:v>200000000</c:v>
                </c:pt>
                <c:pt idx="9" formatCode="#,##0">
                  <c:v>250000000</c:v>
                </c:pt>
              </c:numCache>
            </c:numRef>
          </c:cat>
          <c:val>
            <c:numRef>
              <c:f>'OZL Tables'!$DH$222:$DH$231</c:f>
              <c:numCache>
                <c:formatCode>#,##0.0</c:formatCode>
                <c:ptCount val="10"/>
                <c:pt idx="0">
                  <c:v>0</c:v>
                </c:pt>
                <c:pt idx="1">
                  <c:v>0</c:v>
                </c:pt>
                <c:pt idx="2">
                  <c:v>20882495.193883467</c:v>
                </c:pt>
                <c:pt idx="3">
                  <c:v>0</c:v>
                </c:pt>
                <c:pt idx="4">
                  <c:v>0</c:v>
                </c:pt>
                <c:pt idx="5">
                  <c:v>0</c:v>
                </c:pt>
                <c:pt idx="6">
                  <c:v>0</c:v>
                </c:pt>
              </c:numCache>
            </c:numRef>
          </c:val>
          <c:smooth val="0"/>
          <c:extLst>
            <c:ext xmlns:c16="http://schemas.microsoft.com/office/drawing/2014/chart" uri="{C3380CC4-5D6E-409C-BE32-E72D297353CC}">
              <c16:uniqueId val="{00000001-554B-4B47-8C4E-49EA8F513501}"/>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'OZL Tables'!$DG$222:$DG$231</c:f>
              <c:numCache>
                <c:formatCode>General</c:formatCode>
                <c:ptCount val="10"/>
                <c:pt idx="0">
                  <c:v>4000000</c:v>
                </c:pt>
                <c:pt idx="1">
                  <c:v>8000000</c:v>
                </c:pt>
                <c:pt idx="2">
                  <c:v>20000000</c:v>
                </c:pt>
                <c:pt idx="3">
                  <c:v>40000000</c:v>
                </c:pt>
                <c:pt idx="4">
                  <c:v>60000000</c:v>
                </c:pt>
                <c:pt idx="5">
                  <c:v>80000000</c:v>
                </c:pt>
                <c:pt idx="6">
                  <c:v>120000000</c:v>
                </c:pt>
                <c:pt idx="7" formatCode="#,##0">
                  <c:v>160000000</c:v>
                </c:pt>
                <c:pt idx="8" formatCode="#,##0">
                  <c:v>200000000</c:v>
                </c:pt>
                <c:pt idx="9" formatCode="#,##0">
                  <c:v>250000000</c:v>
                </c:pt>
              </c:numCache>
            </c:numRef>
          </c:cat>
          <c:val>
            <c:numRef>
              <c:f>'OZL Tables'!$DI$222:$DI$231</c:f>
              <c:numCache>
                <c:formatCode>General</c:formatCode>
                <c:ptCount val="10"/>
                <c:pt idx="7" formatCode="#,##0">
                  <c:v>291387500</c:v>
                </c:pt>
                <c:pt idx="8" formatCode="#,##0">
                  <c:v>360527500</c:v>
                </c:pt>
                <c:pt idx="9" formatCode="#,##0">
                  <c:v>446952500</c:v>
                </c:pt>
              </c:numCache>
            </c:numRef>
          </c:val>
          <c:smooth val="0"/>
          <c:extLst>
            <c:ext xmlns:c16="http://schemas.microsoft.com/office/drawing/2014/chart" uri="{C3380CC4-5D6E-409C-BE32-E72D297353CC}">
              <c16:uniqueId val="{00000002-554B-4B47-8C4E-49EA8F513501}"/>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1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'OZL Tables'!$DZ$13:$DZ$22</c:f>
              <c:numCache>
                <c:formatCode>General</c:formatCode>
                <c:ptCount val="10"/>
                <c:pt idx="0">
                  <c:v>3000000</c:v>
                </c:pt>
                <c:pt idx="1">
                  <c:v>6000000</c:v>
                </c:pt>
                <c:pt idx="2">
                  <c:v>10000000</c:v>
                </c:pt>
                <c:pt idx="3">
                  <c:v>15000000</c:v>
                </c:pt>
                <c:pt idx="4">
                  <c:v>30000000</c:v>
                </c:pt>
                <c:pt idx="5">
                  <c:v>50000000</c:v>
                </c:pt>
                <c:pt idx="6" formatCode="#,##0">
                  <c:v>70000000</c:v>
                </c:pt>
                <c:pt idx="7" formatCode="#,##0">
                  <c:v>100000000</c:v>
                </c:pt>
                <c:pt idx="8" formatCode="#,##0">
                  <c:v>120000000</c:v>
                </c:pt>
                <c:pt idx="9" formatCode="#,##0">
                  <c:v>150000000</c:v>
                </c:pt>
              </c:numCache>
            </c:numRef>
          </c:cat>
          <c:val>
            <c:numRef>
              <c:f>'OZL Tables'!$EA$13:$EA$22</c:f>
              <c:numCache>
                <c:formatCode>#,##0.0</c:formatCode>
                <c:ptCount val="10"/>
                <c:pt idx="0">
                  <c:v>0</c:v>
                </c:pt>
                <c:pt idx="1">
                  <c:v>0</c:v>
                </c:pt>
                <c:pt idx="2">
                  <c:v>14721024.651720747</c:v>
                </c:pt>
                <c:pt idx="3">
                  <c:v>18068154.627335303</c:v>
                </c:pt>
                <c:pt idx="4">
                  <c:v>29589320.605703045</c:v>
                </c:pt>
                <c:pt idx="5">
                  <c:v>59494776</c:v>
                </c:pt>
              </c:numCache>
            </c:numRef>
          </c:val>
          <c:smooth val="0"/>
          <c:extLst>
            <c:ext xmlns:c16="http://schemas.microsoft.com/office/drawing/2014/chart" uri="{C3380CC4-5D6E-409C-BE32-E72D297353CC}">
              <c16:uniqueId val="{00000001-70E3-461F-A833-6129953BEB8B}"/>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'OZL Tables'!$DZ$13:$DZ$22</c:f>
              <c:numCache>
                <c:formatCode>General</c:formatCode>
                <c:ptCount val="10"/>
                <c:pt idx="0">
                  <c:v>3000000</c:v>
                </c:pt>
                <c:pt idx="1">
                  <c:v>6000000</c:v>
                </c:pt>
                <c:pt idx="2">
                  <c:v>10000000</c:v>
                </c:pt>
                <c:pt idx="3">
                  <c:v>15000000</c:v>
                </c:pt>
                <c:pt idx="4">
                  <c:v>30000000</c:v>
                </c:pt>
                <c:pt idx="5">
                  <c:v>50000000</c:v>
                </c:pt>
                <c:pt idx="6" formatCode="#,##0">
                  <c:v>70000000</c:v>
                </c:pt>
                <c:pt idx="7" formatCode="#,##0">
                  <c:v>100000000</c:v>
                </c:pt>
                <c:pt idx="8" formatCode="#,##0">
                  <c:v>120000000</c:v>
                </c:pt>
                <c:pt idx="9" formatCode="#,##0">
                  <c:v>150000000</c:v>
                </c:pt>
              </c:numCache>
            </c:numRef>
          </c:cat>
          <c:val>
            <c:numRef>
              <c:f>'OZL Tables'!$EB$13:$EB$22</c:f>
              <c:numCache>
                <c:formatCode>General</c:formatCode>
                <c:ptCount val="10"/>
                <c:pt idx="6" formatCode="#,##0">
                  <c:v>90484999.999999985</c:v>
                </c:pt>
                <c:pt idx="7" formatCode="#,##0">
                  <c:v>168652800</c:v>
                </c:pt>
                <c:pt idx="8" formatCode="#,##0">
                  <c:v>199651500</c:v>
                </c:pt>
                <c:pt idx="9" formatCode="#,##0">
                  <c:v>246149549.99999997</c:v>
                </c:pt>
              </c:numCache>
            </c:numRef>
          </c:val>
          <c:smooth val="0"/>
          <c:extLst>
            <c:ext xmlns:c16="http://schemas.microsoft.com/office/drawing/2014/chart" uri="{C3380CC4-5D6E-409C-BE32-E72D297353CC}">
              <c16:uniqueId val="{00000002-70E3-461F-A833-6129953BEB8B}"/>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1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'OZL Tables'!$DZ$32:$DZ$41</c:f>
              <c:numCache>
                <c:formatCode>General</c:formatCode>
                <c:ptCount val="10"/>
                <c:pt idx="0">
                  <c:v>3000000</c:v>
                </c:pt>
                <c:pt idx="1">
                  <c:v>6000000</c:v>
                </c:pt>
                <c:pt idx="2">
                  <c:v>10000000</c:v>
                </c:pt>
                <c:pt idx="3">
                  <c:v>15000000</c:v>
                </c:pt>
                <c:pt idx="4">
                  <c:v>25000000</c:v>
                </c:pt>
                <c:pt idx="5">
                  <c:v>35000000</c:v>
                </c:pt>
                <c:pt idx="6">
                  <c:v>55000000</c:v>
                </c:pt>
                <c:pt idx="7" formatCode="#,##0">
                  <c:v>80000000</c:v>
                </c:pt>
                <c:pt idx="8" formatCode="#,##0">
                  <c:v>100000000</c:v>
                </c:pt>
                <c:pt idx="9" formatCode="#,##0">
                  <c:v>150000000</c:v>
                </c:pt>
              </c:numCache>
            </c:numRef>
          </c:cat>
          <c:val>
            <c:numRef>
              <c:f>'OZL Tables'!$EA$32:$EA$41</c:f>
              <c:numCache>
                <c:formatCode>#,##0.0</c:formatCode>
                <c:ptCount val="10"/>
                <c:pt idx="0">
                  <c:v>0</c:v>
                </c:pt>
                <c:pt idx="1">
                  <c:v>0</c:v>
                </c:pt>
                <c:pt idx="2">
                  <c:v>14721024.651720747</c:v>
                </c:pt>
                <c:pt idx="3">
                  <c:v>18068154.627335303</c:v>
                </c:pt>
                <c:pt idx="4">
                  <c:v>0</c:v>
                </c:pt>
                <c:pt idx="5">
                  <c:v>0</c:v>
                </c:pt>
                <c:pt idx="6">
                  <c:v>0</c:v>
                </c:pt>
              </c:numCache>
            </c:numRef>
          </c:val>
          <c:smooth val="0"/>
          <c:extLst>
            <c:ext xmlns:c16="http://schemas.microsoft.com/office/drawing/2014/chart" uri="{C3380CC4-5D6E-409C-BE32-E72D297353CC}">
              <c16:uniqueId val="{00000001-8D65-4A60-AB62-F7990959E30C}"/>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'OZL Tables'!$DZ$32:$DZ$41</c:f>
              <c:numCache>
                <c:formatCode>General</c:formatCode>
                <c:ptCount val="10"/>
                <c:pt idx="0">
                  <c:v>3000000</c:v>
                </c:pt>
                <c:pt idx="1">
                  <c:v>6000000</c:v>
                </c:pt>
                <c:pt idx="2">
                  <c:v>10000000</c:v>
                </c:pt>
                <c:pt idx="3">
                  <c:v>15000000</c:v>
                </c:pt>
                <c:pt idx="4">
                  <c:v>25000000</c:v>
                </c:pt>
                <c:pt idx="5">
                  <c:v>35000000</c:v>
                </c:pt>
                <c:pt idx="6">
                  <c:v>55000000</c:v>
                </c:pt>
                <c:pt idx="7" formatCode="#,##0">
                  <c:v>80000000</c:v>
                </c:pt>
                <c:pt idx="8" formatCode="#,##0">
                  <c:v>100000000</c:v>
                </c:pt>
                <c:pt idx="9" formatCode="#,##0">
                  <c:v>150000000</c:v>
                </c:pt>
              </c:numCache>
            </c:numRef>
          </c:cat>
          <c:val>
            <c:numRef>
              <c:f>'OZL Tables'!$EB$32:$EB$41</c:f>
              <c:numCache>
                <c:formatCode>General</c:formatCode>
                <c:ptCount val="10"/>
                <c:pt idx="7" formatCode="#,##0">
                  <c:v>101965999.99999999</c:v>
                </c:pt>
                <c:pt idx="8" formatCode="#,##0">
                  <c:v>168652800</c:v>
                </c:pt>
                <c:pt idx="9" formatCode="#,##0">
                  <c:v>246149549.99999997</c:v>
                </c:pt>
              </c:numCache>
            </c:numRef>
          </c:val>
          <c:smooth val="0"/>
          <c:extLst>
            <c:ext xmlns:c16="http://schemas.microsoft.com/office/drawing/2014/chart" uri="{C3380CC4-5D6E-409C-BE32-E72D297353CC}">
              <c16:uniqueId val="{00000002-8D65-4A60-AB62-F7990959E30C}"/>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1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'OZL Tables'!$DZ$51:$DZ$60</c:f>
              <c:numCache>
                <c:formatCode>General</c:formatCode>
                <c:ptCount val="10"/>
                <c:pt idx="0">
                  <c:v>3000000</c:v>
                </c:pt>
                <c:pt idx="1">
                  <c:v>8000000</c:v>
                </c:pt>
                <c:pt idx="2">
                  <c:v>12000000</c:v>
                </c:pt>
                <c:pt idx="3">
                  <c:v>20000000</c:v>
                </c:pt>
                <c:pt idx="4">
                  <c:v>30000000</c:v>
                </c:pt>
                <c:pt idx="5">
                  <c:v>40000000</c:v>
                </c:pt>
                <c:pt idx="6">
                  <c:v>50000000</c:v>
                </c:pt>
                <c:pt idx="7">
                  <c:v>80000000</c:v>
                </c:pt>
                <c:pt idx="8">
                  <c:v>100000000</c:v>
                </c:pt>
                <c:pt idx="9" formatCode="#,##0">
                  <c:v>150000000</c:v>
                </c:pt>
              </c:numCache>
            </c:numRef>
          </c:cat>
          <c:val>
            <c:numRef>
              <c:f>'OZL Tables'!$EA$51:$EA$60</c:f>
              <c:numCache>
                <c:formatCode>#,##0.0</c:formatCode>
                <c:ptCount val="10"/>
                <c:pt idx="0">
                  <c:v>0</c:v>
                </c:pt>
                <c:pt idx="1">
                  <c:v>0</c:v>
                </c:pt>
                <c:pt idx="2">
                  <c:v>0</c:v>
                </c:pt>
                <c:pt idx="3">
                  <c:v>23609991.027531959</c:v>
                </c:pt>
                <c:pt idx="4">
                  <c:v>25768685.553916752</c:v>
                </c:pt>
                <c:pt idx="5">
                  <c:v>31358838.495575227</c:v>
                </c:pt>
                <c:pt idx="6">
                  <c:v>41376560.41052115</c:v>
                </c:pt>
                <c:pt idx="7">
                  <c:v>0</c:v>
                </c:pt>
                <c:pt idx="8">
                  <c:v>0</c:v>
                </c:pt>
              </c:numCache>
            </c:numRef>
          </c:val>
          <c:smooth val="0"/>
          <c:extLst>
            <c:ext xmlns:c16="http://schemas.microsoft.com/office/drawing/2014/chart" uri="{C3380CC4-5D6E-409C-BE32-E72D297353CC}">
              <c16:uniqueId val="{00000001-A1A2-4942-A3FE-687BBFFD4B71}"/>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'OZL Tables'!$DZ$51:$DZ$60</c:f>
              <c:numCache>
                <c:formatCode>General</c:formatCode>
                <c:ptCount val="10"/>
                <c:pt idx="0">
                  <c:v>3000000</c:v>
                </c:pt>
                <c:pt idx="1">
                  <c:v>8000000</c:v>
                </c:pt>
                <c:pt idx="2">
                  <c:v>12000000</c:v>
                </c:pt>
                <c:pt idx="3">
                  <c:v>20000000</c:v>
                </c:pt>
                <c:pt idx="4">
                  <c:v>30000000</c:v>
                </c:pt>
                <c:pt idx="5">
                  <c:v>40000000</c:v>
                </c:pt>
                <c:pt idx="6">
                  <c:v>50000000</c:v>
                </c:pt>
                <c:pt idx="7">
                  <c:v>80000000</c:v>
                </c:pt>
                <c:pt idx="8">
                  <c:v>100000000</c:v>
                </c:pt>
                <c:pt idx="9" formatCode="#,##0">
                  <c:v>150000000</c:v>
                </c:pt>
              </c:numCache>
            </c:numRef>
          </c:cat>
          <c:val>
            <c:numRef>
              <c:f>'OZL Tables'!$EB$51:$EB$60</c:f>
              <c:numCache>
                <c:formatCode>General</c:formatCode>
                <c:ptCount val="10"/>
                <c:pt idx="7" formatCode="#,##0">
                  <c:v>101329200</c:v>
                </c:pt>
                <c:pt idx="8" formatCode="#,##0">
                  <c:v>169351020</c:v>
                </c:pt>
                <c:pt idx="9" formatCode="#,##0">
                  <c:v>250742520.00000003</c:v>
                </c:pt>
              </c:numCache>
            </c:numRef>
          </c:val>
          <c:smooth val="0"/>
          <c:extLst>
            <c:ext xmlns:c16="http://schemas.microsoft.com/office/drawing/2014/chart" uri="{C3380CC4-5D6E-409C-BE32-E72D297353CC}">
              <c16:uniqueId val="{00000002-A1A2-4942-A3FE-687BBFFD4B71}"/>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1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'OZL Tables'!$BH$52:$BH$61</c:f>
              <c:numCache>
                <c:formatCode>General</c:formatCode>
                <c:ptCount val="10"/>
                <c:pt idx="0">
                  <c:v>8000000</c:v>
                </c:pt>
                <c:pt idx="1">
                  <c:v>20000000</c:v>
                </c:pt>
                <c:pt idx="2">
                  <c:v>30000000</c:v>
                </c:pt>
                <c:pt idx="3">
                  <c:v>50000000</c:v>
                </c:pt>
                <c:pt idx="4">
                  <c:v>100000000</c:v>
                </c:pt>
                <c:pt idx="5" formatCode="#,##0">
                  <c:v>160000000</c:v>
                </c:pt>
                <c:pt idx="6" formatCode="#,##0">
                  <c:v>200000000</c:v>
                </c:pt>
                <c:pt idx="7" formatCode="#,##0">
                  <c:v>250000000</c:v>
                </c:pt>
                <c:pt idx="8" formatCode="#,##0">
                  <c:v>300000000</c:v>
                </c:pt>
                <c:pt idx="9" formatCode="#,##0">
                  <c:v>350000000</c:v>
                </c:pt>
              </c:numCache>
            </c:numRef>
          </c:cat>
          <c:val>
            <c:numRef>
              <c:f>'OZL Tables'!$BI$52:$BI$61</c:f>
              <c:numCache>
                <c:formatCode>#,##0</c:formatCode>
                <c:ptCount val="10"/>
                <c:pt idx="0">
                  <c:v>0</c:v>
                </c:pt>
                <c:pt idx="1">
                  <c:v>20463382.076809622</c:v>
                </c:pt>
                <c:pt idx="2">
                  <c:v>26613097.572044477</c:v>
                </c:pt>
                <c:pt idx="3">
                  <c:v>41464495.575221241</c:v>
                </c:pt>
                <c:pt idx="4">
                  <c:v>0</c:v>
                </c:pt>
              </c:numCache>
            </c:numRef>
          </c:val>
          <c:smooth val="0"/>
          <c:extLst>
            <c:ext xmlns:c16="http://schemas.microsoft.com/office/drawing/2014/chart" uri="{C3380CC4-5D6E-409C-BE32-E72D297353CC}">
              <c16:uniqueId val="{00000001-6756-48E7-8B01-6D06F2E92D80}"/>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'OZL Tables'!$BH$52:$BH$61</c:f>
              <c:numCache>
                <c:formatCode>General</c:formatCode>
                <c:ptCount val="10"/>
                <c:pt idx="0">
                  <c:v>8000000</c:v>
                </c:pt>
                <c:pt idx="1">
                  <c:v>20000000</c:v>
                </c:pt>
                <c:pt idx="2">
                  <c:v>30000000</c:v>
                </c:pt>
                <c:pt idx="3">
                  <c:v>50000000</c:v>
                </c:pt>
                <c:pt idx="4">
                  <c:v>100000000</c:v>
                </c:pt>
                <c:pt idx="5" formatCode="#,##0">
                  <c:v>160000000</c:v>
                </c:pt>
                <c:pt idx="6" formatCode="#,##0">
                  <c:v>200000000</c:v>
                </c:pt>
                <c:pt idx="7" formatCode="#,##0">
                  <c:v>250000000</c:v>
                </c:pt>
                <c:pt idx="8" formatCode="#,##0">
                  <c:v>300000000</c:v>
                </c:pt>
                <c:pt idx="9" formatCode="#,##0">
                  <c:v>350000000</c:v>
                </c:pt>
              </c:numCache>
            </c:numRef>
          </c:cat>
          <c:val>
            <c:numRef>
              <c:f>'OZL Tables'!$BJ$52:$BJ$61</c:f>
              <c:numCache>
                <c:formatCode>General</c:formatCode>
                <c:ptCount val="10"/>
                <c:pt idx="5" formatCode="#,##0">
                  <c:v>300000000</c:v>
                </c:pt>
                <c:pt idx="6" formatCode="#,##0">
                  <c:v>440000000</c:v>
                </c:pt>
                <c:pt idx="7" formatCode="#,##0">
                  <c:v>590000000</c:v>
                </c:pt>
                <c:pt idx="8" formatCode="#,##0">
                  <c:v>800000000</c:v>
                </c:pt>
                <c:pt idx="9" formatCode="#,##0">
                  <c:v>1000000000</c:v>
                </c:pt>
              </c:numCache>
            </c:numRef>
          </c:val>
          <c:smooth val="0"/>
          <c:extLst>
            <c:ext xmlns:c16="http://schemas.microsoft.com/office/drawing/2014/chart" uri="{C3380CC4-5D6E-409C-BE32-E72D297353CC}">
              <c16:uniqueId val="{00000002-6756-48E7-8B01-6D06F2E92D80}"/>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1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'OZL Tables'!$AT$32:$AT$41</c:f>
              <c:numCache>
                <c:formatCode>General</c:formatCode>
                <c:ptCount val="10"/>
                <c:pt idx="0">
                  <c:v>3000000</c:v>
                </c:pt>
                <c:pt idx="1">
                  <c:v>8000000</c:v>
                </c:pt>
                <c:pt idx="2">
                  <c:v>12000000</c:v>
                </c:pt>
                <c:pt idx="3">
                  <c:v>20000000</c:v>
                </c:pt>
                <c:pt idx="4">
                  <c:v>40000000</c:v>
                </c:pt>
                <c:pt idx="5">
                  <c:v>60000000</c:v>
                </c:pt>
                <c:pt idx="6">
                  <c:v>80000000</c:v>
                </c:pt>
                <c:pt idx="7">
                  <c:v>100000000</c:v>
                </c:pt>
                <c:pt idx="8" formatCode="#,##0">
                  <c:v>150000000</c:v>
                </c:pt>
                <c:pt idx="9" formatCode="#,##0">
                  <c:v>200000000</c:v>
                </c:pt>
              </c:numCache>
            </c:numRef>
          </c:cat>
          <c:val>
            <c:numRef>
              <c:f>'OZL Tables'!$AU$32:$AU$41</c:f>
              <c:numCache>
                <c:formatCode>#,##0</c:formatCode>
                <c:ptCount val="10"/>
                <c:pt idx="0">
                  <c:v>14795254.451882668</c:v>
                </c:pt>
                <c:pt idx="1">
                  <c:v>19901707.782528002</c:v>
                </c:pt>
                <c:pt idx="2">
                  <c:v>25095285.017088003</c:v>
                </c:pt>
                <c:pt idx="3">
                  <c:v>31121410.374912001</c:v>
                </c:pt>
                <c:pt idx="4">
                  <c:v>46781737.736448005</c:v>
                </c:pt>
                <c:pt idx="5">
                  <c:v>78033626.711040005</c:v>
                </c:pt>
                <c:pt idx="6">
                  <c:v>112669291.63776001</c:v>
                </c:pt>
                <c:pt idx="7">
                  <c:v>191431593.99936002</c:v>
                </c:pt>
              </c:numCache>
            </c:numRef>
          </c:val>
          <c:smooth val="0"/>
          <c:extLst>
            <c:ext xmlns:c16="http://schemas.microsoft.com/office/drawing/2014/chart" uri="{C3380CC4-5D6E-409C-BE32-E72D297353CC}">
              <c16:uniqueId val="{00000001-9D8C-49EC-A63C-1ACCDD47BBED}"/>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'OZL Tables'!$AT$32:$AT$41</c:f>
              <c:numCache>
                <c:formatCode>General</c:formatCode>
                <c:ptCount val="10"/>
                <c:pt idx="0">
                  <c:v>3000000</c:v>
                </c:pt>
                <c:pt idx="1">
                  <c:v>8000000</c:v>
                </c:pt>
                <c:pt idx="2">
                  <c:v>12000000</c:v>
                </c:pt>
                <c:pt idx="3">
                  <c:v>20000000</c:v>
                </c:pt>
                <c:pt idx="4">
                  <c:v>40000000</c:v>
                </c:pt>
                <c:pt idx="5">
                  <c:v>60000000</c:v>
                </c:pt>
                <c:pt idx="6">
                  <c:v>80000000</c:v>
                </c:pt>
                <c:pt idx="7">
                  <c:v>100000000</c:v>
                </c:pt>
                <c:pt idx="8" formatCode="#,##0">
                  <c:v>150000000</c:v>
                </c:pt>
                <c:pt idx="9" formatCode="#,##0">
                  <c:v>200000000</c:v>
                </c:pt>
              </c:numCache>
            </c:numRef>
          </c:cat>
          <c:val>
            <c:numRef>
              <c:f>'OZL Tables'!$AV$32:$AV$41</c:f>
              <c:numCache>
                <c:formatCode>General</c:formatCode>
                <c:ptCount val="10"/>
                <c:pt idx="8" formatCode="#,##0">
                  <c:v>245000000</c:v>
                </c:pt>
                <c:pt idx="9" formatCode="#,##0">
                  <c:v>315000000</c:v>
                </c:pt>
              </c:numCache>
            </c:numRef>
          </c:val>
          <c:smooth val="0"/>
          <c:extLst>
            <c:ext xmlns:c16="http://schemas.microsoft.com/office/drawing/2014/chart" uri="{C3380CC4-5D6E-409C-BE32-E72D297353CC}">
              <c16:uniqueId val="{00000002-9D8C-49EC-A63C-1ACCDD47BBED}"/>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1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'OZL Tables'!$AT$51:$AT$60</c:f>
              <c:numCache>
                <c:formatCode>General</c:formatCode>
                <c:ptCount val="10"/>
                <c:pt idx="0">
                  <c:v>4000000</c:v>
                </c:pt>
                <c:pt idx="1">
                  <c:v>8000000</c:v>
                </c:pt>
                <c:pt idx="2">
                  <c:v>20000000</c:v>
                </c:pt>
                <c:pt idx="3">
                  <c:v>40000000</c:v>
                </c:pt>
                <c:pt idx="4">
                  <c:v>60000000</c:v>
                </c:pt>
                <c:pt idx="5">
                  <c:v>80000000</c:v>
                </c:pt>
                <c:pt idx="6">
                  <c:v>120000000</c:v>
                </c:pt>
                <c:pt idx="7" formatCode="#,##0">
                  <c:v>150000000</c:v>
                </c:pt>
                <c:pt idx="8" formatCode="#,##0">
                  <c:v>200000000</c:v>
                </c:pt>
                <c:pt idx="9" formatCode="#,##0">
                  <c:v>250000000</c:v>
                </c:pt>
              </c:numCache>
            </c:numRef>
          </c:cat>
          <c:val>
            <c:numRef>
              <c:f>'OZL Tables'!$AU$51:$AU$60</c:f>
              <c:numCache>
                <c:formatCode>#,##0</c:formatCode>
                <c:ptCount val="10"/>
                <c:pt idx="0">
                  <c:v>0</c:v>
                </c:pt>
                <c:pt idx="1">
                  <c:v>0</c:v>
                </c:pt>
                <c:pt idx="2">
                  <c:v>20118484.892784204</c:v>
                </c:pt>
                <c:pt idx="3">
                  <c:v>0</c:v>
                </c:pt>
                <c:pt idx="4">
                  <c:v>0</c:v>
                </c:pt>
                <c:pt idx="5">
                  <c:v>0</c:v>
                </c:pt>
                <c:pt idx="6">
                  <c:v>214819988.88669318</c:v>
                </c:pt>
              </c:numCache>
            </c:numRef>
          </c:val>
          <c:smooth val="0"/>
          <c:extLst>
            <c:ext xmlns:c16="http://schemas.microsoft.com/office/drawing/2014/chart" uri="{C3380CC4-5D6E-409C-BE32-E72D297353CC}">
              <c16:uniqueId val="{00000001-47E8-41E4-B484-4FE6EB5DF661}"/>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'OZL Tables'!$AT$51:$AT$60</c:f>
              <c:numCache>
                <c:formatCode>General</c:formatCode>
                <c:ptCount val="10"/>
                <c:pt idx="0">
                  <c:v>4000000</c:v>
                </c:pt>
                <c:pt idx="1">
                  <c:v>8000000</c:v>
                </c:pt>
                <c:pt idx="2">
                  <c:v>20000000</c:v>
                </c:pt>
                <c:pt idx="3">
                  <c:v>40000000</c:v>
                </c:pt>
                <c:pt idx="4">
                  <c:v>60000000</c:v>
                </c:pt>
                <c:pt idx="5">
                  <c:v>80000000</c:v>
                </c:pt>
                <c:pt idx="6">
                  <c:v>120000000</c:v>
                </c:pt>
                <c:pt idx="7" formatCode="#,##0">
                  <c:v>150000000</c:v>
                </c:pt>
                <c:pt idx="8" formatCode="#,##0">
                  <c:v>200000000</c:v>
                </c:pt>
                <c:pt idx="9" formatCode="#,##0">
                  <c:v>250000000</c:v>
                </c:pt>
              </c:numCache>
            </c:numRef>
          </c:cat>
          <c:val>
            <c:numRef>
              <c:f>'OZL Tables'!$AV$51:$AV$60</c:f>
              <c:numCache>
                <c:formatCode>#,##0.0</c:formatCode>
                <c:ptCount val="10"/>
                <c:pt idx="7" formatCode="#,##0">
                  <c:v>275000000</c:v>
                </c:pt>
                <c:pt idx="8" formatCode="#,##0">
                  <c:v>370000000</c:v>
                </c:pt>
                <c:pt idx="9" formatCode="#,##0">
                  <c:v>480000000</c:v>
                </c:pt>
              </c:numCache>
            </c:numRef>
          </c:val>
          <c:smooth val="0"/>
          <c:extLst>
            <c:ext xmlns:c16="http://schemas.microsoft.com/office/drawing/2014/chart" uri="{C3380CC4-5D6E-409C-BE32-E72D297353CC}">
              <c16:uniqueId val="{00000002-47E8-41E4-B484-4FE6EB5DF661}"/>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1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'OZL Tables'!$AT$71:$AT$80</c:f>
              <c:numCache>
                <c:formatCode>General</c:formatCode>
                <c:ptCount val="10"/>
                <c:pt idx="0">
                  <c:v>8000000</c:v>
                </c:pt>
                <c:pt idx="1">
                  <c:v>20000000</c:v>
                </c:pt>
                <c:pt idx="2">
                  <c:v>30000000</c:v>
                </c:pt>
                <c:pt idx="3">
                  <c:v>50000000</c:v>
                </c:pt>
                <c:pt idx="4">
                  <c:v>100000000</c:v>
                </c:pt>
                <c:pt idx="5">
                  <c:v>160000000</c:v>
                </c:pt>
                <c:pt idx="6" formatCode="#,##0">
                  <c:v>200000000</c:v>
                </c:pt>
                <c:pt idx="7" formatCode="#,##0">
                  <c:v>250000000</c:v>
                </c:pt>
                <c:pt idx="8" formatCode="#,##0">
                  <c:v>300000000</c:v>
                </c:pt>
                <c:pt idx="9" formatCode="#,##0">
                  <c:v>350000000</c:v>
                </c:pt>
              </c:numCache>
            </c:numRef>
          </c:cat>
          <c:val>
            <c:numRef>
              <c:f>'OZL Tables'!$AU$71:$AU$80</c:f>
              <c:numCache>
                <c:formatCode>#,##0</c:formatCode>
                <c:ptCount val="10"/>
                <c:pt idx="0">
                  <c:v>0</c:v>
                </c:pt>
                <c:pt idx="1">
                  <c:v>21177352.518720217</c:v>
                </c:pt>
                <c:pt idx="2">
                  <c:v>26613097.572044477</c:v>
                </c:pt>
                <c:pt idx="3">
                  <c:v>41464495.575221241</c:v>
                </c:pt>
                <c:pt idx="4">
                  <c:v>0</c:v>
                </c:pt>
                <c:pt idx="5">
                  <c:v>0</c:v>
                </c:pt>
              </c:numCache>
            </c:numRef>
          </c:val>
          <c:smooth val="0"/>
          <c:extLst>
            <c:ext xmlns:c16="http://schemas.microsoft.com/office/drawing/2014/chart" uri="{C3380CC4-5D6E-409C-BE32-E72D297353CC}">
              <c16:uniqueId val="{00000001-D2E7-4AD3-AEFA-920B546C1017}"/>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'OZL Tables'!$AT$71:$AT$80</c:f>
              <c:numCache>
                <c:formatCode>General</c:formatCode>
                <c:ptCount val="10"/>
                <c:pt idx="0">
                  <c:v>8000000</c:v>
                </c:pt>
                <c:pt idx="1">
                  <c:v>20000000</c:v>
                </c:pt>
                <c:pt idx="2">
                  <c:v>30000000</c:v>
                </c:pt>
                <c:pt idx="3">
                  <c:v>50000000</c:v>
                </c:pt>
                <c:pt idx="4">
                  <c:v>100000000</c:v>
                </c:pt>
                <c:pt idx="5">
                  <c:v>160000000</c:v>
                </c:pt>
                <c:pt idx="6" formatCode="#,##0">
                  <c:v>200000000</c:v>
                </c:pt>
                <c:pt idx="7" formatCode="#,##0">
                  <c:v>250000000</c:v>
                </c:pt>
                <c:pt idx="8" formatCode="#,##0">
                  <c:v>300000000</c:v>
                </c:pt>
                <c:pt idx="9" formatCode="#,##0">
                  <c:v>350000000</c:v>
                </c:pt>
              </c:numCache>
            </c:numRef>
          </c:cat>
          <c:val>
            <c:numRef>
              <c:f>'OZL Tables'!$AV$71:$AV$80</c:f>
              <c:numCache>
                <c:formatCode>General</c:formatCode>
                <c:ptCount val="10"/>
                <c:pt idx="6" formatCode="#,##0">
                  <c:v>400000000</c:v>
                </c:pt>
                <c:pt idx="7" formatCode="#,##0">
                  <c:v>520000000</c:v>
                </c:pt>
                <c:pt idx="8" formatCode="#,##0">
                  <c:v>640000000</c:v>
                </c:pt>
                <c:pt idx="9" formatCode="#,##0">
                  <c:v>770000000</c:v>
                </c:pt>
              </c:numCache>
            </c:numRef>
          </c:val>
          <c:smooth val="0"/>
          <c:extLst>
            <c:ext xmlns:c16="http://schemas.microsoft.com/office/drawing/2014/chart" uri="{C3380CC4-5D6E-409C-BE32-E72D297353CC}">
              <c16:uniqueId val="{00000002-D2E7-4AD3-AEFA-920B546C1017}"/>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1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'OZL Tables'!$AT$13:$AT$22</c:f>
              <c:numCache>
                <c:formatCode>General</c:formatCode>
                <c:ptCount val="10"/>
                <c:pt idx="0">
                  <c:v>8000000</c:v>
                </c:pt>
                <c:pt idx="1">
                  <c:v>20000000</c:v>
                </c:pt>
                <c:pt idx="2">
                  <c:v>30000000</c:v>
                </c:pt>
                <c:pt idx="3">
                  <c:v>50000000</c:v>
                </c:pt>
                <c:pt idx="4">
                  <c:v>100000000</c:v>
                </c:pt>
                <c:pt idx="5">
                  <c:v>160000000</c:v>
                </c:pt>
                <c:pt idx="6" formatCode="#,##0">
                  <c:v>200000000</c:v>
                </c:pt>
                <c:pt idx="7" formatCode="#,##0">
                  <c:v>250000000</c:v>
                </c:pt>
                <c:pt idx="8" formatCode="#,##0">
                  <c:v>300000000</c:v>
                </c:pt>
                <c:pt idx="9" formatCode="#,##0">
                  <c:v>350000000</c:v>
                </c:pt>
              </c:numCache>
            </c:numRef>
          </c:cat>
          <c:val>
            <c:numRef>
              <c:f>'OZL Tables'!$AU$13:$AU$22</c:f>
              <c:numCache>
                <c:formatCode>#,##0</c:formatCode>
                <c:ptCount val="10"/>
                <c:pt idx="0">
                  <c:v>0</c:v>
                </c:pt>
                <c:pt idx="1">
                  <c:v>21177352.518720217</c:v>
                </c:pt>
                <c:pt idx="2">
                  <c:v>26613097.572044477</c:v>
                </c:pt>
                <c:pt idx="3">
                  <c:v>41464495.575221241</c:v>
                </c:pt>
                <c:pt idx="4">
                  <c:v>0</c:v>
                </c:pt>
                <c:pt idx="5">
                  <c:v>0</c:v>
                </c:pt>
              </c:numCache>
            </c:numRef>
          </c:val>
          <c:smooth val="0"/>
          <c:extLst>
            <c:ext xmlns:c16="http://schemas.microsoft.com/office/drawing/2014/chart" uri="{C3380CC4-5D6E-409C-BE32-E72D297353CC}">
              <c16:uniqueId val="{00000001-6409-4E36-960A-C7F3840DC626}"/>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'OZL Tables'!$AT$13:$AT$22</c:f>
              <c:numCache>
                <c:formatCode>General</c:formatCode>
                <c:ptCount val="10"/>
                <c:pt idx="0">
                  <c:v>8000000</c:v>
                </c:pt>
                <c:pt idx="1">
                  <c:v>20000000</c:v>
                </c:pt>
                <c:pt idx="2">
                  <c:v>30000000</c:v>
                </c:pt>
                <c:pt idx="3">
                  <c:v>50000000</c:v>
                </c:pt>
                <c:pt idx="4">
                  <c:v>100000000</c:v>
                </c:pt>
                <c:pt idx="5">
                  <c:v>160000000</c:v>
                </c:pt>
                <c:pt idx="6" formatCode="#,##0">
                  <c:v>200000000</c:v>
                </c:pt>
                <c:pt idx="7" formatCode="#,##0">
                  <c:v>250000000</c:v>
                </c:pt>
                <c:pt idx="8" formatCode="#,##0">
                  <c:v>300000000</c:v>
                </c:pt>
                <c:pt idx="9" formatCode="#,##0">
                  <c:v>350000000</c:v>
                </c:pt>
              </c:numCache>
            </c:numRef>
          </c:cat>
          <c:val>
            <c:numRef>
              <c:f>'OZL Tables'!$AV$13:$AV$22</c:f>
              <c:numCache>
                <c:formatCode>General</c:formatCode>
                <c:ptCount val="10"/>
                <c:pt idx="6" formatCode="#,##0">
                  <c:v>400000000</c:v>
                </c:pt>
                <c:pt idx="7" formatCode="#,##0">
                  <c:v>510000000</c:v>
                </c:pt>
                <c:pt idx="8" formatCode="#,##0">
                  <c:v>640000000</c:v>
                </c:pt>
                <c:pt idx="9" formatCode="#,##0">
                  <c:v>800000000</c:v>
                </c:pt>
              </c:numCache>
            </c:numRef>
          </c:val>
          <c:smooth val="0"/>
          <c:extLst>
            <c:ext xmlns:c16="http://schemas.microsoft.com/office/drawing/2014/chart" uri="{C3380CC4-5D6E-409C-BE32-E72D297353CC}">
              <c16:uniqueId val="{00000002-6409-4E36-960A-C7F3840DC626}"/>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1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'OZL Tables'!$AT$186:$AT$195</c:f>
              <c:numCache>
                <c:formatCode>General</c:formatCode>
                <c:ptCount val="10"/>
                <c:pt idx="0">
                  <c:v>8000000</c:v>
                </c:pt>
                <c:pt idx="1">
                  <c:v>20000000</c:v>
                </c:pt>
                <c:pt idx="2">
                  <c:v>30000000</c:v>
                </c:pt>
                <c:pt idx="3">
                  <c:v>50000000</c:v>
                </c:pt>
                <c:pt idx="4">
                  <c:v>100000000</c:v>
                </c:pt>
                <c:pt idx="5">
                  <c:v>160000000</c:v>
                </c:pt>
                <c:pt idx="6" formatCode="#,##0">
                  <c:v>200000000</c:v>
                </c:pt>
                <c:pt idx="7" formatCode="#,##0">
                  <c:v>250000000</c:v>
                </c:pt>
                <c:pt idx="8" formatCode="#,##0">
                  <c:v>300000000</c:v>
                </c:pt>
                <c:pt idx="9" formatCode="#,##0">
                  <c:v>350000000</c:v>
                </c:pt>
              </c:numCache>
            </c:numRef>
          </c:cat>
          <c:val>
            <c:numRef>
              <c:f>'OZL Tables'!$AU$186:$AU$195</c:f>
              <c:numCache>
                <c:formatCode>#,##0</c:formatCode>
                <c:ptCount val="10"/>
                <c:pt idx="0">
                  <c:v>0</c:v>
                </c:pt>
                <c:pt idx="1">
                  <c:v>20984831.132186398</c:v>
                </c:pt>
                <c:pt idx="2">
                  <c:v>26371160.32138953</c:v>
                </c:pt>
                <c:pt idx="3">
                  <c:v>41087545.6154465</c:v>
                </c:pt>
                <c:pt idx="4">
                  <c:v>0</c:v>
                </c:pt>
                <c:pt idx="5">
                  <c:v>0</c:v>
                </c:pt>
              </c:numCache>
            </c:numRef>
          </c:val>
          <c:smooth val="0"/>
          <c:extLst>
            <c:ext xmlns:c16="http://schemas.microsoft.com/office/drawing/2014/chart" uri="{C3380CC4-5D6E-409C-BE32-E72D297353CC}">
              <c16:uniqueId val="{00000001-5B71-4063-9A42-26E5B86C90B8}"/>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'OZL Tables'!$AT$186:$AT$195</c:f>
              <c:numCache>
                <c:formatCode>General</c:formatCode>
                <c:ptCount val="10"/>
                <c:pt idx="0">
                  <c:v>8000000</c:v>
                </c:pt>
                <c:pt idx="1">
                  <c:v>20000000</c:v>
                </c:pt>
                <c:pt idx="2">
                  <c:v>30000000</c:v>
                </c:pt>
                <c:pt idx="3">
                  <c:v>50000000</c:v>
                </c:pt>
                <c:pt idx="4">
                  <c:v>100000000</c:v>
                </c:pt>
                <c:pt idx="5">
                  <c:v>160000000</c:v>
                </c:pt>
                <c:pt idx="6" formatCode="#,##0">
                  <c:v>200000000</c:v>
                </c:pt>
                <c:pt idx="7" formatCode="#,##0">
                  <c:v>250000000</c:v>
                </c:pt>
                <c:pt idx="8" formatCode="#,##0">
                  <c:v>300000000</c:v>
                </c:pt>
                <c:pt idx="9" formatCode="#,##0">
                  <c:v>350000000</c:v>
                </c:pt>
              </c:numCache>
            </c:numRef>
          </c:cat>
          <c:val>
            <c:numRef>
              <c:f>'OZL Tables'!$AV$186:$AV$195</c:f>
              <c:numCache>
                <c:formatCode>General</c:formatCode>
                <c:ptCount val="10"/>
                <c:pt idx="6" formatCode="#,##0">
                  <c:v>396363636.36363637</c:v>
                </c:pt>
                <c:pt idx="7" formatCode="#,##0">
                  <c:v>515272727.27272731</c:v>
                </c:pt>
                <c:pt idx="8" formatCode="#,##0">
                  <c:v>634181818.18181825</c:v>
                </c:pt>
                <c:pt idx="9" formatCode="#,##0">
                  <c:v>763000000</c:v>
                </c:pt>
              </c:numCache>
            </c:numRef>
          </c:val>
          <c:smooth val="0"/>
          <c:extLst>
            <c:ext xmlns:c16="http://schemas.microsoft.com/office/drawing/2014/chart" uri="{C3380CC4-5D6E-409C-BE32-E72D297353CC}">
              <c16:uniqueId val="{00000002-5B71-4063-9A42-26E5B86C90B8}"/>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1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'OZL Tables'!$BH$71:$BH$80</c:f>
              <c:numCache>
                <c:formatCode>General</c:formatCode>
                <c:ptCount val="10"/>
                <c:pt idx="0">
                  <c:v>8000000</c:v>
                </c:pt>
                <c:pt idx="1">
                  <c:v>20000000</c:v>
                </c:pt>
                <c:pt idx="2">
                  <c:v>30000000</c:v>
                </c:pt>
                <c:pt idx="3">
                  <c:v>50000000</c:v>
                </c:pt>
                <c:pt idx="4">
                  <c:v>100000000</c:v>
                </c:pt>
                <c:pt idx="5">
                  <c:v>160000000</c:v>
                </c:pt>
                <c:pt idx="6" formatCode="#,##0">
                  <c:v>200000000</c:v>
                </c:pt>
                <c:pt idx="7" formatCode="#,##0">
                  <c:v>250000000</c:v>
                </c:pt>
                <c:pt idx="8" formatCode="#,##0">
                  <c:v>300000000</c:v>
                </c:pt>
                <c:pt idx="9" formatCode="#,##0">
                  <c:v>350000000</c:v>
                </c:pt>
              </c:numCache>
            </c:numRef>
          </c:cat>
          <c:val>
            <c:numRef>
              <c:f>'OZL Tables'!$BI$71:$BI$80</c:f>
              <c:numCache>
                <c:formatCode>#,##0</c:formatCode>
                <c:ptCount val="10"/>
                <c:pt idx="0">
                  <c:v>0</c:v>
                </c:pt>
                <c:pt idx="1">
                  <c:v>20463382.076809622</c:v>
                </c:pt>
                <c:pt idx="2">
                  <c:v>26613097.572044477</c:v>
                </c:pt>
                <c:pt idx="3">
                  <c:v>41464495.575221241</c:v>
                </c:pt>
                <c:pt idx="4">
                  <c:v>0</c:v>
                </c:pt>
                <c:pt idx="5">
                  <c:v>0</c:v>
                </c:pt>
              </c:numCache>
            </c:numRef>
          </c:val>
          <c:smooth val="0"/>
          <c:extLst>
            <c:ext xmlns:c16="http://schemas.microsoft.com/office/drawing/2014/chart" uri="{C3380CC4-5D6E-409C-BE32-E72D297353CC}">
              <c16:uniqueId val="{00000001-F2B4-4593-A81B-A57A31160B25}"/>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'OZL Tables'!$BH$71:$BH$80</c:f>
              <c:numCache>
                <c:formatCode>General</c:formatCode>
                <c:ptCount val="10"/>
                <c:pt idx="0">
                  <c:v>8000000</c:v>
                </c:pt>
                <c:pt idx="1">
                  <c:v>20000000</c:v>
                </c:pt>
                <c:pt idx="2">
                  <c:v>30000000</c:v>
                </c:pt>
                <c:pt idx="3">
                  <c:v>50000000</c:v>
                </c:pt>
                <c:pt idx="4">
                  <c:v>100000000</c:v>
                </c:pt>
                <c:pt idx="5">
                  <c:v>160000000</c:v>
                </c:pt>
                <c:pt idx="6" formatCode="#,##0">
                  <c:v>200000000</c:v>
                </c:pt>
                <c:pt idx="7" formatCode="#,##0">
                  <c:v>250000000</c:v>
                </c:pt>
                <c:pt idx="8" formatCode="#,##0">
                  <c:v>300000000</c:v>
                </c:pt>
                <c:pt idx="9" formatCode="#,##0">
                  <c:v>350000000</c:v>
                </c:pt>
              </c:numCache>
            </c:numRef>
          </c:cat>
          <c:val>
            <c:numRef>
              <c:f>'OZL Tables'!$BJ$71:$BJ$80</c:f>
              <c:numCache>
                <c:formatCode>General</c:formatCode>
                <c:ptCount val="10"/>
                <c:pt idx="6" formatCode="#,##0">
                  <c:v>400000000</c:v>
                </c:pt>
                <c:pt idx="7" formatCode="#,##0">
                  <c:v>510000000</c:v>
                </c:pt>
                <c:pt idx="8" formatCode="#,##0">
                  <c:v>640000000</c:v>
                </c:pt>
                <c:pt idx="9" formatCode="#,##0">
                  <c:v>800000000</c:v>
                </c:pt>
              </c:numCache>
            </c:numRef>
          </c:val>
          <c:smooth val="0"/>
          <c:extLst>
            <c:ext xmlns:c16="http://schemas.microsoft.com/office/drawing/2014/chart" uri="{C3380CC4-5D6E-409C-BE32-E72D297353CC}">
              <c16:uniqueId val="{00000002-F2B4-4593-A81B-A57A31160B25}"/>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1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'OZL Tables'!$BH$90:$BH$99</c:f>
              <c:numCache>
                <c:formatCode>General</c:formatCode>
                <c:ptCount val="10"/>
                <c:pt idx="0">
                  <c:v>4000000</c:v>
                </c:pt>
                <c:pt idx="1">
                  <c:v>8000000</c:v>
                </c:pt>
                <c:pt idx="2">
                  <c:v>20000000</c:v>
                </c:pt>
                <c:pt idx="3">
                  <c:v>40000000</c:v>
                </c:pt>
                <c:pt idx="4">
                  <c:v>60000000</c:v>
                </c:pt>
                <c:pt idx="5">
                  <c:v>80000000</c:v>
                </c:pt>
                <c:pt idx="6">
                  <c:v>120000000</c:v>
                </c:pt>
                <c:pt idx="7" formatCode="#,##0">
                  <c:v>150000000</c:v>
                </c:pt>
                <c:pt idx="8" formatCode="#,##0">
                  <c:v>200000000</c:v>
                </c:pt>
                <c:pt idx="9" formatCode="#,##0">
                  <c:v>250000000</c:v>
                </c:pt>
              </c:numCache>
            </c:numRef>
          </c:cat>
          <c:val>
            <c:numRef>
              <c:f>'OZL Tables'!$BI$90:$BI$99</c:f>
              <c:numCache>
                <c:formatCode>#,##0</c:formatCode>
                <c:ptCount val="10"/>
                <c:pt idx="0">
                  <c:v>0</c:v>
                </c:pt>
                <c:pt idx="1">
                  <c:v>0</c:v>
                </c:pt>
                <c:pt idx="2">
                  <c:v>20463382.076809622</c:v>
                </c:pt>
                <c:pt idx="3">
                  <c:v>0</c:v>
                </c:pt>
                <c:pt idx="4">
                  <c:v>0</c:v>
                </c:pt>
                <c:pt idx="5">
                  <c:v>0</c:v>
                </c:pt>
                <c:pt idx="6">
                  <c:v>226126304.09125558</c:v>
                </c:pt>
              </c:numCache>
            </c:numRef>
          </c:val>
          <c:smooth val="0"/>
          <c:extLst>
            <c:ext xmlns:c16="http://schemas.microsoft.com/office/drawing/2014/chart" uri="{C3380CC4-5D6E-409C-BE32-E72D297353CC}">
              <c16:uniqueId val="{00000001-1D7E-4232-89D7-DE5FA6032EC4}"/>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'OZL Tables'!$BH$90:$BH$99</c:f>
              <c:numCache>
                <c:formatCode>General</c:formatCode>
                <c:ptCount val="10"/>
                <c:pt idx="0">
                  <c:v>4000000</c:v>
                </c:pt>
                <c:pt idx="1">
                  <c:v>8000000</c:v>
                </c:pt>
                <c:pt idx="2">
                  <c:v>20000000</c:v>
                </c:pt>
                <c:pt idx="3">
                  <c:v>40000000</c:v>
                </c:pt>
                <c:pt idx="4">
                  <c:v>60000000</c:v>
                </c:pt>
                <c:pt idx="5">
                  <c:v>80000000</c:v>
                </c:pt>
                <c:pt idx="6">
                  <c:v>120000000</c:v>
                </c:pt>
                <c:pt idx="7" formatCode="#,##0">
                  <c:v>150000000</c:v>
                </c:pt>
                <c:pt idx="8" formatCode="#,##0">
                  <c:v>200000000</c:v>
                </c:pt>
                <c:pt idx="9" formatCode="#,##0">
                  <c:v>250000000</c:v>
                </c:pt>
              </c:numCache>
            </c:numRef>
          </c:cat>
          <c:val>
            <c:numRef>
              <c:f>'OZL Tables'!$BJ$90:$BJ$99</c:f>
              <c:numCache>
                <c:formatCode>General</c:formatCode>
                <c:ptCount val="10"/>
                <c:pt idx="7" formatCode="#,##0">
                  <c:v>295000000</c:v>
                </c:pt>
                <c:pt idx="8" formatCode="#,##0">
                  <c:v>396000000</c:v>
                </c:pt>
                <c:pt idx="9" formatCode="#,##0">
                  <c:v>510000000</c:v>
                </c:pt>
              </c:numCache>
            </c:numRef>
          </c:val>
          <c:smooth val="0"/>
          <c:extLst>
            <c:ext xmlns:c16="http://schemas.microsoft.com/office/drawing/2014/chart" uri="{C3380CC4-5D6E-409C-BE32-E72D297353CC}">
              <c16:uniqueId val="{00000002-1D7E-4232-89D7-DE5FA6032EC4}"/>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1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'OZL Tables'!$BH$128:$BH$137</c:f>
              <c:numCache>
                <c:formatCode>General</c:formatCode>
                <c:ptCount val="10"/>
                <c:pt idx="0">
                  <c:v>4000000</c:v>
                </c:pt>
                <c:pt idx="1">
                  <c:v>8000000</c:v>
                </c:pt>
                <c:pt idx="2">
                  <c:v>20000000</c:v>
                </c:pt>
                <c:pt idx="3">
                  <c:v>40000000</c:v>
                </c:pt>
                <c:pt idx="4">
                  <c:v>60000000</c:v>
                </c:pt>
                <c:pt idx="5">
                  <c:v>80000000</c:v>
                </c:pt>
                <c:pt idx="6">
                  <c:v>120000000</c:v>
                </c:pt>
                <c:pt idx="7" formatCode="#,##0">
                  <c:v>150000000</c:v>
                </c:pt>
                <c:pt idx="8" formatCode="#,##0">
                  <c:v>200000000</c:v>
                </c:pt>
                <c:pt idx="9" formatCode="#,##0">
                  <c:v>250000000</c:v>
                </c:pt>
              </c:numCache>
            </c:numRef>
          </c:cat>
          <c:val>
            <c:numRef>
              <c:f>'OZL Tables'!$BI$128:$BI$137</c:f>
              <c:numCache>
                <c:formatCode>#,##0</c:formatCode>
                <c:ptCount val="10"/>
                <c:pt idx="0">
                  <c:v>0</c:v>
                </c:pt>
                <c:pt idx="1">
                  <c:v>0</c:v>
                </c:pt>
                <c:pt idx="2">
                  <c:v>22336329.078738373</c:v>
                </c:pt>
                <c:pt idx="3">
                  <c:v>0</c:v>
                </c:pt>
                <c:pt idx="4">
                  <c:v>0</c:v>
                </c:pt>
                <c:pt idx="5">
                  <c:v>0</c:v>
                </c:pt>
                <c:pt idx="6">
                  <c:v>226126304.09125558</c:v>
                </c:pt>
              </c:numCache>
            </c:numRef>
          </c:val>
          <c:smooth val="0"/>
          <c:extLst>
            <c:ext xmlns:c16="http://schemas.microsoft.com/office/drawing/2014/chart" uri="{C3380CC4-5D6E-409C-BE32-E72D297353CC}">
              <c16:uniqueId val="{00000001-818E-4B5C-BC89-0572504D1AA2}"/>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'OZL Tables'!$BH$128:$BH$137</c:f>
              <c:numCache>
                <c:formatCode>General</c:formatCode>
                <c:ptCount val="10"/>
                <c:pt idx="0">
                  <c:v>4000000</c:v>
                </c:pt>
                <c:pt idx="1">
                  <c:v>8000000</c:v>
                </c:pt>
                <c:pt idx="2">
                  <c:v>20000000</c:v>
                </c:pt>
                <c:pt idx="3">
                  <c:v>40000000</c:v>
                </c:pt>
                <c:pt idx="4">
                  <c:v>60000000</c:v>
                </c:pt>
                <c:pt idx="5">
                  <c:v>80000000</c:v>
                </c:pt>
                <c:pt idx="6">
                  <c:v>120000000</c:v>
                </c:pt>
                <c:pt idx="7" formatCode="#,##0">
                  <c:v>150000000</c:v>
                </c:pt>
                <c:pt idx="8" formatCode="#,##0">
                  <c:v>200000000</c:v>
                </c:pt>
                <c:pt idx="9" formatCode="#,##0">
                  <c:v>250000000</c:v>
                </c:pt>
              </c:numCache>
            </c:numRef>
          </c:cat>
          <c:val>
            <c:numRef>
              <c:f>'OZL Tables'!$BJ$128:$BJ$137</c:f>
              <c:numCache>
                <c:formatCode>General</c:formatCode>
                <c:ptCount val="10"/>
                <c:pt idx="7" formatCode="#,##0">
                  <c:v>295000000</c:v>
                </c:pt>
                <c:pt idx="8" formatCode="#,##0">
                  <c:v>396000000</c:v>
                </c:pt>
                <c:pt idx="9" formatCode="#,##0">
                  <c:v>510000000</c:v>
                </c:pt>
              </c:numCache>
            </c:numRef>
          </c:val>
          <c:smooth val="0"/>
          <c:extLst>
            <c:ext xmlns:c16="http://schemas.microsoft.com/office/drawing/2014/chart" uri="{C3380CC4-5D6E-409C-BE32-E72D297353CC}">
              <c16:uniqueId val="{00000002-818E-4B5C-BC89-0572504D1AA2}"/>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1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'OZL Tables'!$BH$109:$BH$118</c:f>
              <c:numCache>
                <c:formatCode>General</c:formatCode>
                <c:ptCount val="10"/>
                <c:pt idx="0">
                  <c:v>8000000</c:v>
                </c:pt>
                <c:pt idx="1">
                  <c:v>20000000</c:v>
                </c:pt>
                <c:pt idx="2">
                  <c:v>30000000</c:v>
                </c:pt>
                <c:pt idx="3">
                  <c:v>50000000</c:v>
                </c:pt>
                <c:pt idx="4">
                  <c:v>100000000</c:v>
                </c:pt>
                <c:pt idx="5">
                  <c:v>160000000</c:v>
                </c:pt>
                <c:pt idx="6" formatCode="#,##0">
                  <c:v>200000000</c:v>
                </c:pt>
                <c:pt idx="7" formatCode="#,##0">
                  <c:v>250000000</c:v>
                </c:pt>
                <c:pt idx="8" formatCode="#,##0">
                  <c:v>300000000</c:v>
                </c:pt>
                <c:pt idx="9" formatCode="#,##0">
                  <c:v>350000000</c:v>
                </c:pt>
              </c:numCache>
            </c:numRef>
          </c:cat>
          <c:val>
            <c:numRef>
              <c:f>'OZL Tables'!$BI$109:$BI$118</c:f>
              <c:numCache>
                <c:formatCode>#,##0</c:formatCode>
                <c:ptCount val="10"/>
                <c:pt idx="0">
                  <c:v>0</c:v>
                </c:pt>
                <c:pt idx="1">
                  <c:v>22336329.078738373</c:v>
                </c:pt>
                <c:pt idx="2">
                  <c:v>33740757.558997057</c:v>
                </c:pt>
                <c:pt idx="3">
                  <c:v>75843438</c:v>
                </c:pt>
                <c:pt idx="4">
                  <c:v>184142772</c:v>
                </c:pt>
                <c:pt idx="5">
                  <c:v>296207934</c:v>
                </c:pt>
              </c:numCache>
            </c:numRef>
          </c:val>
          <c:smooth val="0"/>
          <c:extLst>
            <c:ext xmlns:c16="http://schemas.microsoft.com/office/drawing/2014/chart" uri="{C3380CC4-5D6E-409C-BE32-E72D297353CC}">
              <c16:uniqueId val="{00000001-FBFC-4F66-BB59-31A6897C848D}"/>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'OZL Tables'!$BH$109:$BH$118</c:f>
              <c:numCache>
                <c:formatCode>General</c:formatCode>
                <c:ptCount val="10"/>
                <c:pt idx="0">
                  <c:v>8000000</c:v>
                </c:pt>
                <c:pt idx="1">
                  <c:v>20000000</c:v>
                </c:pt>
                <c:pt idx="2">
                  <c:v>30000000</c:v>
                </c:pt>
                <c:pt idx="3">
                  <c:v>50000000</c:v>
                </c:pt>
                <c:pt idx="4">
                  <c:v>100000000</c:v>
                </c:pt>
                <c:pt idx="5">
                  <c:v>160000000</c:v>
                </c:pt>
                <c:pt idx="6" formatCode="#,##0">
                  <c:v>200000000</c:v>
                </c:pt>
                <c:pt idx="7" formatCode="#,##0">
                  <c:v>250000000</c:v>
                </c:pt>
                <c:pt idx="8" formatCode="#,##0">
                  <c:v>300000000</c:v>
                </c:pt>
                <c:pt idx="9" formatCode="#,##0">
                  <c:v>350000000</c:v>
                </c:pt>
              </c:numCache>
            </c:numRef>
          </c:cat>
          <c:val>
            <c:numRef>
              <c:f>'OZL Tables'!$BJ$109:$BJ$118</c:f>
              <c:numCache>
                <c:formatCode>General</c:formatCode>
                <c:ptCount val="10"/>
                <c:pt idx="6" formatCode="#,##0">
                  <c:v>400000000</c:v>
                </c:pt>
                <c:pt idx="7" formatCode="#,##0">
                  <c:v>510000000</c:v>
                </c:pt>
                <c:pt idx="8" formatCode="#,##0">
                  <c:v>640000000</c:v>
                </c:pt>
                <c:pt idx="9" formatCode="#,##0">
                  <c:v>800000000</c:v>
                </c:pt>
              </c:numCache>
            </c:numRef>
          </c:val>
          <c:smooth val="0"/>
          <c:extLst>
            <c:ext xmlns:c16="http://schemas.microsoft.com/office/drawing/2014/chart" uri="{C3380CC4-5D6E-409C-BE32-E72D297353CC}">
              <c16:uniqueId val="{00000002-FBFC-4F66-BB59-31A6897C848D}"/>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1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'OZL Tables'!$Z$13:$Z$22</c:f>
              <c:numCache>
                <c:formatCode>General</c:formatCode>
                <c:ptCount val="10"/>
                <c:pt idx="0">
                  <c:v>8000000</c:v>
                </c:pt>
                <c:pt idx="1">
                  <c:v>20000000</c:v>
                </c:pt>
                <c:pt idx="2">
                  <c:v>30000000</c:v>
                </c:pt>
                <c:pt idx="3">
                  <c:v>50000000</c:v>
                </c:pt>
                <c:pt idx="4">
                  <c:v>100000000</c:v>
                </c:pt>
                <c:pt idx="5">
                  <c:v>160000000</c:v>
                </c:pt>
                <c:pt idx="6" formatCode="#,##0">
                  <c:v>200000000</c:v>
                </c:pt>
                <c:pt idx="7" formatCode="#,##0">
                  <c:v>250000000</c:v>
                </c:pt>
                <c:pt idx="8" formatCode="#,##0">
                  <c:v>300000000</c:v>
                </c:pt>
                <c:pt idx="9" formatCode="#,##0">
                  <c:v>350000000</c:v>
                </c:pt>
              </c:numCache>
            </c:numRef>
          </c:cat>
          <c:val>
            <c:numRef>
              <c:f>'OZL Tables'!$AA$13:$AA$22</c:f>
              <c:numCache>
                <c:formatCode>#,##0</c:formatCode>
                <c:ptCount val="10"/>
                <c:pt idx="0">
                  <c:v>0</c:v>
                </c:pt>
                <c:pt idx="1">
                  <c:v>20856062.892587233</c:v>
                </c:pt>
                <c:pt idx="2">
                  <c:v>25744501.172377277</c:v>
                </c:pt>
                <c:pt idx="3">
                  <c:v>41464495.575221241</c:v>
                </c:pt>
              </c:numCache>
            </c:numRef>
          </c:val>
          <c:smooth val="0"/>
          <c:extLst>
            <c:ext xmlns:c16="http://schemas.microsoft.com/office/drawing/2014/chart" uri="{C3380CC4-5D6E-409C-BE32-E72D297353CC}">
              <c16:uniqueId val="{00000001-BCC2-46FF-84E8-99615B0E8946}"/>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'OZL Tables'!$Z$13:$Z$22</c:f>
              <c:numCache>
                <c:formatCode>General</c:formatCode>
                <c:ptCount val="10"/>
                <c:pt idx="0">
                  <c:v>8000000</c:v>
                </c:pt>
                <c:pt idx="1">
                  <c:v>20000000</c:v>
                </c:pt>
                <c:pt idx="2">
                  <c:v>30000000</c:v>
                </c:pt>
                <c:pt idx="3">
                  <c:v>50000000</c:v>
                </c:pt>
                <c:pt idx="4">
                  <c:v>100000000</c:v>
                </c:pt>
                <c:pt idx="5">
                  <c:v>160000000</c:v>
                </c:pt>
                <c:pt idx="6" formatCode="#,##0">
                  <c:v>200000000</c:v>
                </c:pt>
                <c:pt idx="7" formatCode="#,##0">
                  <c:v>250000000</c:v>
                </c:pt>
                <c:pt idx="8" formatCode="#,##0">
                  <c:v>300000000</c:v>
                </c:pt>
                <c:pt idx="9" formatCode="#,##0">
                  <c:v>350000000</c:v>
                </c:pt>
              </c:numCache>
            </c:numRef>
          </c:cat>
          <c:val>
            <c:numRef>
              <c:f>'OZL Tables'!$AB$13:$AB$22</c:f>
              <c:numCache>
                <c:formatCode>General</c:formatCode>
                <c:ptCount val="10"/>
                <c:pt idx="4" formatCode="#,##0">
                  <c:v>169119600</c:v>
                </c:pt>
                <c:pt idx="5" formatCode="#,##0">
                  <c:v>257407799.99999997</c:v>
                </c:pt>
                <c:pt idx="6" formatCode="#,##0">
                  <c:v>316266600</c:v>
                </c:pt>
                <c:pt idx="7" formatCode="#,##0">
                  <c:v>389840099.99999994</c:v>
                </c:pt>
                <c:pt idx="8" formatCode="#,##0">
                  <c:v>463413600</c:v>
                </c:pt>
                <c:pt idx="9" formatCode="#,##0">
                  <c:v>536987100</c:v>
                </c:pt>
              </c:numCache>
            </c:numRef>
          </c:val>
          <c:smooth val="0"/>
          <c:extLst>
            <c:ext xmlns:c16="http://schemas.microsoft.com/office/drawing/2014/chart" uri="{C3380CC4-5D6E-409C-BE32-E72D297353CC}">
              <c16:uniqueId val="{00000002-BCC2-46FF-84E8-99615B0E8946}"/>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1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'OZL Tables'!$Z$89:$Z$98</c:f>
              <c:numCache>
                <c:formatCode>General</c:formatCode>
                <c:ptCount val="10"/>
                <c:pt idx="0">
                  <c:v>2000000</c:v>
                </c:pt>
                <c:pt idx="1">
                  <c:v>5000000</c:v>
                </c:pt>
                <c:pt idx="2">
                  <c:v>15000000</c:v>
                </c:pt>
                <c:pt idx="3">
                  <c:v>25000000</c:v>
                </c:pt>
                <c:pt idx="4">
                  <c:v>35000000</c:v>
                </c:pt>
                <c:pt idx="5">
                  <c:v>50000000</c:v>
                </c:pt>
                <c:pt idx="6" formatCode="#,##0">
                  <c:v>70000000</c:v>
                </c:pt>
                <c:pt idx="7" formatCode="#,##0">
                  <c:v>100000000</c:v>
                </c:pt>
                <c:pt idx="8" formatCode="#,##0">
                  <c:v>150000000</c:v>
                </c:pt>
                <c:pt idx="9" formatCode="#,##0">
                  <c:v>200000000</c:v>
                </c:pt>
              </c:numCache>
            </c:numRef>
          </c:cat>
          <c:val>
            <c:numRef>
              <c:f>'OZL Tables'!$AA$89:$AA$98</c:f>
              <c:numCache>
                <c:formatCode>#,##0</c:formatCode>
                <c:ptCount val="10"/>
                <c:pt idx="0">
                  <c:v>9341251.497971978</c:v>
                </c:pt>
                <c:pt idx="1">
                  <c:v>12069524.590883553</c:v>
                </c:pt>
                <c:pt idx="2">
                  <c:v>19054671.89036382</c:v>
                </c:pt>
                <c:pt idx="5">
                  <c:v>45746976.155358903</c:v>
                </c:pt>
              </c:numCache>
            </c:numRef>
          </c:val>
          <c:smooth val="0"/>
          <c:extLst>
            <c:ext xmlns:c16="http://schemas.microsoft.com/office/drawing/2014/chart" uri="{C3380CC4-5D6E-409C-BE32-E72D297353CC}">
              <c16:uniqueId val="{00000001-ED0C-4CCC-882D-2852C4815DF5}"/>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'OZL Tables'!$Z$89:$Z$98</c:f>
              <c:numCache>
                <c:formatCode>General</c:formatCode>
                <c:ptCount val="10"/>
                <c:pt idx="0">
                  <c:v>2000000</c:v>
                </c:pt>
                <c:pt idx="1">
                  <c:v>5000000</c:v>
                </c:pt>
                <c:pt idx="2">
                  <c:v>15000000</c:v>
                </c:pt>
                <c:pt idx="3">
                  <c:v>25000000</c:v>
                </c:pt>
                <c:pt idx="4">
                  <c:v>35000000</c:v>
                </c:pt>
                <c:pt idx="5">
                  <c:v>50000000</c:v>
                </c:pt>
                <c:pt idx="6" formatCode="#,##0">
                  <c:v>70000000</c:v>
                </c:pt>
                <c:pt idx="7" formatCode="#,##0">
                  <c:v>100000000</c:v>
                </c:pt>
                <c:pt idx="8" formatCode="#,##0">
                  <c:v>150000000</c:v>
                </c:pt>
                <c:pt idx="9" formatCode="#,##0">
                  <c:v>200000000</c:v>
                </c:pt>
              </c:numCache>
            </c:numRef>
          </c:cat>
          <c:val>
            <c:numRef>
              <c:f>'OZL Tables'!$AB$89:$AB$98</c:f>
              <c:numCache>
                <c:formatCode>General</c:formatCode>
                <c:ptCount val="10"/>
                <c:pt idx="3" formatCode="#,##0">
                  <c:v>27632500</c:v>
                </c:pt>
                <c:pt idx="4" formatCode="#,##0">
                  <c:v>35271500</c:v>
                </c:pt>
                <c:pt idx="6" formatCode="#,##0">
                  <c:v>62007999.999999993</c:v>
                </c:pt>
                <c:pt idx="7" formatCode="#,##0">
                  <c:v>110402500</c:v>
                </c:pt>
                <c:pt idx="8" formatCode="#,##0">
                  <c:v>160056000</c:v>
                </c:pt>
                <c:pt idx="9" formatCode="#,##0">
                  <c:v>209709500</c:v>
                </c:pt>
              </c:numCache>
            </c:numRef>
          </c:val>
          <c:smooth val="0"/>
          <c:extLst>
            <c:ext xmlns:c16="http://schemas.microsoft.com/office/drawing/2014/chart" uri="{C3380CC4-5D6E-409C-BE32-E72D297353CC}">
              <c16:uniqueId val="{00000002-ED0C-4CCC-882D-2852C4815DF5}"/>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1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'OZL Tables'!$Z$108:$Z$117</c:f>
              <c:numCache>
                <c:formatCode>General</c:formatCode>
                <c:ptCount val="10"/>
                <c:pt idx="0">
                  <c:v>2000000</c:v>
                </c:pt>
                <c:pt idx="1">
                  <c:v>5000000</c:v>
                </c:pt>
                <c:pt idx="2">
                  <c:v>10000000</c:v>
                </c:pt>
                <c:pt idx="3">
                  <c:v>20000000</c:v>
                </c:pt>
                <c:pt idx="4">
                  <c:v>30000000</c:v>
                </c:pt>
                <c:pt idx="5">
                  <c:v>50000000</c:v>
                </c:pt>
                <c:pt idx="6" formatCode="#,##0">
                  <c:v>70000000</c:v>
                </c:pt>
                <c:pt idx="7" formatCode="#,##0">
                  <c:v>100000000</c:v>
                </c:pt>
                <c:pt idx="8" formatCode="#,##0">
                  <c:v>150000000</c:v>
                </c:pt>
                <c:pt idx="9" formatCode="#,##0">
                  <c:v>200000000</c:v>
                </c:pt>
              </c:numCache>
            </c:numRef>
          </c:cat>
          <c:val>
            <c:numRef>
              <c:f>'OZL Tables'!$AA$108:$AA$117</c:f>
              <c:numCache>
                <c:formatCode>#,##0</c:formatCode>
                <c:ptCount val="10"/>
                <c:pt idx="0">
                  <c:v>9073231.4492906313</c:v>
                </c:pt>
                <c:pt idx="1">
                  <c:v>11219228.065199306</c:v>
                </c:pt>
                <c:pt idx="2">
                  <c:v>16756106.619290249</c:v>
                </c:pt>
                <c:pt idx="3">
                  <c:v>23315735.373647988</c:v>
                </c:pt>
                <c:pt idx="4">
                  <c:v>33740757.558997057</c:v>
                </c:pt>
                <c:pt idx="5">
                  <c:v>48317783.062930189</c:v>
                </c:pt>
              </c:numCache>
            </c:numRef>
          </c:val>
          <c:smooth val="0"/>
          <c:extLst>
            <c:ext xmlns:c16="http://schemas.microsoft.com/office/drawing/2014/chart" uri="{C3380CC4-5D6E-409C-BE32-E72D297353CC}">
              <c16:uniqueId val="{00000001-832B-4177-8A66-6FCCC6BC20BD}"/>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'OZL Tables'!$Z$108:$Z$117</c:f>
              <c:numCache>
                <c:formatCode>General</c:formatCode>
                <c:ptCount val="10"/>
                <c:pt idx="0">
                  <c:v>2000000</c:v>
                </c:pt>
                <c:pt idx="1">
                  <c:v>5000000</c:v>
                </c:pt>
                <c:pt idx="2">
                  <c:v>10000000</c:v>
                </c:pt>
                <c:pt idx="3">
                  <c:v>20000000</c:v>
                </c:pt>
                <c:pt idx="4">
                  <c:v>30000000</c:v>
                </c:pt>
                <c:pt idx="5">
                  <c:v>50000000</c:v>
                </c:pt>
                <c:pt idx="6" formatCode="#,##0">
                  <c:v>70000000</c:v>
                </c:pt>
                <c:pt idx="7" formatCode="#,##0">
                  <c:v>100000000</c:v>
                </c:pt>
                <c:pt idx="8" formatCode="#,##0">
                  <c:v>150000000</c:v>
                </c:pt>
                <c:pt idx="9" formatCode="#,##0">
                  <c:v>200000000</c:v>
                </c:pt>
              </c:numCache>
            </c:numRef>
          </c:cat>
          <c:val>
            <c:numRef>
              <c:f>'OZL Tables'!$AB$108:$AB$117</c:f>
              <c:numCache>
                <c:formatCode>General</c:formatCode>
                <c:ptCount val="10"/>
                <c:pt idx="6" formatCode="#,##0">
                  <c:v>67592500</c:v>
                </c:pt>
                <c:pt idx="7" formatCode="#,##0">
                  <c:v>121780750.00000003</c:v>
                </c:pt>
                <c:pt idx="8" formatCode="#,##0">
                  <c:v>178298250</c:v>
                </c:pt>
                <c:pt idx="9" formatCode="#,##0">
                  <c:v>234815750</c:v>
                </c:pt>
              </c:numCache>
            </c:numRef>
          </c:val>
          <c:smooth val="0"/>
          <c:extLst>
            <c:ext xmlns:c16="http://schemas.microsoft.com/office/drawing/2014/chart" uri="{C3380CC4-5D6E-409C-BE32-E72D297353CC}">
              <c16:uniqueId val="{00000002-832B-4177-8A66-6FCCC6BC20BD}"/>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1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'OZL Tables'!$Z$128:$Z$137</c:f>
              <c:numCache>
                <c:formatCode>General</c:formatCode>
                <c:ptCount val="10"/>
                <c:pt idx="0">
                  <c:v>3000000</c:v>
                </c:pt>
                <c:pt idx="1">
                  <c:v>5000000</c:v>
                </c:pt>
                <c:pt idx="2">
                  <c:v>10000000</c:v>
                </c:pt>
                <c:pt idx="3">
                  <c:v>20000000</c:v>
                </c:pt>
                <c:pt idx="4">
                  <c:v>30000000</c:v>
                </c:pt>
                <c:pt idx="5">
                  <c:v>50000000</c:v>
                </c:pt>
                <c:pt idx="6" formatCode="#,##0">
                  <c:v>70000000</c:v>
                </c:pt>
                <c:pt idx="7" formatCode="#,##0">
                  <c:v>100000000</c:v>
                </c:pt>
                <c:pt idx="8" formatCode="#,##0">
                  <c:v>150000000</c:v>
                </c:pt>
                <c:pt idx="9" formatCode="#,##0">
                  <c:v>200000000</c:v>
                </c:pt>
              </c:numCache>
            </c:numRef>
          </c:cat>
          <c:val>
            <c:numRef>
              <c:f>'OZL Tables'!$AA$128:$AA$137</c:f>
              <c:numCache>
                <c:formatCode>#,##0</c:formatCode>
                <c:ptCount val="10"/>
                <c:pt idx="0">
                  <c:v>8802283.5111123063</c:v>
                </c:pt>
                <c:pt idx="1">
                  <c:v>10617691.177648038</c:v>
                </c:pt>
                <c:pt idx="2">
                  <c:v>13579888.338428162</c:v>
                </c:pt>
                <c:pt idx="3">
                  <c:v>20693178.22019887</c:v>
                </c:pt>
                <c:pt idx="4">
                  <c:v>25387419.48057656</c:v>
                </c:pt>
                <c:pt idx="5">
                  <c:v>41464495.575221241</c:v>
                </c:pt>
              </c:numCache>
            </c:numRef>
          </c:val>
          <c:smooth val="0"/>
          <c:extLst>
            <c:ext xmlns:c16="http://schemas.microsoft.com/office/drawing/2014/chart" uri="{C3380CC4-5D6E-409C-BE32-E72D297353CC}">
              <c16:uniqueId val="{00000001-A9DD-4E25-ACEF-E90D56A13DE6}"/>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'OZL Tables'!$Z$128:$Z$137</c:f>
              <c:numCache>
                <c:formatCode>General</c:formatCode>
                <c:ptCount val="10"/>
                <c:pt idx="0">
                  <c:v>3000000</c:v>
                </c:pt>
                <c:pt idx="1">
                  <c:v>5000000</c:v>
                </c:pt>
                <c:pt idx="2">
                  <c:v>10000000</c:v>
                </c:pt>
                <c:pt idx="3">
                  <c:v>20000000</c:v>
                </c:pt>
                <c:pt idx="4">
                  <c:v>30000000</c:v>
                </c:pt>
                <c:pt idx="5">
                  <c:v>50000000</c:v>
                </c:pt>
                <c:pt idx="6" formatCode="#,##0">
                  <c:v>70000000</c:v>
                </c:pt>
                <c:pt idx="7" formatCode="#,##0">
                  <c:v>100000000</c:v>
                </c:pt>
                <c:pt idx="8" formatCode="#,##0">
                  <c:v>150000000</c:v>
                </c:pt>
                <c:pt idx="9" formatCode="#,##0">
                  <c:v>200000000</c:v>
                </c:pt>
              </c:numCache>
            </c:numRef>
          </c:cat>
          <c:val>
            <c:numRef>
              <c:f>'OZL Tables'!$AB$128:$AB$137</c:f>
              <c:numCache>
                <c:formatCode>General</c:formatCode>
                <c:ptCount val="10"/>
                <c:pt idx="6" formatCode="#,##0">
                  <c:v>58528200</c:v>
                </c:pt>
                <c:pt idx="7" formatCode="#,##0">
                  <c:v>105984060</c:v>
                </c:pt>
                <c:pt idx="8" formatCode="#,##0">
                  <c:v>155813060</c:v>
                </c:pt>
                <c:pt idx="9" formatCode="#,##0">
                  <c:v>205642060</c:v>
                </c:pt>
              </c:numCache>
            </c:numRef>
          </c:val>
          <c:smooth val="0"/>
          <c:extLst>
            <c:ext xmlns:c16="http://schemas.microsoft.com/office/drawing/2014/chart" uri="{C3380CC4-5D6E-409C-BE32-E72D297353CC}">
              <c16:uniqueId val="{00000002-A9DD-4E25-ACEF-E90D56A13DE6}"/>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1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'OZL Tables'!$Z$128:$Z$137</c:f>
              <c:numCache>
                <c:formatCode>General</c:formatCode>
                <c:ptCount val="10"/>
                <c:pt idx="0">
                  <c:v>3000000</c:v>
                </c:pt>
                <c:pt idx="1">
                  <c:v>5000000</c:v>
                </c:pt>
                <c:pt idx="2">
                  <c:v>10000000</c:v>
                </c:pt>
                <c:pt idx="3">
                  <c:v>20000000</c:v>
                </c:pt>
                <c:pt idx="4">
                  <c:v>30000000</c:v>
                </c:pt>
                <c:pt idx="5">
                  <c:v>50000000</c:v>
                </c:pt>
                <c:pt idx="6" formatCode="#,##0">
                  <c:v>70000000</c:v>
                </c:pt>
                <c:pt idx="7" formatCode="#,##0">
                  <c:v>100000000</c:v>
                </c:pt>
                <c:pt idx="8" formatCode="#,##0">
                  <c:v>150000000</c:v>
                </c:pt>
                <c:pt idx="9" formatCode="#,##0">
                  <c:v>200000000</c:v>
                </c:pt>
              </c:numCache>
            </c:numRef>
          </c:cat>
          <c:val>
            <c:numRef>
              <c:f>'OZL Tables'!$AA$128:$AA$137</c:f>
              <c:numCache>
                <c:formatCode>#,##0</c:formatCode>
                <c:ptCount val="10"/>
                <c:pt idx="0">
                  <c:v>8802283.5111123063</c:v>
                </c:pt>
                <c:pt idx="1">
                  <c:v>10617691.177648038</c:v>
                </c:pt>
                <c:pt idx="2">
                  <c:v>13579888.338428162</c:v>
                </c:pt>
                <c:pt idx="3">
                  <c:v>20693178.22019887</c:v>
                </c:pt>
                <c:pt idx="4">
                  <c:v>25387419.48057656</c:v>
                </c:pt>
                <c:pt idx="5">
                  <c:v>41464495.575221241</c:v>
                </c:pt>
              </c:numCache>
            </c:numRef>
          </c:val>
          <c:smooth val="0"/>
          <c:extLst>
            <c:ext xmlns:c16="http://schemas.microsoft.com/office/drawing/2014/chart" uri="{C3380CC4-5D6E-409C-BE32-E72D297353CC}">
              <c16:uniqueId val="{00000001-B2DE-4E85-924B-1318D8A3BB25}"/>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'OZL Tables'!$Z$128:$Z$137</c:f>
              <c:numCache>
                <c:formatCode>General</c:formatCode>
                <c:ptCount val="10"/>
                <c:pt idx="0">
                  <c:v>3000000</c:v>
                </c:pt>
                <c:pt idx="1">
                  <c:v>5000000</c:v>
                </c:pt>
                <c:pt idx="2">
                  <c:v>10000000</c:v>
                </c:pt>
                <c:pt idx="3">
                  <c:v>20000000</c:v>
                </c:pt>
                <c:pt idx="4">
                  <c:v>30000000</c:v>
                </c:pt>
                <c:pt idx="5">
                  <c:v>50000000</c:v>
                </c:pt>
                <c:pt idx="6" formatCode="#,##0">
                  <c:v>70000000</c:v>
                </c:pt>
                <c:pt idx="7" formatCode="#,##0">
                  <c:v>100000000</c:v>
                </c:pt>
                <c:pt idx="8" formatCode="#,##0">
                  <c:v>150000000</c:v>
                </c:pt>
                <c:pt idx="9" formatCode="#,##0">
                  <c:v>200000000</c:v>
                </c:pt>
              </c:numCache>
            </c:numRef>
          </c:cat>
          <c:val>
            <c:numRef>
              <c:f>'OZL Tables'!$AB$128:$AB$137</c:f>
              <c:numCache>
                <c:formatCode>General</c:formatCode>
                <c:ptCount val="10"/>
                <c:pt idx="6" formatCode="#,##0">
                  <c:v>58528200</c:v>
                </c:pt>
                <c:pt idx="7" formatCode="#,##0">
                  <c:v>105984060</c:v>
                </c:pt>
                <c:pt idx="8" formatCode="#,##0">
                  <c:v>155813060</c:v>
                </c:pt>
                <c:pt idx="9" formatCode="#,##0">
                  <c:v>205642060</c:v>
                </c:pt>
              </c:numCache>
            </c:numRef>
          </c:val>
          <c:smooth val="0"/>
          <c:extLst>
            <c:ext xmlns:c16="http://schemas.microsoft.com/office/drawing/2014/chart" uri="{C3380CC4-5D6E-409C-BE32-E72D297353CC}">
              <c16:uniqueId val="{00000002-B2DE-4E85-924B-1318D8A3BB25}"/>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1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'OZL Tables'!$AT$90:$AT$99</c:f>
              <c:numCache>
                <c:formatCode>General</c:formatCode>
                <c:ptCount val="10"/>
                <c:pt idx="0">
                  <c:v>3000000</c:v>
                </c:pt>
                <c:pt idx="1">
                  <c:v>8000000</c:v>
                </c:pt>
                <c:pt idx="2">
                  <c:v>12000000</c:v>
                </c:pt>
                <c:pt idx="3">
                  <c:v>20000000</c:v>
                </c:pt>
                <c:pt idx="4">
                  <c:v>40000000</c:v>
                </c:pt>
                <c:pt idx="5">
                  <c:v>60000000</c:v>
                </c:pt>
                <c:pt idx="6">
                  <c:v>80000000</c:v>
                </c:pt>
                <c:pt idx="7">
                  <c:v>100000000</c:v>
                </c:pt>
                <c:pt idx="8" formatCode="#,##0">
                  <c:v>150000000</c:v>
                </c:pt>
                <c:pt idx="9" formatCode="#,##0">
                  <c:v>200000000</c:v>
                </c:pt>
              </c:numCache>
            </c:numRef>
          </c:cat>
          <c:val>
            <c:numRef>
              <c:f>'OZL Tables'!$AU$90:$AU$99</c:f>
              <c:numCache>
                <c:formatCode>#,##0</c:formatCode>
                <c:ptCount val="10"/>
                <c:pt idx="0">
                  <c:v>14122742.885888001</c:v>
                </c:pt>
                <c:pt idx="1">
                  <c:v>18997084.701504003</c:v>
                </c:pt>
                <c:pt idx="2">
                  <c:v>23954590.243584003</c:v>
                </c:pt>
                <c:pt idx="3">
                  <c:v>29706800.812416002</c:v>
                </c:pt>
                <c:pt idx="4">
                  <c:v>44655295.112064004</c:v>
                </c:pt>
                <c:pt idx="5">
                  <c:v>74486643.678720012</c:v>
                </c:pt>
                <c:pt idx="6">
                  <c:v>107547960.19968002</c:v>
                </c:pt>
                <c:pt idx="7">
                  <c:v>182730157.90848002</c:v>
                </c:pt>
              </c:numCache>
            </c:numRef>
          </c:val>
          <c:smooth val="0"/>
          <c:extLst>
            <c:ext xmlns:c16="http://schemas.microsoft.com/office/drawing/2014/chart" uri="{C3380CC4-5D6E-409C-BE32-E72D297353CC}">
              <c16:uniqueId val="{00000001-56F4-4CD1-95A0-ACC8DB63FFA1}"/>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'OZL Tables'!$AT$90:$AT$99</c:f>
              <c:numCache>
                <c:formatCode>General</c:formatCode>
                <c:ptCount val="10"/>
                <c:pt idx="0">
                  <c:v>3000000</c:v>
                </c:pt>
                <c:pt idx="1">
                  <c:v>8000000</c:v>
                </c:pt>
                <c:pt idx="2">
                  <c:v>12000000</c:v>
                </c:pt>
                <c:pt idx="3">
                  <c:v>20000000</c:v>
                </c:pt>
                <c:pt idx="4">
                  <c:v>40000000</c:v>
                </c:pt>
                <c:pt idx="5">
                  <c:v>60000000</c:v>
                </c:pt>
                <c:pt idx="6">
                  <c:v>80000000</c:v>
                </c:pt>
                <c:pt idx="7">
                  <c:v>100000000</c:v>
                </c:pt>
                <c:pt idx="8" formatCode="#,##0">
                  <c:v>150000000</c:v>
                </c:pt>
                <c:pt idx="9" formatCode="#,##0">
                  <c:v>200000000</c:v>
                </c:pt>
              </c:numCache>
            </c:numRef>
          </c:cat>
          <c:val>
            <c:numRef>
              <c:f>'OZL Tables'!$AV$90:$AV$99</c:f>
              <c:numCache>
                <c:formatCode>General</c:formatCode>
                <c:ptCount val="10"/>
                <c:pt idx="8" formatCode="#,##0">
                  <c:v>233863636.36363637</c:v>
                </c:pt>
                <c:pt idx="9" formatCode="#,##0">
                  <c:v>300681818.18181819</c:v>
                </c:pt>
              </c:numCache>
            </c:numRef>
          </c:val>
          <c:smooth val="0"/>
          <c:extLst>
            <c:ext xmlns:c16="http://schemas.microsoft.com/office/drawing/2014/chart" uri="{C3380CC4-5D6E-409C-BE32-E72D297353CC}">
              <c16:uniqueId val="{00000002-56F4-4CD1-95A0-ACC8DB63FFA1}"/>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1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'OZL Tables'!$AT$109:$AT$118</c:f>
              <c:numCache>
                <c:formatCode>General</c:formatCode>
                <c:ptCount val="10"/>
                <c:pt idx="0">
                  <c:v>4000000</c:v>
                </c:pt>
                <c:pt idx="1">
                  <c:v>8000000</c:v>
                </c:pt>
                <c:pt idx="2">
                  <c:v>20000000</c:v>
                </c:pt>
                <c:pt idx="3">
                  <c:v>40000000</c:v>
                </c:pt>
                <c:pt idx="4">
                  <c:v>60000000</c:v>
                </c:pt>
                <c:pt idx="5">
                  <c:v>80000000</c:v>
                </c:pt>
                <c:pt idx="6">
                  <c:v>120000000</c:v>
                </c:pt>
                <c:pt idx="7" formatCode="#,##0">
                  <c:v>150000000</c:v>
                </c:pt>
                <c:pt idx="8" formatCode="#,##0">
                  <c:v>200000000</c:v>
                </c:pt>
                <c:pt idx="9" formatCode="#,##0">
                  <c:v>250000000</c:v>
                </c:pt>
              </c:numCache>
            </c:numRef>
          </c:cat>
          <c:val>
            <c:numRef>
              <c:f>'OZL Tables'!$AU$109:$AU$118</c:f>
              <c:numCache>
                <c:formatCode>#,##0</c:formatCode>
                <c:ptCount val="10"/>
                <c:pt idx="0">
                  <c:v>0</c:v>
                </c:pt>
                <c:pt idx="1">
                  <c:v>0</c:v>
                </c:pt>
                <c:pt idx="2">
                  <c:v>19569798.941162817</c:v>
                </c:pt>
                <c:pt idx="3">
                  <c:v>0</c:v>
                </c:pt>
                <c:pt idx="4">
                  <c:v>0</c:v>
                </c:pt>
                <c:pt idx="5">
                  <c:v>0</c:v>
                </c:pt>
                <c:pt idx="6">
                  <c:v>198513198.82120329</c:v>
                </c:pt>
              </c:numCache>
            </c:numRef>
          </c:val>
          <c:smooth val="0"/>
          <c:extLst>
            <c:ext xmlns:c16="http://schemas.microsoft.com/office/drawing/2014/chart" uri="{C3380CC4-5D6E-409C-BE32-E72D297353CC}">
              <c16:uniqueId val="{00000001-4012-4224-91D0-40A5F17CBA8B}"/>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'OZL Tables'!$AT$109:$AT$118</c:f>
              <c:numCache>
                <c:formatCode>General</c:formatCode>
                <c:ptCount val="10"/>
                <c:pt idx="0">
                  <c:v>4000000</c:v>
                </c:pt>
                <c:pt idx="1">
                  <c:v>8000000</c:v>
                </c:pt>
                <c:pt idx="2">
                  <c:v>20000000</c:v>
                </c:pt>
                <c:pt idx="3">
                  <c:v>40000000</c:v>
                </c:pt>
                <c:pt idx="4">
                  <c:v>60000000</c:v>
                </c:pt>
                <c:pt idx="5">
                  <c:v>80000000</c:v>
                </c:pt>
                <c:pt idx="6">
                  <c:v>120000000</c:v>
                </c:pt>
                <c:pt idx="7" formatCode="#,##0">
                  <c:v>150000000</c:v>
                </c:pt>
                <c:pt idx="8" formatCode="#,##0">
                  <c:v>200000000</c:v>
                </c:pt>
                <c:pt idx="9" formatCode="#,##0">
                  <c:v>250000000</c:v>
                </c:pt>
              </c:numCache>
            </c:numRef>
          </c:cat>
          <c:val>
            <c:numRef>
              <c:f>'OZL Tables'!$AV$109:$AV$118</c:f>
              <c:numCache>
                <c:formatCode>#,##0.0</c:formatCode>
                <c:ptCount val="10"/>
                <c:pt idx="7" formatCode="#,##0">
                  <c:v>254125000</c:v>
                </c:pt>
                <c:pt idx="8" formatCode="#,##0">
                  <c:v>341913636.36363637</c:v>
                </c:pt>
                <c:pt idx="9" formatCode="#,##0">
                  <c:v>443563636.36363637</c:v>
                </c:pt>
              </c:numCache>
            </c:numRef>
          </c:val>
          <c:smooth val="0"/>
          <c:extLst>
            <c:ext xmlns:c16="http://schemas.microsoft.com/office/drawing/2014/chart" uri="{C3380CC4-5D6E-409C-BE32-E72D297353CC}">
              <c16:uniqueId val="{00000002-4012-4224-91D0-40A5F17CBA8B}"/>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1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'OZL Tables'!$AT$128:$AT$137</c:f>
              <c:numCache>
                <c:formatCode>General</c:formatCode>
                <c:ptCount val="10"/>
                <c:pt idx="0">
                  <c:v>8000000</c:v>
                </c:pt>
                <c:pt idx="1">
                  <c:v>20000000</c:v>
                </c:pt>
                <c:pt idx="2">
                  <c:v>30000000</c:v>
                </c:pt>
                <c:pt idx="3">
                  <c:v>50000000</c:v>
                </c:pt>
                <c:pt idx="4">
                  <c:v>100000000</c:v>
                </c:pt>
                <c:pt idx="5">
                  <c:v>160000000</c:v>
                </c:pt>
                <c:pt idx="6" formatCode="#,##0">
                  <c:v>200000000</c:v>
                </c:pt>
                <c:pt idx="7" formatCode="#,##0">
                  <c:v>250000000</c:v>
                </c:pt>
                <c:pt idx="8" formatCode="#,##0">
                  <c:v>300000000</c:v>
                </c:pt>
                <c:pt idx="9" formatCode="#,##0">
                  <c:v>350000000</c:v>
                </c:pt>
              </c:numCache>
            </c:numRef>
          </c:cat>
          <c:val>
            <c:numRef>
              <c:f>'OZL Tables'!$AU$128:$AU$137</c:f>
              <c:numCache>
                <c:formatCode>#,##0</c:formatCode>
                <c:ptCount val="10"/>
                <c:pt idx="0">
                  <c:v>0</c:v>
                </c:pt>
                <c:pt idx="1">
                  <c:v>20984831.132186398</c:v>
                </c:pt>
                <c:pt idx="2">
                  <c:v>26371160.32138953</c:v>
                </c:pt>
                <c:pt idx="3">
                  <c:v>41087545.6154465</c:v>
                </c:pt>
                <c:pt idx="4">
                  <c:v>0</c:v>
                </c:pt>
                <c:pt idx="5">
                  <c:v>0</c:v>
                </c:pt>
              </c:numCache>
            </c:numRef>
          </c:val>
          <c:smooth val="0"/>
          <c:extLst>
            <c:ext xmlns:c16="http://schemas.microsoft.com/office/drawing/2014/chart" uri="{C3380CC4-5D6E-409C-BE32-E72D297353CC}">
              <c16:uniqueId val="{00000001-CC19-4FC1-931B-6FACA3897324}"/>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'OZL Tables'!$AT$128:$AT$137</c:f>
              <c:numCache>
                <c:formatCode>General</c:formatCode>
                <c:ptCount val="10"/>
                <c:pt idx="0">
                  <c:v>8000000</c:v>
                </c:pt>
                <c:pt idx="1">
                  <c:v>20000000</c:v>
                </c:pt>
                <c:pt idx="2">
                  <c:v>30000000</c:v>
                </c:pt>
                <c:pt idx="3">
                  <c:v>50000000</c:v>
                </c:pt>
                <c:pt idx="4">
                  <c:v>100000000</c:v>
                </c:pt>
                <c:pt idx="5">
                  <c:v>160000000</c:v>
                </c:pt>
                <c:pt idx="6" formatCode="#,##0">
                  <c:v>200000000</c:v>
                </c:pt>
                <c:pt idx="7" formatCode="#,##0">
                  <c:v>250000000</c:v>
                </c:pt>
                <c:pt idx="8" formatCode="#,##0">
                  <c:v>300000000</c:v>
                </c:pt>
                <c:pt idx="9" formatCode="#,##0">
                  <c:v>350000000</c:v>
                </c:pt>
              </c:numCache>
            </c:numRef>
          </c:cat>
          <c:val>
            <c:numRef>
              <c:f>'OZL Tables'!$AV$128:$AV$137</c:f>
              <c:numCache>
                <c:formatCode>General</c:formatCode>
                <c:ptCount val="10"/>
                <c:pt idx="6" formatCode="#,##0">
                  <c:v>396363636.36363637</c:v>
                </c:pt>
                <c:pt idx="7" formatCode="#,##0">
                  <c:v>515272727.27272731</c:v>
                </c:pt>
                <c:pt idx="8" formatCode="#,##0">
                  <c:v>634181818.18181825</c:v>
                </c:pt>
                <c:pt idx="9" formatCode="#,##0">
                  <c:v>763000000</c:v>
                </c:pt>
              </c:numCache>
            </c:numRef>
          </c:val>
          <c:smooth val="0"/>
          <c:extLst>
            <c:ext xmlns:c16="http://schemas.microsoft.com/office/drawing/2014/chart" uri="{C3380CC4-5D6E-409C-BE32-E72D297353CC}">
              <c16:uniqueId val="{00000002-CC19-4FC1-931B-6FACA3897324}"/>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1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'OZL Tables'!$AT$147:$AT$156</c:f>
              <c:numCache>
                <c:formatCode>General</c:formatCode>
                <c:ptCount val="10"/>
                <c:pt idx="0">
                  <c:v>3000000</c:v>
                </c:pt>
                <c:pt idx="1">
                  <c:v>8000000</c:v>
                </c:pt>
                <c:pt idx="2">
                  <c:v>12000000</c:v>
                </c:pt>
                <c:pt idx="3">
                  <c:v>20000000</c:v>
                </c:pt>
                <c:pt idx="4">
                  <c:v>40000000</c:v>
                </c:pt>
                <c:pt idx="5">
                  <c:v>60000000</c:v>
                </c:pt>
                <c:pt idx="6">
                  <c:v>80000000</c:v>
                </c:pt>
                <c:pt idx="7">
                  <c:v>100000000</c:v>
                </c:pt>
                <c:pt idx="8" formatCode="#,##0">
                  <c:v>150000000</c:v>
                </c:pt>
                <c:pt idx="9" formatCode="#,##0">
                  <c:v>200000000</c:v>
                </c:pt>
              </c:numCache>
            </c:numRef>
          </c:cat>
          <c:val>
            <c:numRef>
              <c:f>'OZL Tables'!$AU$147:$AU$156</c:f>
              <c:numCache>
                <c:formatCode>#,##0</c:formatCode>
                <c:ptCount val="10"/>
                <c:pt idx="0">
                  <c:v>14122742.885888001</c:v>
                </c:pt>
                <c:pt idx="1">
                  <c:v>18997084.701504003</c:v>
                </c:pt>
                <c:pt idx="2">
                  <c:v>23954590.243584003</c:v>
                </c:pt>
                <c:pt idx="3">
                  <c:v>29706800.812416002</c:v>
                </c:pt>
                <c:pt idx="4">
                  <c:v>44655295.112064004</c:v>
                </c:pt>
                <c:pt idx="5">
                  <c:v>74486643.678720012</c:v>
                </c:pt>
                <c:pt idx="6">
                  <c:v>107547960.19968002</c:v>
                </c:pt>
                <c:pt idx="7">
                  <c:v>182730157.90848002</c:v>
                </c:pt>
              </c:numCache>
            </c:numRef>
          </c:val>
          <c:smooth val="0"/>
          <c:extLst>
            <c:ext xmlns:c16="http://schemas.microsoft.com/office/drawing/2014/chart" uri="{C3380CC4-5D6E-409C-BE32-E72D297353CC}">
              <c16:uniqueId val="{00000001-1492-41F2-87D4-EA145D7FD99A}"/>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'OZL Tables'!$AT$147:$AT$156</c:f>
              <c:numCache>
                <c:formatCode>General</c:formatCode>
                <c:ptCount val="10"/>
                <c:pt idx="0">
                  <c:v>3000000</c:v>
                </c:pt>
                <c:pt idx="1">
                  <c:v>8000000</c:v>
                </c:pt>
                <c:pt idx="2">
                  <c:v>12000000</c:v>
                </c:pt>
                <c:pt idx="3">
                  <c:v>20000000</c:v>
                </c:pt>
                <c:pt idx="4">
                  <c:v>40000000</c:v>
                </c:pt>
                <c:pt idx="5">
                  <c:v>60000000</c:v>
                </c:pt>
                <c:pt idx="6">
                  <c:v>80000000</c:v>
                </c:pt>
                <c:pt idx="7">
                  <c:v>100000000</c:v>
                </c:pt>
                <c:pt idx="8" formatCode="#,##0">
                  <c:v>150000000</c:v>
                </c:pt>
                <c:pt idx="9" formatCode="#,##0">
                  <c:v>200000000</c:v>
                </c:pt>
              </c:numCache>
            </c:numRef>
          </c:cat>
          <c:val>
            <c:numRef>
              <c:f>'OZL Tables'!$AV$147:$AV$156</c:f>
              <c:numCache>
                <c:formatCode>General</c:formatCode>
                <c:ptCount val="10"/>
                <c:pt idx="8" formatCode="#,##0">
                  <c:v>233863636.36363637</c:v>
                </c:pt>
                <c:pt idx="9" formatCode="#,##0">
                  <c:v>300681818.18181819</c:v>
                </c:pt>
              </c:numCache>
            </c:numRef>
          </c:val>
          <c:smooth val="0"/>
          <c:extLst>
            <c:ext xmlns:c16="http://schemas.microsoft.com/office/drawing/2014/chart" uri="{C3380CC4-5D6E-409C-BE32-E72D297353CC}">
              <c16:uniqueId val="{00000002-1492-41F2-87D4-EA145D7FD99A}"/>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2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'OZL Tables'!$AT$166:$AT$175</c:f>
              <c:numCache>
                <c:formatCode>General</c:formatCode>
                <c:ptCount val="10"/>
                <c:pt idx="0">
                  <c:v>4000000</c:v>
                </c:pt>
                <c:pt idx="1">
                  <c:v>8000000</c:v>
                </c:pt>
                <c:pt idx="2">
                  <c:v>20000000</c:v>
                </c:pt>
                <c:pt idx="3">
                  <c:v>40000000</c:v>
                </c:pt>
                <c:pt idx="4">
                  <c:v>60000000</c:v>
                </c:pt>
                <c:pt idx="5">
                  <c:v>80000000</c:v>
                </c:pt>
                <c:pt idx="6">
                  <c:v>120000000</c:v>
                </c:pt>
                <c:pt idx="7" formatCode="#,##0">
                  <c:v>150000000</c:v>
                </c:pt>
                <c:pt idx="8" formatCode="#,##0">
                  <c:v>200000000</c:v>
                </c:pt>
                <c:pt idx="9" formatCode="#,##0">
                  <c:v>250000000</c:v>
                </c:pt>
              </c:numCache>
            </c:numRef>
          </c:cat>
          <c:val>
            <c:numRef>
              <c:f>'OZL Tables'!$AU$166:$AU$175</c:f>
              <c:numCache>
                <c:formatCode>#,##0</c:formatCode>
                <c:ptCount val="10"/>
                <c:pt idx="0">
                  <c:v>0</c:v>
                </c:pt>
                <c:pt idx="1">
                  <c:v>0</c:v>
                </c:pt>
                <c:pt idx="2">
                  <c:v>19569798.941162817</c:v>
                </c:pt>
                <c:pt idx="3">
                  <c:v>0</c:v>
                </c:pt>
                <c:pt idx="4">
                  <c:v>0</c:v>
                </c:pt>
                <c:pt idx="5">
                  <c:v>0</c:v>
                </c:pt>
                <c:pt idx="6">
                  <c:v>198513198.82120329</c:v>
                </c:pt>
              </c:numCache>
            </c:numRef>
          </c:val>
          <c:smooth val="0"/>
          <c:extLst>
            <c:ext xmlns:c16="http://schemas.microsoft.com/office/drawing/2014/chart" uri="{C3380CC4-5D6E-409C-BE32-E72D297353CC}">
              <c16:uniqueId val="{00000001-FE2A-42D5-A07A-74965F90E0CF}"/>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'OZL Tables'!$AT$166:$AT$175</c:f>
              <c:numCache>
                <c:formatCode>General</c:formatCode>
                <c:ptCount val="10"/>
                <c:pt idx="0">
                  <c:v>4000000</c:v>
                </c:pt>
                <c:pt idx="1">
                  <c:v>8000000</c:v>
                </c:pt>
                <c:pt idx="2">
                  <c:v>20000000</c:v>
                </c:pt>
                <c:pt idx="3">
                  <c:v>40000000</c:v>
                </c:pt>
                <c:pt idx="4">
                  <c:v>60000000</c:v>
                </c:pt>
                <c:pt idx="5">
                  <c:v>80000000</c:v>
                </c:pt>
                <c:pt idx="6">
                  <c:v>120000000</c:v>
                </c:pt>
                <c:pt idx="7" formatCode="#,##0">
                  <c:v>150000000</c:v>
                </c:pt>
                <c:pt idx="8" formatCode="#,##0">
                  <c:v>200000000</c:v>
                </c:pt>
                <c:pt idx="9" formatCode="#,##0">
                  <c:v>250000000</c:v>
                </c:pt>
              </c:numCache>
            </c:numRef>
          </c:cat>
          <c:val>
            <c:numRef>
              <c:f>'OZL Tables'!$AV$166:$AV$175</c:f>
              <c:numCache>
                <c:formatCode>#,##0.0</c:formatCode>
                <c:ptCount val="10"/>
                <c:pt idx="7" formatCode="#,##0">
                  <c:v>254125000</c:v>
                </c:pt>
                <c:pt idx="8" formatCode="#,##0">
                  <c:v>341913636.36363637</c:v>
                </c:pt>
                <c:pt idx="9" formatCode="#,##0">
                  <c:v>443563636.36363637</c:v>
                </c:pt>
              </c:numCache>
            </c:numRef>
          </c:val>
          <c:smooth val="0"/>
          <c:extLst>
            <c:ext xmlns:c16="http://schemas.microsoft.com/office/drawing/2014/chart" uri="{C3380CC4-5D6E-409C-BE32-E72D297353CC}">
              <c16:uniqueId val="{00000002-FE2A-42D5-A07A-74965F90E0CF}"/>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2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'OZL Tables'!$AT$186:$AT$195</c:f>
              <c:numCache>
                <c:formatCode>General</c:formatCode>
                <c:ptCount val="10"/>
                <c:pt idx="0">
                  <c:v>8000000</c:v>
                </c:pt>
                <c:pt idx="1">
                  <c:v>20000000</c:v>
                </c:pt>
                <c:pt idx="2">
                  <c:v>30000000</c:v>
                </c:pt>
                <c:pt idx="3">
                  <c:v>50000000</c:v>
                </c:pt>
                <c:pt idx="4">
                  <c:v>100000000</c:v>
                </c:pt>
                <c:pt idx="5">
                  <c:v>160000000</c:v>
                </c:pt>
                <c:pt idx="6" formatCode="#,##0">
                  <c:v>200000000</c:v>
                </c:pt>
                <c:pt idx="7" formatCode="#,##0">
                  <c:v>250000000</c:v>
                </c:pt>
                <c:pt idx="8" formatCode="#,##0">
                  <c:v>300000000</c:v>
                </c:pt>
                <c:pt idx="9" formatCode="#,##0">
                  <c:v>350000000</c:v>
                </c:pt>
              </c:numCache>
            </c:numRef>
          </c:cat>
          <c:val>
            <c:numRef>
              <c:f>'OZL Tables'!$AU$186:$AU$195</c:f>
              <c:numCache>
                <c:formatCode>#,##0</c:formatCode>
                <c:ptCount val="10"/>
                <c:pt idx="0">
                  <c:v>0</c:v>
                </c:pt>
                <c:pt idx="1">
                  <c:v>20984831.132186398</c:v>
                </c:pt>
                <c:pt idx="2">
                  <c:v>26371160.32138953</c:v>
                </c:pt>
                <c:pt idx="3">
                  <c:v>41087545.6154465</c:v>
                </c:pt>
                <c:pt idx="4">
                  <c:v>0</c:v>
                </c:pt>
                <c:pt idx="5">
                  <c:v>0</c:v>
                </c:pt>
              </c:numCache>
            </c:numRef>
          </c:val>
          <c:smooth val="0"/>
          <c:extLst>
            <c:ext xmlns:c16="http://schemas.microsoft.com/office/drawing/2014/chart" uri="{C3380CC4-5D6E-409C-BE32-E72D297353CC}">
              <c16:uniqueId val="{00000001-7854-4A05-AE6A-B4188105A025}"/>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'OZL Tables'!$AT$186:$AT$195</c:f>
              <c:numCache>
                <c:formatCode>General</c:formatCode>
                <c:ptCount val="10"/>
                <c:pt idx="0">
                  <c:v>8000000</c:v>
                </c:pt>
                <c:pt idx="1">
                  <c:v>20000000</c:v>
                </c:pt>
                <c:pt idx="2">
                  <c:v>30000000</c:v>
                </c:pt>
                <c:pt idx="3">
                  <c:v>50000000</c:v>
                </c:pt>
                <c:pt idx="4">
                  <c:v>100000000</c:v>
                </c:pt>
                <c:pt idx="5">
                  <c:v>160000000</c:v>
                </c:pt>
                <c:pt idx="6" formatCode="#,##0">
                  <c:v>200000000</c:v>
                </c:pt>
                <c:pt idx="7" formatCode="#,##0">
                  <c:v>250000000</c:v>
                </c:pt>
                <c:pt idx="8" formatCode="#,##0">
                  <c:v>300000000</c:v>
                </c:pt>
                <c:pt idx="9" formatCode="#,##0">
                  <c:v>350000000</c:v>
                </c:pt>
              </c:numCache>
            </c:numRef>
          </c:cat>
          <c:val>
            <c:numRef>
              <c:f>'OZL Tables'!$AV$186:$AV$195</c:f>
              <c:numCache>
                <c:formatCode>General</c:formatCode>
                <c:ptCount val="10"/>
                <c:pt idx="6" formatCode="#,##0">
                  <c:v>396363636.36363637</c:v>
                </c:pt>
                <c:pt idx="7" formatCode="#,##0">
                  <c:v>515272727.27272731</c:v>
                </c:pt>
                <c:pt idx="8" formatCode="#,##0">
                  <c:v>634181818.18181825</c:v>
                </c:pt>
                <c:pt idx="9" formatCode="#,##0">
                  <c:v>763000000</c:v>
                </c:pt>
              </c:numCache>
            </c:numRef>
          </c:val>
          <c:smooth val="0"/>
          <c:extLst>
            <c:ext xmlns:c16="http://schemas.microsoft.com/office/drawing/2014/chart" uri="{C3380CC4-5D6E-409C-BE32-E72D297353CC}">
              <c16:uniqueId val="{00000002-7854-4A05-AE6A-B4188105A025}"/>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2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'OZL Tables'!$CQ$146:$CQ$155</c:f>
              <c:numCache>
                <c:formatCode>General</c:formatCode>
                <c:ptCount val="10"/>
                <c:pt idx="0">
                  <c:v>4000000</c:v>
                </c:pt>
                <c:pt idx="1">
                  <c:v>8000000</c:v>
                </c:pt>
                <c:pt idx="2">
                  <c:v>20000000</c:v>
                </c:pt>
                <c:pt idx="3">
                  <c:v>40000000</c:v>
                </c:pt>
                <c:pt idx="4">
                  <c:v>60000000</c:v>
                </c:pt>
                <c:pt idx="5">
                  <c:v>80000000</c:v>
                </c:pt>
                <c:pt idx="6">
                  <c:v>120000000</c:v>
                </c:pt>
                <c:pt idx="7" formatCode="#,##0">
                  <c:v>160000000</c:v>
                </c:pt>
                <c:pt idx="8" formatCode="#,##0">
                  <c:v>200000000</c:v>
                </c:pt>
                <c:pt idx="9" formatCode="#,##0">
                  <c:v>250000000</c:v>
                </c:pt>
              </c:numCache>
            </c:numRef>
          </c:cat>
          <c:val>
            <c:numRef>
              <c:f>'OZL Tables'!$CR$146:$CR$155</c:f>
              <c:numCache>
                <c:formatCode>#,##0.0</c:formatCode>
                <c:ptCount val="10"/>
                <c:pt idx="0">
                  <c:v>0</c:v>
                </c:pt>
                <c:pt idx="1">
                  <c:v>0</c:v>
                </c:pt>
                <c:pt idx="2">
                  <c:v>22336329.078738373</c:v>
                </c:pt>
                <c:pt idx="3">
                  <c:v>0</c:v>
                </c:pt>
                <c:pt idx="4">
                  <c:v>0</c:v>
                </c:pt>
                <c:pt idx="5">
                  <c:v>0</c:v>
                </c:pt>
                <c:pt idx="6">
                  <c:v>0</c:v>
                </c:pt>
              </c:numCache>
            </c:numRef>
          </c:val>
          <c:smooth val="0"/>
          <c:extLst>
            <c:ext xmlns:c16="http://schemas.microsoft.com/office/drawing/2014/chart" uri="{C3380CC4-5D6E-409C-BE32-E72D297353CC}">
              <c16:uniqueId val="{00000001-3844-4B90-98AA-14D028808F81}"/>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'OZL Tables'!$CQ$146:$CQ$155</c:f>
              <c:numCache>
                <c:formatCode>General</c:formatCode>
                <c:ptCount val="10"/>
                <c:pt idx="0">
                  <c:v>4000000</c:v>
                </c:pt>
                <c:pt idx="1">
                  <c:v>8000000</c:v>
                </c:pt>
                <c:pt idx="2">
                  <c:v>20000000</c:v>
                </c:pt>
                <c:pt idx="3">
                  <c:v>40000000</c:v>
                </c:pt>
                <c:pt idx="4">
                  <c:v>60000000</c:v>
                </c:pt>
                <c:pt idx="5">
                  <c:v>80000000</c:v>
                </c:pt>
                <c:pt idx="6">
                  <c:v>120000000</c:v>
                </c:pt>
                <c:pt idx="7" formatCode="#,##0">
                  <c:v>160000000</c:v>
                </c:pt>
                <c:pt idx="8" formatCode="#,##0">
                  <c:v>200000000</c:v>
                </c:pt>
                <c:pt idx="9" formatCode="#,##0">
                  <c:v>250000000</c:v>
                </c:pt>
              </c:numCache>
            </c:numRef>
          </c:cat>
          <c:val>
            <c:numRef>
              <c:f>'OZL Tables'!$CS$146:$CS$155</c:f>
              <c:numCache>
                <c:formatCode>#,##0.0</c:formatCode>
                <c:ptCount val="10"/>
                <c:pt idx="7" formatCode="#,##0">
                  <c:v>291387500</c:v>
                </c:pt>
                <c:pt idx="8" formatCode="#,##0">
                  <c:v>360527500</c:v>
                </c:pt>
                <c:pt idx="9" formatCode="#,##0">
                  <c:v>446952500</c:v>
                </c:pt>
              </c:numCache>
            </c:numRef>
          </c:val>
          <c:smooth val="0"/>
          <c:extLst>
            <c:ext xmlns:c16="http://schemas.microsoft.com/office/drawing/2014/chart" uri="{C3380CC4-5D6E-409C-BE32-E72D297353CC}">
              <c16:uniqueId val="{00000002-3844-4B90-98AA-14D028808F81}"/>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2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'OZL Tables'!$CQ$108:$CQ$117</c:f>
              <c:numCache>
                <c:formatCode>General</c:formatCode>
                <c:ptCount val="10"/>
                <c:pt idx="0">
                  <c:v>8000000</c:v>
                </c:pt>
                <c:pt idx="1">
                  <c:v>20000000</c:v>
                </c:pt>
                <c:pt idx="2">
                  <c:v>30000000</c:v>
                </c:pt>
                <c:pt idx="3">
                  <c:v>50000000</c:v>
                </c:pt>
                <c:pt idx="4">
                  <c:v>80000000</c:v>
                </c:pt>
                <c:pt idx="5" formatCode="#,##0">
                  <c:v>120000000</c:v>
                </c:pt>
                <c:pt idx="6" formatCode="#,##0">
                  <c:v>160000000</c:v>
                </c:pt>
                <c:pt idx="7" formatCode="#,##0">
                  <c:v>200000000</c:v>
                </c:pt>
                <c:pt idx="8" formatCode="#,##0">
                  <c:v>250000000</c:v>
                </c:pt>
                <c:pt idx="9" formatCode="#,##0">
                  <c:v>300000000</c:v>
                </c:pt>
              </c:numCache>
            </c:numRef>
          </c:cat>
          <c:val>
            <c:numRef>
              <c:f>'OZL Tables'!$CR$108:$CR$117</c:f>
              <c:numCache>
                <c:formatCode>#,##0.0</c:formatCode>
                <c:ptCount val="10"/>
                <c:pt idx="0">
                  <c:v>0</c:v>
                </c:pt>
                <c:pt idx="1">
                  <c:v>25015065.142576206</c:v>
                </c:pt>
                <c:pt idx="2">
                  <c:v>33678561.496230751</c:v>
                </c:pt>
                <c:pt idx="3">
                  <c:v>45746976.155358903</c:v>
                </c:pt>
                <c:pt idx="4">
                  <c:v>0</c:v>
                </c:pt>
              </c:numCache>
            </c:numRef>
          </c:val>
          <c:smooth val="0"/>
          <c:extLst>
            <c:ext xmlns:c16="http://schemas.microsoft.com/office/drawing/2014/chart" uri="{C3380CC4-5D6E-409C-BE32-E72D297353CC}">
              <c16:uniqueId val="{00000001-DDEB-4A8F-B7BC-86646B7F1072}"/>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'OZL Tables'!$CQ$108:$CQ$117</c:f>
              <c:numCache>
                <c:formatCode>General</c:formatCode>
                <c:ptCount val="10"/>
                <c:pt idx="0">
                  <c:v>8000000</c:v>
                </c:pt>
                <c:pt idx="1">
                  <c:v>20000000</c:v>
                </c:pt>
                <c:pt idx="2">
                  <c:v>30000000</c:v>
                </c:pt>
                <c:pt idx="3">
                  <c:v>50000000</c:v>
                </c:pt>
                <c:pt idx="4">
                  <c:v>80000000</c:v>
                </c:pt>
                <c:pt idx="5" formatCode="#,##0">
                  <c:v>120000000</c:v>
                </c:pt>
                <c:pt idx="6" formatCode="#,##0">
                  <c:v>160000000</c:v>
                </c:pt>
                <c:pt idx="7" formatCode="#,##0">
                  <c:v>200000000</c:v>
                </c:pt>
                <c:pt idx="8" formatCode="#,##0">
                  <c:v>250000000</c:v>
                </c:pt>
                <c:pt idx="9" formatCode="#,##0">
                  <c:v>300000000</c:v>
                </c:pt>
              </c:numCache>
            </c:numRef>
          </c:cat>
          <c:val>
            <c:numRef>
              <c:f>'OZL Tables'!$CS$108:$CS$117</c:f>
              <c:numCache>
                <c:formatCode>#,##0.0</c:formatCode>
                <c:ptCount val="10"/>
                <c:pt idx="5" formatCode="#,##0">
                  <c:v>213915800</c:v>
                </c:pt>
                <c:pt idx="6" formatCode="#,##0">
                  <c:v>277862199.99999994</c:v>
                </c:pt>
                <c:pt idx="7" formatCode="#,##0">
                  <c:v>341808600</c:v>
                </c:pt>
                <c:pt idx="8" formatCode="#,##0">
                  <c:v>421741600</c:v>
                </c:pt>
                <c:pt idx="9" formatCode="#,##0">
                  <c:v>501674599.99999994</c:v>
                </c:pt>
              </c:numCache>
            </c:numRef>
          </c:val>
          <c:smooth val="0"/>
          <c:extLst>
            <c:ext xmlns:c16="http://schemas.microsoft.com/office/drawing/2014/chart" uri="{C3380CC4-5D6E-409C-BE32-E72D297353CC}">
              <c16:uniqueId val="{00000002-DDEB-4A8F-B7BC-86646B7F1072}"/>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2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'OZL Tables'!$BH$109:$BH$118</c:f>
              <c:numCache>
                <c:formatCode>General</c:formatCode>
                <c:ptCount val="10"/>
                <c:pt idx="0">
                  <c:v>8000000</c:v>
                </c:pt>
                <c:pt idx="1">
                  <c:v>20000000</c:v>
                </c:pt>
                <c:pt idx="2">
                  <c:v>30000000</c:v>
                </c:pt>
                <c:pt idx="3">
                  <c:v>50000000</c:v>
                </c:pt>
                <c:pt idx="4">
                  <c:v>100000000</c:v>
                </c:pt>
                <c:pt idx="5">
                  <c:v>160000000</c:v>
                </c:pt>
                <c:pt idx="6" formatCode="#,##0">
                  <c:v>200000000</c:v>
                </c:pt>
                <c:pt idx="7" formatCode="#,##0">
                  <c:v>250000000</c:v>
                </c:pt>
                <c:pt idx="8" formatCode="#,##0">
                  <c:v>300000000</c:v>
                </c:pt>
                <c:pt idx="9" formatCode="#,##0">
                  <c:v>350000000</c:v>
                </c:pt>
              </c:numCache>
            </c:numRef>
          </c:cat>
          <c:val>
            <c:numRef>
              <c:f>'OZL Tables'!$BI$109:$BI$118</c:f>
              <c:numCache>
                <c:formatCode>#,##0</c:formatCode>
                <c:ptCount val="10"/>
                <c:pt idx="0">
                  <c:v>0</c:v>
                </c:pt>
                <c:pt idx="1">
                  <c:v>22336329.078738373</c:v>
                </c:pt>
                <c:pt idx="2">
                  <c:v>33740757.558997057</c:v>
                </c:pt>
                <c:pt idx="3">
                  <c:v>75843438</c:v>
                </c:pt>
                <c:pt idx="4">
                  <c:v>184142772</c:v>
                </c:pt>
                <c:pt idx="5">
                  <c:v>296207934</c:v>
                </c:pt>
              </c:numCache>
            </c:numRef>
          </c:val>
          <c:smooth val="0"/>
          <c:extLst>
            <c:ext xmlns:c16="http://schemas.microsoft.com/office/drawing/2014/chart" uri="{C3380CC4-5D6E-409C-BE32-E72D297353CC}">
              <c16:uniqueId val="{00000001-C60F-4087-A144-95CC8A012D92}"/>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'OZL Tables'!$BH$109:$BH$118</c:f>
              <c:numCache>
                <c:formatCode>General</c:formatCode>
                <c:ptCount val="10"/>
                <c:pt idx="0">
                  <c:v>8000000</c:v>
                </c:pt>
                <c:pt idx="1">
                  <c:v>20000000</c:v>
                </c:pt>
                <c:pt idx="2">
                  <c:v>30000000</c:v>
                </c:pt>
                <c:pt idx="3">
                  <c:v>50000000</c:v>
                </c:pt>
                <c:pt idx="4">
                  <c:v>100000000</c:v>
                </c:pt>
                <c:pt idx="5">
                  <c:v>160000000</c:v>
                </c:pt>
                <c:pt idx="6" formatCode="#,##0">
                  <c:v>200000000</c:v>
                </c:pt>
                <c:pt idx="7" formatCode="#,##0">
                  <c:v>250000000</c:v>
                </c:pt>
                <c:pt idx="8" formatCode="#,##0">
                  <c:v>300000000</c:v>
                </c:pt>
                <c:pt idx="9" formatCode="#,##0">
                  <c:v>350000000</c:v>
                </c:pt>
              </c:numCache>
            </c:numRef>
          </c:cat>
          <c:val>
            <c:numRef>
              <c:f>'OZL Tables'!$BJ$109:$BJ$118</c:f>
              <c:numCache>
                <c:formatCode>General</c:formatCode>
                <c:ptCount val="10"/>
                <c:pt idx="6" formatCode="#,##0">
                  <c:v>400000000</c:v>
                </c:pt>
                <c:pt idx="7" formatCode="#,##0">
                  <c:v>510000000</c:v>
                </c:pt>
                <c:pt idx="8" formatCode="#,##0">
                  <c:v>640000000</c:v>
                </c:pt>
                <c:pt idx="9" formatCode="#,##0">
                  <c:v>800000000</c:v>
                </c:pt>
              </c:numCache>
            </c:numRef>
          </c:val>
          <c:smooth val="0"/>
          <c:extLst>
            <c:ext xmlns:c16="http://schemas.microsoft.com/office/drawing/2014/chart" uri="{C3380CC4-5D6E-409C-BE32-E72D297353CC}">
              <c16:uniqueId val="{00000002-C60F-4087-A144-95CC8A012D92}"/>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2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'OZL Tables'!$Z$13:$Z$22</c:f>
              <c:numCache>
                <c:formatCode>General</c:formatCode>
                <c:ptCount val="10"/>
                <c:pt idx="0">
                  <c:v>8000000</c:v>
                </c:pt>
                <c:pt idx="1">
                  <c:v>20000000</c:v>
                </c:pt>
                <c:pt idx="2">
                  <c:v>30000000</c:v>
                </c:pt>
                <c:pt idx="3">
                  <c:v>50000000</c:v>
                </c:pt>
                <c:pt idx="4">
                  <c:v>100000000</c:v>
                </c:pt>
                <c:pt idx="5">
                  <c:v>160000000</c:v>
                </c:pt>
                <c:pt idx="6" formatCode="#,##0">
                  <c:v>200000000</c:v>
                </c:pt>
                <c:pt idx="7" formatCode="#,##0">
                  <c:v>250000000</c:v>
                </c:pt>
                <c:pt idx="8" formatCode="#,##0">
                  <c:v>300000000</c:v>
                </c:pt>
                <c:pt idx="9" formatCode="#,##0">
                  <c:v>350000000</c:v>
                </c:pt>
              </c:numCache>
            </c:numRef>
          </c:cat>
          <c:val>
            <c:numRef>
              <c:f>'OZL Tables'!$AA$13:$AA$22</c:f>
              <c:numCache>
                <c:formatCode>#,##0</c:formatCode>
                <c:ptCount val="10"/>
                <c:pt idx="0">
                  <c:v>0</c:v>
                </c:pt>
                <c:pt idx="1">
                  <c:v>20856062.892587233</c:v>
                </c:pt>
                <c:pt idx="2">
                  <c:v>25744501.172377277</c:v>
                </c:pt>
                <c:pt idx="3">
                  <c:v>41464495.575221241</c:v>
                </c:pt>
              </c:numCache>
            </c:numRef>
          </c:val>
          <c:smooth val="0"/>
          <c:extLst>
            <c:ext xmlns:c16="http://schemas.microsoft.com/office/drawing/2014/chart" uri="{C3380CC4-5D6E-409C-BE32-E72D297353CC}">
              <c16:uniqueId val="{00000001-0C49-4AFA-B7D3-297161806306}"/>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'OZL Tables'!$Z$13:$Z$22</c:f>
              <c:numCache>
                <c:formatCode>General</c:formatCode>
                <c:ptCount val="10"/>
                <c:pt idx="0">
                  <c:v>8000000</c:v>
                </c:pt>
                <c:pt idx="1">
                  <c:v>20000000</c:v>
                </c:pt>
                <c:pt idx="2">
                  <c:v>30000000</c:v>
                </c:pt>
                <c:pt idx="3">
                  <c:v>50000000</c:v>
                </c:pt>
                <c:pt idx="4">
                  <c:v>100000000</c:v>
                </c:pt>
                <c:pt idx="5">
                  <c:v>160000000</c:v>
                </c:pt>
                <c:pt idx="6" formatCode="#,##0">
                  <c:v>200000000</c:v>
                </c:pt>
                <c:pt idx="7" formatCode="#,##0">
                  <c:v>250000000</c:v>
                </c:pt>
                <c:pt idx="8" formatCode="#,##0">
                  <c:v>300000000</c:v>
                </c:pt>
                <c:pt idx="9" formatCode="#,##0">
                  <c:v>350000000</c:v>
                </c:pt>
              </c:numCache>
            </c:numRef>
          </c:cat>
          <c:val>
            <c:numRef>
              <c:f>'OZL Tables'!$AB$13:$AB$22</c:f>
              <c:numCache>
                <c:formatCode>General</c:formatCode>
                <c:ptCount val="10"/>
                <c:pt idx="4" formatCode="#,##0">
                  <c:v>169119600</c:v>
                </c:pt>
                <c:pt idx="5" formatCode="#,##0">
                  <c:v>257407799.99999997</c:v>
                </c:pt>
                <c:pt idx="6" formatCode="#,##0">
                  <c:v>316266600</c:v>
                </c:pt>
                <c:pt idx="7" formatCode="#,##0">
                  <c:v>389840099.99999994</c:v>
                </c:pt>
                <c:pt idx="8" formatCode="#,##0">
                  <c:v>463413600</c:v>
                </c:pt>
                <c:pt idx="9" formatCode="#,##0">
                  <c:v>536987100</c:v>
                </c:pt>
              </c:numCache>
            </c:numRef>
          </c:val>
          <c:smooth val="0"/>
          <c:extLst>
            <c:ext xmlns:c16="http://schemas.microsoft.com/office/drawing/2014/chart" uri="{C3380CC4-5D6E-409C-BE32-E72D297353CC}">
              <c16:uniqueId val="{00000002-0C49-4AFA-B7D3-297161806306}"/>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2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'OZL Tables'!$DG$222:$DG$231</c:f>
              <c:numCache>
                <c:formatCode>General</c:formatCode>
                <c:ptCount val="10"/>
                <c:pt idx="0">
                  <c:v>4000000</c:v>
                </c:pt>
                <c:pt idx="1">
                  <c:v>8000000</c:v>
                </c:pt>
                <c:pt idx="2">
                  <c:v>20000000</c:v>
                </c:pt>
                <c:pt idx="3">
                  <c:v>40000000</c:v>
                </c:pt>
                <c:pt idx="4">
                  <c:v>60000000</c:v>
                </c:pt>
                <c:pt idx="5">
                  <c:v>80000000</c:v>
                </c:pt>
                <c:pt idx="6">
                  <c:v>120000000</c:v>
                </c:pt>
                <c:pt idx="7" formatCode="#,##0">
                  <c:v>160000000</c:v>
                </c:pt>
                <c:pt idx="8" formatCode="#,##0">
                  <c:v>200000000</c:v>
                </c:pt>
                <c:pt idx="9" formatCode="#,##0">
                  <c:v>250000000</c:v>
                </c:pt>
              </c:numCache>
            </c:numRef>
          </c:cat>
          <c:val>
            <c:numRef>
              <c:f>'OZL Tables'!$DH$222:$DH$231</c:f>
              <c:numCache>
                <c:formatCode>#,##0.0</c:formatCode>
                <c:ptCount val="10"/>
                <c:pt idx="0">
                  <c:v>0</c:v>
                </c:pt>
                <c:pt idx="1">
                  <c:v>0</c:v>
                </c:pt>
                <c:pt idx="2">
                  <c:v>20882495.193883467</c:v>
                </c:pt>
                <c:pt idx="3">
                  <c:v>0</c:v>
                </c:pt>
                <c:pt idx="4">
                  <c:v>0</c:v>
                </c:pt>
                <c:pt idx="5">
                  <c:v>0</c:v>
                </c:pt>
                <c:pt idx="6">
                  <c:v>0</c:v>
                </c:pt>
              </c:numCache>
            </c:numRef>
          </c:val>
          <c:smooth val="0"/>
          <c:extLst>
            <c:ext xmlns:c16="http://schemas.microsoft.com/office/drawing/2014/chart" uri="{C3380CC4-5D6E-409C-BE32-E72D297353CC}">
              <c16:uniqueId val="{00000001-D079-41AF-94EE-16A083550190}"/>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'OZL Tables'!$DG$222:$DG$231</c:f>
              <c:numCache>
                <c:formatCode>General</c:formatCode>
                <c:ptCount val="10"/>
                <c:pt idx="0">
                  <c:v>4000000</c:v>
                </c:pt>
                <c:pt idx="1">
                  <c:v>8000000</c:v>
                </c:pt>
                <c:pt idx="2">
                  <c:v>20000000</c:v>
                </c:pt>
                <c:pt idx="3">
                  <c:v>40000000</c:v>
                </c:pt>
                <c:pt idx="4">
                  <c:v>60000000</c:v>
                </c:pt>
                <c:pt idx="5">
                  <c:v>80000000</c:v>
                </c:pt>
                <c:pt idx="6">
                  <c:v>120000000</c:v>
                </c:pt>
                <c:pt idx="7" formatCode="#,##0">
                  <c:v>160000000</c:v>
                </c:pt>
                <c:pt idx="8" formatCode="#,##0">
                  <c:v>200000000</c:v>
                </c:pt>
                <c:pt idx="9" formatCode="#,##0">
                  <c:v>250000000</c:v>
                </c:pt>
              </c:numCache>
            </c:numRef>
          </c:cat>
          <c:val>
            <c:numRef>
              <c:f>'OZL Tables'!$DI$222:$DI$231</c:f>
              <c:numCache>
                <c:formatCode>General</c:formatCode>
                <c:ptCount val="10"/>
                <c:pt idx="7" formatCode="#,##0">
                  <c:v>291387500</c:v>
                </c:pt>
                <c:pt idx="8" formatCode="#,##0">
                  <c:v>360527500</c:v>
                </c:pt>
                <c:pt idx="9" formatCode="#,##0">
                  <c:v>446952500</c:v>
                </c:pt>
              </c:numCache>
            </c:numRef>
          </c:val>
          <c:smooth val="0"/>
          <c:extLst>
            <c:ext xmlns:c16="http://schemas.microsoft.com/office/drawing/2014/chart" uri="{C3380CC4-5D6E-409C-BE32-E72D297353CC}">
              <c16:uniqueId val="{00000002-D079-41AF-94EE-16A083550190}"/>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2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'OZL Tables'!$DG$222:$DG$231</c:f>
              <c:numCache>
                <c:formatCode>General</c:formatCode>
                <c:ptCount val="10"/>
                <c:pt idx="0">
                  <c:v>4000000</c:v>
                </c:pt>
                <c:pt idx="1">
                  <c:v>8000000</c:v>
                </c:pt>
                <c:pt idx="2">
                  <c:v>20000000</c:v>
                </c:pt>
                <c:pt idx="3">
                  <c:v>40000000</c:v>
                </c:pt>
                <c:pt idx="4">
                  <c:v>60000000</c:v>
                </c:pt>
                <c:pt idx="5">
                  <c:v>80000000</c:v>
                </c:pt>
                <c:pt idx="6">
                  <c:v>120000000</c:v>
                </c:pt>
                <c:pt idx="7" formatCode="#,##0">
                  <c:v>160000000</c:v>
                </c:pt>
                <c:pt idx="8" formatCode="#,##0">
                  <c:v>200000000</c:v>
                </c:pt>
                <c:pt idx="9" formatCode="#,##0">
                  <c:v>250000000</c:v>
                </c:pt>
              </c:numCache>
            </c:numRef>
          </c:cat>
          <c:val>
            <c:numRef>
              <c:f>'OZL Tables'!$DH$222:$DH$231</c:f>
              <c:numCache>
                <c:formatCode>#,##0.0</c:formatCode>
                <c:ptCount val="10"/>
                <c:pt idx="0">
                  <c:v>0</c:v>
                </c:pt>
                <c:pt idx="1">
                  <c:v>0</c:v>
                </c:pt>
                <c:pt idx="2">
                  <c:v>20882495.193883467</c:v>
                </c:pt>
                <c:pt idx="3">
                  <c:v>0</c:v>
                </c:pt>
                <c:pt idx="4">
                  <c:v>0</c:v>
                </c:pt>
                <c:pt idx="5">
                  <c:v>0</c:v>
                </c:pt>
                <c:pt idx="6">
                  <c:v>0</c:v>
                </c:pt>
              </c:numCache>
            </c:numRef>
          </c:val>
          <c:smooth val="0"/>
          <c:extLst>
            <c:ext xmlns:c16="http://schemas.microsoft.com/office/drawing/2014/chart" uri="{C3380CC4-5D6E-409C-BE32-E72D297353CC}">
              <c16:uniqueId val="{00000001-89BF-40DD-AA50-59CA740446C9}"/>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'OZL Tables'!$DG$222:$DG$231</c:f>
              <c:numCache>
                <c:formatCode>General</c:formatCode>
                <c:ptCount val="10"/>
                <c:pt idx="0">
                  <c:v>4000000</c:v>
                </c:pt>
                <c:pt idx="1">
                  <c:v>8000000</c:v>
                </c:pt>
                <c:pt idx="2">
                  <c:v>20000000</c:v>
                </c:pt>
                <c:pt idx="3">
                  <c:v>40000000</c:v>
                </c:pt>
                <c:pt idx="4">
                  <c:v>60000000</c:v>
                </c:pt>
                <c:pt idx="5">
                  <c:v>80000000</c:v>
                </c:pt>
                <c:pt idx="6">
                  <c:v>120000000</c:v>
                </c:pt>
                <c:pt idx="7" formatCode="#,##0">
                  <c:v>160000000</c:v>
                </c:pt>
                <c:pt idx="8" formatCode="#,##0">
                  <c:v>200000000</c:v>
                </c:pt>
                <c:pt idx="9" formatCode="#,##0">
                  <c:v>250000000</c:v>
                </c:pt>
              </c:numCache>
            </c:numRef>
          </c:cat>
          <c:val>
            <c:numRef>
              <c:f>'OZL Tables'!$DI$222:$DI$231</c:f>
              <c:numCache>
                <c:formatCode>General</c:formatCode>
                <c:ptCount val="10"/>
                <c:pt idx="7" formatCode="#,##0">
                  <c:v>291387500</c:v>
                </c:pt>
                <c:pt idx="8" formatCode="#,##0">
                  <c:v>360527500</c:v>
                </c:pt>
                <c:pt idx="9" formatCode="#,##0">
                  <c:v>446952500</c:v>
                </c:pt>
              </c:numCache>
            </c:numRef>
          </c:val>
          <c:smooth val="0"/>
          <c:extLst>
            <c:ext xmlns:c16="http://schemas.microsoft.com/office/drawing/2014/chart" uri="{C3380CC4-5D6E-409C-BE32-E72D297353CC}">
              <c16:uniqueId val="{00000002-89BF-40DD-AA50-59CA740446C9}"/>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2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'OZL Tables'!$Z$13:$Z$22</c:f>
              <c:numCache>
                <c:formatCode>General</c:formatCode>
                <c:ptCount val="10"/>
                <c:pt idx="0">
                  <c:v>8000000</c:v>
                </c:pt>
                <c:pt idx="1">
                  <c:v>20000000</c:v>
                </c:pt>
                <c:pt idx="2">
                  <c:v>30000000</c:v>
                </c:pt>
                <c:pt idx="3">
                  <c:v>50000000</c:v>
                </c:pt>
                <c:pt idx="4">
                  <c:v>100000000</c:v>
                </c:pt>
                <c:pt idx="5">
                  <c:v>160000000</c:v>
                </c:pt>
                <c:pt idx="6" formatCode="#,##0">
                  <c:v>200000000</c:v>
                </c:pt>
                <c:pt idx="7" formatCode="#,##0">
                  <c:v>250000000</c:v>
                </c:pt>
                <c:pt idx="8" formatCode="#,##0">
                  <c:v>300000000</c:v>
                </c:pt>
                <c:pt idx="9" formatCode="#,##0">
                  <c:v>350000000</c:v>
                </c:pt>
              </c:numCache>
            </c:numRef>
          </c:cat>
          <c:val>
            <c:numRef>
              <c:f>'OZL Tables'!$AA$13:$AA$22</c:f>
              <c:numCache>
                <c:formatCode>#,##0</c:formatCode>
                <c:ptCount val="10"/>
                <c:pt idx="0">
                  <c:v>0</c:v>
                </c:pt>
                <c:pt idx="1">
                  <c:v>20856062.892587233</c:v>
                </c:pt>
                <c:pt idx="2">
                  <c:v>25744501.172377277</c:v>
                </c:pt>
                <c:pt idx="3">
                  <c:v>41464495.575221241</c:v>
                </c:pt>
              </c:numCache>
            </c:numRef>
          </c:val>
          <c:smooth val="0"/>
          <c:extLst>
            <c:ext xmlns:c16="http://schemas.microsoft.com/office/drawing/2014/chart" uri="{C3380CC4-5D6E-409C-BE32-E72D297353CC}">
              <c16:uniqueId val="{00000001-5424-41CB-AC81-D2EEFECDFC55}"/>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'OZL Tables'!$Z$13:$Z$22</c:f>
              <c:numCache>
                <c:formatCode>General</c:formatCode>
                <c:ptCount val="10"/>
                <c:pt idx="0">
                  <c:v>8000000</c:v>
                </c:pt>
                <c:pt idx="1">
                  <c:v>20000000</c:v>
                </c:pt>
                <c:pt idx="2">
                  <c:v>30000000</c:v>
                </c:pt>
                <c:pt idx="3">
                  <c:v>50000000</c:v>
                </c:pt>
                <c:pt idx="4">
                  <c:v>100000000</c:v>
                </c:pt>
                <c:pt idx="5">
                  <c:v>160000000</c:v>
                </c:pt>
                <c:pt idx="6" formatCode="#,##0">
                  <c:v>200000000</c:v>
                </c:pt>
                <c:pt idx="7" formatCode="#,##0">
                  <c:v>250000000</c:v>
                </c:pt>
                <c:pt idx="8" formatCode="#,##0">
                  <c:v>300000000</c:v>
                </c:pt>
                <c:pt idx="9" formatCode="#,##0">
                  <c:v>350000000</c:v>
                </c:pt>
              </c:numCache>
            </c:numRef>
          </c:cat>
          <c:val>
            <c:numRef>
              <c:f>'OZL Tables'!$AB$13:$AB$22</c:f>
              <c:numCache>
                <c:formatCode>General</c:formatCode>
                <c:ptCount val="10"/>
                <c:pt idx="4" formatCode="#,##0">
                  <c:v>169119600</c:v>
                </c:pt>
                <c:pt idx="5" formatCode="#,##0">
                  <c:v>257407799.99999997</c:v>
                </c:pt>
                <c:pt idx="6" formatCode="#,##0">
                  <c:v>316266600</c:v>
                </c:pt>
                <c:pt idx="7" formatCode="#,##0">
                  <c:v>389840099.99999994</c:v>
                </c:pt>
                <c:pt idx="8" formatCode="#,##0">
                  <c:v>463413600</c:v>
                </c:pt>
                <c:pt idx="9" formatCode="#,##0">
                  <c:v>536987100</c:v>
                </c:pt>
              </c:numCache>
            </c:numRef>
          </c:val>
          <c:smooth val="0"/>
          <c:extLst>
            <c:ext xmlns:c16="http://schemas.microsoft.com/office/drawing/2014/chart" uri="{C3380CC4-5D6E-409C-BE32-E72D297353CC}">
              <c16:uniqueId val="{00000002-5424-41CB-AC81-D2EEFECDFC55}"/>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hart20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8.085828303989108E-2"/>
                  <c:y val="-1.85442744552619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trendlineLbl>
          </c:trendline>
          <c:cat>
            <c:numRef>
              <c:f>'OZL Tables'!$Z$13:$Z$22</c:f>
              <c:numCache>
                <c:formatCode>General</c:formatCode>
                <c:ptCount val="10"/>
                <c:pt idx="0">
                  <c:v>8000000</c:v>
                </c:pt>
                <c:pt idx="1">
                  <c:v>20000000</c:v>
                </c:pt>
                <c:pt idx="2">
                  <c:v>30000000</c:v>
                </c:pt>
                <c:pt idx="3">
                  <c:v>50000000</c:v>
                </c:pt>
                <c:pt idx="4">
                  <c:v>100000000</c:v>
                </c:pt>
                <c:pt idx="5">
                  <c:v>160000000</c:v>
                </c:pt>
                <c:pt idx="6" formatCode="#,##0">
                  <c:v>200000000</c:v>
                </c:pt>
                <c:pt idx="7" formatCode="#,##0">
                  <c:v>250000000</c:v>
                </c:pt>
                <c:pt idx="8" formatCode="#,##0">
                  <c:v>300000000</c:v>
                </c:pt>
                <c:pt idx="9" formatCode="#,##0">
                  <c:v>350000000</c:v>
                </c:pt>
              </c:numCache>
            </c:numRef>
          </c:cat>
          <c:val>
            <c:numRef>
              <c:f>'OZL Tables'!$AA$13:$AA$22</c:f>
              <c:numCache>
                <c:formatCode>#,##0</c:formatCode>
                <c:ptCount val="10"/>
                <c:pt idx="0">
                  <c:v>0</c:v>
                </c:pt>
                <c:pt idx="1">
                  <c:v>20856062.892587233</c:v>
                </c:pt>
                <c:pt idx="2">
                  <c:v>25744501.172377277</c:v>
                </c:pt>
                <c:pt idx="3">
                  <c:v>41464495.575221241</c:v>
                </c:pt>
              </c:numCache>
            </c:numRef>
          </c:val>
          <c:smooth val="0"/>
          <c:extLst>
            <c:ext xmlns:c16="http://schemas.microsoft.com/office/drawing/2014/chart" uri="{C3380CC4-5D6E-409C-BE32-E72D297353CC}">
              <c16:uniqueId val="{00000001-308E-4E2A-8537-C6BF9CF5ADCB}"/>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'OZL Tables'!$Z$13:$Z$22</c:f>
              <c:numCache>
                <c:formatCode>General</c:formatCode>
                <c:ptCount val="10"/>
                <c:pt idx="0">
                  <c:v>8000000</c:v>
                </c:pt>
                <c:pt idx="1">
                  <c:v>20000000</c:v>
                </c:pt>
                <c:pt idx="2">
                  <c:v>30000000</c:v>
                </c:pt>
                <c:pt idx="3">
                  <c:v>50000000</c:v>
                </c:pt>
                <c:pt idx="4">
                  <c:v>100000000</c:v>
                </c:pt>
                <c:pt idx="5">
                  <c:v>160000000</c:v>
                </c:pt>
                <c:pt idx="6" formatCode="#,##0">
                  <c:v>200000000</c:v>
                </c:pt>
                <c:pt idx="7" formatCode="#,##0">
                  <c:v>250000000</c:v>
                </c:pt>
                <c:pt idx="8" formatCode="#,##0">
                  <c:v>300000000</c:v>
                </c:pt>
                <c:pt idx="9" formatCode="#,##0">
                  <c:v>350000000</c:v>
                </c:pt>
              </c:numCache>
            </c:numRef>
          </c:cat>
          <c:val>
            <c:numRef>
              <c:f>'OZL Tables'!$AB$13:$AB$22</c:f>
              <c:numCache>
                <c:formatCode>General</c:formatCode>
                <c:ptCount val="10"/>
                <c:pt idx="4" formatCode="#,##0">
                  <c:v>169119600</c:v>
                </c:pt>
                <c:pt idx="5" formatCode="#,##0">
                  <c:v>257407799.99999997</c:v>
                </c:pt>
                <c:pt idx="6" formatCode="#,##0">
                  <c:v>316266600</c:v>
                </c:pt>
                <c:pt idx="7" formatCode="#,##0">
                  <c:v>389840099.99999994</c:v>
                </c:pt>
                <c:pt idx="8" formatCode="#,##0">
                  <c:v>463413600</c:v>
                </c:pt>
                <c:pt idx="9" formatCode="#,##0">
                  <c:v>536987100</c:v>
                </c:pt>
              </c:numCache>
            </c:numRef>
          </c:val>
          <c:smooth val="0"/>
          <c:extLst>
            <c:ext xmlns:c16="http://schemas.microsoft.com/office/drawing/2014/chart" uri="{C3380CC4-5D6E-409C-BE32-E72D297353CC}">
              <c16:uniqueId val="{00000002-308E-4E2A-8537-C6BF9CF5ADCB}"/>
            </c:ext>
          </c:extLst>
        </c:ser>
        <c:dLbls>
          <c:showLegendKey val="0"/>
          <c:showVal val="0"/>
          <c:showCatName val="0"/>
          <c:showSerName val="0"/>
          <c:showPercent val="0"/>
          <c:showBubbleSize val="0"/>
        </c:dLbls>
        <c:marker val="1"/>
        <c:smooth val="0"/>
        <c:axId val="1184076991"/>
        <c:axId val="640051407"/>
      </c:lineChart>
      <c:catAx>
        <c:axId val="118407699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Jackpot</a:t>
                </a:r>
                <a:r>
                  <a:rPr lang="en-AU" baseline="0"/>
                  <a:t> amount (A$m)</a:t>
                </a:r>
                <a:endParaRPr lang="en-AU"/>
              </a:p>
            </c:rich>
          </c:tx>
          <c:layout>
            <c:manualLayout>
              <c:xMode val="edge"/>
              <c:yMode val="edge"/>
              <c:x val="0.42051423438681246"/>
              <c:y val="0.8002774340272835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AU"/>
            </a:p>
          </c:txPr>
        </c:title>
        <c:numFmt formatCode="#,,"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640051407"/>
        <c:crosses val="autoZero"/>
        <c:auto val="1"/>
        <c:lblAlgn val="ctr"/>
        <c:lblOffset val="100"/>
        <c:noMultiLvlLbl val="0"/>
      </c:catAx>
      <c:valAx>
        <c:axId val="6400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r>
                  <a:rPr lang="en-AU"/>
                  <a:t>No. of entries (m)</a:t>
                </a:r>
              </a:p>
            </c:rich>
          </c:tx>
          <c:layout>
            <c:manualLayout>
              <c:xMode val="edge"/>
              <c:yMode val="edge"/>
              <c:x val="1.6673614005835766E-2"/>
              <c:y val="0.18953745176845938"/>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ysClr val="windowText" lastClr="000000"/>
                  </a:solidFill>
                  <a:latin typeface="+mn-lt"/>
                  <a:ea typeface="+mn-ea"/>
                  <a:cs typeface="+mn-cs"/>
                </a:defRPr>
              </a:pPr>
              <a:endParaRPr lang="en-US"/>
            </a:p>
          </c:txPr>
        </c:title>
        <c:numFmt formatCode="#,##0_);\(#,##0.0\)_);&quot;-  &quot;;&quot; &quot;@&quot; &quot;" sourceLinked="0"/>
        <c:majorTickMark val="cross"/>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18407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3" Type="http://schemas.openxmlformats.org/officeDocument/2006/relationships/chart" Target="../charts/chart16.xml"/><Relationship Id="rId18" Type="http://schemas.openxmlformats.org/officeDocument/2006/relationships/chart" Target="../charts/chart21.xml"/><Relationship Id="rId26" Type="http://schemas.openxmlformats.org/officeDocument/2006/relationships/chart" Target="../charts/chart29.xml"/><Relationship Id="rId39" Type="http://schemas.openxmlformats.org/officeDocument/2006/relationships/chart" Target="../charts/chart42.xml"/><Relationship Id="rId21" Type="http://schemas.openxmlformats.org/officeDocument/2006/relationships/chart" Target="../charts/chart24.xml"/><Relationship Id="rId34" Type="http://schemas.openxmlformats.org/officeDocument/2006/relationships/chart" Target="../charts/chart37.xml"/><Relationship Id="rId42" Type="http://schemas.openxmlformats.org/officeDocument/2006/relationships/chart" Target="../charts/chart45.xml"/><Relationship Id="rId47" Type="http://schemas.openxmlformats.org/officeDocument/2006/relationships/chart" Target="../charts/chart50.xml"/><Relationship Id="rId50" Type="http://schemas.openxmlformats.org/officeDocument/2006/relationships/chart" Target="../charts/chart53.xml"/><Relationship Id="rId55" Type="http://schemas.openxmlformats.org/officeDocument/2006/relationships/chart" Target="../charts/chart57.xml"/><Relationship Id="rId7" Type="http://schemas.openxmlformats.org/officeDocument/2006/relationships/chart" Target="../charts/chart10.xml"/><Relationship Id="rId2" Type="http://schemas.openxmlformats.org/officeDocument/2006/relationships/chart" Target="../charts/chart5.xml"/><Relationship Id="rId16" Type="http://schemas.openxmlformats.org/officeDocument/2006/relationships/chart" Target="../charts/chart19.xml"/><Relationship Id="rId29" Type="http://schemas.openxmlformats.org/officeDocument/2006/relationships/chart" Target="../charts/chart32.xml"/><Relationship Id="rId11" Type="http://schemas.openxmlformats.org/officeDocument/2006/relationships/chart" Target="../charts/chart14.xml"/><Relationship Id="rId24" Type="http://schemas.openxmlformats.org/officeDocument/2006/relationships/chart" Target="../charts/chart27.xml"/><Relationship Id="rId32" Type="http://schemas.openxmlformats.org/officeDocument/2006/relationships/chart" Target="../charts/chart35.xml"/><Relationship Id="rId37" Type="http://schemas.openxmlformats.org/officeDocument/2006/relationships/chart" Target="../charts/chart40.xml"/><Relationship Id="rId40" Type="http://schemas.openxmlformats.org/officeDocument/2006/relationships/chart" Target="../charts/chart43.xml"/><Relationship Id="rId45" Type="http://schemas.openxmlformats.org/officeDocument/2006/relationships/chart" Target="../charts/chart48.xml"/><Relationship Id="rId53" Type="http://schemas.openxmlformats.org/officeDocument/2006/relationships/image" Target="../media/image1.png"/><Relationship Id="rId5" Type="http://schemas.openxmlformats.org/officeDocument/2006/relationships/chart" Target="../charts/chart8.xml"/><Relationship Id="rId10" Type="http://schemas.openxmlformats.org/officeDocument/2006/relationships/chart" Target="../charts/chart13.xml"/><Relationship Id="rId19" Type="http://schemas.openxmlformats.org/officeDocument/2006/relationships/chart" Target="../charts/chart22.xml"/><Relationship Id="rId31" Type="http://schemas.openxmlformats.org/officeDocument/2006/relationships/chart" Target="../charts/chart34.xml"/><Relationship Id="rId44" Type="http://schemas.openxmlformats.org/officeDocument/2006/relationships/chart" Target="../charts/chart47.xml"/><Relationship Id="rId52" Type="http://schemas.openxmlformats.org/officeDocument/2006/relationships/chart" Target="../charts/chart55.xml"/><Relationship Id="rId4" Type="http://schemas.openxmlformats.org/officeDocument/2006/relationships/chart" Target="../charts/chart7.xml"/><Relationship Id="rId9" Type="http://schemas.openxmlformats.org/officeDocument/2006/relationships/chart" Target="../charts/chart12.xml"/><Relationship Id="rId14" Type="http://schemas.openxmlformats.org/officeDocument/2006/relationships/chart" Target="../charts/chart17.xml"/><Relationship Id="rId22" Type="http://schemas.openxmlformats.org/officeDocument/2006/relationships/chart" Target="../charts/chart25.xml"/><Relationship Id="rId27" Type="http://schemas.openxmlformats.org/officeDocument/2006/relationships/chart" Target="../charts/chart30.xml"/><Relationship Id="rId30" Type="http://schemas.openxmlformats.org/officeDocument/2006/relationships/chart" Target="../charts/chart33.xml"/><Relationship Id="rId35" Type="http://schemas.openxmlformats.org/officeDocument/2006/relationships/chart" Target="../charts/chart38.xml"/><Relationship Id="rId43" Type="http://schemas.openxmlformats.org/officeDocument/2006/relationships/chart" Target="../charts/chart46.xml"/><Relationship Id="rId48" Type="http://schemas.openxmlformats.org/officeDocument/2006/relationships/chart" Target="../charts/chart51.xml"/><Relationship Id="rId56" Type="http://schemas.openxmlformats.org/officeDocument/2006/relationships/chart" Target="../charts/chart58.xml"/><Relationship Id="rId8" Type="http://schemas.openxmlformats.org/officeDocument/2006/relationships/chart" Target="../charts/chart11.xml"/><Relationship Id="rId51" Type="http://schemas.openxmlformats.org/officeDocument/2006/relationships/chart" Target="../charts/chart54.xml"/><Relationship Id="rId3" Type="http://schemas.openxmlformats.org/officeDocument/2006/relationships/chart" Target="../charts/chart6.xml"/><Relationship Id="rId12" Type="http://schemas.openxmlformats.org/officeDocument/2006/relationships/chart" Target="../charts/chart15.xml"/><Relationship Id="rId17" Type="http://schemas.openxmlformats.org/officeDocument/2006/relationships/chart" Target="../charts/chart20.xml"/><Relationship Id="rId25" Type="http://schemas.openxmlformats.org/officeDocument/2006/relationships/chart" Target="../charts/chart28.xml"/><Relationship Id="rId33" Type="http://schemas.openxmlformats.org/officeDocument/2006/relationships/chart" Target="../charts/chart36.xml"/><Relationship Id="rId38" Type="http://schemas.openxmlformats.org/officeDocument/2006/relationships/chart" Target="../charts/chart41.xml"/><Relationship Id="rId46" Type="http://schemas.openxmlformats.org/officeDocument/2006/relationships/chart" Target="../charts/chart49.xml"/><Relationship Id="rId20" Type="http://schemas.openxmlformats.org/officeDocument/2006/relationships/chart" Target="../charts/chart23.xml"/><Relationship Id="rId41" Type="http://schemas.openxmlformats.org/officeDocument/2006/relationships/chart" Target="../charts/chart44.xml"/><Relationship Id="rId54" Type="http://schemas.openxmlformats.org/officeDocument/2006/relationships/chart" Target="../charts/chart56.xml"/><Relationship Id="rId1" Type="http://schemas.openxmlformats.org/officeDocument/2006/relationships/chart" Target="../charts/chart4.xml"/><Relationship Id="rId6" Type="http://schemas.openxmlformats.org/officeDocument/2006/relationships/chart" Target="../charts/chart9.xml"/><Relationship Id="rId15" Type="http://schemas.openxmlformats.org/officeDocument/2006/relationships/chart" Target="../charts/chart18.xml"/><Relationship Id="rId23" Type="http://schemas.openxmlformats.org/officeDocument/2006/relationships/chart" Target="../charts/chart26.xml"/><Relationship Id="rId28" Type="http://schemas.openxmlformats.org/officeDocument/2006/relationships/chart" Target="../charts/chart31.xml"/><Relationship Id="rId36" Type="http://schemas.openxmlformats.org/officeDocument/2006/relationships/chart" Target="../charts/chart39.xml"/><Relationship Id="rId49" Type="http://schemas.openxmlformats.org/officeDocument/2006/relationships/chart" Target="../charts/chart52.xml"/></Relationships>
</file>

<file path=xl/drawings/_rels/drawing3.xml.rels><?xml version="1.0" encoding="UTF-8" standalone="yes"?>
<Relationships xmlns="http://schemas.openxmlformats.org/package/2006/relationships"><Relationship Id="rId13" Type="http://schemas.openxmlformats.org/officeDocument/2006/relationships/chart" Target="../charts/chart71.xml"/><Relationship Id="rId18" Type="http://schemas.openxmlformats.org/officeDocument/2006/relationships/chart" Target="../charts/chart76.xml"/><Relationship Id="rId26" Type="http://schemas.openxmlformats.org/officeDocument/2006/relationships/chart" Target="../charts/chart84.xml"/><Relationship Id="rId39" Type="http://schemas.openxmlformats.org/officeDocument/2006/relationships/chart" Target="../charts/chart97.xml"/><Relationship Id="rId21" Type="http://schemas.openxmlformats.org/officeDocument/2006/relationships/chart" Target="../charts/chart79.xml"/><Relationship Id="rId34" Type="http://schemas.openxmlformats.org/officeDocument/2006/relationships/chart" Target="../charts/chart92.xml"/><Relationship Id="rId42" Type="http://schemas.openxmlformats.org/officeDocument/2006/relationships/chart" Target="../charts/chart100.xml"/><Relationship Id="rId47" Type="http://schemas.openxmlformats.org/officeDocument/2006/relationships/chart" Target="../charts/chart105.xml"/><Relationship Id="rId50" Type="http://schemas.openxmlformats.org/officeDocument/2006/relationships/chart" Target="../charts/chart108.xml"/><Relationship Id="rId7" Type="http://schemas.openxmlformats.org/officeDocument/2006/relationships/chart" Target="../charts/chart65.xml"/><Relationship Id="rId2" Type="http://schemas.openxmlformats.org/officeDocument/2006/relationships/chart" Target="../charts/chart60.xml"/><Relationship Id="rId16" Type="http://schemas.openxmlformats.org/officeDocument/2006/relationships/chart" Target="../charts/chart74.xml"/><Relationship Id="rId29" Type="http://schemas.openxmlformats.org/officeDocument/2006/relationships/chart" Target="../charts/chart87.xml"/><Relationship Id="rId11" Type="http://schemas.openxmlformats.org/officeDocument/2006/relationships/chart" Target="../charts/chart69.xml"/><Relationship Id="rId24" Type="http://schemas.openxmlformats.org/officeDocument/2006/relationships/chart" Target="../charts/chart82.xml"/><Relationship Id="rId32" Type="http://schemas.openxmlformats.org/officeDocument/2006/relationships/chart" Target="../charts/chart90.xml"/><Relationship Id="rId37" Type="http://schemas.openxmlformats.org/officeDocument/2006/relationships/chart" Target="../charts/chart95.xml"/><Relationship Id="rId40" Type="http://schemas.openxmlformats.org/officeDocument/2006/relationships/chart" Target="../charts/chart98.xml"/><Relationship Id="rId45" Type="http://schemas.openxmlformats.org/officeDocument/2006/relationships/chart" Target="../charts/chart103.xml"/><Relationship Id="rId5" Type="http://schemas.openxmlformats.org/officeDocument/2006/relationships/chart" Target="../charts/chart63.xml"/><Relationship Id="rId15" Type="http://schemas.openxmlformats.org/officeDocument/2006/relationships/chart" Target="../charts/chart73.xml"/><Relationship Id="rId23" Type="http://schemas.openxmlformats.org/officeDocument/2006/relationships/chart" Target="../charts/chart81.xml"/><Relationship Id="rId28" Type="http://schemas.openxmlformats.org/officeDocument/2006/relationships/chart" Target="../charts/chart86.xml"/><Relationship Id="rId36" Type="http://schemas.openxmlformats.org/officeDocument/2006/relationships/chart" Target="../charts/chart94.xml"/><Relationship Id="rId49" Type="http://schemas.openxmlformats.org/officeDocument/2006/relationships/chart" Target="../charts/chart107.xml"/><Relationship Id="rId10" Type="http://schemas.openxmlformats.org/officeDocument/2006/relationships/chart" Target="../charts/chart68.xml"/><Relationship Id="rId19" Type="http://schemas.openxmlformats.org/officeDocument/2006/relationships/chart" Target="../charts/chart77.xml"/><Relationship Id="rId31" Type="http://schemas.openxmlformats.org/officeDocument/2006/relationships/chart" Target="../charts/chart89.xml"/><Relationship Id="rId44" Type="http://schemas.openxmlformats.org/officeDocument/2006/relationships/chart" Target="../charts/chart102.xml"/><Relationship Id="rId52" Type="http://schemas.openxmlformats.org/officeDocument/2006/relationships/chart" Target="../charts/chart110.xml"/><Relationship Id="rId4" Type="http://schemas.openxmlformats.org/officeDocument/2006/relationships/chart" Target="../charts/chart62.xml"/><Relationship Id="rId9" Type="http://schemas.openxmlformats.org/officeDocument/2006/relationships/chart" Target="../charts/chart67.xml"/><Relationship Id="rId14" Type="http://schemas.openxmlformats.org/officeDocument/2006/relationships/chart" Target="../charts/chart72.xml"/><Relationship Id="rId22" Type="http://schemas.openxmlformats.org/officeDocument/2006/relationships/chart" Target="../charts/chart80.xml"/><Relationship Id="rId27" Type="http://schemas.openxmlformats.org/officeDocument/2006/relationships/chart" Target="../charts/chart85.xml"/><Relationship Id="rId30" Type="http://schemas.openxmlformats.org/officeDocument/2006/relationships/chart" Target="../charts/chart88.xml"/><Relationship Id="rId35" Type="http://schemas.openxmlformats.org/officeDocument/2006/relationships/chart" Target="../charts/chart93.xml"/><Relationship Id="rId43" Type="http://schemas.openxmlformats.org/officeDocument/2006/relationships/chart" Target="../charts/chart101.xml"/><Relationship Id="rId48" Type="http://schemas.openxmlformats.org/officeDocument/2006/relationships/chart" Target="../charts/chart106.xml"/><Relationship Id="rId8" Type="http://schemas.openxmlformats.org/officeDocument/2006/relationships/chart" Target="../charts/chart66.xml"/><Relationship Id="rId51" Type="http://schemas.openxmlformats.org/officeDocument/2006/relationships/chart" Target="../charts/chart109.xml"/><Relationship Id="rId3" Type="http://schemas.openxmlformats.org/officeDocument/2006/relationships/chart" Target="../charts/chart61.xml"/><Relationship Id="rId12" Type="http://schemas.openxmlformats.org/officeDocument/2006/relationships/chart" Target="../charts/chart70.xml"/><Relationship Id="rId17" Type="http://schemas.openxmlformats.org/officeDocument/2006/relationships/chart" Target="../charts/chart75.xml"/><Relationship Id="rId25" Type="http://schemas.openxmlformats.org/officeDocument/2006/relationships/chart" Target="../charts/chart83.xml"/><Relationship Id="rId33" Type="http://schemas.openxmlformats.org/officeDocument/2006/relationships/chart" Target="../charts/chart91.xml"/><Relationship Id="rId38" Type="http://schemas.openxmlformats.org/officeDocument/2006/relationships/chart" Target="../charts/chart96.xml"/><Relationship Id="rId46" Type="http://schemas.openxmlformats.org/officeDocument/2006/relationships/chart" Target="../charts/chart104.xml"/><Relationship Id="rId20" Type="http://schemas.openxmlformats.org/officeDocument/2006/relationships/chart" Target="../charts/chart78.xml"/><Relationship Id="rId41" Type="http://schemas.openxmlformats.org/officeDocument/2006/relationships/chart" Target="../charts/chart99.xml"/><Relationship Id="rId1" Type="http://schemas.openxmlformats.org/officeDocument/2006/relationships/chart" Target="../charts/chart59.xml"/><Relationship Id="rId6" Type="http://schemas.openxmlformats.org/officeDocument/2006/relationships/chart" Target="../charts/chart64.xml"/></Relationships>
</file>

<file path=xl/drawings/_rels/drawing5.xml.rels><?xml version="1.0" encoding="UTF-8" standalone="yes"?>
<Relationships xmlns="http://schemas.openxmlformats.org/package/2006/relationships"><Relationship Id="rId13" Type="http://schemas.openxmlformats.org/officeDocument/2006/relationships/chart" Target="../charts/chart123.xml"/><Relationship Id="rId18" Type="http://schemas.openxmlformats.org/officeDocument/2006/relationships/chart" Target="../charts/chart128.xml"/><Relationship Id="rId26" Type="http://schemas.openxmlformats.org/officeDocument/2006/relationships/chart" Target="../charts/chart136.xml"/><Relationship Id="rId39" Type="http://schemas.openxmlformats.org/officeDocument/2006/relationships/chart" Target="../charts/chart149.xml"/><Relationship Id="rId21" Type="http://schemas.openxmlformats.org/officeDocument/2006/relationships/chart" Target="../charts/chart131.xml"/><Relationship Id="rId34" Type="http://schemas.openxmlformats.org/officeDocument/2006/relationships/chart" Target="../charts/chart144.xml"/><Relationship Id="rId42" Type="http://schemas.openxmlformats.org/officeDocument/2006/relationships/chart" Target="../charts/chart152.xml"/><Relationship Id="rId7" Type="http://schemas.openxmlformats.org/officeDocument/2006/relationships/chart" Target="../charts/chart117.xml"/><Relationship Id="rId2" Type="http://schemas.openxmlformats.org/officeDocument/2006/relationships/chart" Target="../charts/chart112.xml"/><Relationship Id="rId16" Type="http://schemas.openxmlformats.org/officeDocument/2006/relationships/chart" Target="../charts/chart126.xml"/><Relationship Id="rId29" Type="http://schemas.openxmlformats.org/officeDocument/2006/relationships/chart" Target="../charts/chart139.xml"/><Relationship Id="rId1" Type="http://schemas.openxmlformats.org/officeDocument/2006/relationships/chart" Target="../charts/chart111.xml"/><Relationship Id="rId6" Type="http://schemas.openxmlformats.org/officeDocument/2006/relationships/chart" Target="../charts/chart116.xml"/><Relationship Id="rId11" Type="http://schemas.openxmlformats.org/officeDocument/2006/relationships/chart" Target="../charts/chart121.xml"/><Relationship Id="rId24" Type="http://schemas.openxmlformats.org/officeDocument/2006/relationships/chart" Target="../charts/chart134.xml"/><Relationship Id="rId32" Type="http://schemas.openxmlformats.org/officeDocument/2006/relationships/chart" Target="../charts/chart142.xml"/><Relationship Id="rId37" Type="http://schemas.openxmlformats.org/officeDocument/2006/relationships/chart" Target="../charts/chart147.xml"/><Relationship Id="rId40" Type="http://schemas.openxmlformats.org/officeDocument/2006/relationships/chart" Target="../charts/chart150.xml"/><Relationship Id="rId45" Type="http://schemas.openxmlformats.org/officeDocument/2006/relationships/chart" Target="../charts/chart155.xml"/><Relationship Id="rId5" Type="http://schemas.openxmlformats.org/officeDocument/2006/relationships/chart" Target="../charts/chart115.xml"/><Relationship Id="rId15" Type="http://schemas.openxmlformats.org/officeDocument/2006/relationships/chart" Target="../charts/chart125.xml"/><Relationship Id="rId23" Type="http://schemas.openxmlformats.org/officeDocument/2006/relationships/chart" Target="../charts/chart133.xml"/><Relationship Id="rId28" Type="http://schemas.openxmlformats.org/officeDocument/2006/relationships/chart" Target="../charts/chart138.xml"/><Relationship Id="rId36" Type="http://schemas.openxmlformats.org/officeDocument/2006/relationships/chart" Target="../charts/chart146.xml"/><Relationship Id="rId10" Type="http://schemas.openxmlformats.org/officeDocument/2006/relationships/chart" Target="../charts/chart120.xml"/><Relationship Id="rId19" Type="http://schemas.openxmlformats.org/officeDocument/2006/relationships/chart" Target="../charts/chart129.xml"/><Relationship Id="rId31" Type="http://schemas.openxmlformats.org/officeDocument/2006/relationships/chart" Target="../charts/chart141.xml"/><Relationship Id="rId44" Type="http://schemas.openxmlformats.org/officeDocument/2006/relationships/chart" Target="../charts/chart154.xml"/><Relationship Id="rId4" Type="http://schemas.openxmlformats.org/officeDocument/2006/relationships/chart" Target="../charts/chart114.xml"/><Relationship Id="rId9" Type="http://schemas.openxmlformats.org/officeDocument/2006/relationships/chart" Target="../charts/chart119.xml"/><Relationship Id="rId14" Type="http://schemas.openxmlformats.org/officeDocument/2006/relationships/chart" Target="../charts/chart124.xml"/><Relationship Id="rId22" Type="http://schemas.openxmlformats.org/officeDocument/2006/relationships/chart" Target="../charts/chart132.xml"/><Relationship Id="rId27" Type="http://schemas.openxmlformats.org/officeDocument/2006/relationships/chart" Target="../charts/chart137.xml"/><Relationship Id="rId30" Type="http://schemas.openxmlformats.org/officeDocument/2006/relationships/chart" Target="../charts/chart140.xml"/><Relationship Id="rId35" Type="http://schemas.openxmlformats.org/officeDocument/2006/relationships/chart" Target="../charts/chart145.xml"/><Relationship Id="rId43" Type="http://schemas.openxmlformats.org/officeDocument/2006/relationships/chart" Target="../charts/chart153.xml"/><Relationship Id="rId8" Type="http://schemas.openxmlformats.org/officeDocument/2006/relationships/chart" Target="../charts/chart118.xml"/><Relationship Id="rId3" Type="http://schemas.openxmlformats.org/officeDocument/2006/relationships/chart" Target="../charts/chart113.xml"/><Relationship Id="rId12" Type="http://schemas.openxmlformats.org/officeDocument/2006/relationships/chart" Target="../charts/chart122.xml"/><Relationship Id="rId17" Type="http://schemas.openxmlformats.org/officeDocument/2006/relationships/chart" Target="../charts/chart127.xml"/><Relationship Id="rId25" Type="http://schemas.openxmlformats.org/officeDocument/2006/relationships/chart" Target="../charts/chart135.xml"/><Relationship Id="rId33" Type="http://schemas.openxmlformats.org/officeDocument/2006/relationships/chart" Target="../charts/chart143.xml"/><Relationship Id="rId38" Type="http://schemas.openxmlformats.org/officeDocument/2006/relationships/chart" Target="../charts/chart148.xml"/><Relationship Id="rId20" Type="http://schemas.openxmlformats.org/officeDocument/2006/relationships/chart" Target="../charts/chart130.xml"/><Relationship Id="rId41" Type="http://schemas.openxmlformats.org/officeDocument/2006/relationships/chart" Target="../charts/chart151.xml"/></Relationships>
</file>

<file path=xl/drawings/_rels/drawing7.xml.rels><?xml version="1.0" encoding="UTF-8" standalone="yes"?>
<Relationships xmlns="http://schemas.openxmlformats.org/package/2006/relationships"><Relationship Id="rId13" Type="http://schemas.openxmlformats.org/officeDocument/2006/relationships/chart" Target="../charts/chart168.xml"/><Relationship Id="rId18" Type="http://schemas.openxmlformats.org/officeDocument/2006/relationships/chart" Target="../charts/chart173.xml"/><Relationship Id="rId26" Type="http://schemas.openxmlformats.org/officeDocument/2006/relationships/chart" Target="../charts/chart181.xml"/><Relationship Id="rId39" Type="http://schemas.openxmlformats.org/officeDocument/2006/relationships/chart" Target="../charts/chart194.xml"/><Relationship Id="rId21" Type="http://schemas.openxmlformats.org/officeDocument/2006/relationships/chart" Target="../charts/chart176.xml"/><Relationship Id="rId34" Type="http://schemas.openxmlformats.org/officeDocument/2006/relationships/chart" Target="../charts/chart189.xml"/><Relationship Id="rId42" Type="http://schemas.openxmlformats.org/officeDocument/2006/relationships/chart" Target="../charts/chart197.xml"/><Relationship Id="rId47" Type="http://schemas.openxmlformats.org/officeDocument/2006/relationships/chart" Target="../charts/chart202.xml"/><Relationship Id="rId50" Type="http://schemas.openxmlformats.org/officeDocument/2006/relationships/chart" Target="../charts/chart205.xml"/><Relationship Id="rId55" Type="http://schemas.openxmlformats.org/officeDocument/2006/relationships/chart" Target="../charts/chart209.xml"/><Relationship Id="rId7" Type="http://schemas.openxmlformats.org/officeDocument/2006/relationships/chart" Target="../charts/chart162.xml"/><Relationship Id="rId2" Type="http://schemas.openxmlformats.org/officeDocument/2006/relationships/chart" Target="../charts/chart157.xml"/><Relationship Id="rId16" Type="http://schemas.openxmlformats.org/officeDocument/2006/relationships/chart" Target="../charts/chart171.xml"/><Relationship Id="rId29" Type="http://schemas.openxmlformats.org/officeDocument/2006/relationships/chart" Target="../charts/chart184.xml"/><Relationship Id="rId11" Type="http://schemas.openxmlformats.org/officeDocument/2006/relationships/chart" Target="../charts/chart166.xml"/><Relationship Id="rId24" Type="http://schemas.openxmlformats.org/officeDocument/2006/relationships/chart" Target="../charts/chart179.xml"/><Relationship Id="rId32" Type="http://schemas.openxmlformats.org/officeDocument/2006/relationships/chart" Target="../charts/chart187.xml"/><Relationship Id="rId37" Type="http://schemas.openxmlformats.org/officeDocument/2006/relationships/chart" Target="../charts/chart192.xml"/><Relationship Id="rId40" Type="http://schemas.openxmlformats.org/officeDocument/2006/relationships/chart" Target="../charts/chart195.xml"/><Relationship Id="rId45" Type="http://schemas.openxmlformats.org/officeDocument/2006/relationships/chart" Target="../charts/chart200.xml"/><Relationship Id="rId53" Type="http://schemas.openxmlformats.org/officeDocument/2006/relationships/image" Target="../media/image1.png"/><Relationship Id="rId5" Type="http://schemas.openxmlformats.org/officeDocument/2006/relationships/chart" Target="../charts/chart160.xml"/><Relationship Id="rId10" Type="http://schemas.openxmlformats.org/officeDocument/2006/relationships/chart" Target="../charts/chart165.xml"/><Relationship Id="rId19" Type="http://schemas.openxmlformats.org/officeDocument/2006/relationships/chart" Target="../charts/chart174.xml"/><Relationship Id="rId31" Type="http://schemas.openxmlformats.org/officeDocument/2006/relationships/chart" Target="../charts/chart186.xml"/><Relationship Id="rId44" Type="http://schemas.openxmlformats.org/officeDocument/2006/relationships/chart" Target="../charts/chart199.xml"/><Relationship Id="rId52" Type="http://schemas.openxmlformats.org/officeDocument/2006/relationships/chart" Target="../charts/chart207.xml"/><Relationship Id="rId4" Type="http://schemas.openxmlformats.org/officeDocument/2006/relationships/chart" Target="../charts/chart159.xml"/><Relationship Id="rId9" Type="http://schemas.openxmlformats.org/officeDocument/2006/relationships/chart" Target="../charts/chart164.xml"/><Relationship Id="rId14" Type="http://schemas.openxmlformats.org/officeDocument/2006/relationships/chart" Target="../charts/chart169.xml"/><Relationship Id="rId22" Type="http://schemas.openxmlformats.org/officeDocument/2006/relationships/chart" Target="../charts/chart177.xml"/><Relationship Id="rId27" Type="http://schemas.openxmlformats.org/officeDocument/2006/relationships/chart" Target="../charts/chart182.xml"/><Relationship Id="rId30" Type="http://schemas.openxmlformats.org/officeDocument/2006/relationships/chart" Target="../charts/chart185.xml"/><Relationship Id="rId35" Type="http://schemas.openxmlformats.org/officeDocument/2006/relationships/chart" Target="../charts/chart190.xml"/><Relationship Id="rId43" Type="http://schemas.openxmlformats.org/officeDocument/2006/relationships/chart" Target="../charts/chart198.xml"/><Relationship Id="rId48" Type="http://schemas.openxmlformats.org/officeDocument/2006/relationships/chart" Target="../charts/chart203.xml"/><Relationship Id="rId8" Type="http://schemas.openxmlformats.org/officeDocument/2006/relationships/chart" Target="../charts/chart163.xml"/><Relationship Id="rId51" Type="http://schemas.openxmlformats.org/officeDocument/2006/relationships/chart" Target="../charts/chart206.xml"/><Relationship Id="rId3" Type="http://schemas.openxmlformats.org/officeDocument/2006/relationships/chart" Target="../charts/chart158.xml"/><Relationship Id="rId12" Type="http://schemas.openxmlformats.org/officeDocument/2006/relationships/chart" Target="../charts/chart167.xml"/><Relationship Id="rId17" Type="http://schemas.openxmlformats.org/officeDocument/2006/relationships/chart" Target="../charts/chart172.xml"/><Relationship Id="rId25" Type="http://schemas.openxmlformats.org/officeDocument/2006/relationships/chart" Target="../charts/chart180.xml"/><Relationship Id="rId33" Type="http://schemas.openxmlformats.org/officeDocument/2006/relationships/chart" Target="../charts/chart188.xml"/><Relationship Id="rId38" Type="http://schemas.openxmlformats.org/officeDocument/2006/relationships/chart" Target="../charts/chart193.xml"/><Relationship Id="rId46" Type="http://schemas.openxmlformats.org/officeDocument/2006/relationships/chart" Target="../charts/chart201.xml"/><Relationship Id="rId20" Type="http://schemas.openxmlformats.org/officeDocument/2006/relationships/chart" Target="../charts/chart175.xml"/><Relationship Id="rId41" Type="http://schemas.openxmlformats.org/officeDocument/2006/relationships/chart" Target="../charts/chart196.xml"/><Relationship Id="rId54" Type="http://schemas.openxmlformats.org/officeDocument/2006/relationships/chart" Target="../charts/chart208.xml"/><Relationship Id="rId1" Type="http://schemas.openxmlformats.org/officeDocument/2006/relationships/chart" Target="../charts/chart156.xml"/><Relationship Id="rId6" Type="http://schemas.openxmlformats.org/officeDocument/2006/relationships/chart" Target="../charts/chart161.xml"/><Relationship Id="rId15" Type="http://schemas.openxmlformats.org/officeDocument/2006/relationships/chart" Target="../charts/chart170.xml"/><Relationship Id="rId23" Type="http://schemas.openxmlformats.org/officeDocument/2006/relationships/chart" Target="../charts/chart178.xml"/><Relationship Id="rId28" Type="http://schemas.openxmlformats.org/officeDocument/2006/relationships/chart" Target="../charts/chart183.xml"/><Relationship Id="rId36" Type="http://schemas.openxmlformats.org/officeDocument/2006/relationships/chart" Target="../charts/chart191.xml"/><Relationship Id="rId49" Type="http://schemas.openxmlformats.org/officeDocument/2006/relationships/chart" Target="../charts/chart204.xml"/></Relationships>
</file>

<file path=xl/drawings/drawing1.xml><?xml version="1.0" encoding="utf-8"?>
<xdr:wsDr xmlns:xdr="http://schemas.openxmlformats.org/drawingml/2006/spreadsheetDrawing" xmlns:a="http://schemas.openxmlformats.org/drawingml/2006/main">
  <xdr:twoCellAnchor>
    <xdr:from>
      <xdr:col>31</xdr:col>
      <xdr:colOff>0</xdr:colOff>
      <xdr:row>64</xdr:row>
      <xdr:rowOff>0</xdr:rowOff>
    </xdr:from>
    <xdr:to>
      <xdr:col>39</xdr:col>
      <xdr:colOff>228663</xdr:colOff>
      <xdr:row>79</xdr:row>
      <xdr:rowOff>56118</xdr:rowOff>
    </xdr:to>
    <xdr:graphicFrame macro="">
      <xdr:nvGraphicFramePr>
        <xdr:cNvPr id="58" name="Chart 57">
          <a:extLst>
            <a:ext uri="{FF2B5EF4-FFF2-40B4-BE49-F238E27FC236}">
              <a16:creationId xmlns:a16="http://schemas.microsoft.com/office/drawing/2014/main" id="{C2266B4F-F242-4EEC-93BF-3BB8DBC7B9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268941</xdr:colOff>
      <xdr:row>34</xdr:row>
      <xdr:rowOff>44825</xdr:rowOff>
    </xdr:from>
    <xdr:to>
      <xdr:col>10</xdr:col>
      <xdr:colOff>399352</xdr:colOff>
      <xdr:row>49</xdr:row>
      <xdr:rowOff>67325</xdr:rowOff>
    </xdr:to>
    <xdr:graphicFrame macro="">
      <xdr:nvGraphicFramePr>
        <xdr:cNvPr id="60" name="Chart 59">
          <a:extLst>
            <a:ext uri="{FF2B5EF4-FFF2-40B4-BE49-F238E27FC236}">
              <a16:creationId xmlns:a16="http://schemas.microsoft.com/office/drawing/2014/main" id="{3489E77D-154D-40BF-89DC-E5054FD233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48</xdr:col>
      <xdr:colOff>585108</xdr:colOff>
      <xdr:row>64</xdr:row>
      <xdr:rowOff>81643</xdr:rowOff>
    </xdr:from>
    <xdr:to>
      <xdr:col>56</xdr:col>
      <xdr:colOff>92592</xdr:colOff>
      <xdr:row>79</xdr:row>
      <xdr:rowOff>137761</xdr:rowOff>
    </xdr:to>
    <xdr:graphicFrame macro="">
      <xdr:nvGraphicFramePr>
        <xdr:cNvPr id="48" name="Chart 47">
          <a:extLst>
            <a:ext uri="{FF2B5EF4-FFF2-40B4-BE49-F238E27FC236}">
              <a16:creationId xmlns:a16="http://schemas.microsoft.com/office/drawing/2014/main" id="{29830D09-D360-438D-BF16-32908267ED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113</xdr:col>
      <xdr:colOff>133350</xdr:colOff>
      <xdr:row>5</xdr:row>
      <xdr:rowOff>104774</xdr:rowOff>
    </xdr:from>
    <xdr:to>
      <xdr:col>113</xdr:col>
      <xdr:colOff>4813350</xdr:colOff>
      <xdr:row>20</xdr:row>
      <xdr:rowOff>127274</xdr:rowOff>
    </xdr:to>
    <xdr:graphicFrame macro="">
      <xdr:nvGraphicFramePr>
        <xdr:cNvPr id="2" name="Chart 1">
          <a:extLst>
            <a:ext uri="{FF2B5EF4-FFF2-40B4-BE49-F238E27FC236}">
              <a16:creationId xmlns:a16="http://schemas.microsoft.com/office/drawing/2014/main" id="{7203E1CE-B700-422F-AC83-30E1923316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113</xdr:col>
      <xdr:colOff>166688</xdr:colOff>
      <xdr:row>25</xdr:row>
      <xdr:rowOff>47625</xdr:rowOff>
    </xdr:from>
    <xdr:to>
      <xdr:col>113</xdr:col>
      <xdr:colOff>4846688</xdr:colOff>
      <xdr:row>40</xdr:row>
      <xdr:rowOff>70125</xdr:rowOff>
    </xdr:to>
    <xdr:graphicFrame macro="">
      <xdr:nvGraphicFramePr>
        <xdr:cNvPr id="3" name="Chart 2">
          <a:extLst>
            <a:ext uri="{FF2B5EF4-FFF2-40B4-BE49-F238E27FC236}">
              <a16:creationId xmlns:a16="http://schemas.microsoft.com/office/drawing/2014/main" id="{948903C2-9C68-4D2F-8169-E4B234D9AB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113</xdr:col>
      <xdr:colOff>119063</xdr:colOff>
      <xdr:row>44</xdr:row>
      <xdr:rowOff>11906</xdr:rowOff>
    </xdr:from>
    <xdr:to>
      <xdr:col>113</xdr:col>
      <xdr:colOff>4799063</xdr:colOff>
      <xdr:row>59</xdr:row>
      <xdr:rowOff>34406</xdr:rowOff>
    </xdr:to>
    <xdr:graphicFrame macro="">
      <xdr:nvGraphicFramePr>
        <xdr:cNvPr id="4" name="Chart 3">
          <a:extLst>
            <a:ext uri="{FF2B5EF4-FFF2-40B4-BE49-F238E27FC236}">
              <a16:creationId xmlns:a16="http://schemas.microsoft.com/office/drawing/2014/main" id="{3703DBE4-6722-44CF-A73D-BE85389599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113</xdr:col>
      <xdr:colOff>261937</xdr:colOff>
      <xdr:row>63</xdr:row>
      <xdr:rowOff>47625</xdr:rowOff>
    </xdr:from>
    <xdr:to>
      <xdr:col>113</xdr:col>
      <xdr:colOff>4941937</xdr:colOff>
      <xdr:row>78</xdr:row>
      <xdr:rowOff>70125</xdr:rowOff>
    </xdr:to>
    <xdr:graphicFrame macro="">
      <xdr:nvGraphicFramePr>
        <xdr:cNvPr id="5" name="Chart 4">
          <a:extLst>
            <a:ext uri="{FF2B5EF4-FFF2-40B4-BE49-F238E27FC236}">
              <a16:creationId xmlns:a16="http://schemas.microsoft.com/office/drawing/2014/main" id="{66DA0075-66D3-4503-96BD-2BEF6CE4D7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113</xdr:col>
      <xdr:colOff>261937</xdr:colOff>
      <xdr:row>101</xdr:row>
      <xdr:rowOff>47625</xdr:rowOff>
    </xdr:from>
    <xdr:to>
      <xdr:col>113</xdr:col>
      <xdr:colOff>4941937</xdr:colOff>
      <xdr:row>116</xdr:row>
      <xdr:rowOff>70125</xdr:rowOff>
    </xdr:to>
    <xdr:graphicFrame macro="">
      <xdr:nvGraphicFramePr>
        <xdr:cNvPr id="6" name="Chart 5">
          <a:extLst>
            <a:ext uri="{FF2B5EF4-FFF2-40B4-BE49-F238E27FC236}">
              <a16:creationId xmlns:a16="http://schemas.microsoft.com/office/drawing/2014/main" id="{A4F1D529-FA01-4ECE-96FD-2E86AA86E0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113</xdr:col>
      <xdr:colOff>261937</xdr:colOff>
      <xdr:row>139</xdr:row>
      <xdr:rowOff>47625</xdr:rowOff>
    </xdr:from>
    <xdr:to>
      <xdr:col>113</xdr:col>
      <xdr:colOff>4941937</xdr:colOff>
      <xdr:row>154</xdr:row>
      <xdr:rowOff>70125</xdr:rowOff>
    </xdr:to>
    <xdr:graphicFrame macro="">
      <xdr:nvGraphicFramePr>
        <xdr:cNvPr id="7" name="Chart 6">
          <a:extLst>
            <a:ext uri="{FF2B5EF4-FFF2-40B4-BE49-F238E27FC236}">
              <a16:creationId xmlns:a16="http://schemas.microsoft.com/office/drawing/2014/main" id="{8A375DA6-916E-4D99-8343-EE04F9BE17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77</xdr:col>
      <xdr:colOff>133350</xdr:colOff>
      <xdr:row>5</xdr:row>
      <xdr:rowOff>104774</xdr:rowOff>
    </xdr:from>
    <xdr:to>
      <xdr:col>77</xdr:col>
      <xdr:colOff>4813350</xdr:colOff>
      <xdr:row>20</xdr:row>
      <xdr:rowOff>127274</xdr:rowOff>
    </xdr:to>
    <xdr:graphicFrame macro="">
      <xdr:nvGraphicFramePr>
        <xdr:cNvPr id="8" name="Chart 7">
          <a:extLst>
            <a:ext uri="{FF2B5EF4-FFF2-40B4-BE49-F238E27FC236}">
              <a16:creationId xmlns:a16="http://schemas.microsoft.com/office/drawing/2014/main" id="{567BD216-49EE-48B5-85BA-BC35723018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93</xdr:col>
      <xdr:colOff>133350</xdr:colOff>
      <xdr:row>5</xdr:row>
      <xdr:rowOff>104774</xdr:rowOff>
    </xdr:from>
    <xdr:to>
      <xdr:col>93</xdr:col>
      <xdr:colOff>4813350</xdr:colOff>
      <xdr:row>20</xdr:row>
      <xdr:rowOff>127274</xdr:rowOff>
    </xdr:to>
    <xdr:graphicFrame macro="">
      <xdr:nvGraphicFramePr>
        <xdr:cNvPr id="9" name="Chart 8">
          <a:extLst>
            <a:ext uri="{FF2B5EF4-FFF2-40B4-BE49-F238E27FC236}">
              <a16:creationId xmlns:a16="http://schemas.microsoft.com/office/drawing/2014/main" id="{5E582A42-B65F-48C7-9C62-3001D886B5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93</xdr:col>
      <xdr:colOff>107156</xdr:colOff>
      <xdr:row>25</xdr:row>
      <xdr:rowOff>71438</xdr:rowOff>
    </xdr:from>
    <xdr:to>
      <xdr:col>93</xdr:col>
      <xdr:colOff>4787156</xdr:colOff>
      <xdr:row>40</xdr:row>
      <xdr:rowOff>93938</xdr:rowOff>
    </xdr:to>
    <xdr:graphicFrame macro="">
      <xdr:nvGraphicFramePr>
        <xdr:cNvPr id="10" name="Chart 9">
          <a:extLst>
            <a:ext uri="{FF2B5EF4-FFF2-40B4-BE49-F238E27FC236}">
              <a16:creationId xmlns:a16="http://schemas.microsoft.com/office/drawing/2014/main" id="{AC6D7940-03F7-4D7E-A694-9E3CFCF9FF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132</xdr:col>
      <xdr:colOff>133350</xdr:colOff>
      <xdr:row>5</xdr:row>
      <xdr:rowOff>104774</xdr:rowOff>
    </xdr:from>
    <xdr:to>
      <xdr:col>132</xdr:col>
      <xdr:colOff>4813350</xdr:colOff>
      <xdr:row>20</xdr:row>
      <xdr:rowOff>127274</xdr:rowOff>
    </xdr:to>
    <xdr:graphicFrame macro="">
      <xdr:nvGraphicFramePr>
        <xdr:cNvPr id="11" name="Chart 10">
          <a:extLst>
            <a:ext uri="{FF2B5EF4-FFF2-40B4-BE49-F238E27FC236}">
              <a16:creationId xmlns:a16="http://schemas.microsoft.com/office/drawing/2014/main" id="{29C2CD8E-8070-4FD7-9A59-C0813627E3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77</xdr:col>
      <xdr:colOff>226219</xdr:colOff>
      <xdr:row>25</xdr:row>
      <xdr:rowOff>11906</xdr:rowOff>
    </xdr:from>
    <xdr:to>
      <xdr:col>77</xdr:col>
      <xdr:colOff>4906219</xdr:colOff>
      <xdr:row>40</xdr:row>
      <xdr:rowOff>34406</xdr:rowOff>
    </xdr:to>
    <xdr:graphicFrame macro="">
      <xdr:nvGraphicFramePr>
        <xdr:cNvPr id="12" name="Chart 11">
          <a:extLst>
            <a:ext uri="{FF2B5EF4-FFF2-40B4-BE49-F238E27FC236}">
              <a16:creationId xmlns:a16="http://schemas.microsoft.com/office/drawing/2014/main" id="{090C090A-307D-40CD-8643-B0F911B290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132</xdr:col>
      <xdr:colOff>133350</xdr:colOff>
      <xdr:row>24</xdr:row>
      <xdr:rowOff>104774</xdr:rowOff>
    </xdr:from>
    <xdr:to>
      <xdr:col>132</xdr:col>
      <xdr:colOff>4813350</xdr:colOff>
      <xdr:row>39</xdr:row>
      <xdr:rowOff>127274</xdr:rowOff>
    </xdr:to>
    <xdr:graphicFrame macro="">
      <xdr:nvGraphicFramePr>
        <xdr:cNvPr id="13" name="Chart 12">
          <a:extLst>
            <a:ext uri="{FF2B5EF4-FFF2-40B4-BE49-F238E27FC236}">
              <a16:creationId xmlns:a16="http://schemas.microsoft.com/office/drawing/2014/main" id="{2C0A694F-E9C5-4A5B-91A1-8F79D3DADC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132</xdr:col>
      <xdr:colOff>133350</xdr:colOff>
      <xdr:row>43</xdr:row>
      <xdr:rowOff>104774</xdr:rowOff>
    </xdr:from>
    <xdr:to>
      <xdr:col>132</xdr:col>
      <xdr:colOff>4813350</xdr:colOff>
      <xdr:row>58</xdr:row>
      <xdr:rowOff>127274</xdr:rowOff>
    </xdr:to>
    <xdr:graphicFrame macro="">
      <xdr:nvGraphicFramePr>
        <xdr:cNvPr id="14" name="Chart 13">
          <a:extLst>
            <a:ext uri="{FF2B5EF4-FFF2-40B4-BE49-F238E27FC236}">
              <a16:creationId xmlns:a16="http://schemas.microsoft.com/office/drawing/2014/main" id="{037E43CB-2A7A-431A-A779-3389427D31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132</xdr:col>
      <xdr:colOff>133350</xdr:colOff>
      <xdr:row>62</xdr:row>
      <xdr:rowOff>104774</xdr:rowOff>
    </xdr:from>
    <xdr:to>
      <xdr:col>132</xdr:col>
      <xdr:colOff>4813350</xdr:colOff>
      <xdr:row>77</xdr:row>
      <xdr:rowOff>127274</xdr:rowOff>
    </xdr:to>
    <xdr:graphicFrame macro="">
      <xdr:nvGraphicFramePr>
        <xdr:cNvPr id="15" name="Chart 14">
          <a:extLst>
            <a:ext uri="{FF2B5EF4-FFF2-40B4-BE49-F238E27FC236}">
              <a16:creationId xmlns:a16="http://schemas.microsoft.com/office/drawing/2014/main" id="{688E0660-C91D-440C-86C5-49E634C412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132</xdr:col>
      <xdr:colOff>133350</xdr:colOff>
      <xdr:row>81</xdr:row>
      <xdr:rowOff>104774</xdr:rowOff>
    </xdr:from>
    <xdr:to>
      <xdr:col>132</xdr:col>
      <xdr:colOff>4813350</xdr:colOff>
      <xdr:row>96</xdr:row>
      <xdr:rowOff>127274</xdr:rowOff>
    </xdr:to>
    <xdr:graphicFrame macro="">
      <xdr:nvGraphicFramePr>
        <xdr:cNvPr id="16" name="Chart 15">
          <a:extLst>
            <a:ext uri="{FF2B5EF4-FFF2-40B4-BE49-F238E27FC236}">
              <a16:creationId xmlns:a16="http://schemas.microsoft.com/office/drawing/2014/main" id="{C31877C0-A33C-4478-8C5C-A0DD5347F1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132</xdr:col>
      <xdr:colOff>133350</xdr:colOff>
      <xdr:row>100</xdr:row>
      <xdr:rowOff>104774</xdr:rowOff>
    </xdr:from>
    <xdr:to>
      <xdr:col>132</xdr:col>
      <xdr:colOff>4813350</xdr:colOff>
      <xdr:row>115</xdr:row>
      <xdr:rowOff>127274</xdr:rowOff>
    </xdr:to>
    <xdr:graphicFrame macro="">
      <xdr:nvGraphicFramePr>
        <xdr:cNvPr id="17" name="Chart 16">
          <a:extLst>
            <a:ext uri="{FF2B5EF4-FFF2-40B4-BE49-F238E27FC236}">
              <a16:creationId xmlns:a16="http://schemas.microsoft.com/office/drawing/2014/main" id="{CCDD4428-02E7-4182-AA31-57AB459F44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132</xdr:col>
      <xdr:colOff>133350</xdr:colOff>
      <xdr:row>119</xdr:row>
      <xdr:rowOff>104774</xdr:rowOff>
    </xdr:from>
    <xdr:to>
      <xdr:col>132</xdr:col>
      <xdr:colOff>4813350</xdr:colOff>
      <xdr:row>134</xdr:row>
      <xdr:rowOff>127274</xdr:rowOff>
    </xdr:to>
    <xdr:graphicFrame macro="">
      <xdr:nvGraphicFramePr>
        <xdr:cNvPr id="18" name="Chart 17">
          <a:extLst>
            <a:ext uri="{FF2B5EF4-FFF2-40B4-BE49-F238E27FC236}">
              <a16:creationId xmlns:a16="http://schemas.microsoft.com/office/drawing/2014/main" id="{06B6EA1F-DFDC-44DA-A08D-3CFCDC4257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132</xdr:col>
      <xdr:colOff>133350</xdr:colOff>
      <xdr:row>138</xdr:row>
      <xdr:rowOff>104774</xdr:rowOff>
    </xdr:from>
    <xdr:to>
      <xdr:col>132</xdr:col>
      <xdr:colOff>4813350</xdr:colOff>
      <xdr:row>153</xdr:row>
      <xdr:rowOff>127274</xdr:rowOff>
    </xdr:to>
    <xdr:graphicFrame macro="">
      <xdr:nvGraphicFramePr>
        <xdr:cNvPr id="19" name="Chart 18">
          <a:extLst>
            <a:ext uri="{FF2B5EF4-FFF2-40B4-BE49-F238E27FC236}">
              <a16:creationId xmlns:a16="http://schemas.microsoft.com/office/drawing/2014/main" id="{283E90FE-370D-4657-AD3A-0B780B465F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132</xdr:col>
      <xdr:colOff>133350</xdr:colOff>
      <xdr:row>157</xdr:row>
      <xdr:rowOff>104774</xdr:rowOff>
    </xdr:from>
    <xdr:to>
      <xdr:col>132</xdr:col>
      <xdr:colOff>4813350</xdr:colOff>
      <xdr:row>172</xdr:row>
      <xdr:rowOff>127274</xdr:rowOff>
    </xdr:to>
    <xdr:graphicFrame macro="">
      <xdr:nvGraphicFramePr>
        <xdr:cNvPr id="20" name="Chart 19">
          <a:extLst>
            <a:ext uri="{FF2B5EF4-FFF2-40B4-BE49-F238E27FC236}">
              <a16:creationId xmlns:a16="http://schemas.microsoft.com/office/drawing/2014/main" id="{D1BFCADD-ACFB-4D4B-BC4A-B1FB5889D5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132</xdr:col>
      <xdr:colOff>133350</xdr:colOff>
      <xdr:row>176</xdr:row>
      <xdr:rowOff>104774</xdr:rowOff>
    </xdr:from>
    <xdr:to>
      <xdr:col>132</xdr:col>
      <xdr:colOff>4813350</xdr:colOff>
      <xdr:row>191</xdr:row>
      <xdr:rowOff>127274</xdr:rowOff>
    </xdr:to>
    <xdr:graphicFrame macro="">
      <xdr:nvGraphicFramePr>
        <xdr:cNvPr id="21" name="Chart 20">
          <a:extLst>
            <a:ext uri="{FF2B5EF4-FFF2-40B4-BE49-F238E27FC236}">
              <a16:creationId xmlns:a16="http://schemas.microsoft.com/office/drawing/2014/main" id="{47025985-C66D-4ACE-A101-33FCA798E6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132</xdr:col>
      <xdr:colOff>164508</xdr:colOff>
      <xdr:row>197</xdr:row>
      <xdr:rowOff>31440</xdr:rowOff>
    </xdr:from>
    <xdr:to>
      <xdr:col>132</xdr:col>
      <xdr:colOff>4843262</xdr:colOff>
      <xdr:row>212</xdr:row>
      <xdr:rowOff>53940</xdr:rowOff>
    </xdr:to>
    <xdr:graphicFrame macro="">
      <xdr:nvGraphicFramePr>
        <xdr:cNvPr id="22" name="Chart 21">
          <a:extLst>
            <a:ext uri="{FF2B5EF4-FFF2-40B4-BE49-F238E27FC236}">
              <a16:creationId xmlns:a16="http://schemas.microsoft.com/office/drawing/2014/main" id="{FC5002DE-6C50-4CC3-AFDC-F35E2841C6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132</xdr:col>
      <xdr:colOff>214312</xdr:colOff>
      <xdr:row>215</xdr:row>
      <xdr:rowOff>47626</xdr:rowOff>
    </xdr:from>
    <xdr:to>
      <xdr:col>132</xdr:col>
      <xdr:colOff>4894312</xdr:colOff>
      <xdr:row>230</xdr:row>
      <xdr:rowOff>70126</xdr:rowOff>
    </xdr:to>
    <xdr:graphicFrame macro="">
      <xdr:nvGraphicFramePr>
        <xdr:cNvPr id="23" name="Chart 22">
          <a:extLst>
            <a:ext uri="{FF2B5EF4-FFF2-40B4-BE49-F238E27FC236}">
              <a16:creationId xmlns:a16="http://schemas.microsoft.com/office/drawing/2014/main" id="{577D00D8-08F2-4D11-9ADE-7299FABD19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151</xdr:col>
      <xdr:colOff>133350</xdr:colOff>
      <xdr:row>5</xdr:row>
      <xdr:rowOff>104774</xdr:rowOff>
    </xdr:from>
    <xdr:to>
      <xdr:col>151</xdr:col>
      <xdr:colOff>4813350</xdr:colOff>
      <xdr:row>20</xdr:row>
      <xdr:rowOff>127274</xdr:rowOff>
    </xdr:to>
    <xdr:graphicFrame macro="">
      <xdr:nvGraphicFramePr>
        <xdr:cNvPr id="24" name="Chart 23">
          <a:extLst>
            <a:ext uri="{FF2B5EF4-FFF2-40B4-BE49-F238E27FC236}">
              <a16:creationId xmlns:a16="http://schemas.microsoft.com/office/drawing/2014/main" id="{9220065C-1A63-45CF-B01B-E7D1DF7852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151</xdr:col>
      <xdr:colOff>133350</xdr:colOff>
      <xdr:row>24</xdr:row>
      <xdr:rowOff>104774</xdr:rowOff>
    </xdr:from>
    <xdr:to>
      <xdr:col>151</xdr:col>
      <xdr:colOff>4813350</xdr:colOff>
      <xdr:row>39</xdr:row>
      <xdr:rowOff>127274</xdr:rowOff>
    </xdr:to>
    <xdr:graphicFrame macro="">
      <xdr:nvGraphicFramePr>
        <xdr:cNvPr id="25" name="Chart 24">
          <a:extLst>
            <a:ext uri="{FF2B5EF4-FFF2-40B4-BE49-F238E27FC236}">
              <a16:creationId xmlns:a16="http://schemas.microsoft.com/office/drawing/2014/main" id="{01098417-A01C-4335-8B69-75D48E43CE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151</xdr:col>
      <xdr:colOff>95250</xdr:colOff>
      <xdr:row>44</xdr:row>
      <xdr:rowOff>95250</xdr:rowOff>
    </xdr:from>
    <xdr:to>
      <xdr:col>151</xdr:col>
      <xdr:colOff>4775250</xdr:colOff>
      <xdr:row>59</xdr:row>
      <xdr:rowOff>117750</xdr:rowOff>
    </xdr:to>
    <xdr:graphicFrame macro="">
      <xdr:nvGraphicFramePr>
        <xdr:cNvPr id="26" name="Chart 25">
          <a:extLst>
            <a:ext uri="{FF2B5EF4-FFF2-40B4-BE49-F238E27FC236}">
              <a16:creationId xmlns:a16="http://schemas.microsoft.com/office/drawing/2014/main" id="{E9A2A3D9-E497-4179-8CEA-B35ADA747D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77</xdr:col>
      <xdr:colOff>226219</xdr:colOff>
      <xdr:row>45</xdr:row>
      <xdr:rowOff>11906</xdr:rowOff>
    </xdr:from>
    <xdr:to>
      <xdr:col>77</xdr:col>
      <xdr:colOff>4906219</xdr:colOff>
      <xdr:row>60</xdr:row>
      <xdr:rowOff>34406</xdr:rowOff>
    </xdr:to>
    <xdr:graphicFrame macro="">
      <xdr:nvGraphicFramePr>
        <xdr:cNvPr id="27" name="Chart 26">
          <a:extLst>
            <a:ext uri="{FF2B5EF4-FFF2-40B4-BE49-F238E27FC236}">
              <a16:creationId xmlns:a16="http://schemas.microsoft.com/office/drawing/2014/main" id="{AFE516F1-0A47-4BE2-9596-6689871A2D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58</xdr:col>
      <xdr:colOff>133350</xdr:colOff>
      <xdr:row>24</xdr:row>
      <xdr:rowOff>104774</xdr:rowOff>
    </xdr:from>
    <xdr:to>
      <xdr:col>58</xdr:col>
      <xdr:colOff>4813350</xdr:colOff>
      <xdr:row>39</xdr:row>
      <xdr:rowOff>127274</xdr:rowOff>
    </xdr:to>
    <xdr:graphicFrame macro="">
      <xdr:nvGraphicFramePr>
        <xdr:cNvPr id="28" name="Chart 27">
          <a:extLst>
            <a:ext uri="{FF2B5EF4-FFF2-40B4-BE49-F238E27FC236}">
              <a16:creationId xmlns:a16="http://schemas.microsoft.com/office/drawing/2014/main" id="{5DAF3208-DCA9-430E-8AAE-6AD83C9114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58</xdr:col>
      <xdr:colOff>165101</xdr:colOff>
      <xdr:row>45</xdr:row>
      <xdr:rowOff>20108</xdr:rowOff>
    </xdr:from>
    <xdr:to>
      <xdr:col>58</xdr:col>
      <xdr:colOff>4845101</xdr:colOff>
      <xdr:row>60</xdr:row>
      <xdr:rowOff>42608</xdr:rowOff>
    </xdr:to>
    <xdr:graphicFrame macro="">
      <xdr:nvGraphicFramePr>
        <xdr:cNvPr id="29" name="Chart 28">
          <a:extLst>
            <a:ext uri="{FF2B5EF4-FFF2-40B4-BE49-F238E27FC236}">
              <a16:creationId xmlns:a16="http://schemas.microsoft.com/office/drawing/2014/main" id="{B082D338-B8C5-43CC-8DE2-D5CDBAD3E3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58</xdr:col>
      <xdr:colOff>169333</xdr:colOff>
      <xdr:row>63</xdr:row>
      <xdr:rowOff>148167</xdr:rowOff>
    </xdr:from>
    <xdr:to>
      <xdr:col>58</xdr:col>
      <xdr:colOff>4849333</xdr:colOff>
      <xdr:row>78</xdr:row>
      <xdr:rowOff>170667</xdr:rowOff>
    </xdr:to>
    <xdr:graphicFrame macro="">
      <xdr:nvGraphicFramePr>
        <xdr:cNvPr id="30" name="Chart 29">
          <a:extLst>
            <a:ext uri="{FF2B5EF4-FFF2-40B4-BE49-F238E27FC236}">
              <a16:creationId xmlns:a16="http://schemas.microsoft.com/office/drawing/2014/main" id="{EDA329F9-DC60-4504-8AA3-24CB273446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58</xdr:col>
      <xdr:colOff>169333</xdr:colOff>
      <xdr:row>5</xdr:row>
      <xdr:rowOff>148167</xdr:rowOff>
    </xdr:from>
    <xdr:to>
      <xdr:col>58</xdr:col>
      <xdr:colOff>4849333</xdr:colOff>
      <xdr:row>20</xdr:row>
      <xdr:rowOff>170667</xdr:rowOff>
    </xdr:to>
    <xdr:graphicFrame macro="">
      <xdr:nvGraphicFramePr>
        <xdr:cNvPr id="31" name="Chart 30">
          <a:extLst>
            <a:ext uri="{FF2B5EF4-FFF2-40B4-BE49-F238E27FC236}">
              <a16:creationId xmlns:a16="http://schemas.microsoft.com/office/drawing/2014/main" id="{F4F13BB7-C452-4109-83F0-8CDE8D70B6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58</xdr:col>
      <xdr:colOff>169333</xdr:colOff>
      <xdr:row>178</xdr:row>
      <xdr:rowOff>148167</xdr:rowOff>
    </xdr:from>
    <xdr:to>
      <xdr:col>58</xdr:col>
      <xdr:colOff>4849333</xdr:colOff>
      <xdr:row>193</xdr:row>
      <xdr:rowOff>170667</xdr:rowOff>
    </xdr:to>
    <xdr:graphicFrame macro="">
      <xdr:nvGraphicFramePr>
        <xdr:cNvPr id="32" name="Chart 31">
          <a:extLst>
            <a:ext uri="{FF2B5EF4-FFF2-40B4-BE49-F238E27FC236}">
              <a16:creationId xmlns:a16="http://schemas.microsoft.com/office/drawing/2014/main" id="{94193B44-4606-4D4B-B097-03D6EC8361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77</xdr:col>
      <xdr:colOff>226219</xdr:colOff>
      <xdr:row>64</xdr:row>
      <xdr:rowOff>11906</xdr:rowOff>
    </xdr:from>
    <xdr:to>
      <xdr:col>77</xdr:col>
      <xdr:colOff>4906219</xdr:colOff>
      <xdr:row>79</xdr:row>
      <xdr:rowOff>34406</xdr:rowOff>
    </xdr:to>
    <xdr:graphicFrame macro="">
      <xdr:nvGraphicFramePr>
        <xdr:cNvPr id="33" name="Chart 32">
          <a:extLst>
            <a:ext uri="{FF2B5EF4-FFF2-40B4-BE49-F238E27FC236}">
              <a16:creationId xmlns:a16="http://schemas.microsoft.com/office/drawing/2014/main" id="{37BD32BC-C845-4187-A6DD-C127AEBCD0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77</xdr:col>
      <xdr:colOff>226219</xdr:colOff>
      <xdr:row>83</xdr:row>
      <xdr:rowOff>11906</xdr:rowOff>
    </xdr:from>
    <xdr:to>
      <xdr:col>77</xdr:col>
      <xdr:colOff>4906219</xdr:colOff>
      <xdr:row>98</xdr:row>
      <xdr:rowOff>34406</xdr:rowOff>
    </xdr:to>
    <xdr:graphicFrame macro="">
      <xdr:nvGraphicFramePr>
        <xdr:cNvPr id="34" name="Chart 33">
          <a:extLst>
            <a:ext uri="{FF2B5EF4-FFF2-40B4-BE49-F238E27FC236}">
              <a16:creationId xmlns:a16="http://schemas.microsoft.com/office/drawing/2014/main" id="{B03EBC62-3EDC-4F7B-B695-FCB4AD84A0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77</xdr:col>
      <xdr:colOff>226219</xdr:colOff>
      <xdr:row>121</xdr:row>
      <xdr:rowOff>11906</xdr:rowOff>
    </xdr:from>
    <xdr:to>
      <xdr:col>77</xdr:col>
      <xdr:colOff>4906219</xdr:colOff>
      <xdr:row>136</xdr:row>
      <xdr:rowOff>34406</xdr:rowOff>
    </xdr:to>
    <xdr:graphicFrame macro="">
      <xdr:nvGraphicFramePr>
        <xdr:cNvPr id="35" name="Chart 34">
          <a:extLst>
            <a:ext uri="{FF2B5EF4-FFF2-40B4-BE49-F238E27FC236}">
              <a16:creationId xmlns:a16="http://schemas.microsoft.com/office/drawing/2014/main" id="{A87A25E0-A87A-4687-8849-EE755DC6A7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77</xdr:col>
      <xdr:colOff>371895</xdr:colOff>
      <xdr:row>102</xdr:row>
      <xdr:rowOff>146378</xdr:rowOff>
    </xdr:from>
    <xdr:to>
      <xdr:col>77</xdr:col>
      <xdr:colOff>5051895</xdr:colOff>
      <xdr:row>117</xdr:row>
      <xdr:rowOff>168878</xdr:rowOff>
    </xdr:to>
    <xdr:graphicFrame macro="">
      <xdr:nvGraphicFramePr>
        <xdr:cNvPr id="36" name="Chart 35">
          <a:extLst>
            <a:ext uri="{FF2B5EF4-FFF2-40B4-BE49-F238E27FC236}">
              <a16:creationId xmlns:a16="http://schemas.microsoft.com/office/drawing/2014/main" id="{EC0618C2-D14F-4225-BADB-EEB88B063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44</xdr:col>
      <xdr:colOff>169333</xdr:colOff>
      <xdr:row>5</xdr:row>
      <xdr:rowOff>148167</xdr:rowOff>
    </xdr:from>
    <xdr:to>
      <xdr:col>44</xdr:col>
      <xdr:colOff>4849333</xdr:colOff>
      <xdr:row>20</xdr:row>
      <xdr:rowOff>170667</xdr:rowOff>
    </xdr:to>
    <xdr:graphicFrame macro="">
      <xdr:nvGraphicFramePr>
        <xdr:cNvPr id="37" name="Chart 36">
          <a:extLst>
            <a:ext uri="{FF2B5EF4-FFF2-40B4-BE49-F238E27FC236}">
              <a16:creationId xmlns:a16="http://schemas.microsoft.com/office/drawing/2014/main" id="{982E1E71-1DB4-4B64-B5C4-DCAEEC0AF5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44</xdr:col>
      <xdr:colOff>224118</xdr:colOff>
      <xdr:row>81</xdr:row>
      <xdr:rowOff>179294</xdr:rowOff>
    </xdr:from>
    <xdr:to>
      <xdr:col>44</xdr:col>
      <xdr:colOff>4904118</xdr:colOff>
      <xdr:row>97</xdr:row>
      <xdr:rowOff>11294</xdr:rowOff>
    </xdr:to>
    <xdr:graphicFrame macro="">
      <xdr:nvGraphicFramePr>
        <xdr:cNvPr id="38" name="Chart 37">
          <a:extLst>
            <a:ext uri="{FF2B5EF4-FFF2-40B4-BE49-F238E27FC236}">
              <a16:creationId xmlns:a16="http://schemas.microsoft.com/office/drawing/2014/main" id="{F792C697-09FB-453B-BD13-0F8FF3FB6B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44</xdr:col>
      <xdr:colOff>224118</xdr:colOff>
      <xdr:row>100</xdr:row>
      <xdr:rowOff>179294</xdr:rowOff>
    </xdr:from>
    <xdr:to>
      <xdr:col>44</xdr:col>
      <xdr:colOff>4904118</xdr:colOff>
      <xdr:row>116</xdr:row>
      <xdr:rowOff>11294</xdr:rowOff>
    </xdr:to>
    <xdr:graphicFrame macro="">
      <xdr:nvGraphicFramePr>
        <xdr:cNvPr id="39" name="Chart 38">
          <a:extLst>
            <a:ext uri="{FF2B5EF4-FFF2-40B4-BE49-F238E27FC236}">
              <a16:creationId xmlns:a16="http://schemas.microsoft.com/office/drawing/2014/main" id="{B4C293D2-D166-49AE-9F3B-9E6B067EF9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44</xdr:col>
      <xdr:colOff>224118</xdr:colOff>
      <xdr:row>120</xdr:row>
      <xdr:rowOff>179294</xdr:rowOff>
    </xdr:from>
    <xdr:to>
      <xdr:col>44</xdr:col>
      <xdr:colOff>4904118</xdr:colOff>
      <xdr:row>136</xdr:row>
      <xdr:rowOff>11294</xdr:rowOff>
    </xdr:to>
    <xdr:graphicFrame macro="">
      <xdr:nvGraphicFramePr>
        <xdr:cNvPr id="40" name="Chart 39">
          <a:extLst>
            <a:ext uri="{FF2B5EF4-FFF2-40B4-BE49-F238E27FC236}">
              <a16:creationId xmlns:a16="http://schemas.microsoft.com/office/drawing/2014/main" id="{6E333C41-7E9D-4BFB-BAA3-9F4C61AEC6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44</xdr:col>
      <xdr:colOff>224118</xdr:colOff>
      <xdr:row>139</xdr:row>
      <xdr:rowOff>179294</xdr:rowOff>
    </xdr:from>
    <xdr:to>
      <xdr:col>44</xdr:col>
      <xdr:colOff>4904118</xdr:colOff>
      <xdr:row>155</xdr:row>
      <xdr:rowOff>11294</xdr:rowOff>
    </xdr:to>
    <xdr:graphicFrame macro="">
      <xdr:nvGraphicFramePr>
        <xdr:cNvPr id="41" name="Chart 40">
          <a:extLst>
            <a:ext uri="{FF2B5EF4-FFF2-40B4-BE49-F238E27FC236}">
              <a16:creationId xmlns:a16="http://schemas.microsoft.com/office/drawing/2014/main" id="{4A60B6BE-A306-4FC8-8CBB-0726B64F02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58</xdr:col>
      <xdr:colOff>133350</xdr:colOff>
      <xdr:row>82</xdr:row>
      <xdr:rowOff>104774</xdr:rowOff>
    </xdr:from>
    <xdr:to>
      <xdr:col>58</xdr:col>
      <xdr:colOff>4813350</xdr:colOff>
      <xdr:row>97</xdr:row>
      <xdr:rowOff>127274</xdr:rowOff>
    </xdr:to>
    <xdr:graphicFrame macro="">
      <xdr:nvGraphicFramePr>
        <xdr:cNvPr id="42" name="Chart 41">
          <a:extLst>
            <a:ext uri="{FF2B5EF4-FFF2-40B4-BE49-F238E27FC236}">
              <a16:creationId xmlns:a16="http://schemas.microsoft.com/office/drawing/2014/main" id="{18DD8B48-031A-4A6F-93E0-76F4BE66BE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xdr:from>
      <xdr:col>58</xdr:col>
      <xdr:colOff>165101</xdr:colOff>
      <xdr:row>103</xdr:row>
      <xdr:rowOff>20108</xdr:rowOff>
    </xdr:from>
    <xdr:to>
      <xdr:col>58</xdr:col>
      <xdr:colOff>4845101</xdr:colOff>
      <xdr:row>118</xdr:row>
      <xdr:rowOff>42608</xdr:rowOff>
    </xdr:to>
    <xdr:graphicFrame macro="">
      <xdr:nvGraphicFramePr>
        <xdr:cNvPr id="43" name="Chart 42">
          <a:extLst>
            <a:ext uri="{FF2B5EF4-FFF2-40B4-BE49-F238E27FC236}">
              <a16:creationId xmlns:a16="http://schemas.microsoft.com/office/drawing/2014/main" id="{BC319488-D594-4F99-8746-24FFE5646F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twoCellAnchor>
    <xdr:from>
      <xdr:col>58</xdr:col>
      <xdr:colOff>169333</xdr:colOff>
      <xdr:row>120</xdr:row>
      <xdr:rowOff>148167</xdr:rowOff>
    </xdr:from>
    <xdr:to>
      <xdr:col>58</xdr:col>
      <xdr:colOff>4849333</xdr:colOff>
      <xdr:row>135</xdr:row>
      <xdr:rowOff>170667</xdr:rowOff>
    </xdr:to>
    <xdr:graphicFrame macro="">
      <xdr:nvGraphicFramePr>
        <xdr:cNvPr id="44" name="Chart 43">
          <a:extLst>
            <a:ext uri="{FF2B5EF4-FFF2-40B4-BE49-F238E27FC236}">
              <a16:creationId xmlns:a16="http://schemas.microsoft.com/office/drawing/2014/main" id="{AE96A9C9-E502-4AC8-9112-131E7DD7F0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xdr:twoCellAnchor>
  <xdr:twoCellAnchor>
    <xdr:from>
      <xdr:col>58</xdr:col>
      <xdr:colOff>200586</xdr:colOff>
      <xdr:row>140</xdr:row>
      <xdr:rowOff>15126</xdr:rowOff>
    </xdr:from>
    <xdr:to>
      <xdr:col>58</xdr:col>
      <xdr:colOff>4880586</xdr:colOff>
      <xdr:row>155</xdr:row>
      <xdr:rowOff>37626</xdr:rowOff>
    </xdr:to>
    <xdr:graphicFrame macro="">
      <xdr:nvGraphicFramePr>
        <xdr:cNvPr id="45" name="Chart 44">
          <a:extLst>
            <a:ext uri="{FF2B5EF4-FFF2-40B4-BE49-F238E27FC236}">
              <a16:creationId xmlns:a16="http://schemas.microsoft.com/office/drawing/2014/main" id="{A11551F5-E8CC-491F-8479-981854F259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4"/>
        </a:graphicData>
      </a:graphic>
    </xdr:graphicFrame>
    <xdr:clientData/>
  </xdr:twoCellAnchor>
  <xdr:twoCellAnchor>
    <xdr:from>
      <xdr:col>58</xdr:col>
      <xdr:colOff>109072</xdr:colOff>
      <xdr:row>159</xdr:row>
      <xdr:rowOff>109755</xdr:rowOff>
    </xdr:from>
    <xdr:to>
      <xdr:col>58</xdr:col>
      <xdr:colOff>4789072</xdr:colOff>
      <xdr:row>174</xdr:row>
      <xdr:rowOff>132255</xdr:rowOff>
    </xdr:to>
    <xdr:graphicFrame macro="">
      <xdr:nvGraphicFramePr>
        <xdr:cNvPr id="46" name="Chart 45">
          <a:extLst>
            <a:ext uri="{FF2B5EF4-FFF2-40B4-BE49-F238E27FC236}">
              <a16:creationId xmlns:a16="http://schemas.microsoft.com/office/drawing/2014/main" id="{C17E6919-ADF9-481B-9554-4099673876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5"/>
        </a:graphicData>
      </a:graphic>
    </xdr:graphicFrame>
    <xdr:clientData/>
  </xdr:twoCellAnchor>
  <xdr:twoCellAnchor>
    <xdr:from>
      <xdr:col>58</xdr:col>
      <xdr:colOff>169333</xdr:colOff>
      <xdr:row>178</xdr:row>
      <xdr:rowOff>148167</xdr:rowOff>
    </xdr:from>
    <xdr:to>
      <xdr:col>58</xdr:col>
      <xdr:colOff>4849333</xdr:colOff>
      <xdr:row>193</xdr:row>
      <xdr:rowOff>170667</xdr:rowOff>
    </xdr:to>
    <xdr:graphicFrame macro="">
      <xdr:nvGraphicFramePr>
        <xdr:cNvPr id="47" name="Chart 46">
          <a:extLst>
            <a:ext uri="{FF2B5EF4-FFF2-40B4-BE49-F238E27FC236}">
              <a16:creationId xmlns:a16="http://schemas.microsoft.com/office/drawing/2014/main" id="{E618B486-E771-4734-8819-4E2F902272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6"/>
        </a:graphicData>
      </a:graphic>
    </xdr:graphicFrame>
    <xdr:clientData/>
  </xdr:twoCellAnchor>
  <xdr:twoCellAnchor>
    <xdr:from>
      <xdr:col>113</xdr:col>
      <xdr:colOff>261937</xdr:colOff>
      <xdr:row>158</xdr:row>
      <xdr:rowOff>47625</xdr:rowOff>
    </xdr:from>
    <xdr:to>
      <xdr:col>113</xdr:col>
      <xdr:colOff>4941937</xdr:colOff>
      <xdr:row>173</xdr:row>
      <xdr:rowOff>70125</xdr:rowOff>
    </xdr:to>
    <xdr:graphicFrame macro="">
      <xdr:nvGraphicFramePr>
        <xdr:cNvPr id="48" name="Chart 47">
          <a:extLst>
            <a:ext uri="{FF2B5EF4-FFF2-40B4-BE49-F238E27FC236}">
              <a16:creationId xmlns:a16="http://schemas.microsoft.com/office/drawing/2014/main" id="{1B9186E4-51F9-42FF-8662-0D5E875717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7"/>
        </a:graphicData>
      </a:graphic>
    </xdr:graphicFrame>
    <xdr:clientData/>
  </xdr:twoCellAnchor>
  <xdr:twoCellAnchor>
    <xdr:from>
      <xdr:col>113</xdr:col>
      <xdr:colOff>261937</xdr:colOff>
      <xdr:row>120</xdr:row>
      <xdr:rowOff>47625</xdr:rowOff>
    </xdr:from>
    <xdr:to>
      <xdr:col>113</xdr:col>
      <xdr:colOff>4941937</xdr:colOff>
      <xdr:row>135</xdr:row>
      <xdr:rowOff>70125</xdr:rowOff>
    </xdr:to>
    <xdr:graphicFrame macro="">
      <xdr:nvGraphicFramePr>
        <xdr:cNvPr id="49" name="Chart 48">
          <a:extLst>
            <a:ext uri="{FF2B5EF4-FFF2-40B4-BE49-F238E27FC236}">
              <a16:creationId xmlns:a16="http://schemas.microsoft.com/office/drawing/2014/main" id="{35340A93-AB49-4F54-ADD7-FBBEBD2483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8"/>
        </a:graphicData>
      </a:graphic>
    </xdr:graphicFrame>
    <xdr:clientData/>
  </xdr:twoCellAnchor>
  <xdr:twoCellAnchor>
    <xdr:from>
      <xdr:col>77</xdr:col>
      <xdr:colOff>371895</xdr:colOff>
      <xdr:row>140</xdr:row>
      <xdr:rowOff>146378</xdr:rowOff>
    </xdr:from>
    <xdr:to>
      <xdr:col>77</xdr:col>
      <xdr:colOff>5051895</xdr:colOff>
      <xdr:row>155</xdr:row>
      <xdr:rowOff>168878</xdr:rowOff>
    </xdr:to>
    <xdr:graphicFrame macro="">
      <xdr:nvGraphicFramePr>
        <xdr:cNvPr id="50" name="Chart 49">
          <a:extLst>
            <a:ext uri="{FF2B5EF4-FFF2-40B4-BE49-F238E27FC236}">
              <a16:creationId xmlns:a16="http://schemas.microsoft.com/office/drawing/2014/main" id="{5D707751-BED0-4B2C-BA2C-9036F6F434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9"/>
        </a:graphicData>
      </a:graphic>
    </xdr:graphicFrame>
    <xdr:clientData/>
  </xdr:twoCellAnchor>
  <xdr:twoCellAnchor>
    <xdr:from>
      <xdr:col>44</xdr:col>
      <xdr:colOff>169333</xdr:colOff>
      <xdr:row>24</xdr:row>
      <xdr:rowOff>148167</xdr:rowOff>
    </xdr:from>
    <xdr:to>
      <xdr:col>44</xdr:col>
      <xdr:colOff>4849333</xdr:colOff>
      <xdr:row>39</xdr:row>
      <xdr:rowOff>170667</xdr:rowOff>
    </xdr:to>
    <xdr:graphicFrame macro="">
      <xdr:nvGraphicFramePr>
        <xdr:cNvPr id="51" name="Chart 50">
          <a:extLst>
            <a:ext uri="{FF2B5EF4-FFF2-40B4-BE49-F238E27FC236}">
              <a16:creationId xmlns:a16="http://schemas.microsoft.com/office/drawing/2014/main" id="{FE4EC923-6C28-4A7F-84B7-B3CCA72939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0"/>
        </a:graphicData>
      </a:graphic>
    </xdr:graphicFrame>
    <xdr:clientData/>
  </xdr:twoCellAnchor>
  <xdr:twoCellAnchor>
    <xdr:from>
      <xdr:col>132</xdr:col>
      <xdr:colOff>214312</xdr:colOff>
      <xdr:row>234</xdr:row>
      <xdr:rowOff>47626</xdr:rowOff>
    </xdr:from>
    <xdr:to>
      <xdr:col>132</xdr:col>
      <xdr:colOff>4894312</xdr:colOff>
      <xdr:row>249</xdr:row>
      <xdr:rowOff>70126</xdr:rowOff>
    </xdr:to>
    <xdr:graphicFrame macro="">
      <xdr:nvGraphicFramePr>
        <xdr:cNvPr id="52" name="Chart 51">
          <a:extLst>
            <a:ext uri="{FF2B5EF4-FFF2-40B4-BE49-F238E27FC236}">
              <a16:creationId xmlns:a16="http://schemas.microsoft.com/office/drawing/2014/main" id="{E5DC9288-68FA-4F85-ABB4-C683E9E532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1"/>
        </a:graphicData>
      </a:graphic>
    </xdr:graphicFrame>
    <xdr:clientData/>
  </xdr:twoCellAnchor>
  <xdr:twoCellAnchor>
    <xdr:from>
      <xdr:col>132</xdr:col>
      <xdr:colOff>214312</xdr:colOff>
      <xdr:row>253</xdr:row>
      <xdr:rowOff>47626</xdr:rowOff>
    </xdr:from>
    <xdr:to>
      <xdr:col>132</xdr:col>
      <xdr:colOff>4894312</xdr:colOff>
      <xdr:row>268</xdr:row>
      <xdr:rowOff>70126</xdr:rowOff>
    </xdr:to>
    <xdr:graphicFrame macro="">
      <xdr:nvGraphicFramePr>
        <xdr:cNvPr id="53" name="Chart 52">
          <a:extLst>
            <a:ext uri="{FF2B5EF4-FFF2-40B4-BE49-F238E27FC236}">
              <a16:creationId xmlns:a16="http://schemas.microsoft.com/office/drawing/2014/main" id="{181B8DCF-C34F-4633-815D-1A6FC9CFD5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2"/>
        </a:graphicData>
      </a:graphic>
    </xdr:graphicFrame>
    <xdr:clientData/>
  </xdr:twoCellAnchor>
  <xdr:twoCellAnchor editAs="oneCell">
    <xdr:from>
      <xdr:col>115</xdr:col>
      <xdr:colOff>56029</xdr:colOff>
      <xdr:row>271</xdr:row>
      <xdr:rowOff>78441</xdr:rowOff>
    </xdr:from>
    <xdr:to>
      <xdr:col>127</xdr:col>
      <xdr:colOff>758535</xdr:colOff>
      <xdr:row>292</xdr:row>
      <xdr:rowOff>11274</xdr:rowOff>
    </xdr:to>
    <xdr:pic>
      <xdr:nvPicPr>
        <xdr:cNvPr id="54" name="Picture 53">
          <a:extLst>
            <a:ext uri="{FF2B5EF4-FFF2-40B4-BE49-F238E27FC236}">
              <a16:creationId xmlns:a16="http://schemas.microsoft.com/office/drawing/2014/main" id="{50DE8AE3-DC27-4457-BA87-3CCEBE050016}"/>
            </a:ext>
          </a:extLst>
        </xdr:cNvPr>
        <xdr:cNvPicPr>
          <a:picLocks noChangeAspect="1"/>
        </xdr:cNvPicPr>
      </xdr:nvPicPr>
      <xdr:blipFill>
        <a:blip xmlns:r="http://schemas.openxmlformats.org/officeDocument/2006/relationships" r:embed="rId53"/>
        <a:stretch>
          <a:fillRect/>
        </a:stretch>
      </xdr:blipFill>
      <xdr:spPr>
        <a:xfrm>
          <a:off x="96115654" y="51837291"/>
          <a:ext cx="9779830" cy="3933333"/>
        </a:xfrm>
        <a:prstGeom prst="rect">
          <a:avLst/>
        </a:prstGeom>
      </xdr:spPr>
    </xdr:pic>
    <xdr:clientData/>
  </xdr:twoCellAnchor>
  <xdr:twoCellAnchor>
    <xdr:from>
      <xdr:col>44</xdr:col>
      <xdr:colOff>169333</xdr:colOff>
      <xdr:row>43</xdr:row>
      <xdr:rowOff>148167</xdr:rowOff>
    </xdr:from>
    <xdr:to>
      <xdr:col>44</xdr:col>
      <xdr:colOff>4849333</xdr:colOff>
      <xdr:row>58</xdr:row>
      <xdr:rowOff>170667</xdr:rowOff>
    </xdr:to>
    <xdr:graphicFrame macro="">
      <xdr:nvGraphicFramePr>
        <xdr:cNvPr id="55" name="Chart 54">
          <a:extLst>
            <a:ext uri="{FF2B5EF4-FFF2-40B4-BE49-F238E27FC236}">
              <a16:creationId xmlns:a16="http://schemas.microsoft.com/office/drawing/2014/main" id="{FED70216-18BA-4B8D-A6D5-C20A6873E3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4"/>
        </a:graphicData>
      </a:graphic>
    </xdr:graphicFrame>
    <xdr:clientData/>
  </xdr:twoCellAnchor>
  <xdr:twoCellAnchor>
    <xdr:from>
      <xdr:col>44</xdr:col>
      <xdr:colOff>169333</xdr:colOff>
      <xdr:row>62</xdr:row>
      <xdr:rowOff>148167</xdr:rowOff>
    </xdr:from>
    <xdr:to>
      <xdr:col>44</xdr:col>
      <xdr:colOff>4849333</xdr:colOff>
      <xdr:row>77</xdr:row>
      <xdr:rowOff>170667</xdr:rowOff>
    </xdr:to>
    <xdr:graphicFrame macro="">
      <xdr:nvGraphicFramePr>
        <xdr:cNvPr id="56" name="Chart 55">
          <a:extLst>
            <a:ext uri="{FF2B5EF4-FFF2-40B4-BE49-F238E27FC236}">
              <a16:creationId xmlns:a16="http://schemas.microsoft.com/office/drawing/2014/main" id="{D21ACBD6-5EBC-4927-A4AB-90B3AF5DD7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5"/>
        </a:graphicData>
      </a:graphic>
    </xdr:graphicFrame>
    <xdr:clientData/>
  </xdr:twoCellAnchor>
  <xdr:twoCellAnchor>
    <xdr:from>
      <xdr:col>113</xdr:col>
      <xdr:colOff>261937</xdr:colOff>
      <xdr:row>82</xdr:row>
      <xdr:rowOff>47625</xdr:rowOff>
    </xdr:from>
    <xdr:to>
      <xdr:col>113</xdr:col>
      <xdr:colOff>4941937</xdr:colOff>
      <xdr:row>97</xdr:row>
      <xdr:rowOff>70125</xdr:rowOff>
    </xdr:to>
    <xdr:graphicFrame macro="">
      <xdr:nvGraphicFramePr>
        <xdr:cNvPr id="57" name="Chart 56">
          <a:extLst>
            <a:ext uri="{FF2B5EF4-FFF2-40B4-BE49-F238E27FC236}">
              <a16:creationId xmlns:a16="http://schemas.microsoft.com/office/drawing/2014/main" id="{FE8784CD-E4A6-449B-8312-3E9E3ED630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288</xdr:col>
      <xdr:colOff>495300</xdr:colOff>
      <xdr:row>10</xdr:row>
      <xdr:rowOff>38100</xdr:rowOff>
    </xdr:from>
    <xdr:to>
      <xdr:col>296</xdr:col>
      <xdr:colOff>502620</xdr:colOff>
      <xdr:row>25</xdr:row>
      <xdr:rowOff>25421</xdr:rowOff>
    </xdr:to>
    <xdr:graphicFrame macro="">
      <xdr:nvGraphicFramePr>
        <xdr:cNvPr id="2" name="Chart 1">
          <a:extLst>
            <a:ext uri="{FF2B5EF4-FFF2-40B4-BE49-F238E27FC236}">
              <a16:creationId xmlns:a16="http://schemas.microsoft.com/office/drawing/2014/main" id="{63A03E1C-C7A2-41CB-BBE1-FBEBA7937D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51</xdr:col>
      <xdr:colOff>114906</xdr:colOff>
      <xdr:row>29</xdr:row>
      <xdr:rowOff>119630</xdr:rowOff>
    </xdr:from>
    <xdr:to>
      <xdr:col>55</xdr:col>
      <xdr:colOff>879450</xdr:colOff>
      <xdr:row>44</xdr:row>
      <xdr:rowOff>142130</xdr:rowOff>
    </xdr:to>
    <xdr:graphicFrame macro="">
      <xdr:nvGraphicFramePr>
        <xdr:cNvPr id="3" name="Chart 2">
          <a:extLst>
            <a:ext uri="{FF2B5EF4-FFF2-40B4-BE49-F238E27FC236}">
              <a16:creationId xmlns:a16="http://schemas.microsoft.com/office/drawing/2014/main" id="{F7BAD9D1-0155-4C8B-9B10-F763B60A5F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51</xdr:col>
      <xdr:colOff>94193</xdr:colOff>
      <xdr:row>8</xdr:row>
      <xdr:rowOff>118836</xdr:rowOff>
    </xdr:from>
    <xdr:to>
      <xdr:col>55</xdr:col>
      <xdr:colOff>858737</xdr:colOff>
      <xdr:row>23</xdr:row>
      <xdr:rowOff>141336</xdr:rowOff>
    </xdr:to>
    <xdr:graphicFrame macro="">
      <xdr:nvGraphicFramePr>
        <xdr:cNvPr id="4" name="Chart 3">
          <a:extLst>
            <a:ext uri="{FF2B5EF4-FFF2-40B4-BE49-F238E27FC236}">
              <a16:creationId xmlns:a16="http://schemas.microsoft.com/office/drawing/2014/main" id="{C892B551-1E2E-4FA3-BFA4-AABAAEF6AB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112</xdr:col>
      <xdr:colOff>242145</xdr:colOff>
      <xdr:row>8</xdr:row>
      <xdr:rowOff>101882</xdr:rowOff>
    </xdr:from>
    <xdr:to>
      <xdr:col>120</xdr:col>
      <xdr:colOff>74199</xdr:colOff>
      <xdr:row>23</xdr:row>
      <xdr:rowOff>124382</xdr:rowOff>
    </xdr:to>
    <xdr:graphicFrame macro="">
      <xdr:nvGraphicFramePr>
        <xdr:cNvPr id="5" name="Chart 4">
          <a:extLst>
            <a:ext uri="{FF2B5EF4-FFF2-40B4-BE49-F238E27FC236}">
              <a16:creationId xmlns:a16="http://schemas.microsoft.com/office/drawing/2014/main" id="{055F08E1-4BB2-46BC-8051-820270B7C5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372</xdr:col>
      <xdr:colOff>476249</xdr:colOff>
      <xdr:row>8</xdr:row>
      <xdr:rowOff>95250</xdr:rowOff>
    </xdr:from>
    <xdr:to>
      <xdr:col>380</xdr:col>
      <xdr:colOff>257678</xdr:colOff>
      <xdr:row>23</xdr:row>
      <xdr:rowOff>117750</xdr:rowOff>
    </xdr:to>
    <xdr:graphicFrame macro="">
      <xdr:nvGraphicFramePr>
        <xdr:cNvPr id="6" name="Chart 5">
          <a:extLst>
            <a:ext uri="{FF2B5EF4-FFF2-40B4-BE49-F238E27FC236}">
              <a16:creationId xmlns:a16="http://schemas.microsoft.com/office/drawing/2014/main" id="{12741671-ED13-4556-84AC-78E16911A1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372</xdr:col>
      <xdr:colOff>423523</xdr:colOff>
      <xdr:row>28</xdr:row>
      <xdr:rowOff>115661</xdr:rowOff>
    </xdr:from>
    <xdr:to>
      <xdr:col>380</xdr:col>
      <xdr:colOff>204952</xdr:colOff>
      <xdr:row>43</xdr:row>
      <xdr:rowOff>138161</xdr:rowOff>
    </xdr:to>
    <xdr:graphicFrame macro="">
      <xdr:nvGraphicFramePr>
        <xdr:cNvPr id="7" name="Chart 6">
          <a:extLst>
            <a:ext uri="{FF2B5EF4-FFF2-40B4-BE49-F238E27FC236}">
              <a16:creationId xmlns:a16="http://schemas.microsoft.com/office/drawing/2014/main" id="{3CCEC2CD-7565-4A7D-B085-99977E1EDE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372</xdr:col>
      <xdr:colOff>530680</xdr:colOff>
      <xdr:row>69</xdr:row>
      <xdr:rowOff>149680</xdr:rowOff>
    </xdr:from>
    <xdr:to>
      <xdr:col>380</xdr:col>
      <xdr:colOff>435430</xdr:colOff>
      <xdr:row>84</xdr:row>
      <xdr:rowOff>92530</xdr:rowOff>
    </xdr:to>
    <xdr:graphicFrame macro="">
      <xdr:nvGraphicFramePr>
        <xdr:cNvPr id="8" name="Chart 7">
          <a:extLst>
            <a:ext uri="{FF2B5EF4-FFF2-40B4-BE49-F238E27FC236}">
              <a16:creationId xmlns:a16="http://schemas.microsoft.com/office/drawing/2014/main" id="{3B5282C2-9975-456E-8846-86528DC960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66</xdr:col>
      <xdr:colOff>476248</xdr:colOff>
      <xdr:row>8</xdr:row>
      <xdr:rowOff>95250</xdr:rowOff>
    </xdr:from>
    <xdr:to>
      <xdr:col>75</xdr:col>
      <xdr:colOff>63499</xdr:colOff>
      <xdr:row>23</xdr:row>
      <xdr:rowOff>117750</xdr:rowOff>
    </xdr:to>
    <xdr:graphicFrame macro="">
      <xdr:nvGraphicFramePr>
        <xdr:cNvPr id="9" name="Chart 8">
          <a:extLst>
            <a:ext uri="{FF2B5EF4-FFF2-40B4-BE49-F238E27FC236}">
              <a16:creationId xmlns:a16="http://schemas.microsoft.com/office/drawing/2014/main" id="{BF38448D-2085-4BF8-A13D-02C8DDA37B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66</xdr:col>
      <xdr:colOff>530679</xdr:colOff>
      <xdr:row>28</xdr:row>
      <xdr:rowOff>8502</xdr:rowOff>
    </xdr:from>
    <xdr:to>
      <xdr:col>75</xdr:col>
      <xdr:colOff>261937</xdr:colOff>
      <xdr:row>44</xdr:row>
      <xdr:rowOff>23811</xdr:rowOff>
    </xdr:to>
    <xdr:graphicFrame macro="">
      <xdr:nvGraphicFramePr>
        <xdr:cNvPr id="10" name="Chart 9">
          <a:extLst>
            <a:ext uri="{FF2B5EF4-FFF2-40B4-BE49-F238E27FC236}">
              <a16:creationId xmlns:a16="http://schemas.microsoft.com/office/drawing/2014/main" id="{119D563A-6384-41E1-A447-32F1286779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67</xdr:col>
      <xdr:colOff>149679</xdr:colOff>
      <xdr:row>69</xdr:row>
      <xdr:rowOff>96763</xdr:rowOff>
    </xdr:from>
    <xdr:to>
      <xdr:col>75</xdr:col>
      <xdr:colOff>54430</xdr:colOff>
      <xdr:row>84</xdr:row>
      <xdr:rowOff>39613</xdr:rowOff>
    </xdr:to>
    <xdr:graphicFrame macro="">
      <xdr:nvGraphicFramePr>
        <xdr:cNvPr id="11" name="Chart 10">
          <a:extLst>
            <a:ext uri="{FF2B5EF4-FFF2-40B4-BE49-F238E27FC236}">
              <a16:creationId xmlns:a16="http://schemas.microsoft.com/office/drawing/2014/main" id="{FC2A45F6-5DB5-47D7-93BF-B8141FBB9C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353</xdr:col>
      <xdr:colOff>94193</xdr:colOff>
      <xdr:row>8</xdr:row>
      <xdr:rowOff>118836</xdr:rowOff>
    </xdr:from>
    <xdr:to>
      <xdr:col>357</xdr:col>
      <xdr:colOff>858737</xdr:colOff>
      <xdr:row>23</xdr:row>
      <xdr:rowOff>141336</xdr:rowOff>
    </xdr:to>
    <xdr:graphicFrame macro="">
      <xdr:nvGraphicFramePr>
        <xdr:cNvPr id="12" name="Chart 11">
          <a:extLst>
            <a:ext uri="{FF2B5EF4-FFF2-40B4-BE49-F238E27FC236}">
              <a16:creationId xmlns:a16="http://schemas.microsoft.com/office/drawing/2014/main" id="{695341C7-BB47-4BD8-9DE6-3E5CD7FD87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353</xdr:col>
      <xdr:colOff>0</xdr:colOff>
      <xdr:row>29</xdr:row>
      <xdr:rowOff>108857</xdr:rowOff>
    </xdr:from>
    <xdr:to>
      <xdr:col>357</xdr:col>
      <xdr:colOff>764544</xdr:colOff>
      <xdr:row>44</xdr:row>
      <xdr:rowOff>131357</xdr:rowOff>
    </xdr:to>
    <xdr:graphicFrame macro="">
      <xdr:nvGraphicFramePr>
        <xdr:cNvPr id="13" name="Chart 12">
          <a:extLst>
            <a:ext uri="{FF2B5EF4-FFF2-40B4-BE49-F238E27FC236}">
              <a16:creationId xmlns:a16="http://schemas.microsoft.com/office/drawing/2014/main" id="{42171DE1-BCF8-4038-ADA9-072FE93D12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397</xdr:col>
      <xdr:colOff>394606</xdr:colOff>
      <xdr:row>8</xdr:row>
      <xdr:rowOff>122464</xdr:rowOff>
    </xdr:from>
    <xdr:to>
      <xdr:col>405</xdr:col>
      <xdr:colOff>226661</xdr:colOff>
      <xdr:row>23</xdr:row>
      <xdr:rowOff>144964</xdr:rowOff>
    </xdr:to>
    <xdr:graphicFrame macro="">
      <xdr:nvGraphicFramePr>
        <xdr:cNvPr id="14" name="Chart 13">
          <a:extLst>
            <a:ext uri="{FF2B5EF4-FFF2-40B4-BE49-F238E27FC236}">
              <a16:creationId xmlns:a16="http://schemas.microsoft.com/office/drawing/2014/main" id="{EE90FAE1-576D-4B90-9212-D242C41E47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397</xdr:col>
      <xdr:colOff>503464</xdr:colOff>
      <xdr:row>27</xdr:row>
      <xdr:rowOff>81643</xdr:rowOff>
    </xdr:from>
    <xdr:to>
      <xdr:col>405</xdr:col>
      <xdr:colOff>335519</xdr:colOff>
      <xdr:row>42</xdr:row>
      <xdr:rowOff>104143</xdr:rowOff>
    </xdr:to>
    <xdr:graphicFrame macro="">
      <xdr:nvGraphicFramePr>
        <xdr:cNvPr id="15" name="Chart 14">
          <a:extLst>
            <a:ext uri="{FF2B5EF4-FFF2-40B4-BE49-F238E27FC236}">
              <a16:creationId xmlns:a16="http://schemas.microsoft.com/office/drawing/2014/main" id="{256318E5-80B5-4A03-8ECE-051089E2A8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421</xdr:col>
      <xdr:colOff>500063</xdr:colOff>
      <xdr:row>30</xdr:row>
      <xdr:rowOff>154781</xdr:rowOff>
    </xdr:from>
    <xdr:to>
      <xdr:col>429</xdr:col>
      <xdr:colOff>507383</xdr:colOff>
      <xdr:row>45</xdr:row>
      <xdr:rowOff>142102</xdr:rowOff>
    </xdr:to>
    <xdr:graphicFrame macro="">
      <xdr:nvGraphicFramePr>
        <xdr:cNvPr id="16" name="Chart 15">
          <a:extLst>
            <a:ext uri="{FF2B5EF4-FFF2-40B4-BE49-F238E27FC236}">
              <a16:creationId xmlns:a16="http://schemas.microsoft.com/office/drawing/2014/main" id="{C619BF91-B11D-437B-9ACC-98460CA0FC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421</xdr:col>
      <xdr:colOff>178594</xdr:colOff>
      <xdr:row>10</xdr:row>
      <xdr:rowOff>47624</xdr:rowOff>
    </xdr:from>
    <xdr:to>
      <xdr:col>429</xdr:col>
      <xdr:colOff>185914</xdr:colOff>
      <xdr:row>25</xdr:row>
      <xdr:rowOff>34945</xdr:rowOff>
    </xdr:to>
    <xdr:graphicFrame macro="">
      <xdr:nvGraphicFramePr>
        <xdr:cNvPr id="17" name="Chart 16">
          <a:extLst>
            <a:ext uri="{FF2B5EF4-FFF2-40B4-BE49-F238E27FC236}">
              <a16:creationId xmlns:a16="http://schemas.microsoft.com/office/drawing/2014/main" id="{9D84256B-C46A-4CBA-85B3-146F8C57C1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372</xdr:col>
      <xdr:colOff>530679</xdr:colOff>
      <xdr:row>48</xdr:row>
      <xdr:rowOff>68035</xdr:rowOff>
    </xdr:from>
    <xdr:to>
      <xdr:col>380</xdr:col>
      <xdr:colOff>312108</xdr:colOff>
      <xdr:row>63</xdr:row>
      <xdr:rowOff>90535</xdr:rowOff>
    </xdr:to>
    <xdr:graphicFrame macro="">
      <xdr:nvGraphicFramePr>
        <xdr:cNvPr id="18" name="Chart 17">
          <a:extLst>
            <a:ext uri="{FF2B5EF4-FFF2-40B4-BE49-F238E27FC236}">
              <a16:creationId xmlns:a16="http://schemas.microsoft.com/office/drawing/2014/main" id="{F6A2F5CA-9781-4070-84E8-AE95F140C3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67</xdr:col>
      <xdr:colOff>0</xdr:colOff>
      <xdr:row>49</xdr:row>
      <xdr:rowOff>116417</xdr:rowOff>
    </xdr:from>
    <xdr:to>
      <xdr:col>75</xdr:col>
      <xdr:colOff>345092</xdr:colOff>
      <xdr:row>65</xdr:row>
      <xdr:rowOff>131726</xdr:rowOff>
    </xdr:to>
    <xdr:graphicFrame macro="">
      <xdr:nvGraphicFramePr>
        <xdr:cNvPr id="19" name="Chart 18">
          <a:extLst>
            <a:ext uri="{FF2B5EF4-FFF2-40B4-BE49-F238E27FC236}">
              <a16:creationId xmlns:a16="http://schemas.microsoft.com/office/drawing/2014/main" id="{B5F29A67-72E3-4927-A840-CA9A56FE2A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87</xdr:col>
      <xdr:colOff>309561</xdr:colOff>
      <xdr:row>28</xdr:row>
      <xdr:rowOff>119063</xdr:rowOff>
    </xdr:from>
    <xdr:to>
      <xdr:col>95</xdr:col>
      <xdr:colOff>440531</xdr:colOff>
      <xdr:row>43</xdr:row>
      <xdr:rowOff>141563</xdr:rowOff>
    </xdr:to>
    <xdr:graphicFrame macro="">
      <xdr:nvGraphicFramePr>
        <xdr:cNvPr id="20" name="Chart 19">
          <a:extLst>
            <a:ext uri="{FF2B5EF4-FFF2-40B4-BE49-F238E27FC236}">
              <a16:creationId xmlns:a16="http://schemas.microsoft.com/office/drawing/2014/main" id="{B35929C0-0EBF-4094-ACA9-A656965E67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85</xdr:col>
      <xdr:colOff>567798</xdr:colOff>
      <xdr:row>48</xdr:row>
      <xdr:rowOff>107955</xdr:rowOff>
    </xdr:from>
    <xdr:to>
      <xdr:col>96</xdr:col>
      <xdr:colOff>56729</xdr:colOff>
      <xdr:row>64</xdr:row>
      <xdr:rowOff>123264</xdr:rowOff>
    </xdr:to>
    <xdr:graphicFrame macro="">
      <xdr:nvGraphicFramePr>
        <xdr:cNvPr id="21" name="Chart 20">
          <a:extLst>
            <a:ext uri="{FF2B5EF4-FFF2-40B4-BE49-F238E27FC236}">
              <a16:creationId xmlns:a16="http://schemas.microsoft.com/office/drawing/2014/main" id="{8ECD3DFF-13BA-47D3-B96B-50DDAF0D6F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88</xdr:col>
      <xdr:colOff>149679</xdr:colOff>
      <xdr:row>69</xdr:row>
      <xdr:rowOff>96763</xdr:rowOff>
    </xdr:from>
    <xdr:to>
      <xdr:col>96</xdr:col>
      <xdr:colOff>0</xdr:colOff>
      <xdr:row>84</xdr:row>
      <xdr:rowOff>39613</xdr:rowOff>
    </xdr:to>
    <xdr:graphicFrame macro="">
      <xdr:nvGraphicFramePr>
        <xdr:cNvPr id="22" name="Chart 21">
          <a:extLst>
            <a:ext uri="{FF2B5EF4-FFF2-40B4-BE49-F238E27FC236}">
              <a16:creationId xmlns:a16="http://schemas.microsoft.com/office/drawing/2014/main" id="{F0F745DF-70A3-40AD-AB91-B19CC9DF7E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87</xdr:col>
      <xdr:colOff>547687</xdr:colOff>
      <xdr:row>49</xdr:row>
      <xdr:rowOff>116417</xdr:rowOff>
    </xdr:from>
    <xdr:to>
      <xdr:col>95</xdr:col>
      <xdr:colOff>547687</xdr:colOff>
      <xdr:row>65</xdr:row>
      <xdr:rowOff>131726</xdr:rowOff>
    </xdr:to>
    <xdr:graphicFrame macro="">
      <xdr:nvGraphicFramePr>
        <xdr:cNvPr id="23" name="Chart 22">
          <a:extLst>
            <a:ext uri="{FF2B5EF4-FFF2-40B4-BE49-F238E27FC236}">
              <a16:creationId xmlns:a16="http://schemas.microsoft.com/office/drawing/2014/main" id="{4D11DCE1-BAC8-40B4-BE57-A0AD2F9F46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87</xdr:col>
      <xdr:colOff>589359</xdr:colOff>
      <xdr:row>9</xdr:row>
      <xdr:rowOff>39290</xdr:rowOff>
    </xdr:from>
    <xdr:to>
      <xdr:col>95</xdr:col>
      <xdr:colOff>303609</xdr:colOff>
      <xdr:row>23</xdr:row>
      <xdr:rowOff>115490</xdr:rowOff>
    </xdr:to>
    <xdr:graphicFrame macro="">
      <xdr:nvGraphicFramePr>
        <xdr:cNvPr id="24" name="Chart 23">
          <a:extLst>
            <a:ext uri="{FF2B5EF4-FFF2-40B4-BE49-F238E27FC236}">
              <a16:creationId xmlns:a16="http://schemas.microsoft.com/office/drawing/2014/main" id="{D8BF4FF2-97E5-4035-8824-828BB7EA3F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67</xdr:col>
      <xdr:colOff>0</xdr:colOff>
      <xdr:row>87</xdr:row>
      <xdr:rowOff>192156</xdr:rowOff>
    </xdr:from>
    <xdr:to>
      <xdr:col>74</xdr:col>
      <xdr:colOff>412800</xdr:colOff>
      <xdr:row>102</xdr:row>
      <xdr:rowOff>189808</xdr:rowOff>
    </xdr:to>
    <xdr:graphicFrame macro="">
      <xdr:nvGraphicFramePr>
        <xdr:cNvPr id="25" name="Chart 24">
          <a:extLst>
            <a:ext uri="{FF2B5EF4-FFF2-40B4-BE49-F238E27FC236}">
              <a16:creationId xmlns:a16="http://schemas.microsoft.com/office/drawing/2014/main" id="{3C563CBB-F009-4F65-96BD-D3D767230B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273</xdr:col>
      <xdr:colOff>235323</xdr:colOff>
      <xdr:row>48</xdr:row>
      <xdr:rowOff>22412</xdr:rowOff>
    </xdr:from>
    <xdr:to>
      <xdr:col>281</xdr:col>
      <xdr:colOff>242643</xdr:colOff>
      <xdr:row>63</xdr:row>
      <xdr:rowOff>9733</xdr:rowOff>
    </xdr:to>
    <xdr:graphicFrame macro="">
      <xdr:nvGraphicFramePr>
        <xdr:cNvPr id="26" name="Chart 25">
          <a:extLst>
            <a:ext uri="{FF2B5EF4-FFF2-40B4-BE49-F238E27FC236}">
              <a16:creationId xmlns:a16="http://schemas.microsoft.com/office/drawing/2014/main" id="{31F355CB-DB31-4716-A9DB-92BE947195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398</xdr:col>
      <xdr:colOff>0</xdr:colOff>
      <xdr:row>46</xdr:row>
      <xdr:rowOff>0</xdr:rowOff>
    </xdr:from>
    <xdr:to>
      <xdr:col>405</xdr:col>
      <xdr:colOff>437173</xdr:colOff>
      <xdr:row>61</xdr:row>
      <xdr:rowOff>22500</xdr:rowOff>
    </xdr:to>
    <xdr:graphicFrame macro="">
      <xdr:nvGraphicFramePr>
        <xdr:cNvPr id="27" name="Chart 26">
          <a:extLst>
            <a:ext uri="{FF2B5EF4-FFF2-40B4-BE49-F238E27FC236}">
              <a16:creationId xmlns:a16="http://schemas.microsoft.com/office/drawing/2014/main" id="{D512258F-5277-4D4F-83F3-6FED802C3A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288</xdr:col>
      <xdr:colOff>396309</xdr:colOff>
      <xdr:row>27</xdr:row>
      <xdr:rowOff>164985</xdr:rowOff>
    </xdr:from>
    <xdr:to>
      <xdr:col>298</xdr:col>
      <xdr:colOff>60309</xdr:colOff>
      <xdr:row>42</xdr:row>
      <xdr:rowOff>187485</xdr:rowOff>
    </xdr:to>
    <xdr:graphicFrame macro="">
      <xdr:nvGraphicFramePr>
        <xdr:cNvPr id="28" name="Chart 27">
          <a:extLst>
            <a:ext uri="{FF2B5EF4-FFF2-40B4-BE49-F238E27FC236}">
              <a16:creationId xmlns:a16="http://schemas.microsoft.com/office/drawing/2014/main" id="{D99879BE-222E-4011-B0EC-FE1A92166C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112</xdr:col>
      <xdr:colOff>272143</xdr:colOff>
      <xdr:row>27</xdr:row>
      <xdr:rowOff>95250</xdr:rowOff>
    </xdr:from>
    <xdr:to>
      <xdr:col>120</xdr:col>
      <xdr:colOff>100387</xdr:colOff>
      <xdr:row>42</xdr:row>
      <xdr:rowOff>151368</xdr:rowOff>
    </xdr:to>
    <xdr:graphicFrame macro="">
      <xdr:nvGraphicFramePr>
        <xdr:cNvPr id="29" name="Chart 28">
          <a:extLst>
            <a:ext uri="{FF2B5EF4-FFF2-40B4-BE49-F238E27FC236}">
              <a16:creationId xmlns:a16="http://schemas.microsoft.com/office/drawing/2014/main" id="{953F7D79-1104-47EF-89D6-1AA21882A6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295</xdr:col>
      <xdr:colOff>190500</xdr:colOff>
      <xdr:row>13</xdr:row>
      <xdr:rowOff>161925</xdr:rowOff>
    </xdr:from>
    <xdr:to>
      <xdr:col>296</xdr:col>
      <xdr:colOff>466725</xdr:colOff>
      <xdr:row>15</xdr:row>
      <xdr:rowOff>142875</xdr:rowOff>
    </xdr:to>
    <xdr:sp macro="" textlink="">
      <xdr:nvSpPr>
        <xdr:cNvPr id="30" name="Rectangle 29">
          <a:extLst>
            <a:ext uri="{FF2B5EF4-FFF2-40B4-BE49-F238E27FC236}">
              <a16:creationId xmlns:a16="http://schemas.microsoft.com/office/drawing/2014/main" id="{96F88700-7674-4F21-9897-47E2AC90C60B}"/>
            </a:ext>
          </a:extLst>
        </xdr:cNvPr>
        <xdr:cNvSpPr/>
      </xdr:nvSpPr>
      <xdr:spPr>
        <a:xfrm>
          <a:off x="194814825" y="3067050"/>
          <a:ext cx="885825" cy="36195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AU" sz="800" i="1">
              <a:solidFill>
                <a:sysClr val="windowText" lastClr="000000"/>
              </a:solidFill>
            </a:rPr>
            <a:t>A$3.10bn, 34.8% probability</a:t>
          </a:r>
        </a:p>
      </xdr:txBody>
    </xdr:sp>
    <xdr:clientData/>
  </xdr:twoCellAnchor>
  <xdr:twoCellAnchor>
    <xdr:from>
      <xdr:col>295</xdr:col>
      <xdr:colOff>419100</xdr:colOff>
      <xdr:row>10</xdr:row>
      <xdr:rowOff>190499</xdr:rowOff>
    </xdr:from>
    <xdr:to>
      <xdr:col>296</xdr:col>
      <xdr:colOff>361950</xdr:colOff>
      <xdr:row>11</xdr:row>
      <xdr:rowOff>114300</xdr:rowOff>
    </xdr:to>
    <xdr:cxnSp macro="">
      <xdr:nvCxnSpPr>
        <xdr:cNvPr id="31" name="Straight Arrow Connector 30">
          <a:extLst>
            <a:ext uri="{FF2B5EF4-FFF2-40B4-BE49-F238E27FC236}">
              <a16:creationId xmlns:a16="http://schemas.microsoft.com/office/drawing/2014/main" id="{2EE1F684-DD09-4510-8ABA-B70EA986AC6B}"/>
            </a:ext>
          </a:extLst>
        </xdr:cNvPr>
        <xdr:cNvCxnSpPr/>
      </xdr:nvCxnSpPr>
      <xdr:spPr>
        <a:xfrm>
          <a:off x="195043425" y="2524124"/>
          <a:ext cx="552450" cy="114301"/>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296</xdr:col>
      <xdr:colOff>57150</xdr:colOff>
      <xdr:row>12</xdr:row>
      <xdr:rowOff>152400</xdr:rowOff>
    </xdr:from>
    <xdr:to>
      <xdr:col>296</xdr:col>
      <xdr:colOff>400050</xdr:colOff>
      <xdr:row>13</xdr:row>
      <xdr:rowOff>190499</xdr:rowOff>
    </xdr:to>
    <xdr:cxnSp macro="">
      <xdr:nvCxnSpPr>
        <xdr:cNvPr id="32" name="Straight Arrow Connector 31">
          <a:extLst>
            <a:ext uri="{FF2B5EF4-FFF2-40B4-BE49-F238E27FC236}">
              <a16:creationId xmlns:a16="http://schemas.microsoft.com/office/drawing/2014/main" id="{D98820AF-34E1-4E1C-8217-352079B41597}"/>
            </a:ext>
          </a:extLst>
        </xdr:cNvPr>
        <xdr:cNvCxnSpPr/>
      </xdr:nvCxnSpPr>
      <xdr:spPr>
        <a:xfrm flipV="1">
          <a:off x="195291075" y="2867025"/>
          <a:ext cx="342900" cy="228599"/>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273</xdr:col>
      <xdr:colOff>488156</xdr:colOff>
      <xdr:row>9</xdr:row>
      <xdr:rowOff>107156</xdr:rowOff>
    </xdr:from>
    <xdr:to>
      <xdr:col>281</xdr:col>
      <xdr:colOff>310406</xdr:colOff>
      <xdr:row>24</xdr:row>
      <xdr:rowOff>129656</xdr:rowOff>
    </xdr:to>
    <xdr:graphicFrame macro="">
      <xdr:nvGraphicFramePr>
        <xdr:cNvPr id="33" name="Chart 32">
          <a:extLst>
            <a:ext uri="{FF2B5EF4-FFF2-40B4-BE49-F238E27FC236}">
              <a16:creationId xmlns:a16="http://schemas.microsoft.com/office/drawing/2014/main" id="{DACF09EC-EE98-46F9-9D6B-0E6F8C73FC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112</xdr:col>
      <xdr:colOff>0</xdr:colOff>
      <xdr:row>45</xdr:row>
      <xdr:rowOff>0</xdr:rowOff>
    </xdr:from>
    <xdr:to>
      <xdr:col>119</xdr:col>
      <xdr:colOff>435462</xdr:colOff>
      <xdr:row>60</xdr:row>
      <xdr:rowOff>56118</xdr:rowOff>
    </xdr:to>
    <xdr:graphicFrame macro="">
      <xdr:nvGraphicFramePr>
        <xdr:cNvPr id="34" name="Chart 33">
          <a:extLst>
            <a:ext uri="{FF2B5EF4-FFF2-40B4-BE49-F238E27FC236}">
              <a16:creationId xmlns:a16="http://schemas.microsoft.com/office/drawing/2014/main" id="{9A3762F3-B039-4A4C-A7F6-848F25AFC1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364</xdr:col>
      <xdr:colOff>488156</xdr:colOff>
      <xdr:row>69</xdr:row>
      <xdr:rowOff>0</xdr:rowOff>
    </xdr:from>
    <xdr:to>
      <xdr:col>371</xdr:col>
      <xdr:colOff>150862</xdr:colOff>
      <xdr:row>84</xdr:row>
      <xdr:rowOff>22500</xdr:rowOff>
    </xdr:to>
    <xdr:graphicFrame macro="">
      <xdr:nvGraphicFramePr>
        <xdr:cNvPr id="35" name="Chart 34">
          <a:extLst>
            <a:ext uri="{FF2B5EF4-FFF2-40B4-BE49-F238E27FC236}">
              <a16:creationId xmlns:a16="http://schemas.microsoft.com/office/drawing/2014/main" id="{AE76563F-71E6-4104-A2F8-F89EDEE05F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365</xdr:col>
      <xdr:colOff>583406</xdr:colOff>
      <xdr:row>28</xdr:row>
      <xdr:rowOff>130968</xdr:rowOff>
    </xdr:from>
    <xdr:to>
      <xdr:col>372</xdr:col>
      <xdr:colOff>246112</xdr:colOff>
      <xdr:row>43</xdr:row>
      <xdr:rowOff>153468</xdr:rowOff>
    </xdr:to>
    <xdr:graphicFrame macro="">
      <xdr:nvGraphicFramePr>
        <xdr:cNvPr id="36" name="Chart 35">
          <a:extLst>
            <a:ext uri="{FF2B5EF4-FFF2-40B4-BE49-F238E27FC236}">
              <a16:creationId xmlns:a16="http://schemas.microsoft.com/office/drawing/2014/main" id="{1F49E408-FB7D-4722-9573-BD8EF103EB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60</xdr:col>
      <xdr:colOff>0</xdr:colOff>
      <xdr:row>53</xdr:row>
      <xdr:rowOff>0</xdr:rowOff>
    </xdr:from>
    <xdr:to>
      <xdr:col>66</xdr:col>
      <xdr:colOff>377081</xdr:colOff>
      <xdr:row>68</xdr:row>
      <xdr:rowOff>22500</xdr:rowOff>
    </xdr:to>
    <xdr:graphicFrame macro="">
      <xdr:nvGraphicFramePr>
        <xdr:cNvPr id="37" name="Chart 36">
          <a:extLst>
            <a:ext uri="{FF2B5EF4-FFF2-40B4-BE49-F238E27FC236}">
              <a16:creationId xmlns:a16="http://schemas.microsoft.com/office/drawing/2014/main" id="{0E59FCBC-4B6B-4EEE-9343-F3E7EF1F35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51</xdr:col>
      <xdr:colOff>0</xdr:colOff>
      <xdr:row>51</xdr:row>
      <xdr:rowOff>0</xdr:rowOff>
    </xdr:from>
    <xdr:to>
      <xdr:col>55</xdr:col>
      <xdr:colOff>764544</xdr:colOff>
      <xdr:row>66</xdr:row>
      <xdr:rowOff>22500</xdr:rowOff>
    </xdr:to>
    <xdr:graphicFrame macro="">
      <xdr:nvGraphicFramePr>
        <xdr:cNvPr id="38" name="Chart 37">
          <a:extLst>
            <a:ext uri="{FF2B5EF4-FFF2-40B4-BE49-F238E27FC236}">
              <a16:creationId xmlns:a16="http://schemas.microsoft.com/office/drawing/2014/main" id="{639602C8-ABC3-4925-8D3B-693E7082C8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249</xdr:col>
      <xdr:colOff>242145</xdr:colOff>
      <xdr:row>8</xdr:row>
      <xdr:rowOff>101882</xdr:rowOff>
    </xdr:from>
    <xdr:to>
      <xdr:col>257</xdr:col>
      <xdr:colOff>74199</xdr:colOff>
      <xdr:row>23</xdr:row>
      <xdr:rowOff>124382</xdr:rowOff>
    </xdr:to>
    <xdr:graphicFrame macro="">
      <xdr:nvGraphicFramePr>
        <xdr:cNvPr id="39" name="Chart 38">
          <a:extLst>
            <a:ext uri="{FF2B5EF4-FFF2-40B4-BE49-F238E27FC236}">
              <a16:creationId xmlns:a16="http://schemas.microsoft.com/office/drawing/2014/main" id="{591DE059-3FFE-479F-A27B-FA1B479FF8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249</xdr:col>
      <xdr:colOff>272143</xdr:colOff>
      <xdr:row>27</xdr:row>
      <xdr:rowOff>95250</xdr:rowOff>
    </xdr:from>
    <xdr:to>
      <xdr:col>257</xdr:col>
      <xdr:colOff>100387</xdr:colOff>
      <xdr:row>42</xdr:row>
      <xdr:rowOff>151368</xdr:rowOff>
    </xdr:to>
    <xdr:graphicFrame macro="">
      <xdr:nvGraphicFramePr>
        <xdr:cNvPr id="40" name="Chart 39">
          <a:extLst>
            <a:ext uri="{FF2B5EF4-FFF2-40B4-BE49-F238E27FC236}">
              <a16:creationId xmlns:a16="http://schemas.microsoft.com/office/drawing/2014/main" id="{9F7E171A-3612-433E-BF64-252FF1AAEB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249</xdr:col>
      <xdr:colOff>0</xdr:colOff>
      <xdr:row>45</xdr:row>
      <xdr:rowOff>0</xdr:rowOff>
    </xdr:from>
    <xdr:to>
      <xdr:col>256</xdr:col>
      <xdr:colOff>435462</xdr:colOff>
      <xdr:row>60</xdr:row>
      <xdr:rowOff>56118</xdr:rowOff>
    </xdr:to>
    <xdr:graphicFrame macro="">
      <xdr:nvGraphicFramePr>
        <xdr:cNvPr id="41" name="Chart 40">
          <a:extLst>
            <a:ext uri="{FF2B5EF4-FFF2-40B4-BE49-F238E27FC236}">
              <a16:creationId xmlns:a16="http://schemas.microsoft.com/office/drawing/2014/main" id="{E3B84A2B-A056-4F99-8FB1-3872C6607D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214</xdr:col>
      <xdr:colOff>214312</xdr:colOff>
      <xdr:row>63</xdr:row>
      <xdr:rowOff>46542</xdr:rowOff>
    </xdr:from>
    <xdr:to>
      <xdr:col>222</xdr:col>
      <xdr:colOff>387837</xdr:colOff>
      <xdr:row>78</xdr:row>
      <xdr:rowOff>102660</xdr:rowOff>
    </xdr:to>
    <xdr:graphicFrame macro="">
      <xdr:nvGraphicFramePr>
        <xdr:cNvPr id="42" name="Chart 41">
          <a:extLst>
            <a:ext uri="{FF2B5EF4-FFF2-40B4-BE49-F238E27FC236}">
              <a16:creationId xmlns:a16="http://schemas.microsoft.com/office/drawing/2014/main" id="{3593B646-1158-41E2-979E-E3DBBE307D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213</xdr:col>
      <xdr:colOff>320385</xdr:colOff>
      <xdr:row>84</xdr:row>
      <xdr:rowOff>17319</xdr:rowOff>
    </xdr:from>
    <xdr:to>
      <xdr:col>221</xdr:col>
      <xdr:colOff>493910</xdr:colOff>
      <xdr:row>99</xdr:row>
      <xdr:rowOff>73437</xdr:rowOff>
    </xdr:to>
    <xdr:graphicFrame macro="">
      <xdr:nvGraphicFramePr>
        <xdr:cNvPr id="43" name="Chart 42">
          <a:extLst>
            <a:ext uri="{FF2B5EF4-FFF2-40B4-BE49-F238E27FC236}">
              <a16:creationId xmlns:a16="http://schemas.microsoft.com/office/drawing/2014/main" id="{2ECCF54E-3852-4E4A-B950-DCF5CCBCFB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223</xdr:col>
      <xdr:colOff>619126</xdr:colOff>
      <xdr:row>63</xdr:row>
      <xdr:rowOff>10823</xdr:rowOff>
    </xdr:from>
    <xdr:to>
      <xdr:col>231</xdr:col>
      <xdr:colOff>602151</xdr:colOff>
      <xdr:row>78</xdr:row>
      <xdr:rowOff>66941</xdr:rowOff>
    </xdr:to>
    <xdr:graphicFrame macro="">
      <xdr:nvGraphicFramePr>
        <xdr:cNvPr id="44" name="Chart 43">
          <a:extLst>
            <a:ext uri="{FF2B5EF4-FFF2-40B4-BE49-F238E27FC236}">
              <a16:creationId xmlns:a16="http://schemas.microsoft.com/office/drawing/2014/main" id="{1F6305D9-37A8-4994-80C0-9B9C9185F3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233</xdr:col>
      <xdr:colOff>34635</xdr:colOff>
      <xdr:row>79</xdr:row>
      <xdr:rowOff>17319</xdr:rowOff>
    </xdr:from>
    <xdr:to>
      <xdr:col>241</xdr:col>
      <xdr:colOff>208160</xdr:colOff>
      <xdr:row>94</xdr:row>
      <xdr:rowOff>73437</xdr:rowOff>
    </xdr:to>
    <xdr:graphicFrame macro="">
      <xdr:nvGraphicFramePr>
        <xdr:cNvPr id="45" name="Chart 44">
          <a:extLst>
            <a:ext uri="{FF2B5EF4-FFF2-40B4-BE49-F238E27FC236}">
              <a16:creationId xmlns:a16="http://schemas.microsoft.com/office/drawing/2014/main" id="{585509C0-241D-4064-B28D-6AD8FC49CF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xdr:from>
      <xdr:col>112</xdr:col>
      <xdr:colOff>190500</xdr:colOff>
      <xdr:row>62</xdr:row>
      <xdr:rowOff>134471</xdr:rowOff>
    </xdr:from>
    <xdr:to>
      <xdr:col>120</xdr:col>
      <xdr:colOff>20845</xdr:colOff>
      <xdr:row>78</xdr:row>
      <xdr:rowOff>89</xdr:rowOff>
    </xdr:to>
    <xdr:graphicFrame macro="">
      <xdr:nvGraphicFramePr>
        <xdr:cNvPr id="46" name="Chart 45">
          <a:extLst>
            <a:ext uri="{FF2B5EF4-FFF2-40B4-BE49-F238E27FC236}">
              <a16:creationId xmlns:a16="http://schemas.microsoft.com/office/drawing/2014/main" id="{CF9E5620-C43E-4778-A7C2-A8A577D72B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twoCellAnchor>
    <xdr:from>
      <xdr:col>150</xdr:col>
      <xdr:colOff>302560</xdr:colOff>
      <xdr:row>34</xdr:row>
      <xdr:rowOff>145677</xdr:rowOff>
    </xdr:from>
    <xdr:to>
      <xdr:col>157</xdr:col>
      <xdr:colOff>432970</xdr:colOff>
      <xdr:row>49</xdr:row>
      <xdr:rowOff>168177</xdr:rowOff>
    </xdr:to>
    <xdr:graphicFrame macro="">
      <xdr:nvGraphicFramePr>
        <xdr:cNvPr id="47" name="Chart 46">
          <a:extLst>
            <a:ext uri="{FF2B5EF4-FFF2-40B4-BE49-F238E27FC236}">
              <a16:creationId xmlns:a16="http://schemas.microsoft.com/office/drawing/2014/main" id="{0AE13054-7C43-4A0E-A15A-015C17A827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xdr:twoCellAnchor>
  <xdr:twoCellAnchor>
    <xdr:from>
      <xdr:col>136</xdr:col>
      <xdr:colOff>242145</xdr:colOff>
      <xdr:row>8</xdr:row>
      <xdr:rowOff>101882</xdr:rowOff>
    </xdr:from>
    <xdr:to>
      <xdr:col>144</xdr:col>
      <xdr:colOff>74199</xdr:colOff>
      <xdr:row>23</xdr:row>
      <xdr:rowOff>124382</xdr:rowOff>
    </xdr:to>
    <xdr:graphicFrame macro="">
      <xdr:nvGraphicFramePr>
        <xdr:cNvPr id="48" name="Chart 47">
          <a:extLst>
            <a:ext uri="{FF2B5EF4-FFF2-40B4-BE49-F238E27FC236}">
              <a16:creationId xmlns:a16="http://schemas.microsoft.com/office/drawing/2014/main" id="{C33F312F-6469-4B12-A977-EB02B932DC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4"/>
        </a:graphicData>
      </a:graphic>
    </xdr:graphicFrame>
    <xdr:clientData/>
  </xdr:twoCellAnchor>
  <xdr:twoCellAnchor>
    <xdr:from>
      <xdr:col>136</xdr:col>
      <xdr:colOff>272143</xdr:colOff>
      <xdr:row>27</xdr:row>
      <xdr:rowOff>95250</xdr:rowOff>
    </xdr:from>
    <xdr:to>
      <xdr:col>144</xdr:col>
      <xdr:colOff>100387</xdr:colOff>
      <xdr:row>42</xdr:row>
      <xdr:rowOff>151368</xdr:rowOff>
    </xdr:to>
    <xdr:graphicFrame macro="">
      <xdr:nvGraphicFramePr>
        <xdr:cNvPr id="49" name="Chart 48">
          <a:extLst>
            <a:ext uri="{FF2B5EF4-FFF2-40B4-BE49-F238E27FC236}">
              <a16:creationId xmlns:a16="http://schemas.microsoft.com/office/drawing/2014/main" id="{55477863-652D-49BC-8C48-234C6F1B10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5"/>
        </a:graphicData>
      </a:graphic>
    </xdr:graphicFrame>
    <xdr:clientData/>
  </xdr:twoCellAnchor>
  <xdr:twoCellAnchor>
    <xdr:from>
      <xdr:col>136</xdr:col>
      <xdr:colOff>0</xdr:colOff>
      <xdr:row>45</xdr:row>
      <xdr:rowOff>0</xdr:rowOff>
    </xdr:from>
    <xdr:to>
      <xdr:col>143</xdr:col>
      <xdr:colOff>435462</xdr:colOff>
      <xdr:row>60</xdr:row>
      <xdr:rowOff>56118</xdr:rowOff>
    </xdr:to>
    <xdr:graphicFrame macro="">
      <xdr:nvGraphicFramePr>
        <xdr:cNvPr id="50" name="Chart 49">
          <a:extLst>
            <a:ext uri="{FF2B5EF4-FFF2-40B4-BE49-F238E27FC236}">
              <a16:creationId xmlns:a16="http://schemas.microsoft.com/office/drawing/2014/main" id="{F9C0D531-98AD-4B25-8AA2-08580407B7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6"/>
        </a:graphicData>
      </a:graphic>
    </xdr:graphicFrame>
    <xdr:clientData/>
  </xdr:twoCellAnchor>
  <xdr:twoCellAnchor>
    <xdr:from>
      <xdr:col>134</xdr:col>
      <xdr:colOff>0</xdr:colOff>
      <xdr:row>64</xdr:row>
      <xdr:rowOff>0</xdr:rowOff>
    </xdr:from>
    <xdr:to>
      <xdr:col>142</xdr:col>
      <xdr:colOff>228663</xdr:colOff>
      <xdr:row>79</xdr:row>
      <xdr:rowOff>56118</xdr:rowOff>
    </xdr:to>
    <xdr:graphicFrame macro="">
      <xdr:nvGraphicFramePr>
        <xdr:cNvPr id="51" name="Chart 50">
          <a:extLst>
            <a:ext uri="{FF2B5EF4-FFF2-40B4-BE49-F238E27FC236}">
              <a16:creationId xmlns:a16="http://schemas.microsoft.com/office/drawing/2014/main" id="{97AD4619-0C14-4EF3-8878-02E4D4B67D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7"/>
        </a:graphicData>
      </a:graphic>
    </xdr:graphicFrame>
    <xdr:clientData/>
  </xdr:twoCellAnchor>
  <xdr:twoCellAnchor>
    <xdr:from>
      <xdr:col>199</xdr:col>
      <xdr:colOff>242145</xdr:colOff>
      <xdr:row>8</xdr:row>
      <xdr:rowOff>101882</xdr:rowOff>
    </xdr:from>
    <xdr:to>
      <xdr:col>207</xdr:col>
      <xdr:colOff>74199</xdr:colOff>
      <xdr:row>23</xdr:row>
      <xdr:rowOff>124382</xdr:rowOff>
    </xdr:to>
    <xdr:graphicFrame macro="">
      <xdr:nvGraphicFramePr>
        <xdr:cNvPr id="52" name="Chart 51">
          <a:extLst>
            <a:ext uri="{FF2B5EF4-FFF2-40B4-BE49-F238E27FC236}">
              <a16:creationId xmlns:a16="http://schemas.microsoft.com/office/drawing/2014/main" id="{5D615142-3018-4831-A6C7-868E8C2C6A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8"/>
        </a:graphicData>
      </a:graphic>
    </xdr:graphicFrame>
    <xdr:clientData/>
  </xdr:twoCellAnchor>
  <xdr:twoCellAnchor>
    <xdr:from>
      <xdr:col>199</xdr:col>
      <xdr:colOff>272143</xdr:colOff>
      <xdr:row>27</xdr:row>
      <xdr:rowOff>95250</xdr:rowOff>
    </xdr:from>
    <xdr:to>
      <xdr:col>207</xdr:col>
      <xdr:colOff>100387</xdr:colOff>
      <xdr:row>42</xdr:row>
      <xdr:rowOff>151368</xdr:rowOff>
    </xdr:to>
    <xdr:graphicFrame macro="">
      <xdr:nvGraphicFramePr>
        <xdr:cNvPr id="53" name="Chart 52">
          <a:extLst>
            <a:ext uri="{FF2B5EF4-FFF2-40B4-BE49-F238E27FC236}">
              <a16:creationId xmlns:a16="http://schemas.microsoft.com/office/drawing/2014/main" id="{1F98528E-31A1-4E14-BA99-B84B5F9368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9"/>
        </a:graphicData>
      </a:graphic>
    </xdr:graphicFrame>
    <xdr:clientData/>
  </xdr:twoCellAnchor>
  <xdr:twoCellAnchor>
    <xdr:from>
      <xdr:col>199</xdr:col>
      <xdr:colOff>0</xdr:colOff>
      <xdr:row>45</xdr:row>
      <xdr:rowOff>0</xdr:rowOff>
    </xdr:from>
    <xdr:to>
      <xdr:col>206</xdr:col>
      <xdr:colOff>435462</xdr:colOff>
      <xdr:row>60</xdr:row>
      <xdr:rowOff>56118</xdr:rowOff>
    </xdr:to>
    <xdr:graphicFrame macro="">
      <xdr:nvGraphicFramePr>
        <xdr:cNvPr id="54" name="Chart 53">
          <a:extLst>
            <a:ext uri="{FF2B5EF4-FFF2-40B4-BE49-F238E27FC236}">
              <a16:creationId xmlns:a16="http://schemas.microsoft.com/office/drawing/2014/main" id="{30907FC1-4100-47E1-92E8-39B4AB3C4F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0"/>
        </a:graphicData>
      </a:graphic>
    </xdr:graphicFrame>
    <xdr:clientData/>
  </xdr:twoCellAnchor>
  <xdr:twoCellAnchor>
    <xdr:from>
      <xdr:col>197</xdr:col>
      <xdr:colOff>0</xdr:colOff>
      <xdr:row>64</xdr:row>
      <xdr:rowOff>0</xdr:rowOff>
    </xdr:from>
    <xdr:to>
      <xdr:col>205</xdr:col>
      <xdr:colOff>228663</xdr:colOff>
      <xdr:row>79</xdr:row>
      <xdr:rowOff>56118</xdr:rowOff>
    </xdr:to>
    <xdr:graphicFrame macro="">
      <xdr:nvGraphicFramePr>
        <xdr:cNvPr id="55" name="Chart 54">
          <a:extLst>
            <a:ext uri="{FF2B5EF4-FFF2-40B4-BE49-F238E27FC236}">
              <a16:creationId xmlns:a16="http://schemas.microsoft.com/office/drawing/2014/main" id="{3ACC2053-776A-4F21-A371-7D8C82FA5D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1"/>
        </a:graphicData>
      </a:graphic>
    </xdr:graphicFrame>
    <xdr:clientData/>
  </xdr:twoCellAnchor>
  <xdr:twoCellAnchor>
    <xdr:from>
      <xdr:col>169</xdr:col>
      <xdr:colOff>268941</xdr:colOff>
      <xdr:row>34</xdr:row>
      <xdr:rowOff>44825</xdr:rowOff>
    </xdr:from>
    <xdr:to>
      <xdr:col>176</xdr:col>
      <xdr:colOff>399352</xdr:colOff>
      <xdr:row>49</xdr:row>
      <xdr:rowOff>67325</xdr:rowOff>
    </xdr:to>
    <xdr:graphicFrame macro="">
      <xdr:nvGraphicFramePr>
        <xdr:cNvPr id="56" name="Chart 55">
          <a:extLst>
            <a:ext uri="{FF2B5EF4-FFF2-40B4-BE49-F238E27FC236}">
              <a16:creationId xmlns:a16="http://schemas.microsoft.com/office/drawing/2014/main" id="{5CEA9C60-02CB-4AC9-A718-EED3B86CB6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2"/>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0.67152</cdr:x>
      <cdr:y>0.02455</cdr:y>
    </cdr:from>
    <cdr:to>
      <cdr:x>0.86308</cdr:x>
      <cdr:y>0.13019</cdr:y>
    </cdr:to>
    <cdr:sp macro="" textlink="">
      <cdr:nvSpPr>
        <cdr:cNvPr id="2" name="Rectangle 1">
          <a:extLst xmlns:a="http://schemas.openxmlformats.org/drawingml/2006/main">
            <a:ext uri="{FF2B5EF4-FFF2-40B4-BE49-F238E27FC236}">
              <a16:creationId xmlns:a16="http://schemas.microsoft.com/office/drawing/2014/main" id="{A220B960-D535-4B91-9B9F-ACEC3977969F}"/>
            </a:ext>
          </a:extLst>
        </cdr:cNvPr>
        <cdr:cNvSpPr/>
      </cdr:nvSpPr>
      <cdr:spPr>
        <a:xfrm xmlns:a="http://schemas.openxmlformats.org/drawingml/2006/main">
          <a:off x="3279784" y="69840"/>
          <a:ext cx="935602" cy="300527"/>
        </a:xfrm>
        <a:prstGeom xmlns:a="http://schemas.openxmlformats.org/drawingml/2006/main" prst="rect">
          <a:avLst/>
        </a:prstGeom>
        <a:solidFill xmlns:a="http://schemas.openxmlformats.org/drawingml/2006/main">
          <a:schemeClr val="bg1"/>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r>
            <a:rPr lang="en-AU" sz="800" i="1">
              <a:solidFill>
                <a:sysClr val="windowText" lastClr="000000"/>
              </a:solidFill>
            </a:rPr>
            <a:t>A$3.22bn, 65.2% probability</a:t>
          </a:r>
        </a:p>
      </cdr:txBody>
    </cdr:sp>
  </cdr:relSizeAnchor>
</c:userShapes>
</file>

<file path=xl/drawings/drawing5.xml><?xml version="1.0" encoding="utf-8"?>
<xdr:wsDr xmlns:xdr="http://schemas.openxmlformats.org/drawingml/2006/spreadsheetDrawing" xmlns:a="http://schemas.openxmlformats.org/drawingml/2006/main">
  <xdr:twoCellAnchor>
    <xdr:from>
      <xdr:col>289</xdr:col>
      <xdr:colOff>302558</xdr:colOff>
      <xdr:row>10</xdr:row>
      <xdr:rowOff>89647</xdr:rowOff>
    </xdr:from>
    <xdr:to>
      <xdr:col>297</xdr:col>
      <xdr:colOff>309878</xdr:colOff>
      <xdr:row>25</xdr:row>
      <xdr:rowOff>76968</xdr:rowOff>
    </xdr:to>
    <xdr:graphicFrame macro="">
      <xdr:nvGraphicFramePr>
        <xdr:cNvPr id="2" name="Chart 1">
          <a:extLst>
            <a:ext uri="{FF2B5EF4-FFF2-40B4-BE49-F238E27FC236}">
              <a16:creationId xmlns:a16="http://schemas.microsoft.com/office/drawing/2014/main" id="{B78503F7-B699-4D55-85B5-B893A0270A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39</xdr:col>
      <xdr:colOff>114906</xdr:colOff>
      <xdr:row>29</xdr:row>
      <xdr:rowOff>119630</xdr:rowOff>
    </xdr:from>
    <xdr:to>
      <xdr:col>43</xdr:col>
      <xdr:colOff>879450</xdr:colOff>
      <xdr:row>44</xdr:row>
      <xdr:rowOff>142130</xdr:rowOff>
    </xdr:to>
    <xdr:graphicFrame macro="">
      <xdr:nvGraphicFramePr>
        <xdr:cNvPr id="3" name="Chart 2">
          <a:extLst>
            <a:ext uri="{FF2B5EF4-FFF2-40B4-BE49-F238E27FC236}">
              <a16:creationId xmlns:a16="http://schemas.microsoft.com/office/drawing/2014/main" id="{22D68171-5F3E-44AC-B036-B173B8816B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39</xdr:col>
      <xdr:colOff>94193</xdr:colOff>
      <xdr:row>8</xdr:row>
      <xdr:rowOff>118836</xdr:rowOff>
    </xdr:from>
    <xdr:to>
      <xdr:col>43</xdr:col>
      <xdr:colOff>858737</xdr:colOff>
      <xdr:row>23</xdr:row>
      <xdr:rowOff>141336</xdr:rowOff>
    </xdr:to>
    <xdr:graphicFrame macro="">
      <xdr:nvGraphicFramePr>
        <xdr:cNvPr id="4" name="Chart 3">
          <a:extLst>
            <a:ext uri="{FF2B5EF4-FFF2-40B4-BE49-F238E27FC236}">
              <a16:creationId xmlns:a16="http://schemas.microsoft.com/office/drawing/2014/main" id="{32CFB661-32BB-4119-B440-FA0F7D0A02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275</xdr:col>
      <xdr:colOff>305644</xdr:colOff>
      <xdr:row>10</xdr:row>
      <xdr:rowOff>80715</xdr:rowOff>
    </xdr:from>
    <xdr:to>
      <xdr:col>283</xdr:col>
      <xdr:colOff>312964</xdr:colOff>
      <xdr:row>25</xdr:row>
      <xdr:rowOff>68036</xdr:rowOff>
    </xdr:to>
    <xdr:graphicFrame macro="">
      <xdr:nvGraphicFramePr>
        <xdr:cNvPr id="5" name="Chart 4">
          <a:extLst>
            <a:ext uri="{FF2B5EF4-FFF2-40B4-BE49-F238E27FC236}">
              <a16:creationId xmlns:a16="http://schemas.microsoft.com/office/drawing/2014/main" id="{995B6B4E-9643-4744-828B-88D9C38783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79</xdr:col>
      <xdr:colOff>242145</xdr:colOff>
      <xdr:row>8</xdr:row>
      <xdr:rowOff>101882</xdr:rowOff>
    </xdr:from>
    <xdr:to>
      <xdr:col>87</xdr:col>
      <xdr:colOff>74199</xdr:colOff>
      <xdr:row>23</xdr:row>
      <xdr:rowOff>124382</xdr:rowOff>
    </xdr:to>
    <xdr:graphicFrame macro="">
      <xdr:nvGraphicFramePr>
        <xdr:cNvPr id="6" name="Chart 5">
          <a:extLst>
            <a:ext uri="{FF2B5EF4-FFF2-40B4-BE49-F238E27FC236}">
              <a16:creationId xmlns:a16="http://schemas.microsoft.com/office/drawing/2014/main" id="{7EBB5C39-625F-4FEA-BA15-D7C53FDA71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79</xdr:col>
      <xdr:colOff>254000</xdr:colOff>
      <xdr:row>27</xdr:row>
      <xdr:rowOff>95250</xdr:rowOff>
    </xdr:from>
    <xdr:to>
      <xdr:col>87</xdr:col>
      <xdr:colOff>86054</xdr:colOff>
      <xdr:row>42</xdr:row>
      <xdr:rowOff>117750</xdr:rowOff>
    </xdr:to>
    <xdr:graphicFrame macro="">
      <xdr:nvGraphicFramePr>
        <xdr:cNvPr id="7" name="Chart 6">
          <a:extLst>
            <a:ext uri="{FF2B5EF4-FFF2-40B4-BE49-F238E27FC236}">
              <a16:creationId xmlns:a16="http://schemas.microsoft.com/office/drawing/2014/main" id="{8E1BB490-42C7-4B45-9C33-A7AC9F736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373</xdr:col>
      <xdr:colOff>476249</xdr:colOff>
      <xdr:row>8</xdr:row>
      <xdr:rowOff>95250</xdr:rowOff>
    </xdr:from>
    <xdr:to>
      <xdr:col>381</xdr:col>
      <xdr:colOff>257678</xdr:colOff>
      <xdr:row>23</xdr:row>
      <xdr:rowOff>117750</xdr:rowOff>
    </xdr:to>
    <xdr:graphicFrame macro="">
      <xdr:nvGraphicFramePr>
        <xdr:cNvPr id="8" name="Chart 7">
          <a:extLst>
            <a:ext uri="{FF2B5EF4-FFF2-40B4-BE49-F238E27FC236}">
              <a16:creationId xmlns:a16="http://schemas.microsoft.com/office/drawing/2014/main" id="{5F815794-AA85-4634-BA5B-76EA69084C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373</xdr:col>
      <xdr:colOff>530679</xdr:colOff>
      <xdr:row>28</xdr:row>
      <xdr:rowOff>68035</xdr:rowOff>
    </xdr:from>
    <xdr:to>
      <xdr:col>381</xdr:col>
      <xdr:colOff>312108</xdr:colOff>
      <xdr:row>43</xdr:row>
      <xdr:rowOff>90535</xdr:rowOff>
    </xdr:to>
    <xdr:graphicFrame macro="">
      <xdr:nvGraphicFramePr>
        <xdr:cNvPr id="9" name="Chart 8">
          <a:extLst>
            <a:ext uri="{FF2B5EF4-FFF2-40B4-BE49-F238E27FC236}">
              <a16:creationId xmlns:a16="http://schemas.microsoft.com/office/drawing/2014/main" id="{BC4C4B16-ADB3-4D9A-BB20-A6F6E5FA67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373</xdr:col>
      <xdr:colOff>530680</xdr:colOff>
      <xdr:row>69</xdr:row>
      <xdr:rowOff>149680</xdr:rowOff>
    </xdr:from>
    <xdr:to>
      <xdr:col>381</xdr:col>
      <xdr:colOff>435430</xdr:colOff>
      <xdr:row>84</xdr:row>
      <xdr:rowOff>92530</xdr:rowOff>
    </xdr:to>
    <xdr:graphicFrame macro="">
      <xdr:nvGraphicFramePr>
        <xdr:cNvPr id="10" name="Chart 9">
          <a:extLst>
            <a:ext uri="{FF2B5EF4-FFF2-40B4-BE49-F238E27FC236}">
              <a16:creationId xmlns:a16="http://schemas.microsoft.com/office/drawing/2014/main" id="{3E5F2E97-081B-4926-90B1-3439E7678B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54</xdr:col>
      <xdr:colOff>476248</xdr:colOff>
      <xdr:row>8</xdr:row>
      <xdr:rowOff>95250</xdr:rowOff>
    </xdr:from>
    <xdr:to>
      <xdr:col>63</xdr:col>
      <xdr:colOff>63499</xdr:colOff>
      <xdr:row>23</xdr:row>
      <xdr:rowOff>117750</xdr:rowOff>
    </xdr:to>
    <xdr:graphicFrame macro="">
      <xdr:nvGraphicFramePr>
        <xdr:cNvPr id="11" name="Chart 10">
          <a:extLst>
            <a:ext uri="{FF2B5EF4-FFF2-40B4-BE49-F238E27FC236}">
              <a16:creationId xmlns:a16="http://schemas.microsoft.com/office/drawing/2014/main" id="{925BE8B9-AAD5-4943-AFF6-EE31E7CC7C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54</xdr:col>
      <xdr:colOff>530679</xdr:colOff>
      <xdr:row>28</xdr:row>
      <xdr:rowOff>8502</xdr:rowOff>
    </xdr:from>
    <xdr:to>
      <xdr:col>63</xdr:col>
      <xdr:colOff>261937</xdr:colOff>
      <xdr:row>44</xdr:row>
      <xdr:rowOff>23811</xdr:rowOff>
    </xdr:to>
    <xdr:graphicFrame macro="">
      <xdr:nvGraphicFramePr>
        <xdr:cNvPr id="12" name="Chart 11">
          <a:extLst>
            <a:ext uri="{FF2B5EF4-FFF2-40B4-BE49-F238E27FC236}">
              <a16:creationId xmlns:a16="http://schemas.microsoft.com/office/drawing/2014/main" id="{9C664C8E-DA71-4ACB-BA93-881468CDEA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55</xdr:col>
      <xdr:colOff>149679</xdr:colOff>
      <xdr:row>69</xdr:row>
      <xdr:rowOff>96763</xdr:rowOff>
    </xdr:from>
    <xdr:to>
      <xdr:col>63</xdr:col>
      <xdr:colOff>54430</xdr:colOff>
      <xdr:row>84</xdr:row>
      <xdr:rowOff>39613</xdr:rowOff>
    </xdr:to>
    <xdr:graphicFrame macro="">
      <xdr:nvGraphicFramePr>
        <xdr:cNvPr id="13" name="Chart 12">
          <a:extLst>
            <a:ext uri="{FF2B5EF4-FFF2-40B4-BE49-F238E27FC236}">
              <a16:creationId xmlns:a16="http://schemas.microsoft.com/office/drawing/2014/main" id="{7D962585-4A17-480B-BB7B-C9D087C7F7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354</xdr:col>
      <xdr:colOff>94193</xdr:colOff>
      <xdr:row>8</xdr:row>
      <xdr:rowOff>118836</xdr:rowOff>
    </xdr:from>
    <xdr:to>
      <xdr:col>358</xdr:col>
      <xdr:colOff>858737</xdr:colOff>
      <xdr:row>23</xdr:row>
      <xdr:rowOff>141336</xdr:rowOff>
    </xdr:to>
    <xdr:graphicFrame macro="">
      <xdr:nvGraphicFramePr>
        <xdr:cNvPr id="14" name="Chart 13">
          <a:extLst>
            <a:ext uri="{FF2B5EF4-FFF2-40B4-BE49-F238E27FC236}">
              <a16:creationId xmlns:a16="http://schemas.microsoft.com/office/drawing/2014/main" id="{17D11B35-761E-4C2D-9636-67BCE0226E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354</xdr:col>
      <xdr:colOff>0</xdr:colOff>
      <xdr:row>29</xdr:row>
      <xdr:rowOff>108857</xdr:rowOff>
    </xdr:from>
    <xdr:to>
      <xdr:col>358</xdr:col>
      <xdr:colOff>764544</xdr:colOff>
      <xdr:row>44</xdr:row>
      <xdr:rowOff>131357</xdr:rowOff>
    </xdr:to>
    <xdr:graphicFrame macro="">
      <xdr:nvGraphicFramePr>
        <xdr:cNvPr id="15" name="Chart 14">
          <a:extLst>
            <a:ext uri="{FF2B5EF4-FFF2-40B4-BE49-F238E27FC236}">
              <a16:creationId xmlns:a16="http://schemas.microsoft.com/office/drawing/2014/main" id="{DBEFFFF9-10DB-4320-86C2-1160318890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398</xdr:col>
      <xdr:colOff>394606</xdr:colOff>
      <xdr:row>8</xdr:row>
      <xdr:rowOff>122464</xdr:rowOff>
    </xdr:from>
    <xdr:to>
      <xdr:col>406</xdr:col>
      <xdr:colOff>226661</xdr:colOff>
      <xdr:row>23</xdr:row>
      <xdr:rowOff>144964</xdr:rowOff>
    </xdr:to>
    <xdr:graphicFrame macro="">
      <xdr:nvGraphicFramePr>
        <xdr:cNvPr id="16" name="Chart 15">
          <a:extLst>
            <a:ext uri="{FF2B5EF4-FFF2-40B4-BE49-F238E27FC236}">
              <a16:creationId xmlns:a16="http://schemas.microsoft.com/office/drawing/2014/main" id="{0C1D97F7-E3C8-40E1-88E7-DBEA72B7FE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398</xdr:col>
      <xdr:colOff>503464</xdr:colOff>
      <xdr:row>27</xdr:row>
      <xdr:rowOff>81643</xdr:rowOff>
    </xdr:from>
    <xdr:to>
      <xdr:col>406</xdr:col>
      <xdr:colOff>335519</xdr:colOff>
      <xdr:row>42</xdr:row>
      <xdr:rowOff>104143</xdr:rowOff>
    </xdr:to>
    <xdr:graphicFrame macro="">
      <xdr:nvGraphicFramePr>
        <xdr:cNvPr id="17" name="Chart 16">
          <a:extLst>
            <a:ext uri="{FF2B5EF4-FFF2-40B4-BE49-F238E27FC236}">
              <a16:creationId xmlns:a16="http://schemas.microsoft.com/office/drawing/2014/main" id="{AE5A0D5F-C8D9-465F-BA1B-F2A63E107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422</xdr:col>
      <xdr:colOff>500063</xdr:colOff>
      <xdr:row>30</xdr:row>
      <xdr:rowOff>154781</xdr:rowOff>
    </xdr:from>
    <xdr:to>
      <xdr:col>430</xdr:col>
      <xdr:colOff>507383</xdr:colOff>
      <xdr:row>45</xdr:row>
      <xdr:rowOff>142102</xdr:rowOff>
    </xdr:to>
    <xdr:graphicFrame macro="">
      <xdr:nvGraphicFramePr>
        <xdr:cNvPr id="18" name="Chart 17">
          <a:extLst>
            <a:ext uri="{FF2B5EF4-FFF2-40B4-BE49-F238E27FC236}">
              <a16:creationId xmlns:a16="http://schemas.microsoft.com/office/drawing/2014/main" id="{84A8F7EB-5C1C-4526-AEE1-3094B579FE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422</xdr:col>
      <xdr:colOff>178594</xdr:colOff>
      <xdr:row>10</xdr:row>
      <xdr:rowOff>47624</xdr:rowOff>
    </xdr:from>
    <xdr:to>
      <xdr:col>430</xdr:col>
      <xdr:colOff>185914</xdr:colOff>
      <xdr:row>25</xdr:row>
      <xdr:rowOff>34945</xdr:rowOff>
    </xdr:to>
    <xdr:graphicFrame macro="">
      <xdr:nvGraphicFramePr>
        <xdr:cNvPr id="19" name="Chart 18">
          <a:extLst>
            <a:ext uri="{FF2B5EF4-FFF2-40B4-BE49-F238E27FC236}">
              <a16:creationId xmlns:a16="http://schemas.microsoft.com/office/drawing/2014/main" id="{7066921A-AA61-4B80-894E-1B0CA88B1A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275</xdr:col>
      <xdr:colOff>404813</xdr:colOff>
      <xdr:row>30</xdr:row>
      <xdr:rowOff>95250</xdr:rowOff>
    </xdr:from>
    <xdr:to>
      <xdr:col>283</xdr:col>
      <xdr:colOff>412133</xdr:colOff>
      <xdr:row>45</xdr:row>
      <xdr:rowOff>82571</xdr:rowOff>
    </xdr:to>
    <xdr:graphicFrame macro="">
      <xdr:nvGraphicFramePr>
        <xdr:cNvPr id="20" name="Chart 19">
          <a:extLst>
            <a:ext uri="{FF2B5EF4-FFF2-40B4-BE49-F238E27FC236}">
              <a16:creationId xmlns:a16="http://schemas.microsoft.com/office/drawing/2014/main" id="{DE7F4209-1D7D-40C0-90DE-DA39C59A6C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373</xdr:col>
      <xdr:colOff>530679</xdr:colOff>
      <xdr:row>48</xdr:row>
      <xdr:rowOff>68035</xdr:rowOff>
    </xdr:from>
    <xdr:to>
      <xdr:col>381</xdr:col>
      <xdr:colOff>312108</xdr:colOff>
      <xdr:row>63</xdr:row>
      <xdr:rowOff>90535</xdr:rowOff>
    </xdr:to>
    <xdr:graphicFrame macro="">
      <xdr:nvGraphicFramePr>
        <xdr:cNvPr id="21" name="Chart 20">
          <a:extLst>
            <a:ext uri="{FF2B5EF4-FFF2-40B4-BE49-F238E27FC236}">
              <a16:creationId xmlns:a16="http://schemas.microsoft.com/office/drawing/2014/main" id="{F6CF8F42-9B0F-4B98-8DBD-977A74623E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55</xdr:col>
      <xdr:colOff>0</xdr:colOff>
      <xdr:row>49</xdr:row>
      <xdr:rowOff>116417</xdr:rowOff>
    </xdr:from>
    <xdr:to>
      <xdr:col>63</xdr:col>
      <xdr:colOff>345092</xdr:colOff>
      <xdr:row>65</xdr:row>
      <xdr:rowOff>131726</xdr:rowOff>
    </xdr:to>
    <xdr:graphicFrame macro="">
      <xdr:nvGraphicFramePr>
        <xdr:cNvPr id="22" name="Chart 21">
          <a:extLst>
            <a:ext uri="{FF2B5EF4-FFF2-40B4-BE49-F238E27FC236}">
              <a16:creationId xmlns:a16="http://schemas.microsoft.com/office/drawing/2014/main" id="{AB288EA6-FAAF-4998-9AD2-CE0880259D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55</xdr:col>
      <xdr:colOff>0</xdr:colOff>
      <xdr:row>87</xdr:row>
      <xdr:rowOff>0</xdr:rowOff>
    </xdr:from>
    <xdr:to>
      <xdr:col>63</xdr:col>
      <xdr:colOff>345092</xdr:colOff>
      <xdr:row>103</xdr:row>
      <xdr:rowOff>15309</xdr:rowOff>
    </xdr:to>
    <xdr:graphicFrame macro="">
      <xdr:nvGraphicFramePr>
        <xdr:cNvPr id="23" name="Chart 22">
          <a:extLst>
            <a:ext uri="{FF2B5EF4-FFF2-40B4-BE49-F238E27FC236}">
              <a16:creationId xmlns:a16="http://schemas.microsoft.com/office/drawing/2014/main" id="{CB3BCC06-EE56-4FA6-A629-9008EEFDEA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289</xdr:col>
      <xdr:colOff>503464</xdr:colOff>
      <xdr:row>30</xdr:row>
      <xdr:rowOff>95250</xdr:rowOff>
    </xdr:from>
    <xdr:to>
      <xdr:col>297</xdr:col>
      <xdr:colOff>510784</xdr:colOff>
      <xdr:row>45</xdr:row>
      <xdr:rowOff>82571</xdr:rowOff>
    </xdr:to>
    <xdr:graphicFrame macro="">
      <xdr:nvGraphicFramePr>
        <xdr:cNvPr id="24" name="Chart 23">
          <a:extLst>
            <a:ext uri="{FF2B5EF4-FFF2-40B4-BE49-F238E27FC236}">
              <a16:creationId xmlns:a16="http://schemas.microsoft.com/office/drawing/2014/main" id="{A5F21D88-8CFB-48DA-9B91-3144D5A63D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79</xdr:col>
      <xdr:colOff>190500</xdr:colOff>
      <xdr:row>45</xdr:row>
      <xdr:rowOff>179294</xdr:rowOff>
    </xdr:from>
    <xdr:to>
      <xdr:col>87</xdr:col>
      <xdr:colOff>29757</xdr:colOff>
      <xdr:row>61</xdr:row>
      <xdr:rowOff>11294</xdr:rowOff>
    </xdr:to>
    <xdr:graphicFrame macro="">
      <xdr:nvGraphicFramePr>
        <xdr:cNvPr id="25" name="Chart 24">
          <a:extLst>
            <a:ext uri="{FF2B5EF4-FFF2-40B4-BE49-F238E27FC236}">
              <a16:creationId xmlns:a16="http://schemas.microsoft.com/office/drawing/2014/main" id="{633ADD95-238B-48B9-A815-A858615FF2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399</xdr:col>
      <xdr:colOff>0</xdr:colOff>
      <xdr:row>45</xdr:row>
      <xdr:rowOff>0</xdr:rowOff>
    </xdr:from>
    <xdr:to>
      <xdr:col>406</xdr:col>
      <xdr:colOff>444377</xdr:colOff>
      <xdr:row>60</xdr:row>
      <xdr:rowOff>22500</xdr:rowOff>
    </xdr:to>
    <xdr:graphicFrame macro="">
      <xdr:nvGraphicFramePr>
        <xdr:cNvPr id="26" name="Chart 25">
          <a:extLst>
            <a:ext uri="{FF2B5EF4-FFF2-40B4-BE49-F238E27FC236}">
              <a16:creationId xmlns:a16="http://schemas.microsoft.com/office/drawing/2014/main" id="{BB4C8807-28AF-4BF6-94B1-47A56667C6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296</xdr:col>
      <xdr:colOff>336176</xdr:colOff>
      <xdr:row>13</xdr:row>
      <xdr:rowOff>11205</xdr:rowOff>
    </xdr:from>
    <xdr:to>
      <xdr:col>297</xdr:col>
      <xdr:colOff>134470</xdr:colOff>
      <xdr:row>14</xdr:row>
      <xdr:rowOff>172572</xdr:rowOff>
    </xdr:to>
    <xdr:cxnSp macro="">
      <xdr:nvCxnSpPr>
        <xdr:cNvPr id="27" name="Straight Arrow Connector 26">
          <a:extLst>
            <a:ext uri="{FF2B5EF4-FFF2-40B4-BE49-F238E27FC236}">
              <a16:creationId xmlns:a16="http://schemas.microsoft.com/office/drawing/2014/main" id="{80882A13-A107-44EB-966D-FAB5AEFBFBB3}"/>
            </a:ext>
          </a:extLst>
        </xdr:cNvPr>
        <xdr:cNvCxnSpPr/>
      </xdr:nvCxnSpPr>
      <xdr:spPr>
        <a:xfrm flipV="1">
          <a:off x="115426751" y="2916330"/>
          <a:ext cx="407894" cy="351867"/>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296</xdr:col>
      <xdr:colOff>118782</xdr:colOff>
      <xdr:row>11</xdr:row>
      <xdr:rowOff>78444</xdr:rowOff>
    </xdr:from>
    <xdr:to>
      <xdr:col>297</xdr:col>
      <xdr:colOff>134470</xdr:colOff>
      <xdr:row>11</xdr:row>
      <xdr:rowOff>134470</xdr:rowOff>
    </xdr:to>
    <xdr:cxnSp macro="">
      <xdr:nvCxnSpPr>
        <xdr:cNvPr id="28" name="Straight Arrow Connector 27">
          <a:extLst>
            <a:ext uri="{FF2B5EF4-FFF2-40B4-BE49-F238E27FC236}">
              <a16:creationId xmlns:a16="http://schemas.microsoft.com/office/drawing/2014/main" id="{E7016181-DBFF-4DAC-9124-50CA07194469}"/>
            </a:ext>
          </a:extLst>
        </xdr:cNvPr>
        <xdr:cNvCxnSpPr/>
      </xdr:nvCxnSpPr>
      <xdr:spPr>
        <a:xfrm>
          <a:off x="115209357" y="2602569"/>
          <a:ext cx="625288" cy="56026"/>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276</xdr:col>
      <xdr:colOff>0</xdr:colOff>
      <xdr:row>48</xdr:row>
      <xdr:rowOff>0</xdr:rowOff>
    </xdr:from>
    <xdr:to>
      <xdr:col>283</xdr:col>
      <xdr:colOff>429469</xdr:colOff>
      <xdr:row>63</xdr:row>
      <xdr:rowOff>22500</xdr:rowOff>
    </xdr:to>
    <xdr:graphicFrame macro="">
      <xdr:nvGraphicFramePr>
        <xdr:cNvPr id="29" name="Chart 28">
          <a:extLst>
            <a:ext uri="{FF2B5EF4-FFF2-40B4-BE49-F238E27FC236}">
              <a16:creationId xmlns:a16="http://schemas.microsoft.com/office/drawing/2014/main" id="{086F1D41-60AD-42DF-9BEC-2E2F925231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79</xdr:col>
      <xdr:colOff>130969</xdr:colOff>
      <xdr:row>62</xdr:row>
      <xdr:rowOff>154781</xdr:rowOff>
    </xdr:from>
    <xdr:to>
      <xdr:col>86</xdr:col>
      <xdr:colOff>577445</xdr:colOff>
      <xdr:row>77</xdr:row>
      <xdr:rowOff>177281</xdr:rowOff>
    </xdr:to>
    <xdr:graphicFrame macro="">
      <xdr:nvGraphicFramePr>
        <xdr:cNvPr id="30" name="Chart 29">
          <a:extLst>
            <a:ext uri="{FF2B5EF4-FFF2-40B4-BE49-F238E27FC236}">
              <a16:creationId xmlns:a16="http://schemas.microsoft.com/office/drawing/2014/main" id="{D20F41E8-F225-4F06-BC2C-1EA1B9E5CF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44</xdr:col>
      <xdr:colOff>0</xdr:colOff>
      <xdr:row>25</xdr:row>
      <xdr:rowOff>0</xdr:rowOff>
    </xdr:from>
    <xdr:to>
      <xdr:col>50</xdr:col>
      <xdr:colOff>167532</xdr:colOff>
      <xdr:row>40</xdr:row>
      <xdr:rowOff>22500</xdr:rowOff>
    </xdr:to>
    <xdr:graphicFrame macro="">
      <xdr:nvGraphicFramePr>
        <xdr:cNvPr id="31" name="Chart 30">
          <a:extLst>
            <a:ext uri="{FF2B5EF4-FFF2-40B4-BE49-F238E27FC236}">
              <a16:creationId xmlns:a16="http://schemas.microsoft.com/office/drawing/2014/main" id="{E1E7EC11-1559-4B43-B08A-D9FC346723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39</xdr:col>
      <xdr:colOff>0</xdr:colOff>
      <xdr:row>51</xdr:row>
      <xdr:rowOff>0</xdr:rowOff>
    </xdr:from>
    <xdr:to>
      <xdr:col>43</xdr:col>
      <xdr:colOff>764544</xdr:colOff>
      <xdr:row>66</xdr:row>
      <xdr:rowOff>22500</xdr:rowOff>
    </xdr:to>
    <xdr:graphicFrame macro="">
      <xdr:nvGraphicFramePr>
        <xdr:cNvPr id="32" name="Chart 31">
          <a:extLst>
            <a:ext uri="{FF2B5EF4-FFF2-40B4-BE49-F238E27FC236}">
              <a16:creationId xmlns:a16="http://schemas.microsoft.com/office/drawing/2014/main" id="{CA631843-7062-4C26-8ADB-DD9D4254CB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125</xdr:col>
      <xdr:colOff>242145</xdr:colOff>
      <xdr:row>8</xdr:row>
      <xdr:rowOff>101882</xdr:rowOff>
    </xdr:from>
    <xdr:to>
      <xdr:col>133</xdr:col>
      <xdr:colOff>74199</xdr:colOff>
      <xdr:row>23</xdr:row>
      <xdr:rowOff>124382</xdr:rowOff>
    </xdr:to>
    <xdr:graphicFrame macro="">
      <xdr:nvGraphicFramePr>
        <xdr:cNvPr id="33" name="Chart 32">
          <a:extLst>
            <a:ext uri="{FF2B5EF4-FFF2-40B4-BE49-F238E27FC236}">
              <a16:creationId xmlns:a16="http://schemas.microsoft.com/office/drawing/2014/main" id="{5B163EC6-33FA-418A-8BD7-D6B067106F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125</xdr:col>
      <xdr:colOff>254000</xdr:colOff>
      <xdr:row>27</xdr:row>
      <xdr:rowOff>95250</xdr:rowOff>
    </xdr:from>
    <xdr:to>
      <xdr:col>133</xdr:col>
      <xdr:colOff>86054</xdr:colOff>
      <xdr:row>42</xdr:row>
      <xdr:rowOff>117750</xdr:rowOff>
    </xdr:to>
    <xdr:graphicFrame macro="">
      <xdr:nvGraphicFramePr>
        <xdr:cNvPr id="34" name="Chart 33">
          <a:extLst>
            <a:ext uri="{FF2B5EF4-FFF2-40B4-BE49-F238E27FC236}">
              <a16:creationId xmlns:a16="http://schemas.microsoft.com/office/drawing/2014/main" id="{13996ED9-23BC-47DE-BDC4-B6047E46C5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125</xdr:col>
      <xdr:colOff>190500</xdr:colOff>
      <xdr:row>45</xdr:row>
      <xdr:rowOff>179294</xdr:rowOff>
    </xdr:from>
    <xdr:to>
      <xdr:col>133</xdr:col>
      <xdr:colOff>29757</xdr:colOff>
      <xdr:row>61</xdr:row>
      <xdr:rowOff>11294</xdr:rowOff>
    </xdr:to>
    <xdr:graphicFrame macro="">
      <xdr:nvGraphicFramePr>
        <xdr:cNvPr id="35" name="Chart 34">
          <a:extLst>
            <a:ext uri="{FF2B5EF4-FFF2-40B4-BE49-F238E27FC236}">
              <a16:creationId xmlns:a16="http://schemas.microsoft.com/office/drawing/2014/main" id="{75691154-1CE6-4064-9177-CE3FE9A458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96</xdr:col>
      <xdr:colOff>360602</xdr:colOff>
      <xdr:row>66</xdr:row>
      <xdr:rowOff>120079</xdr:rowOff>
    </xdr:from>
    <xdr:to>
      <xdr:col>104</xdr:col>
      <xdr:colOff>290908</xdr:colOff>
      <xdr:row>81</xdr:row>
      <xdr:rowOff>142579</xdr:rowOff>
    </xdr:to>
    <xdr:graphicFrame macro="">
      <xdr:nvGraphicFramePr>
        <xdr:cNvPr id="36" name="Chart 35">
          <a:extLst>
            <a:ext uri="{FF2B5EF4-FFF2-40B4-BE49-F238E27FC236}">
              <a16:creationId xmlns:a16="http://schemas.microsoft.com/office/drawing/2014/main" id="{2B0420B5-0EE9-4998-A331-0199EB8264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251</xdr:col>
      <xdr:colOff>242145</xdr:colOff>
      <xdr:row>8</xdr:row>
      <xdr:rowOff>101882</xdr:rowOff>
    </xdr:from>
    <xdr:to>
      <xdr:col>259</xdr:col>
      <xdr:colOff>74199</xdr:colOff>
      <xdr:row>23</xdr:row>
      <xdr:rowOff>124382</xdr:rowOff>
    </xdr:to>
    <xdr:graphicFrame macro="">
      <xdr:nvGraphicFramePr>
        <xdr:cNvPr id="37" name="Chart 36">
          <a:extLst>
            <a:ext uri="{FF2B5EF4-FFF2-40B4-BE49-F238E27FC236}">
              <a16:creationId xmlns:a16="http://schemas.microsoft.com/office/drawing/2014/main" id="{24677749-3165-4C0A-BA86-3F7FEAB34E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251</xdr:col>
      <xdr:colOff>254000</xdr:colOff>
      <xdr:row>27</xdr:row>
      <xdr:rowOff>95250</xdr:rowOff>
    </xdr:from>
    <xdr:to>
      <xdr:col>259</xdr:col>
      <xdr:colOff>86054</xdr:colOff>
      <xdr:row>42</xdr:row>
      <xdr:rowOff>117750</xdr:rowOff>
    </xdr:to>
    <xdr:graphicFrame macro="">
      <xdr:nvGraphicFramePr>
        <xdr:cNvPr id="38" name="Chart 37">
          <a:extLst>
            <a:ext uri="{FF2B5EF4-FFF2-40B4-BE49-F238E27FC236}">
              <a16:creationId xmlns:a16="http://schemas.microsoft.com/office/drawing/2014/main" id="{B48A5CF1-05FF-4D5F-A4D6-3D208552E6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251</xdr:col>
      <xdr:colOff>190500</xdr:colOff>
      <xdr:row>45</xdr:row>
      <xdr:rowOff>179294</xdr:rowOff>
    </xdr:from>
    <xdr:to>
      <xdr:col>259</xdr:col>
      <xdr:colOff>29757</xdr:colOff>
      <xdr:row>61</xdr:row>
      <xdr:rowOff>11294</xdr:rowOff>
    </xdr:to>
    <xdr:graphicFrame macro="">
      <xdr:nvGraphicFramePr>
        <xdr:cNvPr id="39" name="Chart 38">
          <a:extLst>
            <a:ext uri="{FF2B5EF4-FFF2-40B4-BE49-F238E27FC236}">
              <a16:creationId xmlns:a16="http://schemas.microsoft.com/office/drawing/2014/main" id="{EF525186-4F5F-4FEE-A9FA-666B6C00C2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244</xdr:col>
      <xdr:colOff>86592</xdr:colOff>
      <xdr:row>66</xdr:row>
      <xdr:rowOff>17318</xdr:rowOff>
    </xdr:from>
    <xdr:to>
      <xdr:col>253</xdr:col>
      <xdr:colOff>218833</xdr:colOff>
      <xdr:row>81</xdr:row>
      <xdr:rowOff>39818</xdr:rowOff>
    </xdr:to>
    <xdr:graphicFrame macro="">
      <xdr:nvGraphicFramePr>
        <xdr:cNvPr id="40" name="Chart 39">
          <a:extLst>
            <a:ext uri="{FF2B5EF4-FFF2-40B4-BE49-F238E27FC236}">
              <a16:creationId xmlns:a16="http://schemas.microsoft.com/office/drawing/2014/main" id="{98486175-CBA0-4FE2-A72A-FEDD1745BF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198</xdr:col>
      <xdr:colOff>129280</xdr:colOff>
      <xdr:row>66</xdr:row>
      <xdr:rowOff>106472</xdr:rowOff>
    </xdr:from>
    <xdr:to>
      <xdr:col>206</xdr:col>
      <xdr:colOff>59586</xdr:colOff>
      <xdr:row>81</xdr:row>
      <xdr:rowOff>128972</xdr:rowOff>
    </xdr:to>
    <xdr:graphicFrame macro="">
      <xdr:nvGraphicFramePr>
        <xdr:cNvPr id="48" name="Chart 47">
          <a:extLst>
            <a:ext uri="{FF2B5EF4-FFF2-40B4-BE49-F238E27FC236}">
              <a16:creationId xmlns:a16="http://schemas.microsoft.com/office/drawing/2014/main" id="{E98D3C93-EA98-4C79-92D8-E937540188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114</xdr:col>
      <xdr:colOff>360602</xdr:colOff>
      <xdr:row>66</xdr:row>
      <xdr:rowOff>120079</xdr:rowOff>
    </xdr:from>
    <xdr:to>
      <xdr:col>122</xdr:col>
      <xdr:colOff>290908</xdr:colOff>
      <xdr:row>81</xdr:row>
      <xdr:rowOff>142579</xdr:rowOff>
    </xdr:to>
    <xdr:graphicFrame macro="">
      <xdr:nvGraphicFramePr>
        <xdr:cNvPr id="41" name="Chart 40">
          <a:extLst>
            <a:ext uri="{FF2B5EF4-FFF2-40B4-BE49-F238E27FC236}">
              <a16:creationId xmlns:a16="http://schemas.microsoft.com/office/drawing/2014/main" id="{E285343B-EF69-4A6C-A470-6B3B1115DE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154</xdr:col>
      <xdr:colOff>242145</xdr:colOff>
      <xdr:row>8</xdr:row>
      <xdr:rowOff>101882</xdr:rowOff>
    </xdr:from>
    <xdr:to>
      <xdr:col>162</xdr:col>
      <xdr:colOff>74199</xdr:colOff>
      <xdr:row>23</xdr:row>
      <xdr:rowOff>124382</xdr:rowOff>
    </xdr:to>
    <xdr:graphicFrame macro="">
      <xdr:nvGraphicFramePr>
        <xdr:cNvPr id="43" name="Chart 42">
          <a:extLst>
            <a:ext uri="{FF2B5EF4-FFF2-40B4-BE49-F238E27FC236}">
              <a16:creationId xmlns:a16="http://schemas.microsoft.com/office/drawing/2014/main" id="{E4704A71-C4CD-447D-9D2C-D24D94FAF3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154</xdr:col>
      <xdr:colOff>254000</xdr:colOff>
      <xdr:row>27</xdr:row>
      <xdr:rowOff>95250</xdr:rowOff>
    </xdr:from>
    <xdr:to>
      <xdr:col>162</xdr:col>
      <xdr:colOff>86054</xdr:colOff>
      <xdr:row>42</xdr:row>
      <xdr:rowOff>117750</xdr:rowOff>
    </xdr:to>
    <xdr:graphicFrame macro="">
      <xdr:nvGraphicFramePr>
        <xdr:cNvPr id="44" name="Chart 43">
          <a:extLst>
            <a:ext uri="{FF2B5EF4-FFF2-40B4-BE49-F238E27FC236}">
              <a16:creationId xmlns:a16="http://schemas.microsoft.com/office/drawing/2014/main" id="{E6CC5A47-A697-46D3-AF8B-826E740CED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xdr:from>
      <xdr:col>154</xdr:col>
      <xdr:colOff>190500</xdr:colOff>
      <xdr:row>45</xdr:row>
      <xdr:rowOff>179294</xdr:rowOff>
    </xdr:from>
    <xdr:to>
      <xdr:col>162</xdr:col>
      <xdr:colOff>29757</xdr:colOff>
      <xdr:row>61</xdr:row>
      <xdr:rowOff>11294</xdr:rowOff>
    </xdr:to>
    <xdr:graphicFrame macro="">
      <xdr:nvGraphicFramePr>
        <xdr:cNvPr id="45" name="Chart 44">
          <a:extLst>
            <a:ext uri="{FF2B5EF4-FFF2-40B4-BE49-F238E27FC236}">
              <a16:creationId xmlns:a16="http://schemas.microsoft.com/office/drawing/2014/main" id="{FC91CF77-71AE-4636-B7F3-3E446E7C8C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twoCellAnchor>
    <xdr:from>
      <xdr:col>143</xdr:col>
      <xdr:colOff>360602</xdr:colOff>
      <xdr:row>66</xdr:row>
      <xdr:rowOff>120079</xdr:rowOff>
    </xdr:from>
    <xdr:to>
      <xdr:col>151</xdr:col>
      <xdr:colOff>290908</xdr:colOff>
      <xdr:row>81</xdr:row>
      <xdr:rowOff>142579</xdr:rowOff>
    </xdr:to>
    <xdr:graphicFrame macro="">
      <xdr:nvGraphicFramePr>
        <xdr:cNvPr id="46" name="Chart 45">
          <a:extLst>
            <a:ext uri="{FF2B5EF4-FFF2-40B4-BE49-F238E27FC236}">
              <a16:creationId xmlns:a16="http://schemas.microsoft.com/office/drawing/2014/main" id="{81406448-AD69-439A-B3C4-E19284482D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xdr:twoCellAnchor>
  <xdr:twoCellAnchor>
    <xdr:from>
      <xdr:col>216</xdr:col>
      <xdr:colOff>228120</xdr:colOff>
      <xdr:row>60</xdr:row>
      <xdr:rowOff>28815</xdr:rowOff>
    </xdr:from>
    <xdr:to>
      <xdr:col>224</xdr:col>
      <xdr:colOff>158426</xdr:colOff>
      <xdr:row>75</xdr:row>
      <xdr:rowOff>51315</xdr:rowOff>
    </xdr:to>
    <xdr:graphicFrame macro="">
      <xdr:nvGraphicFramePr>
        <xdr:cNvPr id="51" name="Chart 50">
          <a:extLst>
            <a:ext uri="{FF2B5EF4-FFF2-40B4-BE49-F238E27FC236}">
              <a16:creationId xmlns:a16="http://schemas.microsoft.com/office/drawing/2014/main" id="{75E70B3F-679C-4706-90F6-653F9B284D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4"/>
        </a:graphicData>
      </a:graphic>
    </xdr:graphicFrame>
    <xdr:clientData/>
  </xdr:twoCellAnchor>
  <xdr:twoCellAnchor>
    <xdr:from>
      <xdr:col>172</xdr:col>
      <xdr:colOff>0</xdr:colOff>
      <xdr:row>67</xdr:row>
      <xdr:rowOff>0</xdr:rowOff>
    </xdr:from>
    <xdr:to>
      <xdr:col>179</xdr:col>
      <xdr:colOff>580248</xdr:colOff>
      <xdr:row>82</xdr:row>
      <xdr:rowOff>22500</xdr:rowOff>
    </xdr:to>
    <xdr:graphicFrame macro="">
      <xdr:nvGraphicFramePr>
        <xdr:cNvPr id="52" name="Chart 51">
          <a:extLst>
            <a:ext uri="{FF2B5EF4-FFF2-40B4-BE49-F238E27FC236}">
              <a16:creationId xmlns:a16="http://schemas.microsoft.com/office/drawing/2014/main" id="{02C92D69-771B-4B07-9060-0A895105EA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5"/>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0.77553</cdr:x>
      <cdr:y>0.31722</cdr:y>
    </cdr:from>
    <cdr:to>
      <cdr:x>0.9685</cdr:x>
      <cdr:y>0.42286</cdr:y>
    </cdr:to>
    <cdr:sp macro="" textlink="">
      <cdr:nvSpPr>
        <cdr:cNvPr id="2" name="Rectangle 1">
          <a:extLst xmlns:a="http://schemas.openxmlformats.org/drawingml/2006/main">
            <a:ext uri="{FF2B5EF4-FFF2-40B4-BE49-F238E27FC236}">
              <a16:creationId xmlns:a16="http://schemas.microsoft.com/office/drawing/2014/main" id="{89661846-B34E-451A-8E66-A9DE4772F66A}"/>
            </a:ext>
          </a:extLst>
        </cdr:cNvPr>
        <cdr:cNvSpPr/>
      </cdr:nvSpPr>
      <cdr:spPr>
        <a:xfrm xmlns:a="http://schemas.openxmlformats.org/drawingml/2006/main">
          <a:off x="3759948" y="902446"/>
          <a:ext cx="935602" cy="300527"/>
        </a:xfrm>
        <a:prstGeom xmlns:a="http://schemas.openxmlformats.org/drawingml/2006/main" prst="rect">
          <a:avLst/>
        </a:prstGeom>
        <a:solidFill xmlns:a="http://schemas.openxmlformats.org/drawingml/2006/main">
          <a:schemeClr val="bg1"/>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r>
            <a:rPr lang="en-AU" sz="800" i="1">
              <a:solidFill>
                <a:sysClr val="windowText" lastClr="000000"/>
              </a:solidFill>
            </a:rPr>
            <a:t>A$1.14bn, 17.6% probability</a:t>
          </a:r>
        </a:p>
      </cdr:txBody>
    </cdr:sp>
  </cdr:relSizeAnchor>
  <cdr:relSizeAnchor xmlns:cdr="http://schemas.openxmlformats.org/drawingml/2006/chartDrawing">
    <cdr:from>
      <cdr:x>0.65996</cdr:x>
      <cdr:y>0.02574</cdr:y>
    </cdr:from>
    <cdr:to>
      <cdr:x>0.85294</cdr:x>
      <cdr:y>0.13138</cdr:y>
    </cdr:to>
    <cdr:sp macro="" textlink="">
      <cdr:nvSpPr>
        <cdr:cNvPr id="3" name="Rectangle 2">
          <a:extLst xmlns:a="http://schemas.openxmlformats.org/drawingml/2006/main">
            <a:ext uri="{FF2B5EF4-FFF2-40B4-BE49-F238E27FC236}">
              <a16:creationId xmlns:a16="http://schemas.microsoft.com/office/drawing/2014/main" id="{1379BD4A-1247-4630-A34C-4FE8B63A3433}"/>
            </a:ext>
          </a:extLst>
        </cdr:cNvPr>
        <cdr:cNvSpPr/>
      </cdr:nvSpPr>
      <cdr:spPr>
        <a:xfrm xmlns:a="http://schemas.openxmlformats.org/drawingml/2006/main">
          <a:off x="3199654" y="73213"/>
          <a:ext cx="935602" cy="300527"/>
        </a:xfrm>
        <a:prstGeom xmlns:a="http://schemas.openxmlformats.org/drawingml/2006/main" prst="rect">
          <a:avLst/>
        </a:prstGeom>
        <a:solidFill xmlns:a="http://schemas.openxmlformats.org/drawingml/2006/main">
          <a:schemeClr val="bg1"/>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r>
            <a:rPr lang="en-AU" sz="800" i="1">
              <a:solidFill>
                <a:sysClr val="windowText" lastClr="000000"/>
              </a:solidFill>
            </a:rPr>
            <a:t>A$1.16bn, 82.4% probability</a:t>
          </a:r>
        </a:p>
      </cdr:txBody>
    </cdr:sp>
  </cdr:relSizeAnchor>
</c:userShapes>
</file>

<file path=xl/drawings/drawing7.xml><?xml version="1.0" encoding="utf-8"?>
<xdr:wsDr xmlns:xdr="http://schemas.openxmlformats.org/drawingml/2006/spreadsheetDrawing" xmlns:a="http://schemas.openxmlformats.org/drawingml/2006/main">
  <xdr:twoCellAnchor>
    <xdr:from>
      <xdr:col>107</xdr:col>
      <xdr:colOff>133350</xdr:colOff>
      <xdr:row>5</xdr:row>
      <xdr:rowOff>104774</xdr:rowOff>
    </xdr:from>
    <xdr:to>
      <xdr:col>107</xdr:col>
      <xdr:colOff>4813350</xdr:colOff>
      <xdr:row>20</xdr:row>
      <xdr:rowOff>127274</xdr:rowOff>
    </xdr:to>
    <xdr:graphicFrame macro="">
      <xdr:nvGraphicFramePr>
        <xdr:cNvPr id="2" name="Chart 1">
          <a:extLst>
            <a:ext uri="{FF2B5EF4-FFF2-40B4-BE49-F238E27FC236}">
              <a16:creationId xmlns:a16="http://schemas.microsoft.com/office/drawing/2014/main" id="{9B6BCCC1-793A-4FC4-840C-27F6361601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107</xdr:col>
      <xdr:colOff>166688</xdr:colOff>
      <xdr:row>25</xdr:row>
      <xdr:rowOff>47625</xdr:rowOff>
    </xdr:from>
    <xdr:to>
      <xdr:col>107</xdr:col>
      <xdr:colOff>4846688</xdr:colOff>
      <xdr:row>40</xdr:row>
      <xdr:rowOff>70125</xdr:rowOff>
    </xdr:to>
    <xdr:graphicFrame macro="">
      <xdr:nvGraphicFramePr>
        <xdr:cNvPr id="3" name="Chart 2">
          <a:extLst>
            <a:ext uri="{FF2B5EF4-FFF2-40B4-BE49-F238E27FC236}">
              <a16:creationId xmlns:a16="http://schemas.microsoft.com/office/drawing/2014/main" id="{FA9BB0C4-6394-4EFE-A015-A38C858E94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107</xdr:col>
      <xdr:colOff>119063</xdr:colOff>
      <xdr:row>44</xdr:row>
      <xdr:rowOff>11906</xdr:rowOff>
    </xdr:from>
    <xdr:to>
      <xdr:col>107</xdr:col>
      <xdr:colOff>4799063</xdr:colOff>
      <xdr:row>59</xdr:row>
      <xdr:rowOff>34406</xdr:rowOff>
    </xdr:to>
    <xdr:graphicFrame macro="">
      <xdr:nvGraphicFramePr>
        <xdr:cNvPr id="4" name="Chart 3">
          <a:extLst>
            <a:ext uri="{FF2B5EF4-FFF2-40B4-BE49-F238E27FC236}">
              <a16:creationId xmlns:a16="http://schemas.microsoft.com/office/drawing/2014/main" id="{7E3D3CCF-5FC4-4475-B802-2A76B96338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107</xdr:col>
      <xdr:colOff>261937</xdr:colOff>
      <xdr:row>63</xdr:row>
      <xdr:rowOff>47625</xdr:rowOff>
    </xdr:from>
    <xdr:to>
      <xdr:col>107</xdr:col>
      <xdr:colOff>4941937</xdr:colOff>
      <xdr:row>78</xdr:row>
      <xdr:rowOff>70125</xdr:rowOff>
    </xdr:to>
    <xdr:graphicFrame macro="">
      <xdr:nvGraphicFramePr>
        <xdr:cNvPr id="5" name="Chart 4">
          <a:extLst>
            <a:ext uri="{FF2B5EF4-FFF2-40B4-BE49-F238E27FC236}">
              <a16:creationId xmlns:a16="http://schemas.microsoft.com/office/drawing/2014/main" id="{5335D2C6-4E0A-47B7-9615-438FC9939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107</xdr:col>
      <xdr:colOff>261937</xdr:colOff>
      <xdr:row>82</xdr:row>
      <xdr:rowOff>47625</xdr:rowOff>
    </xdr:from>
    <xdr:to>
      <xdr:col>107</xdr:col>
      <xdr:colOff>4941937</xdr:colOff>
      <xdr:row>97</xdr:row>
      <xdr:rowOff>70125</xdr:rowOff>
    </xdr:to>
    <xdr:graphicFrame macro="">
      <xdr:nvGraphicFramePr>
        <xdr:cNvPr id="6" name="Chart 5">
          <a:extLst>
            <a:ext uri="{FF2B5EF4-FFF2-40B4-BE49-F238E27FC236}">
              <a16:creationId xmlns:a16="http://schemas.microsoft.com/office/drawing/2014/main" id="{ADD4C231-52B8-433C-A1FD-13DDC32D24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107</xdr:col>
      <xdr:colOff>261937</xdr:colOff>
      <xdr:row>120</xdr:row>
      <xdr:rowOff>47625</xdr:rowOff>
    </xdr:from>
    <xdr:to>
      <xdr:col>107</xdr:col>
      <xdr:colOff>4941937</xdr:colOff>
      <xdr:row>135</xdr:row>
      <xdr:rowOff>70125</xdr:rowOff>
    </xdr:to>
    <xdr:graphicFrame macro="">
      <xdr:nvGraphicFramePr>
        <xdr:cNvPr id="7" name="Chart 6">
          <a:extLst>
            <a:ext uri="{FF2B5EF4-FFF2-40B4-BE49-F238E27FC236}">
              <a16:creationId xmlns:a16="http://schemas.microsoft.com/office/drawing/2014/main" id="{12CBBC9D-2559-46E4-A423-41181D2312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75</xdr:col>
      <xdr:colOff>133350</xdr:colOff>
      <xdr:row>5</xdr:row>
      <xdr:rowOff>104774</xdr:rowOff>
    </xdr:from>
    <xdr:to>
      <xdr:col>75</xdr:col>
      <xdr:colOff>4813350</xdr:colOff>
      <xdr:row>20</xdr:row>
      <xdr:rowOff>127274</xdr:rowOff>
    </xdr:to>
    <xdr:graphicFrame macro="">
      <xdr:nvGraphicFramePr>
        <xdr:cNvPr id="8" name="Chart 7">
          <a:extLst>
            <a:ext uri="{FF2B5EF4-FFF2-40B4-BE49-F238E27FC236}">
              <a16:creationId xmlns:a16="http://schemas.microsoft.com/office/drawing/2014/main" id="{D9D8192A-5E52-4D83-AD66-D78DBEF21A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91</xdr:col>
      <xdr:colOff>133350</xdr:colOff>
      <xdr:row>5</xdr:row>
      <xdr:rowOff>104774</xdr:rowOff>
    </xdr:from>
    <xdr:to>
      <xdr:col>91</xdr:col>
      <xdr:colOff>4813350</xdr:colOff>
      <xdr:row>20</xdr:row>
      <xdr:rowOff>127274</xdr:rowOff>
    </xdr:to>
    <xdr:graphicFrame macro="">
      <xdr:nvGraphicFramePr>
        <xdr:cNvPr id="9" name="Chart 8">
          <a:extLst>
            <a:ext uri="{FF2B5EF4-FFF2-40B4-BE49-F238E27FC236}">
              <a16:creationId xmlns:a16="http://schemas.microsoft.com/office/drawing/2014/main" id="{8EE3EDC5-BC34-4402-934A-2527C8A46E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91</xdr:col>
      <xdr:colOff>107156</xdr:colOff>
      <xdr:row>25</xdr:row>
      <xdr:rowOff>71438</xdr:rowOff>
    </xdr:from>
    <xdr:to>
      <xdr:col>91</xdr:col>
      <xdr:colOff>4787156</xdr:colOff>
      <xdr:row>40</xdr:row>
      <xdr:rowOff>93938</xdr:rowOff>
    </xdr:to>
    <xdr:graphicFrame macro="">
      <xdr:nvGraphicFramePr>
        <xdr:cNvPr id="10" name="Chart 9">
          <a:extLst>
            <a:ext uri="{FF2B5EF4-FFF2-40B4-BE49-F238E27FC236}">
              <a16:creationId xmlns:a16="http://schemas.microsoft.com/office/drawing/2014/main" id="{C9A8D9E6-7967-4DB5-9A59-F449014D53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126</xdr:col>
      <xdr:colOff>133350</xdr:colOff>
      <xdr:row>5</xdr:row>
      <xdr:rowOff>104774</xdr:rowOff>
    </xdr:from>
    <xdr:to>
      <xdr:col>126</xdr:col>
      <xdr:colOff>4813350</xdr:colOff>
      <xdr:row>20</xdr:row>
      <xdr:rowOff>127274</xdr:rowOff>
    </xdr:to>
    <xdr:graphicFrame macro="">
      <xdr:nvGraphicFramePr>
        <xdr:cNvPr id="11" name="Chart 10">
          <a:extLst>
            <a:ext uri="{FF2B5EF4-FFF2-40B4-BE49-F238E27FC236}">
              <a16:creationId xmlns:a16="http://schemas.microsoft.com/office/drawing/2014/main" id="{6E43E38A-5720-4ADE-B331-F417438F2A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75</xdr:col>
      <xdr:colOff>226219</xdr:colOff>
      <xdr:row>25</xdr:row>
      <xdr:rowOff>11906</xdr:rowOff>
    </xdr:from>
    <xdr:to>
      <xdr:col>75</xdr:col>
      <xdr:colOff>4906219</xdr:colOff>
      <xdr:row>40</xdr:row>
      <xdr:rowOff>34406</xdr:rowOff>
    </xdr:to>
    <xdr:graphicFrame macro="">
      <xdr:nvGraphicFramePr>
        <xdr:cNvPr id="12" name="Chart 11">
          <a:extLst>
            <a:ext uri="{FF2B5EF4-FFF2-40B4-BE49-F238E27FC236}">
              <a16:creationId xmlns:a16="http://schemas.microsoft.com/office/drawing/2014/main" id="{5F850446-4230-4769-8688-B4C9CBA5A0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126</xdr:col>
      <xdr:colOff>133350</xdr:colOff>
      <xdr:row>24</xdr:row>
      <xdr:rowOff>104774</xdr:rowOff>
    </xdr:from>
    <xdr:to>
      <xdr:col>126</xdr:col>
      <xdr:colOff>4813350</xdr:colOff>
      <xdr:row>39</xdr:row>
      <xdr:rowOff>127274</xdr:rowOff>
    </xdr:to>
    <xdr:graphicFrame macro="">
      <xdr:nvGraphicFramePr>
        <xdr:cNvPr id="13" name="Chart 12">
          <a:extLst>
            <a:ext uri="{FF2B5EF4-FFF2-40B4-BE49-F238E27FC236}">
              <a16:creationId xmlns:a16="http://schemas.microsoft.com/office/drawing/2014/main" id="{FEFD951E-22AC-4D9E-93ED-3E23D5C4ED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126</xdr:col>
      <xdr:colOff>133350</xdr:colOff>
      <xdr:row>43</xdr:row>
      <xdr:rowOff>104774</xdr:rowOff>
    </xdr:from>
    <xdr:to>
      <xdr:col>126</xdr:col>
      <xdr:colOff>4813350</xdr:colOff>
      <xdr:row>58</xdr:row>
      <xdr:rowOff>127274</xdr:rowOff>
    </xdr:to>
    <xdr:graphicFrame macro="">
      <xdr:nvGraphicFramePr>
        <xdr:cNvPr id="14" name="Chart 13">
          <a:extLst>
            <a:ext uri="{FF2B5EF4-FFF2-40B4-BE49-F238E27FC236}">
              <a16:creationId xmlns:a16="http://schemas.microsoft.com/office/drawing/2014/main" id="{17B279D3-44E4-4D0B-8A2D-0C4AF2BCDE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126</xdr:col>
      <xdr:colOff>133350</xdr:colOff>
      <xdr:row>62</xdr:row>
      <xdr:rowOff>104774</xdr:rowOff>
    </xdr:from>
    <xdr:to>
      <xdr:col>126</xdr:col>
      <xdr:colOff>4813350</xdr:colOff>
      <xdr:row>77</xdr:row>
      <xdr:rowOff>127274</xdr:rowOff>
    </xdr:to>
    <xdr:graphicFrame macro="">
      <xdr:nvGraphicFramePr>
        <xdr:cNvPr id="15" name="Chart 14">
          <a:extLst>
            <a:ext uri="{FF2B5EF4-FFF2-40B4-BE49-F238E27FC236}">
              <a16:creationId xmlns:a16="http://schemas.microsoft.com/office/drawing/2014/main" id="{EC459D41-A7B2-4DE3-A1F9-1E9A239B58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126</xdr:col>
      <xdr:colOff>133350</xdr:colOff>
      <xdr:row>81</xdr:row>
      <xdr:rowOff>104774</xdr:rowOff>
    </xdr:from>
    <xdr:to>
      <xdr:col>126</xdr:col>
      <xdr:colOff>4813350</xdr:colOff>
      <xdr:row>96</xdr:row>
      <xdr:rowOff>127274</xdr:rowOff>
    </xdr:to>
    <xdr:graphicFrame macro="">
      <xdr:nvGraphicFramePr>
        <xdr:cNvPr id="16" name="Chart 15">
          <a:extLst>
            <a:ext uri="{FF2B5EF4-FFF2-40B4-BE49-F238E27FC236}">
              <a16:creationId xmlns:a16="http://schemas.microsoft.com/office/drawing/2014/main" id="{DDDA8976-7E8D-4931-8E2E-C12F52FDCA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126</xdr:col>
      <xdr:colOff>133350</xdr:colOff>
      <xdr:row>100</xdr:row>
      <xdr:rowOff>104774</xdr:rowOff>
    </xdr:from>
    <xdr:to>
      <xdr:col>126</xdr:col>
      <xdr:colOff>4813350</xdr:colOff>
      <xdr:row>115</xdr:row>
      <xdr:rowOff>127274</xdr:rowOff>
    </xdr:to>
    <xdr:graphicFrame macro="">
      <xdr:nvGraphicFramePr>
        <xdr:cNvPr id="17" name="Chart 16">
          <a:extLst>
            <a:ext uri="{FF2B5EF4-FFF2-40B4-BE49-F238E27FC236}">
              <a16:creationId xmlns:a16="http://schemas.microsoft.com/office/drawing/2014/main" id="{A8472954-C93D-48CE-A0A5-99E9D5A626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126</xdr:col>
      <xdr:colOff>133350</xdr:colOff>
      <xdr:row>119</xdr:row>
      <xdr:rowOff>104774</xdr:rowOff>
    </xdr:from>
    <xdr:to>
      <xdr:col>126</xdr:col>
      <xdr:colOff>4813350</xdr:colOff>
      <xdr:row>134</xdr:row>
      <xdr:rowOff>127274</xdr:rowOff>
    </xdr:to>
    <xdr:graphicFrame macro="">
      <xdr:nvGraphicFramePr>
        <xdr:cNvPr id="18" name="Chart 17">
          <a:extLst>
            <a:ext uri="{FF2B5EF4-FFF2-40B4-BE49-F238E27FC236}">
              <a16:creationId xmlns:a16="http://schemas.microsoft.com/office/drawing/2014/main" id="{BCB7CB78-5F99-4588-9006-F4049CDED6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126</xdr:col>
      <xdr:colOff>133350</xdr:colOff>
      <xdr:row>138</xdr:row>
      <xdr:rowOff>104774</xdr:rowOff>
    </xdr:from>
    <xdr:to>
      <xdr:col>126</xdr:col>
      <xdr:colOff>4813350</xdr:colOff>
      <xdr:row>153</xdr:row>
      <xdr:rowOff>127274</xdr:rowOff>
    </xdr:to>
    <xdr:graphicFrame macro="">
      <xdr:nvGraphicFramePr>
        <xdr:cNvPr id="19" name="Chart 18">
          <a:extLst>
            <a:ext uri="{FF2B5EF4-FFF2-40B4-BE49-F238E27FC236}">
              <a16:creationId xmlns:a16="http://schemas.microsoft.com/office/drawing/2014/main" id="{D276E465-0673-4A5A-A3AC-3BA8FFC336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126</xdr:col>
      <xdr:colOff>133350</xdr:colOff>
      <xdr:row>157</xdr:row>
      <xdr:rowOff>104774</xdr:rowOff>
    </xdr:from>
    <xdr:to>
      <xdr:col>126</xdr:col>
      <xdr:colOff>4813350</xdr:colOff>
      <xdr:row>172</xdr:row>
      <xdr:rowOff>127274</xdr:rowOff>
    </xdr:to>
    <xdr:graphicFrame macro="">
      <xdr:nvGraphicFramePr>
        <xdr:cNvPr id="20" name="Chart 19">
          <a:extLst>
            <a:ext uri="{FF2B5EF4-FFF2-40B4-BE49-F238E27FC236}">
              <a16:creationId xmlns:a16="http://schemas.microsoft.com/office/drawing/2014/main" id="{C8EBD80C-ECE0-4EEE-BDA2-15B3FE7AEF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126</xdr:col>
      <xdr:colOff>133350</xdr:colOff>
      <xdr:row>176</xdr:row>
      <xdr:rowOff>104774</xdr:rowOff>
    </xdr:from>
    <xdr:to>
      <xdr:col>126</xdr:col>
      <xdr:colOff>4813350</xdr:colOff>
      <xdr:row>191</xdr:row>
      <xdr:rowOff>127274</xdr:rowOff>
    </xdr:to>
    <xdr:graphicFrame macro="">
      <xdr:nvGraphicFramePr>
        <xdr:cNvPr id="21" name="Chart 20">
          <a:extLst>
            <a:ext uri="{FF2B5EF4-FFF2-40B4-BE49-F238E27FC236}">
              <a16:creationId xmlns:a16="http://schemas.microsoft.com/office/drawing/2014/main" id="{7F579A4E-F619-4DEB-BF83-B8660F00F3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126</xdr:col>
      <xdr:colOff>164508</xdr:colOff>
      <xdr:row>197</xdr:row>
      <xdr:rowOff>31440</xdr:rowOff>
    </xdr:from>
    <xdr:to>
      <xdr:col>126</xdr:col>
      <xdr:colOff>4843262</xdr:colOff>
      <xdr:row>212</xdr:row>
      <xdr:rowOff>53940</xdr:rowOff>
    </xdr:to>
    <xdr:graphicFrame macro="">
      <xdr:nvGraphicFramePr>
        <xdr:cNvPr id="22" name="Chart 21">
          <a:extLst>
            <a:ext uri="{FF2B5EF4-FFF2-40B4-BE49-F238E27FC236}">
              <a16:creationId xmlns:a16="http://schemas.microsoft.com/office/drawing/2014/main" id="{54B4A313-B430-483A-888C-ED65568968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126</xdr:col>
      <xdr:colOff>214312</xdr:colOff>
      <xdr:row>215</xdr:row>
      <xdr:rowOff>47626</xdr:rowOff>
    </xdr:from>
    <xdr:to>
      <xdr:col>126</xdr:col>
      <xdr:colOff>4894312</xdr:colOff>
      <xdr:row>230</xdr:row>
      <xdr:rowOff>70126</xdr:rowOff>
    </xdr:to>
    <xdr:graphicFrame macro="">
      <xdr:nvGraphicFramePr>
        <xdr:cNvPr id="23" name="Chart 22">
          <a:extLst>
            <a:ext uri="{FF2B5EF4-FFF2-40B4-BE49-F238E27FC236}">
              <a16:creationId xmlns:a16="http://schemas.microsoft.com/office/drawing/2014/main" id="{6A5B0286-8C45-4D6F-B8B2-A04CDAE4F5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145</xdr:col>
      <xdr:colOff>133350</xdr:colOff>
      <xdr:row>5</xdr:row>
      <xdr:rowOff>104774</xdr:rowOff>
    </xdr:from>
    <xdr:to>
      <xdr:col>145</xdr:col>
      <xdr:colOff>4813350</xdr:colOff>
      <xdr:row>20</xdr:row>
      <xdr:rowOff>127274</xdr:rowOff>
    </xdr:to>
    <xdr:graphicFrame macro="">
      <xdr:nvGraphicFramePr>
        <xdr:cNvPr id="24" name="Chart 23">
          <a:extLst>
            <a:ext uri="{FF2B5EF4-FFF2-40B4-BE49-F238E27FC236}">
              <a16:creationId xmlns:a16="http://schemas.microsoft.com/office/drawing/2014/main" id="{3F3E90D4-90A3-420D-8ED8-4319658D42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145</xdr:col>
      <xdr:colOff>133350</xdr:colOff>
      <xdr:row>24</xdr:row>
      <xdr:rowOff>104774</xdr:rowOff>
    </xdr:from>
    <xdr:to>
      <xdr:col>145</xdr:col>
      <xdr:colOff>4813350</xdr:colOff>
      <xdr:row>39</xdr:row>
      <xdr:rowOff>127274</xdr:rowOff>
    </xdr:to>
    <xdr:graphicFrame macro="">
      <xdr:nvGraphicFramePr>
        <xdr:cNvPr id="25" name="Chart 24">
          <a:extLst>
            <a:ext uri="{FF2B5EF4-FFF2-40B4-BE49-F238E27FC236}">
              <a16:creationId xmlns:a16="http://schemas.microsoft.com/office/drawing/2014/main" id="{25AF1BE1-B2A1-41EB-A0D3-FFAFACDC3B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145</xdr:col>
      <xdr:colOff>95250</xdr:colOff>
      <xdr:row>44</xdr:row>
      <xdr:rowOff>95250</xdr:rowOff>
    </xdr:from>
    <xdr:to>
      <xdr:col>145</xdr:col>
      <xdr:colOff>4775250</xdr:colOff>
      <xdr:row>59</xdr:row>
      <xdr:rowOff>117750</xdr:rowOff>
    </xdr:to>
    <xdr:graphicFrame macro="">
      <xdr:nvGraphicFramePr>
        <xdr:cNvPr id="26" name="Chart 25">
          <a:extLst>
            <a:ext uri="{FF2B5EF4-FFF2-40B4-BE49-F238E27FC236}">
              <a16:creationId xmlns:a16="http://schemas.microsoft.com/office/drawing/2014/main" id="{1AA40DE5-E49C-48F1-A819-82CBE5C7FA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75</xdr:col>
      <xdr:colOff>226219</xdr:colOff>
      <xdr:row>45</xdr:row>
      <xdr:rowOff>11906</xdr:rowOff>
    </xdr:from>
    <xdr:to>
      <xdr:col>75</xdr:col>
      <xdr:colOff>4906219</xdr:colOff>
      <xdr:row>60</xdr:row>
      <xdr:rowOff>34406</xdr:rowOff>
    </xdr:to>
    <xdr:graphicFrame macro="">
      <xdr:nvGraphicFramePr>
        <xdr:cNvPr id="27" name="Chart 26">
          <a:extLst>
            <a:ext uri="{FF2B5EF4-FFF2-40B4-BE49-F238E27FC236}">
              <a16:creationId xmlns:a16="http://schemas.microsoft.com/office/drawing/2014/main" id="{BBB9AC5D-6022-4605-9F37-A0CD96C0AA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56</xdr:col>
      <xdr:colOff>133350</xdr:colOff>
      <xdr:row>24</xdr:row>
      <xdr:rowOff>104774</xdr:rowOff>
    </xdr:from>
    <xdr:to>
      <xdr:col>56</xdr:col>
      <xdr:colOff>4813350</xdr:colOff>
      <xdr:row>39</xdr:row>
      <xdr:rowOff>127274</xdr:rowOff>
    </xdr:to>
    <xdr:graphicFrame macro="">
      <xdr:nvGraphicFramePr>
        <xdr:cNvPr id="28" name="Chart 27">
          <a:extLst>
            <a:ext uri="{FF2B5EF4-FFF2-40B4-BE49-F238E27FC236}">
              <a16:creationId xmlns:a16="http://schemas.microsoft.com/office/drawing/2014/main" id="{AFBE23B6-404D-4D33-88FC-864909E4CC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56</xdr:col>
      <xdr:colOff>165101</xdr:colOff>
      <xdr:row>45</xdr:row>
      <xdr:rowOff>20108</xdr:rowOff>
    </xdr:from>
    <xdr:to>
      <xdr:col>56</xdr:col>
      <xdr:colOff>4845101</xdr:colOff>
      <xdr:row>60</xdr:row>
      <xdr:rowOff>42608</xdr:rowOff>
    </xdr:to>
    <xdr:graphicFrame macro="">
      <xdr:nvGraphicFramePr>
        <xdr:cNvPr id="29" name="Chart 28">
          <a:extLst>
            <a:ext uri="{FF2B5EF4-FFF2-40B4-BE49-F238E27FC236}">
              <a16:creationId xmlns:a16="http://schemas.microsoft.com/office/drawing/2014/main" id="{EE23A914-B57E-4AE9-B49B-A4ABA5BFD9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56</xdr:col>
      <xdr:colOff>169333</xdr:colOff>
      <xdr:row>63</xdr:row>
      <xdr:rowOff>148167</xdr:rowOff>
    </xdr:from>
    <xdr:to>
      <xdr:col>56</xdr:col>
      <xdr:colOff>4849333</xdr:colOff>
      <xdr:row>78</xdr:row>
      <xdr:rowOff>170667</xdr:rowOff>
    </xdr:to>
    <xdr:graphicFrame macro="">
      <xdr:nvGraphicFramePr>
        <xdr:cNvPr id="30" name="Chart 29">
          <a:extLst>
            <a:ext uri="{FF2B5EF4-FFF2-40B4-BE49-F238E27FC236}">
              <a16:creationId xmlns:a16="http://schemas.microsoft.com/office/drawing/2014/main" id="{482EA6E3-CA2E-443D-935B-60E8A28755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56</xdr:col>
      <xdr:colOff>169333</xdr:colOff>
      <xdr:row>5</xdr:row>
      <xdr:rowOff>148167</xdr:rowOff>
    </xdr:from>
    <xdr:to>
      <xdr:col>56</xdr:col>
      <xdr:colOff>4849333</xdr:colOff>
      <xdr:row>20</xdr:row>
      <xdr:rowOff>170667</xdr:rowOff>
    </xdr:to>
    <xdr:graphicFrame macro="">
      <xdr:nvGraphicFramePr>
        <xdr:cNvPr id="31" name="Chart 30">
          <a:extLst>
            <a:ext uri="{FF2B5EF4-FFF2-40B4-BE49-F238E27FC236}">
              <a16:creationId xmlns:a16="http://schemas.microsoft.com/office/drawing/2014/main" id="{3E150301-51C2-4AB2-8CE2-81F1D6D85B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56</xdr:col>
      <xdr:colOff>169333</xdr:colOff>
      <xdr:row>178</xdr:row>
      <xdr:rowOff>148167</xdr:rowOff>
    </xdr:from>
    <xdr:to>
      <xdr:col>56</xdr:col>
      <xdr:colOff>4849333</xdr:colOff>
      <xdr:row>193</xdr:row>
      <xdr:rowOff>170667</xdr:rowOff>
    </xdr:to>
    <xdr:graphicFrame macro="">
      <xdr:nvGraphicFramePr>
        <xdr:cNvPr id="32" name="Chart 31">
          <a:extLst>
            <a:ext uri="{FF2B5EF4-FFF2-40B4-BE49-F238E27FC236}">
              <a16:creationId xmlns:a16="http://schemas.microsoft.com/office/drawing/2014/main" id="{CE240900-8455-4850-A81D-769F11FCCD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75</xdr:col>
      <xdr:colOff>226219</xdr:colOff>
      <xdr:row>64</xdr:row>
      <xdr:rowOff>11906</xdr:rowOff>
    </xdr:from>
    <xdr:to>
      <xdr:col>75</xdr:col>
      <xdr:colOff>4906219</xdr:colOff>
      <xdr:row>79</xdr:row>
      <xdr:rowOff>34406</xdr:rowOff>
    </xdr:to>
    <xdr:graphicFrame macro="">
      <xdr:nvGraphicFramePr>
        <xdr:cNvPr id="33" name="Chart 32">
          <a:extLst>
            <a:ext uri="{FF2B5EF4-FFF2-40B4-BE49-F238E27FC236}">
              <a16:creationId xmlns:a16="http://schemas.microsoft.com/office/drawing/2014/main" id="{68957CBB-E94B-4BC1-8624-BD5DB59568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75</xdr:col>
      <xdr:colOff>226219</xdr:colOff>
      <xdr:row>83</xdr:row>
      <xdr:rowOff>11906</xdr:rowOff>
    </xdr:from>
    <xdr:to>
      <xdr:col>75</xdr:col>
      <xdr:colOff>4906219</xdr:colOff>
      <xdr:row>98</xdr:row>
      <xdr:rowOff>34406</xdr:rowOff>
    </xdr:to>
    <xdr:graphicFrame macro="">
      <xdr:nvGraphicFramePr>
        <xdr:cNvPr id="34" name="Chart 33">
          <a:extLst>
            <a:ext uri="{FF2B5EF4-FFF2-40B4-BE49-F238E27FC236}">
              <a16:creationId xmlns:a16="http://schemas.microsoft.com/office/drawing/2014/main" id="{73D40830-16D9-46FE-9E5F-2DBC081C1F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75</xdr:col>
      <xdr:colOff>226219</xdr:colOff>
      <xdr:row>121</xdr:row>
      <xdr:rowOff>11906</xdr:rowOff>
    </xdr:from>
    <xdr:to>
      <xdr:col>75</xdr:col>
      <xdr:colOff>4906219</xdr:colOff>
      <xdr:row>136</xdr:row>
      <xdr:rowOff>34406</xdr:rowOff>
    </xdr:to>
    <xdr:graphicFrame macro="">
      <xdr:nvGraphicFramePr>
        <xdr:cNvPr id="35" name="Chart 34">
          <a:extLst>
            <a:ext uri="{FF2B5EF4-FFF2-40B4-BE49-F238E27FC236}">
              <a16:creationId xmlns:a16="http://schemas.microsoft.com/office/drawing/2014/main" id="{8A234D2B-229C-4CCF-A225-7C53515580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75</xdr:col>
      <xdr:colOff>371895</xdr:colOff>
      <xdr:row>102</xdr:row>
      <xdr:rowOff>146378</xdr:rowOff>
    </xdr:from>
    <xdr:to>
      <xdr:col>75</xdr:col>
      <xdr:colOff>5051895</xdr:colOff>
      <xdr:row>117</xdr:row>
      <xdr:rowOff>168878</xdr:rowOff>
    </xdr:to>
    <xdr:graphicFrame macro="">
      <xdr:nvGraphicFramePr>
        <xdr:cNvPr id="36" name="Chart 35">
          <a:extLst>
            <a:ext uri="{FF2B5EF4-FFF2-40B4-BE49-F238E27FC236}">
              <a16:creationId xmlns:a16="http://schemas.microsoft.com/office/drawing/2014/main" id="{B89B4CAD-056E-4977-A4A3-7C18C17290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42</xdr:col>
      <xdr:colOff>169333</xdr:colOff>
      <xdr:row>5</xdr:row>
      <xdr:rowOff>148167</xdr:rowOff>
    </xdr:from>
    <xdr:to>
      <xdr:col>42</xdr:col>
      <xdr:colOff>4849333</xdr:colOff>
      <xdr:row>20</xdr:row>
      <xdr:rowOff>170667</xdr:rowOff>
    </xdr:to>
    <xdr:graphicFrame macro="">
      <xdr:nvGraphicFramePr>
        <xdr:cNvPr id="37" name="Chart 36">
          <a:extLst>
            <a:ext uri="{FF2B5EF4-FFF2-40B4-BE49-F238E27FC236}">
              <a16:creationId xmlns:a16="http://schemas.microsoft.com/office/drawing/2014/main" id="{5EB38E7D-CC71-4BB6-989D-35E3CA8ED3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42</xdr:col>
      <xdr:colOff>224118</xdr:colOff>
      <xdr:row>81</xdr:row>
      <xdr:rowOff>179294</xdr:rowOff>
    </xdr:from>
    <xdr:to>
      <xdr:col>42</xdr:col>
      <xdr:colOff>4904118</xdr:colOff>
      <xdr:row>97</xdr:row>
      <xdr:rowOff>11294</xdr:rowOff>
    </xdr:to>
    <xdr:graphicFrame macro="">
      <xdr:nvGraphicFramePr>
        <xdr:cNvPr id="38" name="Chart 37">
          <a:extLst>
            <a:ext uri="{FF2B5EF4-FFF2-40B4-BE49-F238E27FC236}">
              <a16:creationId xmlns:a16="http://schemas.microsoft.com/office/drawing/2014/main" id="{1124493F-3B5C-4FA1-89BB-0A2BDE50A7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42</xdr:col>
      <xdr:colOff>224118</xdr:colOff>
      <xdr:row>100</xdr:row>
      <xdr:rowOff>179294</xdr:rowOff>
    </xdr:from>
    <xdr:to>
      <xdr:col>42</xdr:col>
      <xdr:colOff>4904118</xdr:colOff>
      <xdr:row>116</xdr:row>
      <xdr:rowOff>11294</xdr:rowOff>
    </xdr:to>
    <xdr:graphicFrame macro="">
      <xdr:nvGraphicFramePr>
        <xdr:cNvPr id="39" name="Chart 38">
          <a:extLst>
            <a:ext uri="{FF2B5EF4-FFF2-40B4-BE49-F238E27FC236}">
              <a16:creationId xmlns:a16="http://schemas.microsoft.com/office/drawing/2014/main" id="{1F972381-2762-4C3F-A903-B0C4CBEE26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42</xdr:col>
      <xdr:colOff>224118</xdr:colOff>
      <xdr:row>120</xdr:row>
      <xdr:rowOff>179294</xdr:rowOff>
    </xdr:from>
    <xdr:to>
      <xdr:col>42</xdr:col>
      <xdr:colOff>4904118</xdr:colOff>
      <xdr:row>136</xdr:row>
      <xdr:rowOff>11294</xdr:rowOff>
    </xdr:to>
    <xdr:graphicFrame macro="">
      <xdr:nvGraphicFramePr>
        <xdr:cNvPr id="40" name="Chart 39">
          <a:extLst>
            <a:ext uri="{FF2B5EF4-FFF2-40B4-BE49-F238E27FC236}">
              <a16:creationId xmlns:a16="http://schemas.microsoft.com/office/drawing/2014/main" id="{7A44086C-4A50-4813-83F3-4F1EB03178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42</xdr:col>
      <xdr:colOff>224118</xdr:colOff>
      <xdr:row>139</xdr:row>
      <xdr:rowOff>179294</xdr:rowOff>
    </xdr:from>
    <xdr:to>
      <xdr:col>42</xdr:col>
      <xdr:colOff>4904118</xdr:colOff>
      <xdr:row>155</xdr:row>
      <xdr:rowOff>11294</xdr:rowOff>
    </xdr:to>
    <xdr:graphicFrame macro="">
      <xdr:nvGraphicFramePr>
        <xdr:cNvPr id="41" name="Chart 40">
          <a:extLst>
            <a:ext uri="{FF2B5EF4-FFF2-40B4-BE49-F238E27FC236}">
              <a16:creationId xmlns:a16="http://schemas.microsoft.com/office/drawing/2014/main" id="{84C70EB3-2416-4DBC-AC1F-8D3D4CBF31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56</xdr:col>
      <xdr:colOff>133350</xdr:colOff>
      <xdr:row>82</xdr:row>
      <xdr:rowOff>104774</xdr:rowOff>
    </xdr:from>
    <xdr:to>
      <xdr:col>56</xdr:col>
      <xdr:colOff>4813350</xdr:colOff>
      <xdr:row>97</xdr:row>
      <xdr:rowOff>127274</xdr:rowOff>
    </xdr:to>
    <xdr:graphicFrame macro="">
      <xdr:nvGraphicFramePr>
        <xdr:cNvPr id="42" name="Chart 41">
          <a:extLst>
            <a:ext uri="{FF2B5EF4-FFF2-40B4-BE49-F238E27FC236}">
              <a16:creationId xmlns:a16="http://schemas.microsoft.com/office/drawing/2014/main" id="{8FA9F5D0-3AEC-4A88-A1F5-6770930FC6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xdr:from>
      <xdr:col>56</xdr:col>
      <xdr:colOff>165101</xdr:colOff>
      <xdr:row>103</xdr:row>
      <xdr:rowOff>20108</xdr:rowOff>
    </xdr:from>
    <xdr:to>
      <xdr:col>56</xdr:col>
      <xdr:colOff>4845101</xdr:colOff>
      <xdr:row>118</xdr:row>
      <xdr:rowOff>42608</xdr:rowOff>
    </xdr:to>
    <xdr:graphicFrame macro="">
      <xdr:nvGraphicFramePr>
        <xdr:cNvPr id="43" name="Chart 42">
          <a:extLst>
            <a:ext uri="{FF2B5EF4-FFF2-40B4-BE49-F238E27FC236}">
              <a16:creationId xmlns:a16="http://schemas.microsoft.com/office/drawing/2014/main" id="{B2AB9427-2B22-4FBE-9146-04C7A1643D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twoCellAnchor>
    <xdr:from>
      <xdr:col>56</xdr:col>
      <xdr:colOff>169333</xdr:colOff>
      <xdr:row>120</xdr:row>
      <xdr:rowOff>148167</xdr:rowOff>
    </xdr:from>
    <xdr:to>
      <xdr:col>56</xdr:col>
      <xdr:colOff>4849333</xdr:colOff>
      <xdr:row>135</xdr:row>
      <xdr:rowOff>170667</xdr:rowOff>
    </xdr:to>
    <xdr:graphicFrame macro="">
      <xdr:nvGraphicFramePr>
        <xdr:cNvPr id="44" name="Chart 43">
          <a:extLst>
            <a:ext uri="{FF2B5EF4-FFF2-40B4-BE49-F238E27FC236}">
              <a16:creationId xmlns:a16="http://schemas.microsoft.com/office/drawing/2014/main" id="{C16ADE18-3BB5-4481-ADF5-F94D630420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xdr:twoCellAnchor>
  <xdr:twoCellAnchor>
    <xdr:from>
      <xdr:col>56</xdr:col>
      <xdr:colOff>200586</xdr:colOff>
      <xdr:row>140</xdr:row>
      <xdr:rowOff>15126</xdr:rowOff>
    </xdr:from>
    <xdr:to>
      <xdr:col>56</xdr:col>
      <xdr:colOff>4880586</xdr:colOff>
      <xdr:row>155</xdr:row>
      <xdr:rowOff>37626</xdr:rowOff>
    </xdr:to>
    <xdr:graphicFrame macro="">
      <xdr:nvGraphicFramePr>
        <xdr:cNvPr id="45" name="Chart 44">
          <a:extLst>
            <a:ext uri="{FF2B5EF4-FFF2-40B4-BE49-F238E27FC236}">
              <a16:creationId xmlns:a16="http://schemas.microsoft.com/office/drawing/2014/main" id="{F773808B-CCEC-4780-9D32-0F5B5B86A1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4"/>
        </a:graphicData>
      </a:graphic>
    </xdr:graphicFrame>
    <xdr:clientData/>
  </xdr:twoCellAnchor>
  <xdr:twoCellAnchor>
    <xdr:from>
      <xdr:col>56</xdr:col>
      <xdr:colOff>109072</xdr:colOff>
      <xdr:row>159</xdr:row>
      <xdr:rowOff>109755</xdr:rowOff>
    </xdr:from>
    <xdr:to>
      <xdr:col>56</xdr:col>
      <xdr:colOff>4789072</xdr:colOff>
      <xdr:row>174</xdr:row>
      <xdr:rowOff>132255</xdr:rowOff>
    </xdr:to>
    <xdr:graphicFrame macro="">
      <xdr:nvGraphicFramePr>
        <xdr:cNvPr id="46" name="Chart 45">
          <a:extLst>
            <a:ext uri="{FF2B5EF4-FFF2-40B4-BE49-F238E27FC236}">
              <a16:creationId xmlns:a16="http://schemas.microsoft.com/office/drawing/2014/main" id="{A66ED5AF-3B4E-4DCB-B10B-67E7BC3EA1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5"/>
        </a:graphicData>
      </a:graphic>
    </xdr:graphicFrame>
    <xdr:clientData/>
  </xdr:twoCellAnchor>
  <xdr:twoCellAnchor>
    <xdr:from>
      <xdr:col>56</xdr:col>
      <xdr:colOff>169333</xdr:colOff>
      <xdr:row>178</xdr:row>
      <xdr:rowOff>148167</xdr:rowOff>
    </xdr:from>
    <xdr:to>
      <xdr:col>56</xdr:col>
      <xdr:colOff>4849333</xdr:colOff>
      <xdr:row>193</xdr:row>
      <xdr:rowOff>170667</xdr:rowOff>
    </xdr:to>
    <xdr:graphicFrame macro="">
      <xdr:nvGraphicFramePr>
        <xdr:cNvPr id="47" name="Chart 46">
          <a:extLst>
            <a:ext uri="{FF2B5EF4-FFF2-40B4-BE49-F238E27FC236}">
              <a16:creationId xmlns:a16="http://schemas.microsoft.com/office/drawing/2014/main" id="{20E59CBC-8EA0-4CB0-A70B-B606D61FBC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6"/>
        </a:graphicData>
      </a:graphic>
    </xdr:graphicFrame>
    <xdr:clientData/>
  </xdr:twoCellAnchor>
  <xdr:twoCellAnchor>
    <xdr:from>
      <xdr:col>107</xdr:col>
      <xdr:colOff>261937</xdr:colOff>
      <xdr:row>139</xdr:row>
      <xdr:rowOff>47625</xdr:rowOff>
    </xdr:from>
    <xdr:to>
      <xdr:col>107</xdr:col>
      <xdr:colOff>4941937</xdr:colOff>
      <xdr:row>154</xdr:row>
      <xdr:rowOff>70125</xdr:rowOff>
    </xdr:to>
    <xdr:graphicFrame macro="">
      <xdr:nvGraphicFramePr>
        <xdr:cNvPr id="48" name="Chart 47">
          <a:extLst>
            <a:ext uri="{FF2B5EF4-FFF2-40B4-BE49-F238E27FC236}">
              <a16:creationId xmlns:a16="http://schemas.microsoft.com/office/drawing/2014/main" id="{A5E5265E-BA21-476D-A7B2-B2E1B3B4C8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7"/>
        </a:graphicData>
      </a:graphic>
    </xdr:graphicFrame>
    <xdr:clientData/>
  </xdr:twoCellAnchor>
  <xdr:twoCellAnchor>
    <xdr:from>
      <xdr:col>107</xdr:col>
      <xdr:colOff>261937</xdr:colOff>
      <xdr:row>101</xdr:row>
      <xdr:rowOff>47625</xdr:rowOff>
    </xdr:from>
    <xdr:to>
      <xdr:col>107</xdr:col>
      <xdr:colOff>4941937</xdr:colOff>
      <xdr:row>116</xdr:row>
      <xdr:rowOff>70125</xdr:rowOff>
    </xdr:to>
    <xdr:graphicFrame macro="">
      <xdr:nvGraphicFramePr>
        <xdr:cNvPr id="49" name="Chart 48">
          <a:extLst>
            <a:ext uri="{FF2B5EF4-FFF2-40B4-BE49-F238E27FC236}">
              <a16:creationId xmlns:a16="http://schemas.microsoft.com/office/drawing/2014/main" id="{9AE7CD54-1EE5-45A4-BA92-C4C729489B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8"/>
        </a:graphicData>
      </a:graphic>
    </xdr:graphicFrame>
    <xdr:clientData/>
  </xdr:twoCellAnchor>
  <xdr:twoCellAnchor>
    <xdr:from>
      <xdr:col>75</xdr:col>
      <xdr:colOff>371895</xdr:colOff>
      <xdr:row>140</xdr:row>
      <xdr:rowOff>146378</xdr:rowOff>
    </xdr:from>
    <xdr:to>
      <xdr:col>75</xdr:col>
      <xdr:colOff>5051895</xdr:colOff>
      <xdr:row>155</xdr:row>
      <xdr:rowOff>168878</xdr:rowOff>
    </xdr:to>
    <xdr:graphicFrame macro="">
      <xdr:nvGraphicFramePr>
        <xdr:cNvPr id="50" name="Chart 49">
          <a:extLst>
            <a:ext uri="{FF2B5EF4-FFF2-40B4-BE49-F238E27FC236}">
              <a16:creationId xmlns:a16="http://schemas.microsoft.com/office/drawing/2014/main" id="{DD9C8CB8-3B63-43E3-84FC-C4E2C8B203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9"/>
        </a:graphicData>
      </a:graphic>
    </xdr:graphicFrame>
    <xdr:clientData/>
  </xdr:twoCellAnchor>
  <xdr:twoCellAnchor>
    <xdr:from>
      <xdr:col>42</xdr:col>
      <xdr:colOff>169333</xdr:colOff>
      <xdr:row>24</xdr:row>
      <xdr:rowOff>148167</xdr:rowOff>
    </xdr:from>
    <xdr:to>
      <xdr:col>42</xdr:col>
      <xdr:colOff>4849333</xdr:colOff>
      <xdr:row>39</xdr:row>
      <xdr:rowOff>170667</xdr:rowOff>
    </xdr:to>
    <xdr:graphicFrame macro="">
      <xdr:nvGraphicFramePr>
        <xdr:cNvPr id="51" name="Chart 50">
          <a:extLst>
            <a:ext uri="{FF2B5EF4-FFF2-40B4-BE49-F238E27FC236}">
              <a16:creationId xmlns:a16="http://schemas.microsoft.com/office/drawing/2014/main" id="{721EF30E-701B-4D45-82A1-1CE481F609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0"/>
        </a:graphicData>
      </a:graphic>
    </xdr:graphicFrame>
    <xdr:clientData/>
  </xdr:twoCellAnchor>
  <xdr:twoCellAnchor>
    <xdr:from>
      <xdr:col>126</xdr:col>
      <xdr:colOff>214312</xdr:colOff>
      <xdr:row>234</xdr:row>
      <xdr:rowOff>47626</xdr:rowOff>
    </xdr:from>
    <xdr:to>
      <xdr:col>126</xdr:col>
      <xdr:colOff>4894312</xdr:colOff>
      <xdr:row>249</xdr:row>
      <xdr:rowOff>70126</xdr:rowOff>
    </xdr:to>
    <xdr:graphicFrame macro="">
      <xdr:nvGraphicFramePr>
        <xdr:cNvPr id="52" name="Chart 51">
          <a:extLst>
            <a:ext uri="{FF2B5EF4-FFF2-40B4-BE49-F238E27FC236}">
              <a16:creationId xmlns:a16="http://schemas.microsoft.com/office/drawing/2014/main" id="{98E59DE1-C779-42B4-A31C-876A51DD21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1"/>
        </a:graphicData>
      </a:graphic>
    </xdr:graphicFrame>
    <xdr:clientData/>
  </xdr:twoCellAnchor>
  <xdr:twoCellAnchor>
    <xdr:from>
      <xdr:col>126</xdr:col>
      <xdr:colOff>214312</xdr:colOff>
      <xdr:row>253</xdr:row>
      <xdr:rowOff>47626</xdr:rowOff>
    </xdr:from>
    <xdr:to>
      <xdr:col>126</xdr:col>
      <xdr:colOff>4894312</xdr:colOff>
      <xdr:row>268</xdr:row>
      <xdr:rowOff>70126</xdr:rowOff>
    </xdr:to>
    <xdr:graphicFrame macro="">
      <xdr:nvGraphicFramePr>
        <xdr:cNvPr id="53" name="Chart 52">
          <a:extLst>
            <a:ext uri="{FF2B5EF4-FFF2-40B4-BE49-F238E27FC236}">
              <a16:creationId xmlns:a16="http://schemas.microsoft.com/office/drawing/2014/main" id="{ADBEC3A3-0940-483A-83D5-F8AE3E941A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2"/>
        </a:graphicData>
      </a:graphic>
    </xdr:graphicFrame>
    <xdr:clientData/>
  </xdr:twoCellAnchor>
  <xdr:twoCellAnchor editAs="oneCell">
    <xdr:from>
      <xdr:col>109</xdr:col>
      <xdr:colOff>56029</xdr:colOff>
      <xdr:row>271</xdr:row>
      <xdr:rowOff>78441</xdr:rowOff>
    </xdr:from>
    <xdr:to>
      <xdr:col>121</xdr:col>
      <xdr:colOff>758534</xdr:colOff>
      <xdr:row>292</xdr:row>
      <xdr:rowOff>11274</xdr:rowOff>
    </xdr:to>
    <xdr:pic>
      <xdr:nvPicPr>
        <xdr:cNvPr id="54" name="Picture 53">
          <a:extLst>
            <a:ext uri="{FF2B5EF4-FFF2-40B4-BE49-F238E27FC236}">
              <a16:creationId xmlns:a16="http://schemas.microsoft.com/office/drawing/2014/main" id="{ACB8F911-2F5C-4FC0-B020-0A4770211D8A}"/>
            </a:ext>
          </a:extLst>
        </xdr:cNvPr>
        <xdr:cNvPicPr>
          <a:picLocks noChangeAspect="1"/>
        </xdr:cNvPicPr>
      </xdr:nvPicPr>
      <xdr:blipFill>
        <a:blip xmlns:r="http://schemas.openxmlformats.org/officeDocument/2006/relationships" r:embed="rId53"/>
        <a:stretch>
          <a:fillRect/>
        </a:stretch>
      </xdr:blipFill>
      <xdr:spPr>
        <a:xfrm>
          <a:off x="96496654" y="51837291"/>
          <a:ext cx="9779830" cy="3933333"/>
        </a:xfrm>
        <a:prstGeom prst="rect">
          <a:avLst/>
        </a:prstGeom>
      </xdr:spPr>
    </xdr:pic>
    <xdr:clientData/>
  </xdr:twoCellAnchor>
  <xdr:twoCellAnchor>
    <xdr:from>
      <xdr:col>42</xdr:col>
      <xdr:colOff>169333</xdr:colOff>
      <xdr:row>43</xdr:row>
      <xdr:rowOff>148167</xdr:rowOff>
    </xdr:from>
    <xdr:to>
      <xdr:col>42</xdr:col>
      <xdr:colOff>4849333</xdr:colOff>
      <xdr:row>58</xdr:row>
      <xdr:rowOff>170667</xdr:rowOff>
    </xdr:to>
    <xdr:graphicFrame macro="">
      <xdr:nvGraphicFramePr>
        <xdr:cNvPr id="55" name="Chart 54">
          <a:extLst>
            <a:ext uri="{FF2B5EF4-FFF2-40B4-BE49-F238E27FC236}">
              <a16:creationId xmlns:a16="http://schemas.microsoft.com/office/drawing/2014/main" id="{E63A68A7-016A-4A9B-9C04-374671CCF8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4"/>
        </a:graphicData>
      </a:graphic>
    </xdr:graphicFrame>
    <xdr:clientData/>
  </xdr:twoCellAnchor>
  <xdr:twoCellAnchor>
    <xdr:from>
      <xdr:col>42</xdr:col>
      <xdr:colOff>169333</xdr:colOff>
      <xdr:row>62</xdr:row>
      <xdr:rowOff>148167</xdr:rowOff>
    </xdr:from>
    <xdr:to>
      <xdr:col>42</xdr:col>
      <xdr:colOff>4849333</xdr:colOff>
      <xdr:row>77</xdr:row>
      <xdr:rowOff>170667</xdr:rowOff>
    </xdr:to>
    <xdr:graphicFrame macro="">
      <xdr:nvGraphicFramePr>
        <xdr:cNvPr id="56" name="Chart 55">
          <a:extLst>
            <a:ext uri="{FF2B5EF4-FFF2-40B4-BE49-F238E27FC236}">
              <a16:creationId xmlns:a16="http://schemas.microsoft.com/office/drawing/2014/main" id="{B715D75C-B8DA-4758-AC8A-93F215D8EF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ixonau-my.sharepoint.com/DOCUME~1/n143334/LOCALS~1/Temp/L.Notes5.Data/U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ixonau-my.sharepoint.com/DOCUME~1/n143334/LOCALS~1/Temp/L.Notes5.Data/Canad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ixonau-my.sharepoint.com/DOCUME~1/n143334/LOCALS~1/Temp/L.Notes5.Data/Australia%20Directory/trade.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P:\Research\PM%20-%20Research\Gaming\5.%20TLC\4.%20Market%20Data\1.%20Monte%20Carlo%20Simulation\2.%20Oz%20Lotto\Model\OzLotto%20Monte%20Carlo%20-%20Master%20v8.xlsm" TargetMode="External"/><Relationship Id="rId1" Type="http://schemas.openxmlformats.org/officeDocument/2006/relationships/externalLinkPath" Target="2.%20Oz%20Lotto/Model/OzLotto%20Monte%20Carlo%20-%20Master%20v8.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umption"/>
      <sheetName val="production"/>
      <sheetName val="exports"/>
      <sheetName val="Housing &amp; Construction"/>
      <sheetName val="surveys"/>
      <sheetName val="labour"/>
      <sheetName val="weekly"/>
      <sheetName val="Table"/>
      <sheetName val="inflation"/>
      <sheetName val="Chart1"/>
      <sheetName val="Chart2"/>
      <sheetName val="Chart3"/>
      <sheetName val="Chart7"/>
      <sheetName val="Chart10"/>
      <sheetName val="Chart11"/>
      <sheetName val="Chart16"/>
      <sheetName val="Chart18"/>
      <sheetName val="Chart17"/>
      <sheetName val="Chart19"/>
      <sheetName val="Chart20"/>
      <sheetName val="Chart21"/>
      <sheetName val="Chart23"/>
      <sheetName val="Chart24"/>
      <sheetName val="Chart25"/>
      <sheetName val="Chart26"/>
      <sheetName val="Chart27"/>
      <sheetName val="Chart28"/>
      <sheetName val="Chart29"/>
      <sheetName val="Chart31"/>
      <sheetName val="Chart30"/>
      <sheetName val="Chart32"/>
      <sheetName val="Chart4"/>
      <sheetName val="GDP"/>
      <sheetName val="Exchange Rates"/>
      <sheetName val="Industrial Production"/>
    </sheetNames>
    <sheetDataSet>
      <sheetData sheetId="0">
        <row r="7">
          <cell r="B7">
            <v>34730</v>
          </cell>
          <cell r="T7">
            <v>0</v>
          </cell>
          <cell r="Z7">
            <v>10.923999999999999</v>
          </cell>
          <cell r="AF7">
            <v>5.0960000000000001</v>
          </cell>
        </row>
      </sheetData>
      <sheetData sheetId="1"/>
      <sheetData sheetId="2">
        <row r="7">
          <cell r="C7">
            <v>34730</v>
          </cell>
          <cell r="G7">
            <v>34730</v>
          </cell>
          <cell r="J7">
            <v>34730</v>
          </cell>
        </row>
      </sheetData>
      <sheetData sheetId="3">
        <row r="7">
          <cell r="C7">
            <v>34730</v>
          </cell>
          <cell r="N7">
            <v>34730</v>
          </cell>
          <cell r="AB7">
            <v>259.2</v>
          </cell>
        </row>
      </sheetData>
      <sheetData sheetId="4">
        <row r="7">
          <cell r="C7">
            <v>34730</v>
          </cell>
        </row>
        <row r="37">
          <cell r="AF37">
            <v>61</v>
          </cell>
        </row>
      </sheetData>
      <sheetData sheetId="5">
        <row r="9">
          <cell r="B9">
            <v>34730</v>
          </cell>
          <cell r="M9">
            <v>34730</v>
          </cell>
          <cell r="T9">
            <v>34730</v>
          </cell>
        </row>
      </sheetData>
      <sheetData sheetId="6">
        <row r="6">
          <cell r="A6">
            <v>34705</v>
          </cell>
          <cell r="K6">
            <v>34705</v>
          </cell>
        </row>
        <row r="95">
          <cell r="N95">
            <v>35328</v>
          </cell>
          <cell r="Q95">
            <v>35339</v>
          </cell>
          <cell r="U95">
            <v>2.9</v>
          </cell>
        </row>
      </sheetData>
      <sheetData sheetId="7"/>
      <sheetData sheetId="8">
        <row r="7">
          <cell r="B7">
            <v>34730</v>
          </cell>
          <cell r="H7">
            <v>34730</v>
          </cell>
          <cell r="R7">
            <v>34730</v>
          </cell>
          <cell r="X7">
            <v>34730</v>
          </cell>
          <cell r="AD7">
            <v>34730</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tail Sales"/>
      <sheetName val="Production"/>
      <sheetName val="Housing&amp;Construction"/>
      <sheetName val="Exports"/>
      <sheetName val="GDP (Monthly)"/>
      <sheetName val="GDP (Quarterly)"/>
      <sheetName val="Current Account"/>
      <sheetName val="Inflation"/>
      <sheetName val="Employment"/>
      <sheetName val="Quarterly"/>
      <sheetName val="Leading Indicator"/>
      <sheetName val="Commodity Prices"/>
      <sheetName val="Charts&gt;&gt;&gt;"/>
      <sheetName val="Chart2"/>
      <sheetName val="Chart3"/>
      <sheetName val="Chart4"/>
      <sheetName val="Chart1"/>
      <sheetName val="Chart5"/>
      <sheetName val="Chart6"/>
      <sheetName val="Chart7"/>
      <sheetName val="Chart8"/>
      <sheetName val="Chart9"/>
      <sheetName val="Chart10"/>
      <sheetName val="Lists"/>
      <sheetName val="consumption"/>
      <sheetName val="surveys"/>
      <sheetName val="labour"/>
      <sheetName val="weekly"/>
    </sheetNames>
    <sheetDataSet>
      <sheetData sheetId="0"/>
      <sheetData sheetId="1">
        <row r="8">
          <cell r="M8" t="e">
            <v>#NAME?</v>
          </cell>
          <cell r="V8" t="e">
            <v>#NAME?</v>
          </cell>
          <cell r="AQ8" t="e">
            <v>#NAME?</v>
          </cell>
        </row>
        <row r="12">
          <cell r="M12">
            <v>35155</v>
          </cell>
        </row>
        <row r="56">
          <cell r="P56" t="e">
            <v>#NAME?</v>
          </cell>
        </row>
      </sheetData>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ata (Volumes &amp; Prices)"/>
      <sheetName val="Data by Country"/>
      <sheetName val="Data by Country Year"/>
      <sheetName val="ch. Exports &amp; AUD"/>
      <sheetName val="ch. Volumes"/>
      <sheetName val="ch. Prices (2)"/>
      <sheetName val="ch. By Country"/>
      <sheetName val="Commodities"/>
      <sheetName val="Trade by Commodity"/>
      <sheetName val="Ch. TWI weights"/>
      <sheetName val="ch. volumes (2)"/>
      <sheetName val="ch. Prices"/>
      <sheetName val="ch. county spe"/>
      <sheetName val="Exports"/>
      <sheetName val="Interest_Rate_Markets"/>
      <sheetName val="Consumption &amp; Investment"/>
      <sheetName val="Markets_12"/>
    </sheetNames>
    <sheetDataSet>
      <sheetData sheetId="0"/>
      <sheetData sheetId="1" refreshError="1"/>
      <sheetData sheetId="2">
        <row r="29">
          <cell r="BO29">
            <v>115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AV"/>
      <sheetName val="I"/>
      <sheetName val="Base Code"/>
      <sheetName val="FY24"/>
      <sheetName val="1H24"/>
      <sheetName val="1H24 ROP"/>
      <sheetName val="II"/>
      <sheetName val="Summary"/>
      <sheetName val="III"/>
      <sheetName val="Tables (2)"/>
      <sheetName val="Backtesting (2)"/>
      <sheetName val="FY23E"/>
      <sheetName val="IV"/>
      <sheetName val="V"/>
      <sheetName val="Game Changes FY23e"/>
      <sheetName val="Sheet4"/>
      <sheetName val="Sheet3"/>
      <sheetName val="Historical Ticket Sales"/>
      <sheetName val="Tables2"/>
      <sheetName val="HY's"/>
      <sheetName val="FY's"/>
      <sheetName val="GC's"/>
      <sheetName val="GC Workings"/>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166">
          <cell r="K166">
            <v>8555928</v>
          </cell>
        </row>
      </sheetData>
      <sheetData sheetId="20"/>
      <sheetData sheetId="21"/>
      <sheetData sheetId="22"/>
      <sheetData sheetId="23"/>
    </sheetDataSet>
  </externalBook>
</externalLink>
</file>

<file path=xl/theme/theme1.xml><?xml version="1.0" encoding="utf-8"?>
<a:theme xmlns:a="http://schemas.openxmlformats.org/drawingml/2006/main" name="EAP">
  <a:themeElements>
    <a:clrScheme name="EAP boie">
      <a:dk1>
        <a:sysClr val="windowText" lastClr="000000"/>
      </a:dk1>
      <a:lt1>
        <a:sysClr val="window" lastClr="FFFFFF"/>
      </a:lt1>
      <a:dk2>
        <a:srgbClr val="950427"/>
      </a:dk2>
      <a:lt2>
        <a:srgbClr val="6D6E70"/>
      </a:lt2>
      <a:accent1>
        <a:srgbClr val="27446E"/>
      </a:accent1>
      <a:accent2>
        <a:srgbClr val="B78754"/>
      </a:accent2>
      <a:accent3>
        <a:srgbClr val="583B1C"/>
      </a:accent3>
      <a:accent4>
        <a:srgbClr val="828246"/>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A857D-B657-4760-8BF7-938E3A631951}">
  <sheetPr codeName="Sheet1">
    <tabColor theme="3"/>
  </sheetPr>
  <dimension ref="A1"/>
  <sheetViews>
    <sheetView workbookViewId="0">
      <selection activeCell="C34" sqref="C34"/>
    </sheetView>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BCDC3-E229-4EE1-B241-D26722592AB3}">
  <sheetPr codeName="Sheet5">
    <tabColor theme="3" tint="0.79998168889431442"/>
  </sheetPr>
  <dimension ref="A2:BS106"/>
  <sheetViews>
    <sheetView showGridLines="0" topLeftCell="AS1" zoomScale="85" zoomScaleNormal="85" workbookViewId="0">
      <pane ySplit="6" topLeftCell="A58" activePane="bottomLeft" state="frozen"/>
      <selection activeCell="P188" sqref="P188"/>
      <selection pane="bottomLeft" activeCell="BK76" sqref="BK76"/>
    </sheetView>
  </sheetViews>
  <sheetFormatPr defaultRowHeight="15" x14ac:dyDescent="0.25"/>
  <cols>
    <col min="1" max="1" width="10.7109375" customWidth="1"/>
    <col min="2" max="2" width="12.5703125" customWidth="1"/>
    <col min="3" max="17" width="9.7109375" customWidth="1"/>
    <col min="18" max="18" width="2.7109375" customWidth="1"/>
    <col min="19" max="19" width="12.5703125" customWidth="1"/>
    <col min="20" max="32" width="9.7109375" customWidth="1"/>
    <col min="33" max="33" width="2.7109375" customWidth="1"/>
    <col min="34" max="34" width="12.28515625" bestFit="1" customWidth="1"/>
    <col min="43" max="43" width="12.5703125" customWidth="1"/>
    <col min="44" max="56" width="9.7109375" customWidth="1"/>
    <col min="57" max="57" width="2.7109375" customWidth="1"/>
  </cols>
  <sheetData>
    <row r="2" spans="1:71" x14ac:dyDescent="0.25">
      <c r="C2" t="s">
        <v>1</v>
      </c>
      <c r="D2" s="7">
        <v>3.7863463771572153E-2</v>
      </c>
      <c r="E2" s="7">
        <v>4.2416953358734313E-2</v>
      </c>
      <c r="F2" s="7">
        <v>4.5397175090041493E-2</v>
      </c>
      <c r="G2" s="7">
        <v>4.7420801757676538E-2</v>
      </c>
      <c r="H2" s="7">
        <v>5.1603631730858246E-2</v>
      </c>
      <c r="I2" s="7">
        <v>5.8043397021066458E-2</v>
      </c>
      <c r="J2" s="7">
        <v>6.6707209392596042E-2</v>
      </c>
      <c r="K2" s="7">
        <v>7.5474820760938574E-2</v>
      </c>
      <c r="L2" s="7">
        <v>8.2309620944215067E-2</v>
      </c>
      <c r="M2" s="7">
        <v>9.6758466093196688E-2</v>
      </c>
      <c r="N2" s="7">
        <v>0.13058799759900552</v>
      </c>
      <c r="O2" s="8" t="e">
        <f>#REF!</f>
        <v>#REF!</v>
      </c>
      <c r="P2" s="8"/>
      <c r="Q2" s="8"/>
      <c r="T2" t="s">
        <v>1</v>
      </c>
      <c r="U2" s="7">
        <v>4.7771240248998564E-2</v>
      </c>
      <c r="V2" s="7">
        <v>5.2217284931570615E-2</v>
      </c>
      <c r="W2" s="7">
        <v>5.5955098451754989E-2</v>
      </c>
      <c r="X2" s="7">
        <v>5.8416050992473018E-2</v>
      </c>
      <c r="Y2" s="7">
        <v>6.3040095867171603E-2</v>
      </c>
      <c r="Z2" s="7">
        <v>6.8853421493868625E-2</v>
      </c>
      <c r="AA2" s="7">
        <v>7.5776125345343073E-2</v>
      </c>
      <c r="AB2" s="7">
        <v>8.2879861438139912E-2</v>
      </c>
      <c r="AC2" s="7">
        <v>8.7307986484982752E-2</v>
      </c>
      <c r="AD2" s="7">
        <v>9.6244094093638793E-2</v>
      </c>
      <c r="AE2" s="7">
        <v>0.12115595838818555</v>
      </c>
      <c r="AF2" s="8" t="e">
        <f>#REF!</f>
        <v>#REF!</v>
      </c>
      <c r="AR2" t="s">
        <v>1</v>
      </c>
      <c r="AS2" s="7">
        <v>4.6619496079109202E-2</v>
      </c>
      <c r="AT2" s="7">
        <v>5.1196076407316951E-2</v>
      </c>
      <c r="AU2" s="7">
        <v>5.4865780352056914E-2</v>
      </c>
      <c r="AV2" s="7">
        <v>5.7138325857610618E-2</v>
      </c>
      <c r="AW2" s="7">
        <v>6.1283068336750575E-2</v>
      </c>
      <c r="AX2" s="7">
        <v>6.7007659123605373E-2</v>
      </c>
      <c r="AY2" s="7">
        <v>7.3796246163303061E-2</v>
      </c>
      <c r="AZ2" s="7">
        <v>8.0576647234632828E-2</v>
      </c>
      <c r="BA2" s="7">
        <v>8.540539501738402E-2</v>
      </c>
      <c r="BB2" s="7">
        <v>9.5017710207988298E-2</v>
      </c>
      <c r="BC2" s="7">
        <v>0.13077996962145844</v>
      </c>
      <c r="BD2" s="8"/>
    </row>
    <row r="4" spans="1:71" ht="18.75" x14ac:dyDescent="0.25">
      <c r="A4" s="15"/>
      <c r="B4" s="16" t="s">
        <v>6</v>
      </c>
      <c r="C4" s="17"/>
      <c r="D4" s="16"/>
      <c r="E4" s="17"/>
      <c r="F4" s="16"/>
      <c r="G4" s="17"/>
      <c r="H4" s="17"/>
      <c r="I4" s="17"/>
      <c r="J4" s="17"/>
      <c r="K4" s="17"/>
      <c r="L4" s="17"/>
      <c r="M4" s="17"/>
      <c r="N4" s="17"/>
      <c r="O4" s="17"/>
      <c r="P4" s="17"/>
      <c r="Q4" s="17"/>
      <c r="R4" s="15"/>
      <c r="S4" s="16" t="s">
        <v>6</v>
      </c>
      <c r="T4" s="17"/>
      <c r="U4" s="16"/>
      <c r="V4" s="17"/>
      <c r="W4" s="16"/>
      <c r="X4" s="17"/>
      <c r="Y4" s="17"/>
      <c r="Z4" s="17"/>
      <c r="AA4" s="17"/>
      <c r="AB4" s="17"/>
      <c r="AC4" s="17"/>
      <c r="AD4" s="17"/>
      <c r="AE4" s="17"/>
      <c r="AF4" s="17"/>
      <c r="AG4" s="17"/>
      <c r="AH4" s="17"/>
      <c r="AI4" s="17"/>
      <c r="AJ4" s="17"/>
      <c r="AK4" s="17"/>
      <c r="AL4" s="17"/>
      <c r="AM4" s="17"/>
      <c r="AN4" s="17"/>
      <c r="AO4" s="17"/>
      <c r="AQ4" s="16" t="s">
        <v>262</v>
      </c>
      <c r="AR4" s="17"/>
      <c r="AS4" s="16"/>
      <c r="AT4" s="17"/>
      <c r="AU4" s="16"/>
      <c r="AV4" s="17"/>
      <c r="AW4" s="17"/>
      <c r="AX4" s="17"/>
      <c r="AY4" s="17"/>
      <c r="AZ4" s="17"/>
      <c r="BA4" s="17"/>
      <c r="BB4" s="17"/>
      <c r="BC4" s="17"/>
      <c r="BD4" s="17"/>
      <c r="BE4" s="17"/>
      <c r="BF4" s="17"/>
      <c r="BG4" s="17"/>
      <c r="BH4" s="17"/>
      <c r="BI4" s="17"/>
      <c r="BJ4" s="17"/>
      <c r="BK4" s="17"/>
      <c r="BL4" s="17"/>
      <c r="BM4" s="17"/>
    </row>
    <row r="5" spans="1:71" x14ac:dyDescent="0.25">
      <c r="AX5" t="str">
        <f>"5/25/50/75/95th percentile"</f>
        <v>5/25/50/75/95th percentile</v>
      </c>
    </row>
    <row r="6" spans="1:71" s="26" customFormat="1" ht="45" x14ac:dyDescent="0.25">
      <c r="A6" s="27"/>
      <c r="B6" s="26" t="s">
        <v>12</v>
      </c>
      <c r="C6" s="26" t="s">
        <v>29</v>
      </c>
      <c r="D6" s="26" t="s">
        <v>30</v>
      </c>
      <c r="E6" s="26" t="s">
        <v>31</v>
      </c>
      <c r="F6" s="26" t="s">
        <v>32</v>
      </c>
      <c r="G6" s="26" t="s">
        <v>33</v>
      </c>
      <c r="H6" s="26" t="s">
        <v>34</v>
      </c>
      <c r="I6" s="26" t="s">
        <v>35</v>
      </c>
      <c r="J6" s="26" t="s">
        <v>36</v>
      </c>
      <c r="K6" s="26" t="s">
        <v>37</v>
      </c>
      <c r="L6" s="26" t="s">
        <v>38</v>
      </c>
      <c r="M6" s="26" t="s">
        <v>39</v>
      </c>
      <c r="N6" s="26" t="s">
        <v>40</v>
      </c>
      <c r="O6" s="26" t="s">
        <v>41</v>
      </c>
      <c r="R6" s="27"/>
      <c r="S6" s="26" t="s">
        <v>12</v>
      </c>
      <c r="T6" s="26" t="s">
        <v>29</v>
      </c>
      <c r="U6" s="26" t="s">
        <v>30</v>
      </c>
      <c r="V6" s="26" t="s">
        <v>31</v>
      </c>
      <c r="W6" s="26" t="s">
        <v>32</v>
      </c>
      <c r="X6" s="26" t="s">
        <v>33</v>
      </c>
      <c r="Y6" s="26" t="s">
        <v>34</v>
      </c>
      <c r="Z6" s="26" t="s">
        <v>35</v>
      </c>
      <c r="AA6" s="26" t="s">
        <v>36</v>
      </c>
      <c r="AB6" s="26" t="s">
        <v>37</v>
      </c>
      <c r="AC6" s="26" t="s">
        <v>38</v>
      </c>
      <c r="AD6" s="26" t="s">
        <v>39</v>
      </c>
      <c r="AE6" s="26" t="s">
        <v>40</v>
      </c>
      <c r="AF6" s="26" t="s">
        <v>41</v>
      </c>
      <c r="AP6"/>
      <c r="AQ6" s="26" t="s">
        <v>12</v>
      </c>
      <c r="AR6" s="26" t="s">
        <v>29</v>
      </c>
      <c r="AS6" s="26" t="s">
        <v>30</v>
      </c>
      <c r="AT6" s="26" t="s">
        <v>31</v>
      </c>
      <c r="AU6" s="26" t="s">
        <v>32</v>
      </c>
      <c r="AV6" s="26" t="s">
        <v>33</v>
      </c>
      <c r="AW6" s="26" t="s">
        <v>34</v>
      </c>
      <c r="AX6" s="26" t="s">
        <v>35</v>
      </c>
      <c r="AY6" s="26" t="s">
        <v>36</v>
      </c>
      <c r="AZ6" s="26" t="s">
        <v>37</v>
      </c>
      <c r="BA6" s="26" t="s">
        <v>38</v>
      </c>
      <c r="BB6" s="26" t="s">
        <v>39</v>
      </c>
      <c r="BC6" s="26" t="s">
        <v>40</v>
      </c>
      <c r="BD6" s="26" t="s">
        <v>41</v>
      </c>
      <c r="BN6"/>
      <c r="BO6"/>
      <c r="BP6"/>
      <c r="BQ6"/>
      <c r="BR6"/>
      <c r="BS6"/>
    </row>
    <row r="7" spans="1:71" s="30" customFormat="1" x14ac:dyDescent="0.25">
      <c r="T7" s="30">
        <v>0</v>
      </c>
      <c r="AR7" s="30">
        <v>0</v>
      </c>
    </row>
    <row r="8" spans="1:71" x14ac:dyDescent="0.25">
      <c r="A8" s="32"/>
      <c r="B8" s="229">
        <v>45841</v>
      </c>
      <c r="C8" s="230">
        <v>2.7363571392640895E-2</v>
      </c>
      <c r="D8" s="9">
        <f t="shared" ref="D8:N8" si="0">D2</f>
        <v>3.7863463771572153E-2</v>
      </c>
      <c r="E8" s="9">
        <f t="shared" si="0"/>
        <v>4.2416953358734313E-2</v>
      </c>
      <c r="F8" s="9">
        <f t="shared" si="0"/>
        <v>4.5397175090041493E-2</v>
      </c>
      <c r="G8" s="9">
        <f t="shared" si="0"/>
        <v>4.7420801757676538E-2</v>
      </c>
      <c r="H8" s="9">
        <f t="shared" si="0"/>
        <v>5.1603631730858246E-2</v>
      </c>
      <c r="I8" s="9">
        <f t="shared" si="0"/>
        <v>5.8043397021066458E-2</v>
      </c>
      <c r="J8" s="9">
        <f t="shared" si="0"/>
        <v>6.6707209392596042E-2</v>
      </c>
      <c r="K8" s="9">
        <f t="shared" si="0"/>
        <v>7.5474820760938574E-2</v>
      </c>
      <c r="L8" s="9">
        <f t="shared" si="0"/>
        <v>8.2309620944215067E-2</v>
      </c>
      <c r="M8" s="9">
        <f t="shared" si="0"/>
        <v>9.6758466093196688E-2</v>
      </c>
      <c r="N8" s="9">
        <f t="shared" si="0"/>
        <v>0.13058799759900552</v>
      </c>
      <c r="O8" s="32"/>
      <c r="P8" s="32">
        <v>38117855.737822823</v>
      </c>
      <c r="Q8" s="32">
        <f>P8/1000000000</f>
        <v>3.8117855737822823E-2</v>
      </c>
      <c r="R8" s="32"/>
      <c r="S8" s="41">
        <v>45477</v>
      </c>
      <c r="T8" s="9">
        <v>3.8117855737822823E-2</v>
      </c>
      <c r="U8" s="9">
        <f t="shared" ref="U8:AE8" si="1">U2</f>
        <v>4.7771240248998564E-2</v>
      </c>
      <c r="V8" s="9">
        <f t="shared" si="1"/>
        <v>5.2217284931570615E-2</v>
      </c>
      <c r="W8" s="9">
        <f t="shared" si="1"/>
        <v>5.5955098451754989E-2</v>
      </c>
      <c r="X8" s="9">
        <f t="shared" si="1"/>
        <v>5.8416050992473018E-2</v>
      </c>
      <c r="Y8" s="9">
        <f t="shared" si="1"/>
        <v>6.3040095867171603E-2</v>
      </c>
      <c r="Z8" s="9">
        <f t="shared" si="1"/>
        <v>6.8853421493868625E-2</v>
      </c>
      <c r="AA8" s="9">
        <f t="shared" si="1"/>
        <v>7.5776125345343073E-2</v>
      </c>
      <c r="AB8" s="9">
        <f t="shared" si="1"/>
        <v>8.2879861438139912E-2</v>
      </c>
      <c r="AC8" s="9">
        <f t="shared" si="1"/>
        <v>8.7307986484982752E-2</v>
      </c>
      <c r="AD8" s="9">
        <f t="shared" si="1"/>
        <v>9.6244094093638793E-2</v>
      </c>
      <c r="AE8" s="9">
        <f t="shared" si="1"/>
        <v>0.12115595838818555</v>
      </c>
      <c r="AF8" s="32"/>
      <c r="AG8" s="32"/>
      <c r="AI8" s="40"/>
      <c r="AQ8" s="231">
        <v>45841</v>
      </c>
      <c r="AR8" s="76">
        <v>2.7363571000000003E-2</v>
      </c>
      <c r="AS8" s="9">
        <f t="shared" ref="AS8:BC8" si="2">AS2</f>
        <v>4.6619496079109202E-2</v>
      </c>
      <c r="AT8" s="9">
        <f t="shared" si="2"/>
        <v>5.1196076407316951E-2</v>
      </c>
      <c r="AU8" s="9">
        <f t="shared" si="2"/>
        <v>5.4865780352056914E-2</v>
      </c>
      <c r="AV8" s="9">
        <f t="shared" si="2"/>
        <v>5.7138325857610618E-2</v>
      </c>
      <c r="AW8" s="9">
        <f t="shared" si="2"/>
        <v>6.1283068336750575E-2</v>
      </c>
      <c r="AX8" s="9">
        <f t="shared" si="2"/>
        <v>6.7007659123605373E-2</v>
      </c>
      <c r="AY8" s="9">
        <f t="shared" si="2"/>
        <v>7.3796246163303061E-2</v>
      </c>
      <c r="AZ8" s="9">
        <f t="shared" si="2"/>
        <v>8.0576647234632828E-2</v>
      </c>
      <c r="BA8" s="9">
        <f t="shared" si="2"/>
        <v>8.540539501738402E-2</v>
      </c>
      <c r="BB8" s="9">
        <f t="shared" si="2"/>
        <v>9.5017710207988298E-2</v>
      </c>
      <c r="BC8" s="9">
        <f t="shared" si="2"/>
        <v>0.13077996962145844</v>
      </c>
      <c r="BD8" s="32"/>
      <c r="BE8" s="32"/>
      <c r="BG8" s="40"/>
    </row>
    <row r="9" spans="1:71" x14ac:dyDescent="0.25">
      <c r="A9" s="32"/>
      <c r="B9" s="229">
        <v>45848</v>
      </c>
      <c r="C9" s="230">
        <v>6.9103400977044371E-2</v>
      </c>
      <c r="D9" s="9">
        <f t="shared" ref="D9:N9" si="3">D8+D$2</f>
        <v>7.5726927543144307E-2</v>
      </c>
      <c r="E9" s="9">
        <f t="shared" si="3"/>
        <v>8.4833906717468627E-2</v>
      </c>
      <c r="F9" s="9">
        <f t="shared" si="3"/>
        <v>9.0794350180082986E-2</v>
      </c>
      <c r="G9" s="9">
        <f t="shared" si="3"/>
        <v>9.4841603515353076E-2</v>
      </c>
      <c r="H9" s="9">
        <f t="shared" si="3"/>
        <v>0.10320726346171649</v>
      </c>
      <c r="I9" s="9">
        <f t="shared" si="3"/>
        <v>0.11608679404213292</v>
      </c>
      <c r="J9" s="9">
        <f t="shared" si="3"/>
        <v>0.13341441878519208</v>
      </c>
      <c r="K9" s="9">
        <f t="shared" si="3"/>
        <v>0.15094964152187715</v>
      </c>
      <c r="L9" s="9">
        <f t="shared" si="3"/>
        <v>0.16461924188843013</v>
      </c>
      <c r="M9" s="9">
        <f t="shared" si="3"/>
        <v>0.19351693218639338</v>
      </c>
      <c r="N9" s="9">
        <f t="shared" si="3"/>
        <v>0.26117599519801105</v>
      </c>
      <c r="O9" s="32"/>
      <c r="P9" s="32">
        <v>73507496.964367449</v>
      </c>
      <c r="Q9" s="32">
        <f t="shared" ref="Q9:Q33" si="4">P9/1000000000</f>
        <v>7.3507496964367453E-2</v>
      </c>
      <c r="R9" s="32"/>
      <c r="S9" s="41">
        <v>45484</v>
      </c>
      <c r="T9" s="9">
        <v>7.3507496964367453E-2</v>
      </c>
      <c r="U9" s="9">
        <f t="shared" ref="U9:AE9" si="5">U8+U$2</f>
        <v>9.5542480497997129E-2</v>
      </c>
      <c r="V9" s="9">
        <f t="shared" si="5"/>
        <v>0.10443456986314123</v>
      </c>
      <c r="W9" s="9">
        <f t="shared" si="5"/>
        <v>0.11191019690350998</v>
      </c>
      <c r="X9" s="9">
        <f t="shared" si="5"/>
        <v>0.11683210198494604</v>
      </c>
      <c r="Y9" s="9">
        <f t="shared" si="5"/>
        <v>0.12608019173434321</v>
      </c>
      <c r="Z9" s="9">
        <f t="shared" si="5"/>
        <v>0.13770684298773725</v>
      </c>
      <c r="AA9" s="9">
        <f t="shared" si="5"/>
        <v>0.15155225069068615</v>
      </c>
      <c r="AB9" s="9">
        <f t="shared" si="5"/>
        <v>0.16575972287627982</v>
      </c>
      <c r="AC9" s="9">
        <f t="shared" si="5"/>
        <v>0.1746159729699655</v>
      </c>
      <c r="AD9" s="9">
        <f t="shared" si="5"/>
        <v>0.19248818818727759</v>
      </c>
      <c r="AE9" s="9">
        <f t="shared" si="5"/>
        <v>0.24231191677637109</v>
      </c>
      <c r="AF9" s="32"/>
      <c r="AG9" s="32"/>
      <c r="AQ9" s="231">
        <v>45848</v>
      </c>
      <c r="AR9" s="76">
        <v>6.9103401000000009E-2</v>
      </c>
      <c r="AS9" s="9">
        <f t="shared" ref="AS9:BC9" si="6">AS8+AS$2</f>
        <v>9.3238992158218403E-2</v>
      </c>
      <c r="AT9" s="9">
        <f t="shared" si="6"/>
        <v>0.1023921528146339</v>
      </c>
      <c r="AU9" s="9">
        <f t="shared" si="6"/>
        <v>0.10973156070411383</v>
      </c>
      <c r="AV9" s="9">
        <f t="shared" si="6"/>
        <v>0.11427665171522124</v>
      </c>
      <c r="AW9" s="9">
        <f t="shared" si="6"/>
        <v>0.12256613667350115</v>
      </c>
      <c r="AX9" s="9">
        <f t="shared" si="6"/>
        <v>0.13401531824721075</v>
      </c>
      <c r="AY9" s="9">
        <f t="shared" si="6"/>
        <v>0.14759249232660612</v>
      </c>
      <c r="AZ9" s="9">
        <f t="shared" si="6"/>
        <v>0.16115329446926566</v>
      </c>
      <c r="BA9" s="9">
        <f t="shared" si="6"/>
        <v>0.17081079003476804</v>
      </c>
      <c r="BB9" s="9">
        <f t="shared" si="6"/>
        <v>0.1900354204159766</v>
      </c>
      <c r="BC9" s="9">
        <f t="shared" si="6"/>
        <v>0.26155993924291687</v>
      </c>
      <c r="BD9" s="32"/>
      <c r="BE9" s="32"/>
    </row>
    <row r="10" spans="1:71" x14ac:dyDescent="0.25">
      <c r="A10" s="32"/>
      <c r="B10" s="229">
        <v>45855</v>
      </c>
      <c r="C10" s="230">
        <v>0.12094884715456784</v>
      </c>
      <c r="D10" s="9">
        <f t="shared" ref="D10:N10" si="7">D9+D$2</f>
        <v>0.11359039131471646</v>
      </c>
      <c r="E10" s="9">
        <f t="shared" si="7"/>
        <v>0.12725086007620295</v>
      </c>
      <c r="F10" s="9">
        <f t="shared" si="7"/>
        <v>0.13619152527012449</v>
      </c>
      <c r="G10" s="9">
        <f t="shared" si="7"/>
        <v>0.14226240527302961</v>
      </c>
      <c r="H10" s="9">
        <f t="shared" si="7"/>
        <v>0.15481089519257474</v>
      </c>
      <c r="I10" s="9">
        <f t="shared" si="7"/>
        <v>0.17413019106319938</v>
      </c>
      <c r="J10" s="9">
        <f t="shared" si="7"/>
        <v>0.20012162817778811</v>
      </c>
      <c r="K10" s="9">
        <f t="shared" si="7"/>
        <v>0.22642446228281571</v>
      </c>
      <c r="L10" s="9">
        <f t="shared" si="7"/>
        <v>0.2469288628326452</v>
      </c>
      <c r="M10" s="9">
        <f t="shared" si="7"/>
        <v>0.29027539827959004</v>
      </c>
      <c r="N10" s="9">
        <f t="shared" si="7"/>
        <v>0.39176399279701657</v>
      </c>
      <c r="O10" s="32"/>
      <c r="P10" s="32">
        <v>111498199.43942466</v>
      </c>
      <c r="Q10" s="32">
        <f t="shared" si="4"/>
        <v>0.11149819943942467</v>
      </c>
      <c r="R10" s="32"/>
      <c r="S10" s="41">
        <v>45491</v>
      </c>
      <c r="T10" s="9">
        <v>0.11149819943942467</v>
      </c>
      <c r="U10" s="9">
        <f t="shared" ref="U10:AE10" si="8">U9+U$2</f>
        <v>0.14331372074699569</v>
      </c>
      <c r="V10" s="9">
        <f t="shared" si="8"/>
        <v>0.15665185479471183</v>
      </c>
      <c r="W10" s="9">
        <f t="shared" si="8"/>
        <v>0.16786529535526495</v>
      </c>
      <c r="X10" s="9">
        <f t="shared" si="8"/>
        <v>0.17524815297741905</v>
      </c>
      <c r="Y10" s="9">
        <f t="shared" si="8"/>
        <v>0.18912028760151481</v>
      </c>
      <c r="Z10" s="9">
        <f t="shared" si="8"/>
        <v>0.20656026448160586</v>
      </c>
      <c r="AA10" s="9">
        <f t="shared" si="8"/>
        <v>0.22732837603602923</v>
      </c>
      <c r="AB10" s="9">
        <f t="shared" si="8"/>
        <v>0.24863958431441974</v>
      </c>
      <c r="AC10" s="9">
        <f t="shared" si="8"/>
        <v>0.26192395945494829</v>
      </c>
      <c r="AD10" s="9">
        <f t="shared" si="8"/>
        <v>0.28873228228091641</v>
      </c>
      <c r="AE10" s="9">
        <f t="shared" si="8"/>
        <v>0.36346787516455664</v>
      </c>
      <c r="AF10" s="32"/>
      <c r="AG10" s="32"/>
      <c r="AQ10" s="231">
        <v>45855</v>
      </c>
      <c r="AR10" s="76">
        <v>0.12094884700000001</v>
      </c>
      <c r="AS10" s="9">
        <f t="shared" ref="AS10:BC10" si="9">AS9+AS$2</f>
        <v>0.13985848823732761</v>
      </c>
      <c r="AT10" s="9">
        <f t="shared" si="9"/>
        <v>0.15358822922195087</v>
      </c>
      <c r="AU10" s="9">
        <f t="shared" si="9"/>
        <v>0.16459734105617074</v>
      </c>
      <c r="AV10" s="9">
        <f t="shared" si="9"/>
        <v>0.17141497757283186</v>
      </c>
      <c r="AW10" s="9">
        <f t="shared" si="9"/>
        <v>0.18384920501025173</v>
      </c>
      <c r="AX10" s="9">
        <f t="shared" si="9"/>
        <v>0.20102297737081612</v>
      </c>
      <c r="AY10" s="9">
        <f t="shared" si="9"/>
        <v>0.2213887384899092</v>
      </c>
      <c r="AZ10" s="9">
        <f t="shared" si="9"/>
        <v>0.2417299417038985</v>
      </c>
      <c r="BA10" s="9">
        <f t="shared" si="9"/>
        <v>0.25621618505215205</v>
      </c>
      <c r="BB10" s="9">
        <f t="shared" si="9"/>
        <v>0.28505313062396487</v>
      </c>
      <c r="BC10" s="9">
        <f t="shared" si="9"/>
        <v>0.39233990886437531</v>
      </c>
      <c r="BD10" s="32"/>
      <c r="BE10" s="32"/>
    </row>
    <row r="11" spans="1:71" x14ac:dyDescent="0.25">
      <c r="A11" s="32"/>
      <c r="B11" s="229">
        <v>45862</v>
      </c>
      <c r="C11" s="230">
        <v>0.18174940468201475</v>
      </c>
      <c r="D11" s="9">
        <f t="shared" ref="D11:N11" si="10">D10+D$2</f>
        <v>0.15145385508628861</v>
      </c>
      <c r="E11" s="9">
        <f t="shared" si="10"/>
        <v>0.16966781343493725</v>
      </c>
      <c r="F11" s="9">
        <f t="shared" si="10"/>
        <v>0.18158870036016597</v>
      </c>
      <c r="G11" s="9">
        <f t="shared" si="10"/>
        <v>0.18968320703070615</v>
      </c>
      <c r="H11" s="9">
        <f t="shared" si="10"/>
        <v>0.20641452692343298</v>
      </c>
      <c r="I11" s="9">
        <f t="shared" si="10"/>
        <v>0.23217358808426583</v>
      </c>
      <c r="J11" s="9">
        <f t="shared" si="10"/>
        <v>0.26682883757038417</v>
      </c>
      <c r="K11" s="9">
        <f t="shared" si="10"/>
        <v>0.3018992830437543</v>
      </c>
      <c r="L11" s="9">
        <f t="shared" si="10"/>
        <v>0.32923848377686027</v>
      </c>
      <c r="M11" s="9">
        <f t="shared" si="10"/>
        <v>0.38703386437278675</v>
      </c>
      <c r="N11" s="9">
        <f t="shared" si="10"/>
        <v>0.52235199039602209</v>
      </c>
      <c r="O11" s="32"/>
      <c r="P11" s="32">
        <v>149369573.89486763</v>
      </c>
      <c r="Q11" s="32">
        <f t="shared" si="4"/>
        <v>0.14936957389486763</v>
      </c>
      <c r="R11" s="32"/>
      <c r="S11" s="41">
        <v>45498</v>
      </c>
      <c r="T11" s="9">
        <v>0.14936957389486763</v>
      </c>
      <c r="U11" s="9">
        <f t="shared" ref="U11:AE11" si="11">U10+U$2</f>
        <v>0.19108496099599426</v>
      </c>
      <c r="V11" s="9">
        <f t="shared" si="11"/>
        <v>0.20886913972628246</v>
      </c>
      <c r="W11" s="9">
        <f t="shared" si="11"/>
        <v>0.22382039380701996</v>
      </c>
      <c r="X11" s="9">
        <f t="shared" si="11"/>
        <v>0.23366420396989207</v>
      </c>
      <c r="Y11" s="9">
        <f t="shared" si="11"/>
        <v>0.25216038346868641</v>
      </c>
      <c r="Z11" s="9">
        <f t="shared" si="11"/>
        <v>0.2754136859754745</v>
      </c>
      <c r="AA11" s="9">
        <f t="shared" si="11"/>
        <v>0.30310450138137229</v>
      </c>
      <c r="AB11" s="9">
        <f t="shared" si="11"/>
        <v>0.33151944575255965</v>
      </c>
      <c r="AC11" s="9">
        <f t="shared" si="11"/>
        <v>0.34923194593993101</v>
      </c>
      <c r="AD11" s="9">
        <f t="shared" si="11"/>
        <v>0.38497637637455517</v>
      </c>
      <c r="AE11" s="9">
        <f t="shared" si="11"/>
        <v>0.48462383355274219</v>
      </c>
      <c r="AF11" s="32"/>
      <c r="AG11" s="32"/>
      <c r="AQ11" s="231">
        <v>45862</v>
      </c>
      <c r="AR11" s="76">
        <v>0.181749405</v>
      </c>
      <c r="AS11" s="9">
        <f t="shared" ref="AS11:BC11" si="12">AS10+AS$2</f>
        <v>0.18647798431643681</v>
      </c>
      <c r="AT11" s="9">
        <f t="shared" si="12"/>
        <v>0.2047843056292678</v>
      </c>
      <c r="AU11" s="9">
        <f t="shared" si="12"/>
        <v>0.21946312140822766</v>
      </c>
      <c r="AV11" s="9">
        <f t="shared" si="12"/>
        <v>0.22855330343044247</v>
      </c>
      <c r="AW11" s="9">
        <f t="shared" si="12"/>
        <v>0.2451322733470023</v>
      </c>
      <c r="AX11" s="9">
        <f t="shared" si="12"/>
        <v>0.26803063649442149</v>
      </c>
      <c r="AY11" s="9">
        <f t="shared" si="12"/>
        <v>0.29518498465321225</v>
      </c>
      <c r="AZ11" s="9">
        <f t="shared" si="12"/>
        <v>0.32230658893853131</v>
      </c>
      <c r="BA11" s="9">
        <f t="shared" si="12"/>
        <v>0.34162158006953608</v>
      </c>
      <c r="BB11" s="9">
        <f t="shared" si="12"/>
        <v>0.38007084083195319</v>
      </c>
      <c r="BC11" s="9">
        <f t="shared" si="12"/>
        <v>0.52311987848583374</v>
      </c>
      <c r="BD11" s="32"/>
      <c r="BE11" s="32"/>
    </row>
    <row r="12" spans="1:71" x14ac:dyDescent="0.25">
      <c r="A12" s="32"/>
      <c r="B12" s="229">
        <v>45869</v>
      </c>
      <c r="C12" s="230">
        <v>0.20861682392960276</v>
      </c>
      <c r="D12" s="9">
        <f t="shared" ref="D12:N12" si="13">D11+D$2</f>
        <v>0.18931731885786077</v>
      </c>
      <c r="E12" s="9">
        <f t="shared" si="13"/>
        <v>0.21208476679367155</v>
      </c>
      <c r="F12" s="9">
        <f t="shared" si="13"/>
        <v>0.22698587545020746</v>
      </c>
      <c r="G12" s="9">
        <f t="shared" si="13"/>
        <v>0.2371040087883827</v>
      </c>
      <c r="H12" s="9">
        <f t="shared" si="13"/>
        <v>0.25801815865429123</v>
      </c>
      <c r="I12" s="9">
        <f t="shared" si="13"/>
        <v>0.29021698510533228</v>
      </c>
      <c r="J12" s="9">
        <f t="shared" si="13"/>
        <v>0.33353604696298023</v>
      </c>
      <c r="K12" s="9">
        <f t="shared" si="13"/>
        <v>0.37737410380469288</v>
      </c>
      <c r="L12" s="9">
        <f t="shared" si="13"/>
        <v>0.41154810472107534</v>
      </c>
      <c r="M12" s="9">
        <f t="shared" si="13"/>
        <v>0.48379233046598347</v>
      </c>
      <c r="N12" s="9">
        <f t="shared" si="13"/>
        <v>0.65293998799502762</v>
      </c>
      <c r="O12" s="32"/>
      <c r="P12" s="32">
        <v>202910486.07819551</v>
      </c>
      <c r="Q12" s="32">
        <f t="shared" si="4"/>
        <v>0.20291048607819551</v>
      </c>
      <c r="R12" s="32"/>
      <c r="S12" s="41">
        <v>45505</v>
      </c>
      <c r="T12" s="9">
        <v>0.20291048607819551</v>
      </c>
      <c r="U12" s="9">
        <f t="shared" ref="U12:AE12" si="14">U11+U$2</f>
        <v>0.23885620124499282</v>
      </c>
      <c r="V12" s="9">
        <f t="shared" si="14"/>
        <v>0.26108642465785309</v>
      </c>
      <c r="W12" s="9">
        <f t="shared" si="14"/>
        <v>0.27977549225877496</v>
      </c>
      <c r="X12" s="9">
        <f t="shared" si="14"/>
        <v>0.29208025496236512</v>
      </c>
      <c r="Y12" s="9">
        <f t="shared" si="14"/>
        <v>0.31520047933585804</v>
      </c>
      <c r="Z12" s="9">
        <f t="shared" si="14"/>
        <v>0.34426710746934314</v>
      </c>
      <c r="AA12" s="9">
        <f t="shared" si="14"/>
        <v>0.37888062672671535</v>
      </c>
      <c r="AB12" s="9">
        <f t="shared" si="14"/>
        <v>0.41439930719069956</v>
      </c>
      <c r="AC12" s="9">
        <f t="shared" si="14"/>
        <v>0.43653993242491373</v>
      </c>
      <c r="AD12" s="9">
        <f t="shared" si="14"/>
        <v>0.48122047046819394</v>
      </c>
      <c r="AE12" s="9">
        <f t="shared" si="14"/>
        <v>0.60577979194092779</v>
      </c>
      <c r="AF12" s="32"/>
      <c r="AG12" s="32"/>
      <c r="AQ12" s="231">
        <v>45869</v>
      </c>
      <c r="AR12" s="76">
        <v>0.20861682400000001</v>
      </c>
      <c r="AS12" s="9">
        <f t="shared" ref="AS12:BC12" si="15">AS11+AS$2</f>
        <v>0.23309748039554601</v>
      </c>
      <c r="AT12" s="9">
        <f t="shared" si="15"/>
        <v>0.25598038203658474</v>
      </c>
      <c r="AU12" s="9">
        <f t="shared" si="15"/>
        <v>0.27432890176028457</v>
      </c>
      <c r="AV12" s="9">
        <f t="shared" si="15"/>
        <v>0.28569162928805308</v>
      </c>
      <c r="AW12" s="9">
        <f t="shared" si="15"/>
        <v>0.3064153416837529</v>
      </c>
      <c r="AX12" s="9">
        <f t="shared" si="15"/>
        <v>0.33503829561802689</v>
      </c>
      <c r="AY12" s="9">
        <f t="shared" si="15"/>
        <v>0.36898123081651529</v>
      </c>
      <c r="AZ12" s="9">
        <f t="shared" si="15"/>
        <v>0.40288323617316413</v>
      </c>
      <c r="BA12" s="9">
        <f t="shared" si="15"/>
        <v>0.42702697508692011</v>
      </c>
      <c r="BB12" s="9">
        <f t="shared" si="15"/>
        <v>0.47508855103994152</v>
      </c>
      <c r="BC12" s="9">
        <f t="shared" si="15"/>
        <v>0.65389984810729218</v>
      </c>
      <c r="BD12" s="32"/>
      <c r="BE12" s="32"/>
    </row>
    <row r="13" spans="1:71" x14ac:dyDescent="0.25">
      <c r="A13" s="32"/>
      <c r="B13" s="229">
        <v>45876</v>
      </c>
      <c r="C13" s="230">
        <v>0.24776279176671767</v>
      </c>
      <c r="D13" s="9">
        <f t="shared" ref="D13:N13" si="16">D12+D$2</f>
        <v>0.22718078262943292</v>
      </c>
      <c r="E13" s="9">
        <f t="shared" si="16"/>
        <v>0.25450172015240585</v>
      </c>
      <c r="F13" s="9">
        <f t="shared" si="16"/>
        <v>0.27238305054024897</v>
      </c>
      <c r="G13" s="9">
        <f t="shared" si="16"/>
        <v>0.28452481054605921</v>
      </c>
      <c r="H13" s="9">
        <f t="shared" si="16"/>
        <v>0.30962179038514948</v>
      </c>
      <c r="I13" s="9">
        <f t="shared" si="16"/>
        <v>0.34826038212639876</v>
      </c>
      <c r="J13" s="9">
        <f t="shared" si="16"/>
        <v>0.40024325635557628</v>
      </c>
      <c r="K13" s="9">
        <f t="shared" si="16"/>
        <v>0.45284892456563147</v>
      </c>
      <c r="L13" s="9">
        <f t="shared" si="16"/>
        <v>0.4938577256652904</v>
      </c>
      <c r="M13" s="9">
        <f t="shared" si="16"/>
        <v>0.58055079655918018</v>
      </c>
      <c r="N13" s="9">
        <f t="shared" si="16"/>
        <v>0.78352798559403314</v>
      </c>
      <c r="O13" s="32"/>
      <c r="P13" s="32">
        <v>270601814.42471397</v>
      </c>
      <c r="Q13" s="32">
        <f t="shared" si="4"/>
        <v>0.27060181442471398</v>
      </c>
      <c r="R13" s="32"/>
      <c r="S13" s="41">
        <v>45512</v>
      </c>
      <c r="T13" s="9">
        <v>0.27060181442471398</v>
      </c>
      <c r="U13" s="9">
        <f t="shared" ref="U13:AE13" si="17">U12+U$2</f>
        <v>0.28662744149399139</v>
      </c>
      <c r="V13" s="9">
        <f t="shared" si="17"/>
        <v>0.31330370958942372</v>
      </c>
      <c r="W13" s="9">
        <f t="shared" si="17"/>
        <v>0.33573059071052996</v>
      </c>
      <c r="X13" s="9">
        <f t="shared" si="17"/>
        <v>0.35049630595483816</v>
      </c>
      <c r="Y13" s="9">
        <f t="shared" si="17"/>
        <v>0.37824057520302967</v>
      </c>
      <c r="Z13" s="9">
        <f t="shared" si="17"/>
        <v>0.41312052896321177</v>
      </c>
      <c r="AA13" s="9">
        <f t="shared" si="17"/>
        <v>0.45465675207205841</v>
      </c>
      <c r="AB13" s="9">
        <f t="shared" si="17"/>
        <v>0.49727916862883947</v>
      </c>
      <c r="AC13" s="9">
        <f t="shared" si="17"/>
        <v>0.52384791890989646</v>
      </c>
      <c r="AD13" s="9">
        <f t="shared" si="17"/>
        <v>0.57746456456183271</v>
      </c>
      <c r="AE13" s="9">
        <f t="shared" si="17"/>
        <v>0.72693575032911339</v>
      </c>
      <c r="AF13" s="32"/>
      <c r="AG13" s="32"/>
      <c r="AQ13" s="231">
        <v>45876</v>
      </c>
      <c r="AR13" s="76">
        <v>0.24776279200000001</v>
      </c>
      <c r="AS13" s="9">
        <f t="shared" ref="AS13:BC13" si="18">AS12+AS$2</f>
        <v>0.27971697647465521</v>
      </c>
      <c r="AT13" s="9">
        <f t="shared" si="18"/>
        <v>0.30717645844390168</v>
      </c>
      <c r="AU13" s="9">
        <f t="shared" si="18"/>
        <v>0.32919468211234149</v>
      </c>
      <c r="AV13" s="9">
        <f t="shared" si="18"/>
        <v>0.34282995514566372</v>
      </c>
      <c r="AW13" s="9">
        <f t="shared" si="18"/>
        <v>0.36769841002050346</v>
      </c>
      <c r="AX13" s="9">
        <f t="shared" si="18"/>
        <v>0.40204595474163229</v>
      </c>
      <c r="AY13" s="9">
        <f t="shared" si="18"/>
        <v>0.44277747697981834</v>
      </c>
      <c r="AZ13" s="9">
        <f t="shared" si="18"/>
        <v>0.48345988340779694</v>
      </c>
      <c r="BA13" s="9">
        <f t="shared" si="18"/>
        <v>0.51243237010430409</v>
      </c>
      <c r="BB13" s="9">
        <f t="shared" si="18"/>
        <v>0.57010626124792985</v>
      </c>
      <c r="BC13" s="9">
        <f t="shared" si="18"/>
        <v>0.78467981772875062</v>
      </c>
      <c r="BD13" s="32"/>
      <c r="BE13" s="32"/>
    </row>
    <row r="14" spans="1:71" x14ac:dyDescent="0.25">
      <c r="A14" s="32"/>
      <c r="B14" s="229">
        <v>45883</v>
      </c>
      <c r="C14" s="230">
        <v>0.30199165700858344</v>
      </c>
      <c r="D14" s="9">
        <f t="shared" ref="D14:N14" si="19">D13+D$2</f>
        <v>0.2650442464010051</v>
      </c>
      <c r="E14" s="9">
        <f t="shared" si="19"/>
        <v>0.29691867351114015</v>
      </c>
      <c r="F14" s="9">
        <f t="shared" si="19"/>
        <v>0.31778022563029046</v>
      </c>
      <c r="G14" s="9">
        <f t="shared" si="19"/>
        <v>0.33194561230373576</v>
      </c>
      <c r="H14" s="9">
        <f t="shared" si="19"/>
        <v>0.36122542211600772</v>
      </c>
      <c r="I14" s="9">
        <f t="shared" si="19"/>
        <v>0.40630377914746524</v>
      </c>
      <c r="J14" s="9">
        <f t="shared" si="19"/>
        <v>0.46695046574817234</v>
      </c>
      <c r="K14" s="9">
        <f t="shared" si="19"/>
        <v>0.52832374532657</v>
      </c>
      <c r="L14" s="9">
        <f t="shared" si="19"/>
        <v>0.57616734660950542</v>
      </c>
      <c r="M14" s="9">
        <f t="shared" si="19"/>
        <v>0.6773092626523769</v>
      </c>
      <c r="N14" s="9">
        <f t="shared" si="19"/>
        <v>0.91411598319303866</v>
      </c>
      <c r="O14" s="32"/>
      <c r="P14" s="32">
        <v>364965926.42432171</v>
      </c>
      <c r="Q14" s="32">
        <f t="shared" si="4"/>
        <v>0.36496592642432168</v>
      </c>
      <c r="R14" s="32"/>
      <c r="S14" s="41">
        <v>45519</v>
      </c>
      <c r="T14" s="9">
        <v>0.36496592642432168</v>
      </c>
      <c r="U14" s="9">
        <f t="shared" ref="U14:AE14" si="20">U13+U$2</f>
        <v>0.33439868174298992</v>
      </c>
      <c r="V14" s="9">
        <f t="shared" si="20"/>
        <v>0.36552099452099435</v>
      </c>
      <c r="W14" s="9">
        <f t="shared" si="20"/>
        <v>0.39168568916228497</v>
      </c>
      <c r="X14" s="9">
        <f t="shared" si="20"/>
        <v>0.40891235694731121</v>
      </c>
      <c r="Y14" s="9">
        <f t="shared" si="20"/>
        <v>0.4412806710702013</v>
      </c>
      <c r="Z14" s="9">
        <f t="shared" si="20"/>
        <v>0.48197395045708041</v>
      </c>
      <c r="AA14" s="9">
        <f t="shared" si="20"/>
        <v>0.53043287741740153</v>
      </c>
      <c r="AB14" s="9">
        <f t="shared" si="20"/>
        <v>0.58015903006697944</v>
      </c>
      <c r="AC14" s="9">
        <f t="shared" si="20"/>
        <v>0.61115590539487918</v>
      </c>
      <c r="AD14" s="9">
        <f t="shared" si="20"/>
        <v>0.67370865865547147</v>
      </c>
      <c r="AE14" s="9">
        <f t="shared" si="20"/>
        <v>0.848091708717299</v>
      </c>
      <c r="AF14" s="32"/>
      <c r="AG14" s="32"/>
      <c r="AQ14" s="231">
        <v>45883</v>
      </c>
      <c r="AR14" s="76">
        <v>0.30199165700000002</v>
      </c>
      <c r="AS14" s="9">
        <f t="shared" ref="AS14:BC14" si="21">AS13+AS$2</f>
        <v>0.32633647255376441</v>
      </c>
      <c r="AT14" s="9">
        <f t="shared" si="21"/>
        <v>0.35837253485121862</v>
      </c>
      <c r="AU14" s="9">
        <f t="shared" si="21"/>
        <v>0.3840604624643984</v>
      </c>
      <c r="AV14" s="9">
        <f t="shared" si="21"/>
        <v>0.39996828100327436</v>
      </c>
      <c r="AW14" s="9">
        <f t="shared" si="21"/>
        <v>0.42898147835725403</v>
      </c>
      <c r="AX14" s="9">
        <f t="shared" si="21"/>
        <v>0.4690536138652377</v>
      </c>
      <c r="AY14" s="9">
        <f t="shared" si="21"/>
        <v>0.51657372314312144</v>
      </c>
      <c r="AZ14" s="9">
        <f t="shared" si="21"/>
        <v>0.56403653064242976</v>
      </c>
      <c r="BA14" s="9">
        <f t="shared" si="21"/>
        <v>0.59783776512168807</v>
      </c>
      <c r="BB14" s="9">
        <f t="shared" si="21"/>
        <v>0.66512397145591817</v>
      </c>
      <c r="BC14" s="9">
        <f t="shared" si="21"/>
        <v>0.91545978735020905</v>
      </c>
      <c r="BD14" s="32"/>
      <c r="BE14" s="32"/>
    </row>
    <row r="15" spans="1:71" x14ac:dyDescent="0.25">
      <c r="A15" s="32"/>
      <c r="B15" s="229">
        <v>45890</v>
      </c>
      <c r="C15" s="230">
        <v>0.36537692849224829</v>
      </c>
      <c r="D15" s="9">
        <f t="shared" ref="D15:N15" si="22">D14+D$2</f>
        <v>0.30290771017257723</v>
      </c>
      <c r="E15" s="9">
        <f t="shared" si="22"/>
        <v>0.33933562686987445</v>
      </c>
      <c r="F15" s="9">
        <f t="shared" si="22"/>
        <v>0.36317740072033194</v>
      </c>
      <c r="G15" s="9">
        <f t="shared" si="22"/>
        <v>0.3793664140614123</v>
      </c>
      <c r="H15" s="9">
        <f t="shared" si="22"/>
        <v>0.41282905384686597</v>
      </c>
      <c r="I15" s="9">
        <f t="shared" si="22"/>
        <v>0.46434717616853172</v>
      </c>
      <c r="J15" s="9">
        <f t="shared" si="22"/>
        <v>0.53365767514076834</v>
      </c>
      <c r="K15" s="9">
        <f t="shared" si="22"/>
        <v>0.60379856608750859</v>
      </c>
      <c r="L15" s="9">
        <f t="shared" si="22"/>
        <v>0.65847696755372054</v>
      </c>
      <c r="M15" s="9">
        <f t="shared" si="22"/>
        <v>0.77406772874557361</v>
      </c>
      <c r="N15" s="9">
        <f t="shared" si="22"/>
        <v>1.0447039807920442</v>
      </c>
      <c r="O15" s="32"/>
      <c r="P15" s="32">
        <v>564057936.87374961</v>
      </c>
      <c r="Q15" s="32">
        <f t="shared" si="4"/>
        <v>0.56405793687374961</v>
      </c>
      <c r="R15" s="32"/>
      <c r="S15" s="41">
        <v>45526</v>
      </c>
      <c r="T15" s="9">
        <v>0.56405793687374961</v>
      </c>
      <c r="U15" s="9">
        <f t="shared" ref="U15:AE15" si="23">U14+U$2</f>
        <v>0.38216992199198851</v>
      </c>
      <c r="V15" s="9">
        <f t="shared" si="23"/>
        <v>0.41773827945256498</v>
      </c>
      <c r="W15" s="9">
        <f t="shared" si="23"/>
        <v>0.44764078761403997</v>
      </c>
      <c r="X15" s="9">
        <f t="shared" si="23"/>
        <v>0.46732840793978425</v>
      </c>
      <c r="Y15" s="9">
        <f t="shared" si="23"/>
        <v>0.50432076693737293</v>
      </c>
      <c r="Z15" s="9">
        <f t="shared" si="23"/>
        <v>0.550827371950949</v>
      </c>
      <c r="AA15" s="9">
        <f t="shared" si="23"/>
        <v>0.60620900276274459</v>
      </c>
      <c r="AB15" s="9">
        <f t="shared" si="23"/>
        <v>0.6630388915051193</v>
      </c>
      <c r="AC15" s="9">
        <f t="shared" si="23"/>
        <v>0.69846389187986191</v>
      </c>
      <c r="AD15" s="9">
        <f t="shared" si="23"/>
        <v>0.76995275274911024</v>
      </c>
      <c r="AE15" s="9">
        <f t="shared" si="23"/>
        <v>0.9692476671054846</v>
      </c>
      <c r="AF15" s="32"/>
      <c r="AG15" s="32"/>
      <c r="AQ15" s="231">
        <v>45890</v>
      </c>
      <c r="AR15" s="76">
        <v>0.36537692800000005</v>
      </c>
      <c r="AS15" s="9">
        <f t="shared" ref="AS15:BC15" si="24">AS14+AS$2</f>
        <v>0.37295596863287361</v>
      </c>
      <c r="AT15" s="9">
        <f t="shared" si="24"/>
        <v>0.40956861125853555</v>
      </c>
      <c r="AU15" s="9">
        <f t="shared" si="24"/>
        <v>0.43892624281645531</v>
      </c>
      <c r="AV15" s="9">
        <f t="shared" si="24"/>
        <v>0.457106606860885</v>
      </c>
      <c r="AW15" s="9">
        <f t="shared" si="24"/>
        <v>0.4902645466940046</v>
      </c>
      <c r="AX15" s="9">
        <f t="shared" si="24"/>
        <v>0.5360612729888431</v>
      </c>
      <c r="AY15" s="9">
        <f t="shared" si="24"/>
        <v>0.59036996930642449</v>
      </c>
      <c r="AZ15" s="9">
        <f t="shared" si="24"/>
        <v>0.64461317787706263</v>
      </c>
      <c r="BA15" s="9">
        <f t="shared" si="24"/>
        <v>0.68324316013907205</v>
      </c>
      <c r="BB15" s="9">
        <f t="shared" si="24"/>
        <v>0.7601416816639065</v>
      </c>
      <c r="BC15" s="9">
        <f t="shared" si="24"/>
        <v>1.0462397569716675</v>
      </c>
      <c r="BD15" s="32"/>
      <c r="BE15" s="32"/>
    </row>
    <row r="16" spans="1:71" x14ac:dyDescent="0.25">
      <c r="A16" s="32"/>
      <c r="B16" s="229">
        <v>45897</v>
      </c>
      <c r="C16" s="230">
        <v>0.45506235485381591</v>
      </c>
      <c r="D16" s="9">
        <f t="shared" ref="D16:N16" si="25">D15+D$2</f>
        <v>0.34077117394414935</v>
      </c>
      <c r="E16" s="9">
        <f t="shared" si="25"/>
        <v>0.38175258022860875</v>
      </c>
      <c r="F16" s="9">
        <f t="shared" si="25"/>
        <v>0.40857457581037343</v>
      </c>
      <c r="G16" s="9">
        <f t="shared" si="25"/>
        <v>0.42678721581908885</v>
      </c>
      <c r="H16" s="9">
        <f t="shared" si="25"/>
        <v>0.46443268557772421</v>
      </c>
      <c r="I16" s="9">
        <f t="shared" si="25"/>
        <v>0.52239057318959814</v>
      </c>
      <c r="J16" s="9">
        <f t="shared" si="25"/>
        <v>0.60036488453336434</v>
      </c>
      <c r="K16" s="9">
        <f t="shared" si="25"/>
        <v>0.67927338684844718</v>
      </c>
      <c r="L16" s="9">
        <f t="shared" si="25"/>
        <v>0.74078658849793566</v>
      </c>
      <c r="M16" s="9">
        <f t="shared" si="25"/>
        <v>0.87082619483877033</v>
      </c>
      <c r="N16" s="9">
        <f t="shared" si="25"/>
        <v>1.1752919783910496</v>
      </c>
      <c r="O16" s="32"/>
      <c r="P16" s="32">
        <v>591320737.16430211</v>
      </c>
      <c r="Q16" s="32">
        <f t="shared" si="4"/>
        <v>0.59132073716430211</v>
      </c>
      <c r="R16" s="32"/>
      <c r="S16" s="41">
        <v>45533</v>
      </c>
      <c r="T16" s="9">
        <v>0.59132073716430211</v>
      </c>
      <c r="U16" s="9">
        <f t="shared" ref="U16:AE16" si="26">U15+U$2</f>
        <v>0.42994116224098711</v>
      </c>
      <c r="V16" s="9">
        <f t="shared" si="26"/>
        <v>0.4699555643841356</v>
      </c>
      <c r="W16" s="9">
        <f t="shared" si="26"/>
        <v>0.50359588606579497</v>
      </c>
      <c r="X16" s="9">
        <f t="shared" si="26"/>
        <v>0.5257444589322573</v>
      </c>
      <c r="Y16" s="9">
        <f t="shared" si="26"/>
        <v>0.56736086280454456</v>
      </c>
      <c r="Z16" s="9">
        <f t="shared" si="26"/>
        <v>0.61968079344481763</v>
      </c>
      <c r="AA16" s="9">
        <f t="shared" si="26"/>
        <v>0.68198512810808765</v>
      </c>
      <c r="AB16" s="9">
        <f t="shared" si="26"/>
        <v>0.74591875294325916</v>
      </c>
      <c r="AC16" s="9">
        <f t="shared" si="26"/>
        <v>0.78577187836484463</v>
      </c>
      <c r="AD16" s="9">
        <f t="shared" si="26"/>
        <v>0.866196846842749</v>
      </c>
      <c r="AE16" s="9">
        <f t="shared" si="26"/>
        <v>1.0904036254936702</v>
      </c>
      <c r="AF16" s="32"/>
      <c r="AG16" s="32"/>
      <c r="AQ16" s="231">
        <v>45897</v>
      </c>
      <c r="AR16" s="76">
        <v>0.45506235500000003</v>
      </c>
      <c r="AS16" s="9">
        <f t="shared" ref="AS16:BC16" si="27">AS15+AS$2</f>
        <v>0.41957546471198282</v>
      </c>
      <c r="AT16" s="9">
        <f t="shared" si="27"/>
        <v>0.46076468766585249</v>
      </c>
      <c r="AU16" s="9">
        <f t="shared" si="27"/>
        <v>0.49379202316851223</v>
      </c>
      <c r="AV16" s="9">
        <f t="shared" si="27"/>
        <v>0.51424493271849558</v>
      </c>
      <c r="AW16" s="9">
        <f t="shared" si="27"/>
        <v>0.55154761503075522</v>
      </c>
      <c r="AX16" s="9">
        <f t="shared" si="27"/>
        <v>0.6030689321124485</v>
      </c>
      <c r="AY16" s="9">
        <f t="shared" si="27"/>
        <v>0.66416621546972754</v>
      </c>
      <c r="AZ16" s="9">
        <f t="shared" si="27"/>
        <v>0.7251898251116955</v>
      </c>
      <c r="BA16" s="9">
        <f t="shared" si="27"/>
        <v>0.76864855515645603</v>
      </c>
      <c r="BB16" s="9">
        <f t="shared" si="27"/>
        <v>0.85515939187189483</v>
      </c>
      <c r="BC16" s="9">
        <f t="shared" si="27"/>
        <v>1.1770197265931259</v>
      </c>
      <c r="BD16" s="32"/>
      <c r="BE16" s="32"/>
    </row>
    <row r="17" spans="1:59" x14ac:dyDescent="0.25">
      <c r="A17" s="32"/>
      <c r="B17" s="229">
        <v>45904</v>
      </c>
      <c r="C17" s="230">
        <v>0.59242059367835509</v>
      </c>
      <c r="D17" s="9">
        <f t="shared" ref="D17:N17" si="28">D16+D$2</f>
        <v>0.37863463771572148</v>
      </c>
      <c r="E17" s="9">
        <f t="shared" si="28"/>
        <v>0.42416953358734305</v>
      </c>
      <c r="F17" s="9">
        <f t="shared" si="28"/>
        <v>0.45397175090041492</v>
      </c>
      <c r="G17" s="9">
        <f t="shared" si="28"/>
        <v>0.47420801757676539</v>
      </c>
      <c r="H17" s="9">
        <f t="shared" si="28"/>
        <v>0.51603631730858246</v>
      </c>
      <c r="I17" s="9">
        <f t="shared" si="28"/>
        <v>0.58043397021066456</v>
      </c>
      <c r="J17" s="9">
        <f t="shared" si="28"/>
        <v>0.66707209392596034</v>
      </c>
      <c r="K17" s="9">
        <f t="shared" si="28"/>
        <v>0.75474820760938577</v>
      </c>
      <c r="L17" s="9">
        <f t="shared" si="28"/>
        <v>0.82309620944215078</v>
      </c>
      <c r="M17" s="9">
        <f t="shared" si="28"/>
        <v>0.96758466093196704</v>
      </c>
      <c r="N17" s="9">
        <f t="shared" si="28"/>
        <v>1.305879975990055</v>
      </c>
      <c r="O17" s="32"/>
      <c r="P17" s="32">
        <v>619279547.08349144</v>
      </c>
      <c r="Q17" s="32">
        <f t="shared" si="4"/>
        <v>0.61927954708349142</v>
      </c>
      <c r="R17" s="32"/>
      <c r="S17" s="41">
        <v>45540</v>
      </c>
      <c r="T17" s="9">
        <v>0.61927954708349142</v>
      </c>
      <c r="U17" s="9">
        <f t="shared" ref="U17:AE17" si="29">U16+U$2</f>
        <v>0.4777124024899857</v>
      </c>
      <c r="V17" s="9">
        <f t="shared" si="29"/>
        <v>0.52217284931570618</v>
      </c>
      <c r="W17" s="9">
        <f t="shared" si="29"/>
        <v>0.55955098451754992</v>
      </c>
      <c r="X17" s="9">
        <f t="shared" si="29"/>
        <v>0.58416050992473034</v>
      </c>
      <c r="Y17" s="9">
        <f t="shared" si="29"/>
        <v>0.63040095867171619</v>
      </c>
      <c r="Z17" s="9">
        <f t="shared" si="29"/>
        <v>0.68853421493868627</v>
      </c>
      <c r="AA17" s="9">
        <f t="shared" si="29"/>
        <v>0.75776125345343071</v>
      </c>
      <c r="AB17" s="9">
        <f t="shared" si="29"/>
        <v>0.82879861438139901</v>
      </c>
      <c r="AC17" s="9">
        <f t="shared" si="29"/>
        <v>0.87307986484982736</v>
      </c>
      <c r="AD17" s="9">
        <f t="shared" si="29"/>
        <v>0.96244094093638777</v>
      </c>
      <c r="AE17" s="9">
        <f t="shared" si="29"/>
        <v>1.2115595838818558</v>
      </c>
      <c r="AF17" s="32"/>
      <c r="AG17" s="32"/>
      <c r="AQ17" s="231">
        <v>45904</v>
      </c>
      <c r="AR17" s="76">
        <v>0.59242059400000002</v>
      </c>
      <c r="AS17" s="9">
        <f t="shared" ref="AS17:BC17" si="30">AS16+AS$2</f>
        <v>0.46619496079109202</v>
      </c>
      <c r="AT17" s="9">
        <f t="shared" si="30"/>
        <v>0.51196076407316948</v>
      </c>
      <c r="AU17" s="9">
        <f t="shared" si="30"/>
        <v>0.54865780352056914</v>
      </c>
      <c r="AV17" s="9">
        <f t="shared" si="30"/>
        <v>0.57138325857610617</v>
      </c>
      <c r="AW17" s="9">
        <f t="shared" si="30"/>
        <v>0.61283068336750579</v>
      </c>
      <c r="AX17" s="9">
        <f t="shared" si="30"/>
        <v>0.6700765912360539</v>
      </c>
      <c r="AY17" s="9">
        <f t="shared" si="30"/>
        <v>0.73796246163303059</v>
      </c>
      <c r="AZ17" s="9">
        <f t="shared" si="30"/>
        <v>0.80576647234632837</v>
      </c>
      <c r="BA17" s="9">
        <f t="shared" si="30"/>
        <v>0.85405395017384</v>
      </c>
      <c r="BB17" s="9">
        <f t="shared" si="30"/>
        <v>0.95017710207988315</v>
      </c>
      <c r="BC17" s="9">
        <f t="shared" si="30"/>
        <v>1.3077996962145844</v>
      </c>
      <c r="BD17" s="32"/>
      <c r="BE17" s="32"/>
    </row>
    <row r="18" spans="1:59" x14ac:dyDescent="0.25">
      <c r="A18" s="32"/>
      <c r="B18" s="229">
        <v>45911</v>
      </c>
      <c r="C18" s="230">
        <v>0.6200240218505555</v>
      </c>
      <c r="D18" s="9">
        <f t="shared" ref="D18:N18" si="31">D17+D$2</f>
        <v>0.4164981014872936</v>
      </c>
      <c r="E18" s="9">
        <f t="shared" si="31"/>
        <v>0.46658648694607735</v>
      </c>
      <c r="F18" s="9">
        <f t="shared" si="31"/>
        <v>0.4993689259904564</v>
      </c>
      <c r="G18" s="9">
        <f t="shared" si="31"/>
        <v>0.52162881933444194</v>
      </c>
      <c r="H18" s="9">
        <f t="shared" si="31"/>
        <v>0.56763994903944071</v>
      </c>
      <c r="I18" s="9">
        <f t="shared" si="31"/>
        <v>0.63847736723173099</v>
      </c>
      <c r="J18" s="9">
        <f t="shared" si="31"/>
        <v>0.73377930331855634</v>
      </c>
      <c r="K18" s="9">
        <f t="shared" si="31"/>
        <v>0.83022302837032436</v>
      </c>
      <c r="L18" s="9">
        <f t="shared" si="31"/>
        <v>0.90540583038636591</v>
      </c>
      <c r="M18" s="9">
        <f t="shared" si="31"/>
        <v>1.0643431270251638</v>
      </c>
      <c r="N18" s="9">
        <f t="shared" si="31"/>
        <v>1.4364679735890604</v>
      </c>
      <c r="O18" s="32"/>
      <c r="P18" s="32">
        <v>663608290.92422366</v>
      </c>
      <c r="Q18" s="32">
        <f t="shared" si="4"/>
        <v>0.66360829092422369</v>
      </c>
      <c r="R18" s="32"/>
      <c r="S18" s="41">
        <v>45547</v>
      </c>
      <c r="T18" s="9">
        <v>0.66360829092422369</v>
      </c>
      <c r="U18" s="9">
        <f t="shared" ref="U18:AE18" si="32">U17+U$2</f>
        <v>0.52548364273898429</v>
      </c>
      <c r="V18" s="9">
        <f t="shared" si="32"/>
        <v>0.57439013424727681</v>
      </c>
      <c r="W18" s="9">
        <f t="shared" si="32"/>
        <v>0.61550608296930487</v>
      </c>
      <c r="X18" s="9">
        <f t="shared" si="32"/>
        <v>0.64257656091720339</v>
      </c>
      <c r="Y18" s="9">
        <f t="shared" si="32"/>
        <v>0.69344105453888782</v>
      </c>
      <c r="Z18" s="9">
        <f t="shared" si="32"/>
        <v>0.75738763643255491</v>
      </c>
      <c r="AA18" s="9">
        <f t="shared" si="32"/>
        <v>0.83353737879877376</v>
      </c>
      <c r="AB18" s="9">
        <f t="shared" si="32"/>
        <v>0.91167847581953887</v>
      </c>
      <c r="AC18" s="9">
        <f t="shared" si="32"/>
        <v>0.96038785133481008</v>
      </c>
      <c r="AD18" s="9">
        <f t="shared" si="32"/>
        <v>1.0586850350300265</v>
      </c>
      <c r="AE18" s="9">
        <f t="shared" si="32"/>
        <v>1.3327155422700414</v>
      </c>
      <c r="AF18" s="32"/>
      <c r="AG18" s="32"/>
      <c r="AQ18" s="231">
        <v>45911</v>
      </c>
      <c r="AR18" s="76">
        <v>0.62002402200000006</v>
      </c>
      <c r="AS18" s="9">
        <f t="shared" ref="AS18:BC18" si="33">AS17+AS$2</f>
        <v>0.51281445687020122</v>
      </c>
      <c r="AT18" s="9">
        <f t="shared" si="33"/>
        <v>0.56315684048048642</v>
      </c>
      <c r="AU18" s="9">
        <f t="shared" si="33"/>
        <v>0.60352358387262606</v>
      </c>
      <c r="AV18" s="9">
        <f t="shared" si="33"/>
        <v>0.62852158443371675</v>
      </c>
      <c r="AW18" s="9">
        <f t="shared" si="33"/>
        <v>0.67411375170425636</v>
      </c>
      <c r="AX18" s="9">
        <f t="shared" si="33"/>
        <v>0.7370842503596593</v>
      </c>
      <c r="AY18" s="9">
        <f t="shared" si="33"/>
        <v>0.81175870779633363</v>
      </c>
      <c r="AZ18" s="9">
        <f t="shared" si="33"/>
        <v>0.88634311958096124</v>
      </c>
      <c r="BA18" s="9">
        <f t="shared" si="33"/>
        <v>0.93945934519122398</v>
      </c>
      <c r="BB18" s="9">
        <f t="shared" si="33"/>
        <v>1.0451948122878714</v>
      </c>
      <c r="BC18" s="9">
        <f t="shared" si="33"/>
        <v>1.4385796658360428</v>
      </c>
      <c r="BD18" s="32"/>
      <c r="BE18" s="32"/>
    </row>
    <row r="19" spans="1:59" x14ac:dyDescent="0.25">
      <c r="A19" s="32"/>
      <c r="B19" s="229">
        <v>45918</v>
      </c>
      <c r="C19" s="230">
        <v>0.66169152422729383</v>
      </c>
      <c r="D19" s="9">
        <f t="shared" ref="D19:N19" si="34">D18+D$2</f>
        <v>0.45436156525886573</v>
      </c>
      <c r="E19" s="9">
        <f t="shared" si="34"/>
        <v>0.50900344030481171</v>
      </c>
      <c r="F19" s="9">
        <f t="shared" si="34"/>
        <v>0.54476610108049794</v>
      </c>
      <c r="G19" s="9">
        <f t="shared" si="34"/>
        <v>0.56904962109211843</v>
      </c>
      <c r="H19" s="9">
        <f t="shared" si="34"/>
        <v>0.61924358077029895</v>
      </c>
      <c r="I19" s="9">
        <f t="shared" si="34"/>
        <v>0.69652076425279741</v>
      </c>
      <c r="J19" s="9">
        <f t="shared" si="34"/>
        <v>0.80048651271115234</v>
      </c>
      <c r="K19" s="9">
        <f t="shared" si="34"/>
        <v>0.90569784913126294</v>
      </c>
      <c r="L19" s="9">
        <f t="shared" si="34"/>
        <v>0.98771545133058103</v>
      </c>
      <c r="M19" s="9">
        <f t="shared" si="34"/>
        <v>1.1611015931183604</v>
      </c>
      <c r="N19" s="9">
        <f t="shared" si="34"/>
        <v>1.5670559711880658</v>
      </c>
      <c r="O19" s="32"/>
      <c r="P19" s="32">
        <v>721077125.53069639</v>
      </c>
      <c r="Q19" s="32">
        <f t="shared" si="4"/>
        <v>0.72107712553069636</v>
      </c>
      <c r="R19" s="32"/>
      <c r="S19" s="41">
        <v>45554</v>
      </c>
      <c r="T19" s="9">
        <v>0.72107712553069636</v>
      </c>
      <c r="U19" s="9">
        <f t="shared" ref="U19:AE19" si="35">U18+U$2</f>
        <v>0.57325488298798288</v>
      </c>
      <c r="V19" s="9">
        <f t="shared" si="35"/>
        <v>0.62660741917884744</v>
      </c>
      <c r="W19" s="9">
        <f t="shared" si="35"/>
        <v>0.67146118142105982</v>
      </c>
      <c r="X19" s="9">
        <f t="shared" si="35"/>
        <v>0.70099261190967643</v>
      </c>
      <c r="Y19" s="9">
        <f t="shared" si="35"/>
        <v>0.75648115040605945</v>
      </c>
      <c r="Z19" s="9">
        <f t="shared" si="35"/>
        <v>0.82624105792642355</v>
      </c>
      <c r="AA19" s="9">
        <f t="shared" si="35"/>
        <v>0.90931350414411682</v>
      </c>
      <c r="AB19" s="9">
        <f t="shared" si="35"/>
        <v>0.99455833725767873</v>
      </c>
      <c r="AC19" s="9">
        <f t="shared" si="35"/>
        <v>1.0476958378197929</v>
      </c>
      <c r="AD19" s="9">
        <f t="shared" si="35"/>
        <v>1.1549291291236654</v>
      </c>
      <c r="AE19" s="9">
        <f t="shared" si="35"/>
        <v>1.453871500658227</v>
      </c>
      <c r="AF19" s="32"/>
      <c r="AG19" s="32"/>
      <c r="AQ19" s="231">
        <v>45918</v>
      </c>
      <c r="AR19" s="76">
        <v>0.66169152400000009</v>
      </c>
      <c r="AS19" s="9">
        <f t="shared" ref="AS19:BC19" si="36">AS18+AS$2</f>
        <v>0.55943395294931042</v>
      </c>
      <c r="AT19" s="9">
        <f t="shared" si="36"/>
        <v>0.61435291688780336</v>
      </c>
      <c r="AU19" s="9">
        <f t="shared" si="36"/>
        <v>0.65838936422468297</v>
      </c>
      <c r="AV19" s="9">
        <f t="shared" si="36"/>
        <v>0.68565991029132733</v>
      </c>
      <c r="AW19" s="9">
        <f t="shared" si="36"/>
        <v>0.73539682004100693</v>
      </c>
      <c r="AX19" s="9">
        <f t="shared" si="36"/>
        <v>0.8040919094832647</v>
      </c>
      <c r="AY19" s="9">
        <f t="shared" si="36"/>
        <v>0.88555495395963668</v>
      </c>
      <c r="AZ19" s="9">
        <f t="shared" si="36"/>
        <v>0.96691976681559411</v>
      </c>
      <c r="BA19" s="9">
        <f t="shared" si="36"/>
        <v>1.024864740208608</v>
      </c>
      <c r="BB19" s="9">
        <f t="shared" si="36"/>
        <v>1.1402125224958597</v>
      </c>
      <c r="BC19" s="9">
        <f t="shared" si="36"/>
        <v>1.5693596354575012</v>
      </c>
      <c r="BD19" s="32"/>
      <c r="BE19" s="32"/>
    </row>
    <row r="20" spans="1:59" x14ac:dyDescent="0.25">
      <c r="A20" s="32"/>
      <c r="B20" s="229">
        <v>45925</v>
      </c>
      <c r="C20" s="230">
        <v>0.71608250840628107</v>
      </c>
      <c r="D20" s="9">
        <f t="shared" ref="D20:N20" si="37">D19+D$2</f>
        <v>0.49222502903043786</v>
      </c>
      <c r="E20" s="9">
        <f t="shared" si="37"/>
        <v>0.551420393663546</v>
      </c>
      <c r="F20" s="9">
        <f t="shared" si="37"/>
        <v>0.59016327617053943</v>
      </c>
      <c r="G20" s="9">
        <f t="shared" si="37"/>
        <v>0.61647042284979492</v>
      </c>
      <c r="H20" s="9">
        <f t="shared" si="37"/>
        <v>0.6708472125011572</v>
      </c>
      <c r="I20" s="9">
        <f t="shared" si="37"/>
        <v>0.75456416127386383</v>
      </c>
      <c r="J20" s="9">
        <f t="shared" si="37"/>
        <v>0.86719372210374834</v>
      </c>
      <c r="K20" s="9">
        <f t="shared" si="37"/>
        <v>0.98117266989220153</v>
      </c>
      <c r="L20" s="9">
        <f t="shared" si="37"/>
        <v>1.0700250722747962</v>
      </c>
      <c r="M20" s="9">
        <f t="shared" si="37"/>
        <v>1.257860059211557</v>
      </c>
      <c r="N20" s="9">
        <f t="shared" si="37"/>
        <v>1.6976439687870712</v>
      </c>
      <c r="O20" s="32"/>
      <c r="P20" s="32">
        <v>748977600.53756142</v>
      </c>
      <c r="Q20" s="32">
        <f t="shared" si="4"/>
        <v>0.74897760053756146</v>
      </c>
      <c r="R20" s="32"/>
      <c r="S20" s="41">
        <v>45561</v>
      </c>
      <c r="T20" s="9">
        <v>0.74897760053756146</v>
      </c>
      <c r="U20" s="9">
        <f t="shared" ref="U20:AE20" si="38">U19+U$2</f>
        <v>0.62102612323698148</v>
      </c>
      <c r="V20" s="9">
        <f t="shared" si="38"/>
        <v>0.67882470411041806</v>
      </c>
      <c r="W20" s="9">
        <f t="shared" si="38"/>
        <v>0.72741627987281476</v>
      </c>
      <c r="X20" s="9">
        <f t="shared" si="38"/>
        <v>0.75940866290214948</v>
      </c>
      <c r="Y20" s="9">
        <f t="shared" si="38"/>
        <v>0.81952124627323109</v>
      </c>
      <c r="Z20" s="9">
        <f t="shared" si="38"/>
        <v>0.89509447942029219</v>
      </c>
      <c r="AA20" s="9">
        <f t="shared" si="38"/>
        <v>0.98508962948945988</v>
      </c>
      <c r="AB20" s="9">
        <f t="shared" si="38"/>
        <v>1.0774381986958186</v>
      </c>
      <c r="AC20" s="9">
        <f t="shared" si="38"/>
        <v>1.1350038243047758</v>
      </c>
      <c r="AD20" s="9">
        <f t="shared" si="38"/>
        <v>1.2511732232173043</v>
      </c>
      <c r="AE20" s="9">
        <f t="shared" si="38"/>
        <v>1.5750274590464126</v>
      </c>
      <c r="AF20" s="32"/>
      <c r="AG20" s="32"/>
      <c r="AQ20" s="231">
        <v>45925</v>
      </c>
      <c r="AR20" s="76">
        <v>0.71608250800000006</v>
      </c>
      <c r="AS20" s="9">
        <f t="shared" ref="AS20:BC20" si="39">AS19+AS$2</f>
        <v>0.60605344902841962</v>
      </c>
      <c r="AT20" s="9">
        <f t="shared" si="39"/>
        <v>0.66554899329512029</v>
      </c>
      <c r="AU20" s="9">
        <f t="shared" si="39"/>
        <v>0.71325514457673989</v>
      </c>
      <c r="AV20" s="9">
        <f t="shared" si="39"/>
        <v>0.74279823614893792</v>
      </c>
      <c r="AW20" s="9">
        <f t="shared" si="39"/>
        <v>0.79667988837775749</v>
      </c>
      <c r="AX20" s="9">
        <f t="shared" si="39"/>
        <v>0.8710995686068701</v>
      </c>
      <c r="AY20" s="9">
        <f t="shared" si="39"/>
        <v>0.95935120012293973</v>
      </c>
      <c r="AZ20" s="9">
        <f t="shared" si="39"/>
        <v>1.047496414050227</v>
      </c>
      <c r="BA20" s="9">
        <f t="shared" si="39"/>
        <v>1.110270135225992</v>
      </c>
      <c r="BB20" s="9">
        <f t="shared" si="39"/>
        <v>1.235230232703848</v>
      </c>
      <c r="BC20" s="9">
        <f t="shared" si="39"/>
        <v>1.7001396050789597</v>
      </c>
      <c r="BD20" s="32"/>
      <c r="BE20" s="32"/>
    </row>
    <row r="21" spans="1:59" x14ac:dyDescent="0.25">
      <c r="A21" s="32"/>
      <c r="B21" s="229">
        <v>45932</v>
      </c>
      <c r="C21" s="230">
        <v>0.78060292673138598</v>
      </c>
      <c r="D21" s="9">
        <f t="shared" ref="D21:N21" si="40">D20+D$2</f>
        <v>0.53008849280200998</v>
      </c>
      <c r="E21" s="9">
        <f t="shared" si="40"/>
        <v>0.5938373470222803</v>
      </c>
      <c r="F21" s="9">
        <f t="shared" si="40"/>
        <v>0.63556045126058092</v>
      </c>
      <c r="G21" s="9">
        <f t="shared" si="40"/>
        <v>0.66389122460747141</v>
      </c>
      <c r="H21" s="9">
        <f t="shared" si="40"/>
        <v>0.72245084423201544</v>
      </c>
      <c r="I21" s="9">
        <f t="shared" si="40"/>
        <v>0.81260755829493025</v>
      </c>
      <c r="J21" s="9">
        <f t="shared" si="40"/>
        <v>0.93390093149634434</v>
      </c>
      <c r="K21" s="9">
        <f t="shared" si="40"/>
        <v>1.05664749065314</v>
      </c>
      <c r="L21" s="9">
        <f t="shared" si="40"/>
        <v>1.1523346932190113</v>
      </c>
      <c r="M21" s="9">
        <f t="shared" si="40"/>
        <v>1.3546185253047536</v>
      </c>
      <c r="N21" s="9">
        <f t="shared" si="40"/>
        <v>1.8282319663860767</v>
      </c>
      <c r="O21" s="32"/>
      <c r="P21" s="32">
        <v>793526832.267277</v>
      </c>
      <c r="Q21" s="32">
        <f t="shared" si="4"/>
        <v>0.79352683226727705</v>
      </c>
      <c r="R21" s="32"/>
      <c r="S21" s="41">
        <v>45568</v>
      </c>
      <c r="T21" s="9">
        <v>0.79352683226727705</v>
      </c>
      <c r="U21" s="9">
        <f t="shared" ref="U21:AE21" si="41">U20+U$2</f>
        <v>0.66879736348598007</v>
      </c>
      <c r="V21" s="9">
        <f t="shared" si="41"/>
        <v>0.73104198904198869</v>
      </c>
      <c r="W21" s="9">
        <f t="shared" si="41"/>
        <v>0.78337137832456971</v>
      </c>
      <c r="X21" s="9">
        <f t="shared" si="41"/>
        <v>0.81782471389462252</v>
      </c>
      <c r="Y21" s="9">
        <f t="shared" si="41"/>
        <v>0.88256134214040272</v>
      </c>
      <c r="Z21" s="9">
        <f t="shared" si="41"/>
        <v>0.96394790091416083</v>
      </c>
      <c r="AA21" s="9">
        <f t="shared" si="41"/>
        <v>1.0608657548348031</v>
      </c>
      <c r="AB21" s="9">
        <f t="shared" si="41"/>
        <v>1.1603180601339584</v>
      </c>
      <c r="AC21" s="9">
        <f t="shared" si="41"/>
        <v>1.2223118107897586</v>
      </c>
      <c r="AD21" s="9">
        <f t="shared" si="41"/>
        <v>1.3474173173109432</v>
      </c>
      <c r="AE21" s="9">
        <f t="shared" si="41"/>
        <v>1.6961834174345982</v>
      </c>
      <c r="AF21" s="32"/>
      <c r="AG21" s="32"/>
      <c r="AQ21" s="231">
        <v>45932</v>
      </c>
      <c r="AR21" s="76">
        <v>0.780602927</v>
      </c>
      <c r="AS21" s="9">
        <f t="shared" ref="AS21:BC21" si="42">AS20+AS$2</f>
        <v>0.65267294510752882</v>
      </c>
      <c r="AT21" s="9">
        <f t="shared" si="42"/>
        <v>0.71674506970243723</v>
      </c>
      <c r="AU21" s="9">
        <f t="shared" si="42"/>
        <v>0.7681209249287968</v>
      </c>
      <c r="AV21" s="9">
        <f t="shared" si="42"/>
        <v>0.7999365620065485</v>
      </c>
      <c r="AW21" s="9">
        <f t="shared" si="42"/>
        <v>0.85796295671450806</v>
      </c>
      <c r="AX21" s="9">
        <f t="shared" si="42"/>
        <v>0.9381072277304755</v>
      </c>
      <c r="AY21" s="9">
        <f t="shared" si="42"/>
        <v>1.0331474462862429</v>
      </c>
      <c r="AZ21" s="9">
        <f t="shared" si="42"/>
        <v>1.1280730612848597</v>
      </c>
      <c r="BA21" s="9">
        <f t="shared" si="42"/>
        <v>1.1956755302433761</v>
      </c>
      <c r="BB21" s="9">
        <f t="shared" si="42"/>
        <v>1.3302479429118363</v>
      </c>
      <c r="BC21" s="9">
        <f t="shared" si="42"/>
        <v>1.8309195747004181</v>
      </c>
      <c r="BD21" s="32"/>
      <c r="BE21" s="32"/>
    </row>
    <row r="22" spans="1:59" x14ac:dyDescent="0.25">
      <c r="A22" s="32"/>
      <c r="B22" s="229">
        <v>45939</v>
      </c>
      <c r="C22" s="230">
        <v>0.87198709947887409</v>
      </c>
      <c r="D22" s="9">
        <f t="shared" ref="D22:N22" si="43">D21+D$2</f>
        <v>0.56795195657358211</v>
      </c>
      <c r="E22" s="9">
        <f t="shared" si="43"/>
        <v>0.6362543003810146</v>
      </c>
      <c r="F22" s="9">
        <f t="shared" si="43"/>
        <v>0.6809576263506224</v>
      </c>
      <c r="G22" s="9">
        <f t="shared" si="43"/>
        <v>0.7113120263651479</v>
      </c>
      <c r="H22" s="9">
        <f t="shared" si="43"/>
        <v>0.77405447596287369</v>
      </c>
      <c r="I22" s="9">
        <f t="shared" si="43"/>
        <v>0.87065095531599668</v>
      </c>
      <c r="J22" s="9">
        <f t="shared" si="43"/>
        <v>1.0006081408889405</v>
      </c>
      <c r="K22" s="9">
        <f t="shared" si="43"/>
        <v>1.1321223114140786</v>
      </c>
      <c r="L22" s="9">
        <f t="shared" si="43"/>
        <v>1.2346443141632264</v>
      </c>
      <c r="M22" s="9">
        <f t="shared" si="43"/>
        <v>1.4513769913979502</v>
      </c>
      <c r="N22" s="9">
        <f t="shared" si="43"/>
        <v>1.9588199639850821</v>
      </c>
      <c r="O22" s="32"/>
      <c r="P22" s="32">
        <v>835775608.29892135</v>
      </c>
      <c r="Q22" s="32">
        <f t="shared" si="4"/>
        <v>0.83577560829892139</v>
      </c>
      <c r="R22" s="32"/>
      <c r="S22" s="41">
        <v>45575</v>
      </c>
      <c r="T22" s="9">
        <v>0.83577560829892139</v>
      </c>
      <c r="U22" s="9">
        <f t="shared" ref="U22:AE22" si="44">U21+U$2</f>
        <v>0.71656860373497866</v>
      </c>
      <c r="V22" s="9">
        <f t="shared" si="44"/>
        <v>0.78325927397355932</v>
      </c>
      <c r="W22" s="9">
        <f t="shared" si="44"/>
        <v>0.83932647677632466</v>
      </c>
      <c r="X22" s="9">
        <f t="shared" si="44"/>
        <v>0.87624076488709557</v>
      </c>
      <c r="Y22" s="9">
        <f t="shared" si="44"/>
        <v>0.94560143800757435</v>
      </c>
      <c r="Z22" s="9">
        <f t="shared" si="44"/>
        <v>1.0328013224080295</v>
      </c>
      <c r="AA22" s="9">
        <f t="shared" si="44"/>
        <v>1.1366418801801461</v>
      </c>
      <c r="AB22" s="9">
        <f t="shared" si="44"/>
        <v>1.2431979215720983</v>
      </c>
      <c r="AC22" s="9">
        <f t="shared" si="44"/>
        <v>1.3096197972747414</v>
      </c>
      <c r="AD22" s="9">
        <f t="shared" si="44"/>
        <v>1.443661411404582</v>
      </c>
      <c r="AE22" s="9">
        <f t="shared" si="44"/>
        <v>1.8173393758227838</v>
      </c>
      <c r="AF22" s="32"/>
      <c r="AG22" s="32"/>
      <c r="AQ22" s="231">
        <v>45939</v>
      </c>
      <c r="AR22" s="76">
        <v>0.87198709900000004</v>
      </c>
      <c r="AS22" s="9">
        <f t="shared" ref="AS22:BC22" si="45">AS21+AS$2</f>
        <v>0.69929244118663803</v>
      </c>
      <c r="AT22" s="9">
        <f t="shared" si="45"/>
        <v>0.76794114610975417</v>
      </c>
      <c r="AU22" s="9">
        <f t="shared" si="45"/>
        <v>0.82298670528085371</v>
      </c>
      <c r="AV22" s="9">
        <f t="shared" si="45"/>
        <v>0.85707488786415909</v>
      </c>
      <c r="AW22" s="9">
        <f t="shared" si="45"/>
        <v>0.91924602505125863</v>
      </c>
      <c r="AX22" s="9">
        <f t="shared" si="45"/>
        <v>1.0051148868540809</v>
      </c>
      <c r="AY22" s="9">
        <f t="shared" si="45"/>
        <v>1.1069436924495459</v>
      </c>
      <c r="AZ22" s="9">
        <f t="shared" si="45"/>
        <v>1.2086497085194925</v>
      </c>
      <c r="BA22" s="9">
        <f t="shared" si="45"/>
        <v>1.2810809252607602</v>
      </c>
      <c r="BB22" s="9">
        <f t="shared" si="45"/>
        <v>1.4252656531198247</v>
      </c>
      <c r="BC22" s="9">
        <f t="shared" si="45"/>
        <v>1.9616995443218765</v>
      </c>
      <c r="BD22" s="32"/>
      <c r="BE22" s="32"/>
    </row>
    <row r="23" spans="1:59" x14ac:dyDescent="0.25">
      <c r="A23" s="32"/>
      <c r="B23" s="229">
        <v>45946</v>
      </c>
      <c r="C23" s="230">
        <v>0.90088765549244787</v>
      </c>
      <c r="D23" s="9">
        <f t="shared" ref="D23:N23" si="46">D22+D$2</f>
        <v>0.60581542034515423</v>
      </c>
      <c r="E23" s="9">
        <f t="shared" si="46"/>
        <v>0.6786712537397489</v>
      </c>
      <c r="F23" s="9">
        <f t="shared" si="46"/>
        <v>0.72635480144066389</v>
      </c>
      <c r="G23" s="9">
        <f t="shared" si="46"/>
        <v>0.75873282812282439</v>
      </c>
      <c r="H23" s="9">
        <f t="shared" si="46"/>
        <v>0.82565810769373194</v>
      </c>
      <c r="I23" s="9">
        <f t="shared" si="46"/>
        <v>0.9286943523370631</v>
      </c>
      <c r="J23" s="9">
        <f t="shared" si="46"/>
        <v>1.0673153502815365</v>
      </c>
      <c r="K23" s="9">
        <f t="shared" si="46"/>
        <v>1.2075971321750172</v>
      </c>
      <c r="L23" s="9">
        <f t="shared" si="46"/>
        <v>1.3169539351074415</v>
      </c>
      <c r="M23" s="9">
        <f t="shared" si="46"/>
        <v>1.5481354574911468</v>
      </c>
      <c r="N23" s="9">
        <f t="shared" si="46"/>
        <v>2.0894079615840875</v>
      </c>
      <c r="O23" s="32"/>
      <c r="P23" s="32">
        <v>894779767.38868928</v>
      </c>
      <c r="Q23" s="32">
        <f t="shared" si="4"/>
        <v>0.89477976738868925</v>
      </c>
      <c r="R23" s="32"/>
      <c r="S23" s="41">
        <v>45582</v>
      </c>
      <c r="T23" s="9">
        <v>0.89477976738868925</v>
      </c>
      <c r="U23" s="9">
        <f t="shared" ref="U23:AE23" si="47">U22+U$2</f>
        <v>0.76433984398397725</v>
      </c>
      <c r="V23" s="9">
        <f t="shared" si="47"/>
        <v>0.83547655890512995</v>
      </c>
      <c r="W23" s="9">
        <f t="shared" si="47"/>
        <v>0.89528157522807961</v>
      </c>
      <c r="X23" s="9">
        <f t="shared" si="47"/>
        <v>0.93465681587956861</v>
      </c>
      <c r="Y23" s="9">
        <f t="shared" si="47"/>
        <v>1.0086415338747459</v>
      </c>
      <c r="Z23" s="9">
        <f t="shared" si="47"/>
        <v>1.101654743901898</v>
      </c>
      <c r="AA23" s="9">
        <f t="shared" si="47"/>
        <v>1.2124180055254892</v>
      </c>
      <c r="AB23" s="9">
        <f t="shared" si="47"/>
        <v>1.3260777830102382</v>
      </c>
      <c r="AC23" s="9">
        <f t="shared" si="47"/>
        <v>1.3969277837597243</v>
      </c>
      <c r="AD23" s="9">
        <f t="shared" si="47"/>
        <v>1.5399055054982209</v>
      </c>
      <c r="AE23" s="9">
        <f t="shared" si="47"/>
        <v>1.9384953342109694</v>
      </c>
      <c r="AF23" s="32"/>
      <c r="AG23" s="32"/>
      <c r="AQ23" s="231">
        <v>45946</v>
      </c>
      <c r="AR23" s="76">
        <v>0.90088765500000001</v>
      </c>
      <c r="AS23" s="9">
        <f t="shared" ref="AS23:BC23" si="48">AS22+AS$2</f>
        <v>0.74591193726574723</v>
      </c>
      <c r="AT23" s="9">
        <f t="shared" si="48"/>
        <v>0.81913722251707111</v>
      </c>
      <c r="AU23" s="9">
        <f t="shared" si="48"/>
        <v>0.87785248563291063</v>
      </c>
      <c r="AV23" s="9">
        <f t="shared" si="48"/>
        <v>0.91421321372176967</v>
      </c>
      <c r="AW23" s="9">
        <f t="shared" si="48"/>
        <v>0.9805290933880092</v>
      </c>
      <c r="AX23" s="9">
        <f t="shared" si="48"/>
        <v>1.0721225459776862</v>
      </c>
      <c r="AY23" s="9">
        <f t="shared" si="48"/>
        <v>1.180739938612849</v>
      </c>
      <c r="AZ23" s="9">
        <f t="shared" si="48"/>
        <v>1.2892263557541253</v>
      </c>
      <c r="BA23" s="9">
        <f t="shared" si="48"/>
        <v>1.3664863202781443</v>
      </c>
      <c r="BB23" s="9">
        <f t="shared" si="48"/>
        <v>1.520283363327813</v>
      </c>
      <c r="BC23" s="9">
        <f t="shared" si="48"/>
        <v>2.092479513943335</v>
      </c>
      <c r="BD23" s="32"/>
      <c r="BE23" s="32"/>
    </row>
    <row r="24" spans="1:59" x14ac:dyDescent="0.25">
      <c r="A24" s="32"/>
      <c r="B24" s="229">
        <v>45953</v>
      </c>
      <c r="C24" s="230">
        <v>0.94413120426934583</v>
      </c>
      <c r="D24" s="9">
        <f t="shared" ref="D24:N24" si="49">D23+D$2</f>
        <v>0.64367888411672636</v>
      </c>
      <c r="E24" s="9">
        <f t="shared" si="49"/>
        <v>0.7210882070984832</v>
      </c>
      <c r="F24" s="9">
        <f t="shared" si="49"/>
        <v>0.77175197653070537</v>
      </c>
      <c r="G24" s="9">
        <f t="shared" si="49"/>
        <v>0.80615362988050088</v>
      </c>
      <c r="H24" s="9">
        <f t="shared" si="49"/>
        <v>0.87726173942459018</v>
      </c>
      <c r="I24" s="9">
        <f t="shared" si="49"/>
        <v>0.98673774935812952</v>
      </c>
      <c r="J24" s="9">
        <f t="shared" si="49"/>
        <v>1.1340225596741325</v>
      </c>
      <c r="K24" s="9">
        <f t="shared" si="49"/>
        <v>1.2830719529359558</v>
      </c>
      <c r="L24" s="9">
        <f t="shared" si="49"/>
        <v>1.3992635560516566</v>
      </c>
      <c r="M24" s="9">
        <f t="shared" si="49"/>
        <v>1.6448939235843434</v>
      </c>
      <c r="N24" s="9">
        <f t="shared" si="49"/>
        <v>2.2199959591830929</v>
      </c>
      <c r="O24" s="32"/>
      <c r="P24" s="32">
        <v>963259797.54154968</v>
      </c>
      <c r="Q24" s="32">
        <f t="shared" si="4"/>
        <v>0.96325979754154967</v>
      </c>
      <c r="R24" s="32"/>
      <c r="S24" s="41">
        <v>45589</v>
      </c>
      <c r="T24" s="9">
        <v>0.96325979754154967</v>
      </c>
      <c r="U24" s="9">
        <f t="shared" ref="U24:AE24" si="50">U23+U$2</f>
        <v>0.81211108423297584</v>
      </c>
      <c r="V24" s="9">
        <f t="shared" si="50"/>
        <v>0.88769384383670058</v>
      </c>
      <c r="W24" s="9">
        <f t="shared" si="50"/>
        <v>0.95123667367983455</v>
      </c>
      <c r="X24" s="9">
        <f t="shared" si="50"/>
        <v>0.99307286687204166</v>
      </c>
      <c r="Y24" s="9">
        <f t="shared" si="50"/>
        <v>1.0716816297419174</v>
      </c>
      <c r="Z24" s="9">
        <f t="shared" si="50"/>
        <v>1.1705081653957665</v>
      </c>
      <c r="AA24" s="9">
        <f t="shared" si="50"/>
        <v>1.2881941308708322</v>
      </c>
      <c r="AB24" s="9">
        <f t="shared" si="50"/>
        <v>1.408957644448378</v>
      </c>
      <c r="AC24" s="9">
        <f t="shared" si="50"/>
        <v>1.4842357702447071</v>
      </c>
      <c r="AD24" s="9">
        <f t="shared" si="50"/>
        <v>1.6361495995918598</v>
      </c>
      <c r="AE24" s="9">
        <f t="shared" si="50"/>
        <v>2.0596512925991548</v>
      </c>
      <c r="AF24" s="32"/>
      <c r="AG24" s="32"/>
      <c r="AQ24" s="231">
        <v>45953</v>
      </c>
      <c r="AR24" s="76">
        <v>0.94413120400000006</v>
      </c>
      <c r="AS24" s="9">
        <f t="shared" ref="AS24:BC24" si="51">AS23+AS$2</f>
        <v>0.79253143334485643</v>
      </c>
      <c r="AT24" s="9">
        <f t="shared" si="51"/>
        <v>0.87033329892438804</v>
      </c>
      <c r="AU24" s="9">
        <f t="shared" si="51"/>
        <v>0.93271826598496754</v>
      </c>
      <c r="AV24" s="9">
        <f t="shared" si="51"/>
        <v>0.97135153957938025</v>
      </c>
      <c r="AW24" s="9">
        <f t="shared" si="51"/>
        <v>1.0418121617247598</v>
      </c>
      <c r="AX24" s="9">
        <f t="shared" si="51"/>
        <v>1.1391302051012915</v>
      </c>
      <c r="AY24" s="9">
        <f t="shared" si="51"/>
        <v>1.254536184776152</v>
      </c>
      <c r="AZ24" s="9">
        <f t="shared" si="51"/>
        <v>1.369803002988758</v>
      </c>
      <c r="BA24" s="9">
        <f t="shared" si="51"/>
        <v>1.4518917152955284</v>
      </c>
      <c r="BB24" s="9">
        <f t="shared" si="51"/>
        <v>1.6153010735358013</v>
      </c>
      <c r="BC24" s="9">
        <f t="shared" si="51"/>
        <v>2.2232594835647932</v>
      </c>
      <c r="BD24" s="32"/>
      <c r="BE24" s="32"/>
    </row>
    <row r="25" spans="1:59" x14ac:dyDescent="0.25">
      <c r="A25" s="32"/>
      <c r="B25" s="229">
        <v>45960</v>
      </c>
      <c r="C25" s="230">
        <v>0.99803686698782346</v>
      </c>
      <c r="D25" s="9">
        <f t="shared" ref="D25:N25" si="52">D24+D$2</f>
        <v>0.68154234788829848</v>
      </c>
      <c r="E25" s="9">
        <f t="shared" si="52"/>
        <v>0.7635051604572175</v>
      </c>
      <c r="F25" s="9">
        <f t="shared" si="52"/>
        <v>0.81714915162074686</v>
      </c>
      <c r="G25" s="9">
        <f t="shared" si="52"/>
        <v>0.85357443163817737</v>
      </c>
      <c r="H25" s="9">
        <f t="shared" si="52"/>
        <v>0.92886537115544843</v>
      </c>
      <c r="I25" s="9">
        <f t="shared" si="52"/>
        <v>1.0447811463791961</v>
      </c>
      <c r="J25" s="9">
        <f t="shared" si="52"/>
        <v>1.2007297690667285</v>
      </c>
      <c r="K25" s="9">
        <f t="shared" si="52"/>
        <v>1.3585467736968944</v>
      </c>
      <c r="L25" s="9">
        <f t="shared" si="52"/>
        <v>1.4815731769958718</v>
      </c>
      <c r="M25" s="9">
        <f t="shared" si="52"/>
        <v>1.74165238967754</v>
      </c>
      <c r="N25" s="9">
        <f t="shared" si="52"/>
        <v>2.3505839567820983</v>
      </c>
      <c r="O25" s="32"/>
      <c r="P25" s="32">
        <v>1005839508.1267083</v>
      </c>
      <c r="Q25" s="32">
        <f t="shared" si="4"/>
        <v>1.0058395081267082</v>
      </c>
      <c r="R25" s="32"/>
      <c r="S25" s="41">
        <v>45596</v>
      </c>
      <c r="T25" s="9">
        <v>1.0058395081267082</v>
      </c>
      <c r="U25" s="9">
        <f t="shared" ref="U25:AE25" si="53">U24+U$2</f>
        <v>0.85988232448197444</v>
      </c>
      <c r="V25" s="9">
        <f t="shared" si="53"/>
        <v>0.93991112876827121</v>
      </c>
      <c r="W25" s="9">
        <f t="shared" si="53"/>
        <v>1.0071917721315895</v>
      </c>
      <c r="X25" s="9">
        <f t="shared" si="53"/>
        <v>1.0514889178645146</v>
      </c>
      <c r="Y25" s="9">
        <f t="shared" si="53"/>
        <v>1.1347217256090889</v>
      </c>
      <c r="Z25" s="9">
        <f t="shared" si="53"/>
        <v>1.239361586889635</v>
      </c>
      <c r="AA25" s="9">
        <f t="shared" si="53"/>
        <v>1.3639702562161753</v>
      </c>
      <c r="AB25" s="9">
        <f t="shared" si="53"/>
        <v>1.4918375058865179</v>
      </c>
      <c r="AC25" s="9">
        <f t="shared" si="53"/>
        <v>1.5715437567296899</v>
      </c>
      <c r="AD25" s="9">
        <f t="shared" si="53"/>
        <v>1.7323936936854987</v>
      </c>
      <c r="AE25" s="9">
        <f t="shared" si="53"/>
        <v>2.1808072509873404</v>
      </c>
      <c r="AF25" s="32"/>
      <c r="AG25" s="32"/>
      <c r="AQ25" s="231">
        <v>45960</v>
      </c>
      <c r="AR25" s="76">
        <v>0.99803686700000005</v>
      </c>
      <c r="AS25" s="9">
        <f t="shared" ref="AS25:BC25" si="54">AS24+AS$2</f>
        <v>0.83915092942396563</v>
      </c>
      <c r="AT25" s="9">
        <f t="shared" si="54"/>
        <v>0.92152937533170498</v>
      </c>
      <c r="AU25" s="9">
        <f t="shared" si="54"/>
        <v>0.98758404633702446</v>
      </c>
      <c r="AV25" s="9">
        <f t="shared" si="54"/>
        <v>1.0284898654369909</v>
      </c>
      <c r="AW25" s="9">
        <f t="shared" si="54"/>
        <v>1.1030952300615104</v>
      </c>
      <c r="AX25" s="9">
        <f t="shared" si="54"/>
        <v>1.2061378642248968</v>
      </c>
      <c r="AY25" s="9">
        <f t="shared" si="54"/>
        <v>1.3283324309394551</v>
      </c>
      <c r="AZ25" s="9">
        <f t="shared" si="54"/>
        <v>1.4503796502233908</v>
      </c>
      <c r="BA25" s="9">
        <f t="shared" si="54"/>
        <v>1.5372971103129125</v>
      </c>
      <c r="BB25" s="9">
        <f t="shared" si="54"/>
        <v>1.7103187837437897</v>
      </c>
      <c r="BC25" s="9">
        <f t="shared" si="54"/>
        <v>2.3540394531862514</v>
      </c>
      <c r="BD25" s="32"/>
      <c r="BE25" s="32"/>
    </row>
    <row r="26" spans="1:59" x14ac:dyDescent="0.25">
      <c r="A26" s="32"/>
      <c r="B26" s="229">
        <v>45967</v>
      </c>
      <c r="C26" s="230">
        <v>1.0670066596328251</v>
      </c>
      <c r="D26" s="9">
        <f t="shared" ref="D26:N26" si="55">D25+D$2</f>
        <v>0.71940581165987061</v>
      </c>
      <c r="E26" s="9">
        <f t="shared" si="55"/>
        <v>0.8059221138159518</v>
      </c>
      <c r="F26" s="9">
        <f t="shared" si="55"/>
        <v>0.86254632671078835</v>
      </c>
      <c r="G26" s="9">
        <f t="shared" si="55"/>
        <v>0.90099523339585386</v>
      </c>
      <c r="H26" s="9">
        <f t="shared" si="55"/>
        <v>0.98046900288630667</v>
      </c>
      <c r="I26" s="9">
        <f t="shared" si="55"/>
        <v>1.1028245434002626</v>
      </c>
      <c r="J26" s="9">
        <f t="shared" si="55"/>
        <v>1.2674369784593245</v>
      </c>
      <c r="K26" s="9">
        <f t="shared" si="55"/>
        <v>1.4340215944578329</v>
      </c>
      <c r="L26" s="9">
        <f t="shared" si="55"/>
        <v>1.5638827979400869</v>
      </c>
      <c r="M26" s="9">
        <f t="shared" si="55"/>
        <v>1.8384108557707366</v>
      </c>
      <c r="N26" s="9">
        <f t="shared" si="55"/>
        <v>2.4811719543811037</v>
      </c>
      <c r="O26" s="32"/>
      <c r="P26" s="32">
        <v>1062426687.5112131</v>
      </c>
      <c r="Q26" s="32">
        <f t="shared" si="4"/>
        <v>1.0624266875112132</v>
      </c>
      <c r="R26" s="32"/>
      <c r="S26" s="41">
        <v>45603</v>
      </c>
      <c r="T26" s="9">
        <v>1.0624266875112132</v>
      </c>
      <c r="U26" s="9">
        <f t="shared" ref="U26:AE26" si="56">U25+U$2</f>
        <v>0.90765356473097303</v>
      </c>
      <c r="V26" s="9">
        <f t="shared" si="56"/>
        <v>0.99212841369984184</v>
      </c>
      <c r="W26" s="9">
        <f t="shared" si="56"/>
        <v>1.0631468705833444</v>
      </c>
      <c r="X26" s="9">
        <f t="shared" si="56"/>
        <v>1.1099049688569875</v>
      </c>
      <c r="Y26" s="9">
        <f t="shared" si="56"/>
        <v>1.1977618214762604</v>
      </c>
      <c r="Z26" s="9">
        <f t="shared" si="56"/>
        <v>1.3082150083835036</v>
      </c>
      <c r="AA26" s="9">
        <f t="shared" si="56"/>
        <v>1.4397463815615184</v>
      </c>
      <c r="AB26" s="9">
        <f t="shared" si="56"/>
        <v>1.5747173673246577</v>
      </c>
      <c r="AC26" s="9">
        <f t="shared" si="56"/>
        <v>1.6588517432146728</v>
      </c>
      <c r="AD26" s="9">
        <f t="shared" si="56"/>
        <v>1.8286377877791375</v>
      </c>
      <c r="AE26" s="9">
        <f t="shared" si="56"/>
        <v>2.301963209375526</v>
      </c>
      <c r="AF26" s="32"/>
      <c r="AG26" s="32"/>
      <c r="AQ26" s="231">
        <v>45967</v>
      </c>
      <c r="AR26" s="76">
        <v>1.0670066600000001</v>
      </c>
      <c r="AS26" s="9">
        <f t="shared" ref="AS26:BC26" si="57">AS25+AS$2</f>
        <v>0.88577042550307483</v>
      </c>
      <c r="AT26" s="9">
        <f t="shared" si="57"/>
        <v>0.97272545173902192</v>
      </c>
      <c r="AU26" s="9">
        <f t="shared" si="57"/>
        <v>1.0424498266890814</v>
      </c>
      <c r="AV26" s="9">
        <f t="shared" si="57"/>
        <v>1.0856281912946015</v>
      </c>
      <c r="AW26" s="9">
        <f t="shared" si="57"/>
        <v>1.1643782983982611</v>
      </c>
      <c r="AX26" s="9">
        <f t="shared" si="57"/>
        <v>1.2731455233485021</v>
      </c>
      <c r="AY26" s="9">
        <f t="shared" si="57"/>
        <v>1.4021286771027581</v>
      </c>
      <c r="AZ26" s="9">
        <f t="shared" si="57"/>
        <v>1.5309562974580235</v>
      </c>
      <c r="BA26" s="9">
        <f t="shared" si="57"/>
        <v>1.6227025053302966</v>
      </c>
      <c r="BB26" s="9">
        <f t="shared" si="57"/>
        <v>1.805336493951778</v>
      </c>
      <c r="BC26" s="9">
        <f t="shared" si="57"/>
        <v>2.4848194228077096</v>
      </c>
      <c r="BD26" s="32"/>
      <c r="BE26" s="32"/>
    </row>
    <row r="27" spans="1:59" x14ac:dyDescent="0.25">
      <c r="A27" s="32"/>
      <c r="B27" s="229">
        <v>45974</v>
      </c>
      <c r="C27" s="230">
        <v>1.1661566498179092</v>
      </c>
      <c r="D27" s="9">
        <f t="shared" ref="D27:N27" si="58">D26+D$2</f>
        <v>0.75726927543144273</v>
      </c>
      <c r="E27" s="9">
        <f t="shared" si="58"/>
        <v>0.8483390671746861</v>
      </c>
      <c r="F27" s="9">
        <f t="shared" si="58"/>
        <v>0.90794350180082983</v>
      </c>
      <c r="G27" s="9">
        <f t="shared" si="58"/>
        <v>0.94841603515353035</v>
      </c>
      <c r="H27" s="9">
        <f t="shared" si="58"/>
        <v>1.0320726346171649</v>
      </c>
      <c r="I27" s="9">
        <f t="shared" si="58"/>
        <v>1.1608679404213291</v>
      </c>
      <c r="J27" s="9">
        <f t="shared" si="58"/>
        <v>1.3341441878519205</v>
      </c>
      <c r="K27" s="9">
        <f t="shared" si="58"/>
        <v>1.5094964152187715</v>
      </c>
      <c r="L27" s="9">
        <f t="shared" si="58"/>
        <v>1.646192418884302</v>
      </c>
      <c r="M27" s="9">
        <f t="shared" si="58"/>
        <v>1.9351693218639332</v>
      </c>
      <c r="N27" s="9">
        <f t="shared" si="58"/>
        <v>2.6117599519801091</v>
      </c>
      <c r="O27" s="32"/>
      <c r="P27" s="32">
        <v>1129692978.3830013</v>
      </c>
      <c r="Q27" s="32">
        <f t="shared" si="4"/>
        <v>1.1296929783830014</v>
      </c>
      <c r="R27" s="32"/>
      <c r="S27" s="41">
        <v>45610</v>
      </c>
      <c r="T27" s="9">
        <v>1.1296929783830014</v>
      </c>
      <c r="U27" s="9">
        <f t="shared" ref="U27:AE27" si="59">U26+U$2</f>
        <v>0.95542480497997162</v>
      </c>
      <c r="V27" s="9">
        <f t="shared" si="59"/>
        <v>1.0443456986314124</v>
      </c>
      <c r="W27" s="9">
        <f t="shared" si="59"/>
        <v>1.1191019690350994</v>
      </c>
      <c r="X27" s="9">
        <f t="shared" si="59"/>
        <v>1.1683210198494605</v>
      </c>
      <c r="Y27" s="9">
        <f t="shared" si="59"/>
        <v>1.2608019173434319</v>
      </c>
      <c r="Z27" s="9">
        <f t="shared" si="59"/>
        <v>1.3770684298773721</v>
      </c>
      <c r="AA27" s="9">
        <f t="shared" si="59"/>
        <v>1.5155225069068614</v>
      </c>
      <c r="AB27" s="9">
        <f t="shared" si="59"/>
        <v>1.6575972287627976</v>
      </c>
      <c r="AC27" s="9">
        <f t="shared" si="59"/>
        <v>1.7461597296996556</v>
      </c>
      <c r="AD27" s="9">
        <f t="shared" si="59"/>
        <v>1.9248818818727764</v>
      </c>
      <c r="AE27" s="9">
        <f t="shared" si="59"/>
        <v>2.4231191677637116</v>
      </c>
      <c r="AF27" s="32"/>
      <c r="AG27" s="32"/>
      <c r="AI27" s="40"/>
      <c r="AQ27" s="231">
        <v>45974</v>
      </c>
      <c r="AR27" s="76">
        <v>1.16615665</v>
      </c>
      <c r="AS27" s="9">
        <f t="shared" ref="AS27:BC27" si="60">AS26+AS$2</f>
        <v>0.93238992158218403</v>
      </c>
      <c r="AT27" s="9">
        <f t="shared" si="60"/>
        <v>1.023921528146339</v>
      </c>
      <c r="AU27" s="9">
        <f t="shared" si="60"/>
        <v>1.0973156070411383</v>
      </c>
      <c r="AV27" s="9">
        <f t="shared" si="60"/>
        <v>1.1427665171522121</v>
      </c>
      <c r="AW27" s="9">
        <f t="shared" si="60"/>
        <v>1.2256613667350118</v>
      </c>
      <c r="AX27" s="9">
        <f t="shared" si="60"/>
        <v>1.3401531824721074</v>
      </c>
      <c r="AY27" s="9">
        <f t="shared" si="60"/>
        <v>1.4759249232660612</v>
      </c>
      <c r="AZ27" s="9">
        <f t="shared" si="60"/>
        <v>1.6115329446926563</v>
      </c>
      <c r="BA27" s="9">
        <f t="shared" si="60"/>
        <v>1.7081079003476807</v>
      </c>
      <c r="BB27" s="9">
        <f t="shared" si="60"/>
        <v>1.9003542041597663</v>
      </c>
      <c r="BC27" s="9">
        <f t="shared" si="60"/>
        <v>2.6155993924291678</v>
      </c>
      <c r="BD27" s="32"/>
      <c r="BE27" s="32"/>
      <c r="BG27" s="40"/>
    </row>
    <row r="28" spans="1:59" x14ac:dyDescent="0.25">
      <c r="A28" s="32"/>
      <c r="B28" s="229">
        <v>45981</v>
      </c>
      <c r="C28" s="230">
        <v>1.1988021588869033</v>
      </c>
      <c r="D28" s="9">
        <f t="shared" ref="D28:N28" si="61">D27+D$2</f>
        <v>0.79513273920301486</v>
      </c>
      <c r="E28" s="9">
        <f t="shared" si="61"/>
        <v>0.8907560205334204</v>
      </c>
      <c r="F28" s="9">
        <f t="shared" si="61"/>
        <v>0.95334067689087132</v>
      </c>
      <c r="G28" s="9">
        <f t="shared" si="61"/>
        <v>0.99583683691120684</v>
      </c>
      <c r="H28" s="9">
        <f t="shared" si="61"/>
        <v>1.0836762663480233</v>
      </c>
      <c r="I28" s="9">
        <f t="shared" si="61"/>
        <v>1.2189113374423957</v>
      </c>
      <c r="J28" s="9">
        <f t="shared" si="61"/>
        <v>1.4008513972445165</v>
      </c>
      <c r="K28" s="9">
        <f t="shared" si="61"/>
        <v>1.5849712359797101</v>
      </c>
      <c r="L28" s="9">
        <f t="shared" si="61"/>
        <v>1.7285020398285171</v>
      </c>
      <c r="M28" s="9">
        <f t="shared" si="61"/>
        <v>2.0319277879571298</v>
      </c>
      <c r="N28" s="9">
        <f t="shared" si="61"/>
        <v>2.7423479495791145</v>
      </c>
      <c r="O28" s="32"/>
      <c r="P28" s="32">
        <v>1223356321.7890818</v>
      </c>
      <c r="Q28" s="32">
        <f t="shared" si="4"/>
        <v>1.2233563217890817</v>
      </c>
      <c r="R28" s="32"/>
      <c r="S28" s="41">
        <v>45617</v>
      </c>
      <c r="T28" s="9">
        <v>1.2233563217890817</v>
      </c>
      <c r="U28" s="9">
        <f t="shared" ref="U28:AE28" si="62">U27+U$2</f>
        <v>1.0031960452289701</v>
      </c>
      <c r="V28" s="9">
        <f t="shared" si="62"/>
        <v>1.0965629835629829</v>
      </c>
      <c r="W28" s="9">
        <f t="shared" si="62"/>
        <v>1.1750570674868543</v>
      </c>
      <c r="X28" s="9">
        <f t="shared" si="62"/>
        <v>1.2267370708419334</v>
      </c>
      <c r="Y28" s="9">
        <f t="shared" si="62"/>
        <v>1.3238420132106035</v>
      </c>
      <c r="Z28" s="9">
        <f t="shared" si="62"/>
        <v>1.4459218513712406</v>
      </c>
      <c r="AA28" s="9">
        <f t="shared" si="62"/>
        <v>1.5912986322522045</v>
      </c>
      <c r="AB28" s="9">
        <f t="shared" si="62"/>
        <v>1.7404770902009374</v>
      </c>
      <c r="AC28" s="9">
        <f t="shared" si="62"/>
        <v>1.8334677161846384</v>
      </c>
      <c r="AD28" s="9">
        <f t="shared" si="62"/>
        <v>2.0211259759664153</v>
      </c>
      <c r="AE28" s="9">
        <f t="shared" si="62"/>
        <v>2.5442751261518972</v>
      </c>
      <c r="AF28" s="32"/>
      <c r="AG28" s="32"/>
      <c r="AQ28" s="231">
        <v>45981</v>
      </c>
      <c r="AR28" s="76">
        <v>1.198802159</v>
      </c>
      <c r="AS28" s="9">
        <f t="shared" ref="AS28:BC28" si="63">AS27+AS$2</f>
        <v>0.97900941766129324</v>
      </c>
      <c r="AT28" s="9">
        <f t="shared" si="63"/>
        <v>1.0751176045536559</v>
      </c>
      <c r="AU28" s="9">
        <f t="shared" si="63"/>
        <v>1.1521813873931952</v>
      </c>
      <c r="AV28" s="9">
        <f t="shared" si="63"/>
        <v>1.1999048430098227</v>
      </c>
      <c r="AW28" s="9">
        <f t="shared" si="63"/>
        <v>1.2869444350717625</v>
      </c>
      <c r="AX28" s="9">
        <f t="shared" si="63"/>
        <v>1.4071608415957126</v>
      </c>
      <c r="AY28" s="9">
        <f t="shared" si="63"/>
        <v>1.5497211694293642</v>
      </c>
      <c r="AZ28" s="9">
        <f t="shared" si="63"/>
        <v>1.692109591927289</v>
      </c>
      <c r="BA28" s="9">
        <f t="shared" si="63"/>
        <v>1.7935132953650648</v>
      </c>
      <c r="BB28" s="9">
        <f t="shared" si="63"/>
        <v>1.9953719143677546</v>
      </c>
      <c r="BC28" s="9">
        <f t="shared" si="63"/>
        <v>2.746379362050626</v>
      </c>
      <c r="BD28" s="32"/>
      <c r="BE28" s="32"/>
    </row>
    <row r="29" spans="1:59" x14ac:dyDescent="0.25">
      <c r="A29" s="32"/>
      <c r="B29" s="229">
        <v>45988</v>
      </c>
      <c r="C29" s="230">
        <v>1.2300273550067382</v>
      </c>
      <c r="D29" s="9">
        <f t="shared" ref="D29:N29" si="64">D28+D$2</f>
        <v>0.83299620297458699</v>
      </c>
      <c r="E29" s="9">
        <f t="shared" si="64"/>
        <v>0.9331729738921547</v>
      </c>
      <c r="F29" s="9">
        <f t="shared" si="64"/>
        <v>0.99873785198091281</v>
      </c>
      <c r="G29" s="9">
        <f t="shared" si="64"/>
        <v>1.0432576386688834</v>
      </c>
      <c r="H29" s="9">
        <f t="shared" si="64"/>
        <v>1.1352798980788816</v>
      </c>
      <c r="I29" s="9">
        <f t="shared" si="64"/>
        <v>1.2769547344634622</v>
      </c>
      <c r="J29" s="9">
        <f t="shared" si="64"/>
        <v>1.4675586066371125</v>
      </c>
      <c r="K29" s="9">
        <f t="shared" si="64"/>
        <v>1.6604460567406487</v>
      </c>
      <c r="L29" s="9">
        <f t="shared" si="64"/>
        <v>1.8108116607727323</v>
      </c>
      <c r="M29" s="9">
        <f t="shared" si="64"/>
        <v>2.1286862540503266</v>
      </c>
      <c r="N29" s="9">
        <f t="shared" si="64"/>
        <v>2.87293594717812</v>
      </c>
      <c r="O29" s="32"/>
      <c r="P29" s="32">
        <v>1406961436.5286698</v>
      </c>
      <c r="Q29" s="32">
        <f t="shared" si="4"/>
        <v>1.4069614365286698</v>
      </c>
      <c r="R29" s="32"/>
      <c r="S29" s="41">
        <v>45624</v>
      </c>
      <c r="T29" s="9">
        <v>1.4069614365286698</v>
      </c>
      <c r="U29" s="9">
        <f t="shared" ref="U29:AE29" si="65">U28+U$2</f>
        <v>1.0509672854779686</v>
      </c>
      <c r="V29" s="9">
        <f t="shared" si="65"/>
        <v>1.1487802684945534</v>
      </c>
      <c r="W29" s="9">
        <f t="shared" si="65"/>
        <v>1.2310121659386093</v>
      </c>
      <c r="X29" s="9">
        <f t="shared" si="65"/>
        <v>1.2851531218344063</v>
      </c>
      <c r="Y29" s="9">
        <f t="shared" si="65"/>
        <v>1.386882109077775</v>
      </c>
      <c r="Z29" s="9">
        <f t="shared" si="65"/>
        <v>1.5147752728651092</v>
      </c>
      <c r="AA29" s="9">
        <f t="shared" si="65"/>
        <v>1.6670747575975475</v>
      </c>
      <c r="AB29" s="9">
        <f t="shared" si="65"/>
        <v>1.8233569516390773</v>
      </c>
      <c r="AC29" s="9">
        <f t="shared" si="65"/>
        <v>1.9207757026696213</v>
      </c>
      <c r="AD29" s="9">
        <f t="shared" si="65"/>
        <v>2.117370070060054</v>
      </c>
      <c r="AE29" s="9">
        <f t="shared" si="65"/>
        <v>2.6654310845400828</v>
      </c>
      <c r="AF29" s="32"/>
      <c r="AG29" s="32"/>
      <c r="AQ29" s="231">
        <v>45988</v>
      </c>
      <c r="AR29" s="76">
        <v>1.230027355</v>
      </c>
      <c r="AS29" s="9">
        <f t="shared" ref="AS29:BC29" si="66">AS28+AS$2</f>
        <v>1.0256289137404024</v>
      </c>
      <c r="AT29" s="9">
        <f t="shared" si="66"/>
        <v>1.1263136809609728</v>
      </c>
      <c r="AU29" s="9">
        <f t="shared" si="66"/>
        <v>1.2070471677452521</v>
      </c>
      <c r="AV29" s="9">
        <f t="shared" si="66"/>
        <v>1.2570431688674333</v>
      </c>
      <c r="AW29" s="9">
        <f t="shared" si="66"/>
        <v>1.3482275034085132</v>
      </c>
      <c r="AX29" s="9">
        <f t="shared" si="66"/>
        <v>1.4741685007193179</v>
      </c>
      <c r="AY29" s="9">
        <f t="shared" si="66"/>
        <v>1.6235174155926673</v>
      </c>
      <c r="AZ29" s="9">
        <f t="shared" si="66"/>
        <v>1.7726862391619218</v>
      </c>
      <c r="BA29" s="9">
        <f t="shared" si="66"/>
        <v>1.8789186903824489</v>
      </c>
      <c r="BB29" s="9">
        <f t="shared" si="66"/>
        <v>2.0903896245757427</v>
      </c>
      <c r="BC29" s="9">
        <f t="shared" si="66"/>
        <v>2.8771593316720843</v>
      </c>
      <c r="BD29" s="32"/>
      <c r="BE29" s="32"/>
    </row>
    <row r="30" spans="1:59" x14ac:dyDescent="0.25">
      <c r="A30" s="32"/>
      <c r="B30" s="229">
        <v>45995</v>
      </c>
      <c r="C30" s="230">
        <v>1.2604920006417746</v>
      </c>
      <c r="D30" s="9">
        <f t="shared" ref="D30:N30" si="67">D29+D$2</f>
        <v>0.87085966674615911</v>
      </c>
      <c r="E30" s="9">
        <f t="shared" si="67"/>
        <v>0.975589927250889</v>
      </c>
      <c r="F30" s="9">
        <f t="shared" si="67"/>
        <v>1.0441350270709544</v>
      </c>
      <c r="G30" s="9">
        <f t="shared" si="67"/>
        <v>1.0906784404265599</v>
      </c>
      <c r="H30" s="9">
        <f t="shared" si="67"/>
        <v>1.18688352980974</v>
      </c>
      <c r="I30" s="9">
        <f t="shared" si="67"/>
        <v>1.3349981314845287</v>
      </c>
      <c r="J30" s="9">
        <f t="shared" si="67"/>
        <v>1.5342658160297085</v>
      </c>
      <c r="K30" s="9">
        <f t="shared" si="67"/>
        <v>1.7359208775015873</v>
      </c>
      <c r="L30" s="9">
        <f t="shared" si="67"/>
        <v>1.8931212817169474</v>
      </c>
      <c r="M30" s="9">
        <f t="shared" si="67"/>
        <v>2.2254447201435235</v>
      </c>
      <c r="N30" s="9">
        <f t="shared" si="67"/>
        <v>3.0035239447771254</v>
      </c>
      <c r="O30" s="32"/>
      <c r="P30" s="32">
        <v>1434528919.090945</v>
      </c>
      <c r="Q30" s="32">
        <f t="shared" si="4"/>
        <v>1.4345289190909449</v>
      </c>
      <c r="R30" s="32"/>
      <c r="S30" s="41">
        <v>45631</v>
      </c>
      <c r="T30" s="9">
        <v>1.4345289190909449</v>
      </c>
      <c r="U30" s="9">
        <f t="shared" ref="U30:AE30" si="68">U29+U$2</f>
        <v>1.0987385257269671</v>
      </c>
      <c r="V30" s="9">
        <f t="shared" si="68"/>
        <v>1.2009975534261239</v>
      </c>
      <c r="W30" s="9">
        <f t="shared" si="68"/>
        <v>1.2869672643903642</v>
      </c>
      <c r="X30" s="9">
        <f t="shared" si="68"/>
        <v>1.3435691728268793</v>
      </c>
      <c r="Y30" s="9">
        <f t="shared" si="68"/>
        <v>1.4499222049449465</v>
      </c>
      <c r="Z30" s="9">
        <f t="shared" si="68"/>
        <v>1.5836286943589777</v>
      </c>
      <c r="AA30" s="9">
        <f t="shared" si="68"/>
        <v>1.7428508829428906</v>
      </c>
      <c r="AB30" s="9">
        <f t="shared" si="68"/>
        <v>1.9062368130772172</v>
      </c>
      <c r="AC30" s="9">
        <f t="shared" si="68"/>
        <v>2.0080836891546041</v>
      </c>
      <c r="AD30" s="9">
        <f t="shared" si="68"/>
        <v>2.2136141641536926</v>
      </c>
      <c r="AE30" s="9">
        <f t="shared" si="68"/>
        <v>2.7865870429282684</v>
      </c>
      <c r="AF30" s="32"/>
      <c r="AG30" s="32"/>
      <c r="AQ30" s="231">
        <v>45995</v>
      </c>
      <c r="AR30" s="76">
        <v>1.260492001</v>
      </c>
      <c r="AS30" s="9">
        <f t="shared" ref="AS30:BC30" si="69">AS29+AS$2</f>
        <v>1.0722484098195117</v>
      </c>
      <c r="AT30" s="9">
        <f t="shared" si="69"/>
        <v>1.1775097573682898</v>
      </c>
      <c r="AU30" s="9">
        <f t="shared" si="69"/>
        <v>1.261912948097309</v>
      </c>
      <c r="AV30" s="9">
        <f t="shared" si="69"/>
        <v>1.3141814947250439</v>
      </c>
      <c r="AW30" s="9">
        <f t="shared" si="69"/>
        <v>1.4095105717452638</v>
      </c>
      <c r="AX30" s="9">
        <f t="shared" si="69"/>
        <v>1.5411761598429232</v>
      </c>
      <c r="AY30" s="9">
        <f t="shared" si="69"/>
        <v>1.6973136617559703</v>
      </c>
      <c r="AZ30" s="9">
        <f t="shared" si="69"/>
        <v>1.8532628863965546</v>
      </c>
      <c r="BA30" s="9">
        <f t="shared" si="69"/>
        <v>1.9643240853998329</v>
      </c>
      <c r="BB30" s="9">
        <f t="shared" si="69"/>
        <v>2.1854073347837311</v>
      </c>
      <c r="BC30" s="9">
        <f t="shared" si="69"/>
        <v>3.0079393012935425</v>
      </c>
      <c r="BD30" s="32"/>
      <c r="BE30" s="32"/>
    </row>
    <row r="31" spans="1:59" x14ac:dyDescent="0.25">
      <c r="A31" s="32"/>
      <c r="B31" s="229">
        <v>46002</v>
      </c>
      <c r="C31" s="230">
        <v>1.3031097435807781</v>
      </c>
      <c r="D31" s="9">
        <f t="shared" ref="D31:N31" si="70">D30+D$2</f>
        <v>0.90872313051773124</v>
      </c>
      <c r="E31" s="9">
        <f t="shared" si="70"/>
        <v>1.0180068806096234</v>
      </c>
      <c r="F31" s="9">
        <f t="shared" si="70"/>
        <v>1.0895322021609959</v>
      </c>
      <c r="G31" s="9">
        <f t="shared" si="70"/>
        <v>1.1380992421842364</v>
      </c>
      <c r="H31" s="9">
        <f t="shared" si="70"/>
        <v>1.2384871615405983</v>
      </c>
      <c r="I31" s="9">
        <f t="shared" si="70"/>
        <v>1.3930415285055953</v>
      </c>
      <c r="J31" s="9">
        <f t="shared" si="70"/>
        <v>1.6009730254223045</v>
      </c>
      <c r="K31" s="9">
        <f t="shared" si="70"/>
        <v>1.8113956982625259</v>
      </c>
      <c r="L31" s="9">
        <f t="shared" si="70"/>
        <v>1.9754309026611625</v>
      </c>
      <c r="M31" s="9">
        <f t="shared" si="70"/>
        <v>2.3222031862367203</v>
      </c>
      <c r="N31" s="9">
        <f t="shared" si="70"/>
        <v>3.1341119423761308</v>
      </c>
      <c r="O31" s="32"/>
      <c r="P31" s="32">
        <v>1475594429.634129</v>
      </c>
      <c r="Q31" s="32">
        <f t="shared" si="4"/>
        <v>1.475594429634129</v>
      </c>
      <c r="R31" s="32"/>
      <c r="S31" s="41">
        <v>45638</v>
      </c>
      <c r="T31" s="9">
        <v>1.475594429634129</v>
      </c>
      <c r="U31" s="9">
        <f t="shared" ref="U31:AE31" si="71">U30+U$2</f>
        <v>1.1465097659759655</v>
      </c>
      <c r="V31" s="9">
        <f t="shared" si="71"/>
        <v>1.2532148383576944</v>
      </c>
      <c r="W31" s="9">
        <f t="shared" si="71"/>
        <v>1.3429223628421192</v>
      </c>
      <c r="X31" s="9">
        <f t="shared" si="71"/>
        <v>1.4019852238193522</v>
      </c>
      <c r="Y31" s="9">
        <f t="shared" si="71"/>
        <v>1.512962300812118</v>
      </c>
      <c r="Z31" s="9">
        <f t="shared" si="71"/>
        <v>1.6524821158528462</v>
      </c>
      <c r="AA31" s="9">
        <f t="shared" si="71"/>
        <v>1.8186270082882336</v>
      </c>
      <c r="AB31" s="9">
        <f t="shared" si="71"/>
        <v>1.989116674515357</v>
      </c>
      <c r="AC31" s="9">
        <f t="shared" si="71"/>
        <v>2.0953916756395867</v>
      </c>
      <c r="AD31" s="9">
        <f t="shared" si="71"/>
        <v>2.3098582582473313</v>
      </c>
      <c r="AE31" s="9">
        <f t="shared" si="71"/>
        <v>2.907743001316454</v>
      </c>
      <c r="AF31" s="32"/>
      <c r="AG31" s="32"/>
      <c r="AQ31" s="231">
        <v>46002</v>
      </c>
      <c r="AR31" s="76">
        <v>1.3031097440000001</v>
      </c>
      <c r="AS31" s="9">
        <f t="shared" ref="AS31:BC31" si="72">AS30+AS$2</f>
        <v>1.1188679058986208</v>
      </c>
      <c r="AT31" s="9">
        <f t="shared" si="72"/>
        <v>1.2287058337756067</v>
      </c>
      <c r="AU31" s="9">
        <f t="shared" si="72"/>
        <v>1.3167787284493659</v>
      </c>
      <c r="AV31" s="9">
        <f t="shared" si="72"/>
        <v>1.3713198205826544</v>
      </c>
      <c r="AW31" s="9">
        <f t="shared" si="72"/>
        <v>1.4707936400820145</v>
      </c>
      <c r="AX31" s="9">
        <f t="shared" si="72"/>
        <v>1.6081838189665285</v>
      </c>
      <c r="AY31" s="9">
        <f t="shared" si="72"/>
        <v>1.7711099079192734</v>
      </c>
      <c r="AZ31" s="9">
        <f t="shared" si="72"/>
        <v>1.9338395336311873</v>
      </c>
      <c r="BA31" s="9">
        <f t="shared" si="72"/>
        <v>2.0497294804172168</v>
      </c>
      <c r="BB31" s="9">
        <f t="shared" si="72"/>
        <v>2.2804250449917194</v>
      </c>
      <c r="BC31" s="9">
        <f t="shared" si="72"/>
        <v>3.1387192709150007</v>
      </c>
      <c r="BD31" s="32"/>
      <c r="BE31" s="32"/>
    </row>
    <row r="32" spans="1:59" x14ac:dyDescent="0.25">
      <c r="A32" s="32"/>
      <c r="B32" s="229">
        <v>46009</v>
      </c>
      <c r="C32" s="230">
        <v>1.3454875933339994</v>
      </c>
      <c r="D32" s="9">
        <f t="shared" ref="D32:N32" si="73">D31+D$2</f>
        <v>0.94658659428930336</v>
      </c>
      <c r="E32" s="9">
        <f t="shared" si="73"/>
        <v>1.0604238339683578</v>
      </c>
      <c r="F32" s="9">
        <f t="shared" si="73"/>
        <v>1.1349293772510374</v>
      </c>
      <c r="G32" s="9">
        <f t="shared" si="73"/>
        <v>1.1855200439419129</v>
      </c>
      <c r="H32" s="9">
        <f t="shared" si="73"/>
        <v>1.2900907932714567</v>
      </c>
      <c r="I32" s="9">
        <f t="shared" si="73"/>
        <v>1.4510849255266618</v>
      </c>
      <c r="J32" s="9">
        <f t="shared" si="73"/>
        <v>1.6676802348149005</v>
      </c>
      <c r="K32" s="9">
        <f t="shared" si="73"/>
        <v>1.8868705190234645</v>
      </c>
      <c r="L32" s="9">
        <f t="shared" si="73"/>
        <v>2.0577405236053776</v>
      </c>
      <c r="M32" s="9">
        <f t="shared" si="73"/>
        <v>2.4189616523299171</v>
      </c>
      <c r="N32" s="9">
        <f t="shared" si="73"/>
        <v>3.2646999399751362</v>
      </c>
      <c r="O32" s="32"/>
      <c r="P32" s="32">
        <v>1504849176.8542664</v>
      </c>
      <c r="Q32" s="32">
        <f t="shared" si="4"/>
        <v>1.5048491768542664</v>
      </c>
      <c r="R32" s="32"/>
      <c r="S32" s="41">
        <v>45645</v>
      </c>
      <c r="T32" s="9">
        <v>1.5048491768542664</v>
      </c>
      <c r="U32" s="9">
        <f t="shared" ref="U32:AE32" si="74">U31+U$2</f>
        <v>1.194281006224964</v>
      </c>
      <c r="V32" s="9">
        <f t="shared" si="74"/>
        <v>1.3054321232892649</v>
      </c>
      <c r="W32" s="9">
        <f t="shared" si="74"/>
        <v>1.3988774612938741</v>
      </c>
      <c r="X32" s="9">
        <f t="shared" si="74"/>
        <v>1.4604012748118251</v>
      </c>
      <c r="Y32" s="9">
        <f t="shared" si="74"/>
        <v>1.5760023966792895</v>
      </c>
      <c r="Z32" s="9">
        <f t="shared" si="74"/>
        <v>1.7213355373467147</v>
      </c>
      <c r="AA32" s="9">
        <f t="shared" si="74"/>
        <v>1.8944031336335767</v>
      </c>
      <c r="AB32" s="9">
        <f t="shared" si="74"/>
        <v>2.0719965359534971</v>
      </c>
      <c r="AC32" s="9">
        <f t="shared" si="74"/>
        <v>2.1826996621245693</v>
      </c>
      <c r="AD32" s="9">
        <f t="shared" si="74"/>
        <v>2.4061023523409699</v>
      </c>
      <c r="AE32" s="9">
        <f t="shared" si="74"/>
        <v>3.0288989597046396</v>
      </c>
      <c r="AF32" s="32"/>
      <c r="AG32" s="32"/>
      <c r="AQ32" s="231">
        <v>46009</v>
      </c>
      <c r="AR32" s="76">
        <v>1.3454875930000001</v>
      </c>
      <c r="AS32" s="9">
        <f t="shared" ref="AS32:BC32" si="75">AS31+AS$2</f>
        <v>1.1654874019777299</v>
      </c>
      <c r="AT32" s="9">
        <f t="shared" si="75"/>
        <v>1.2799019101829237</v>
      </c>
      <c r="AU32" s="9">
        <f t="shared" si="75"/>
        <v>1.3716445088014229</v>
      </c>
      <c r="AV32" s="9">
        <f t="shared" si="75"/>
        <v>1.428458146440265</v>
      </c>
      <c r="AW32" s="9">
        <f t="shared" si="75"/>
        <v>1.5320767084187652</v>
      </c>
      <c r="AX32" s="9">
        <f t="shared" si="75"/>
        <v>1.6751914780901338</v>
      </c>
      <c r="AY32" s="9">
        <f t="shared" si="75"/>
        <v>1.8449061540825764</v>
      </c>
      <c r="AZ32" s="9">
        <f t="shared" si="75"/>
        <v>2.0144161808658203</v>
      </c>
      <c r="BA32" s="9">
        <f t="shared" si="75"/>
        <v>2.1351348754346007</v>
      </c>
      <c r="BB32" s="9">
        <f t="shared" si="75"/>
        <v>2.3754427551997077</v>
      </c>
      <c r="BC32" s="9">
        <f t="shared" si="75"/>
        <v>3.2694992405364589</v>
      </c>
      <c r="BD32" s="32"/>
      <c r="BE32" s="32"/>
    </row>
    <row r="33" spans="1:57" x14ac:dyDescent="0.25">
      <c r="A33" s="32"/>
      <c r="B33" s="229">
        <v>46016</v>
      </c>
      <c r="C33" s="230">
        <v>1.4110872544968049</v>
      </c>
      <c r="D33" s="9">
        <f t="shared" ref="D33:N33" si="76">D32+D$2</f>
        <v>0.98445005806087549</v>
      </c>
      <c r="E33" s="9">
        <f t="shared" si="76"/>
        <v>1.1028407873270922</v>
      </c>
      <c r="F33" s="9">
        <f t="shared" si="76"/>
        <v>1.1803265523410789</v>
      </c>
      <c r="G33" s="9">
        <f t="shared" si="76"/>
        <v>1.2329408456995894</v>
      </c>
      <c r="H33" s="9">
        <f t="shared" si="76"/>
        <v>1.3416944250023151</v>
      </c>
      <c r="I33" s="9">
        <f t="shared" si="76"/>
        <v>1.5091283225477283</v>
      </c>
      <c r="J33" s="9">
        <f t="shared" si="76"/>
        <v>1.7343874442074965</v>
      </c>
      <c r="K33" s="9">
        <f t="shared" si="76"/>
        <v>1.9623453397844031</v>
      </c>
      <c r="L33" s="9">
        <f t="shared" si="76"/>
        <v>2.1400501445495927</v>
      </c>
      <c r="M33" s="9">
        <f t="shared" si="76"/>
        <v>2.5157201184231139</v>
      </c>
      <c r="N33" s="9">
        <f t="shared" si="76"/>
        <v>3.3952879375741416</v>
      </c>
      <c r="O33" s="32"/>
      <c r="P33" s="32">
        <v>1545947452.124747</v>
      </c>
      <c r="Q33" s="32">
        <f t="shared" si="4"/>
        <v>1.5459474521247469</v>
      </c>
      <c r="R33" s="32"/>
      <c r="S33" s="41">
        <v>45652</v>
      </c>
      <c r="T33" s="9">
        <v>1.5459474521247469</v>
      </c>
      <c r="U33" s="9">
        <f t="shared" ref="U33:AE33" si="77">U32+U$2</f>
        <v>1.2420522464739625</v>
      </c>
      <c r="V33" s="9">
        <f t="shared" si="77"/>
        <v>1.3576494082208355</v>
      </c>
      <c r="W33" s="9">
        <f t="shared" si="77"/>
        <v>1.4548325597456291</v>
      </c>
      <c r="X33" s="9">
        <f t="shared" si="77"/>
        <v>1.5188173258042981</v>
      </c>
      <c r="Y33" s="9">
        <f t="shared" si="77"/>
        <v>1.6390424925464611</v>
      </c>
      <c r="Z33" s="9">
        <f t="shared" si="77"/>
        <v>1.7901889588405833</v>
      </c>
      <c r="AA33" s="9">
        <f t="shared" si="77"/>
        <v>1.9701792589789198</v>
      </c>
      <c r="AB33" s="9">
        <f t="shared" si="77"/>
        <v>2.1548763973916372</v>
      </c>
      <c r="AC33" s="9">
        <f t="shared" si="77"/>
        <v>2.270007648609552</v>
      </c>
      <c r="AD33" s="9">
        <f t="shared" si="77"/>
        <v>2.5023464464346086</v>
      </c>
      <c r="AE33" s="9">
        <f t="shared" si="77"/>
        <v>3.1500549180928252</v>
      </c>
      <c r="AF33" s="32"/>
      <c r="AG33" s="32"/>
      <c r="AQ33" s="231">
        <v>46016</v>
      </c>
      <c r="AR33" s="76">
        <v>1.4110872540000001</v>
      </c>
      <c r="AS33" s="9">
        <f t="shared" ref="AS33:BC33" si="78">AS32+AS$2</f>
        <v>1.212106898056839</v>
      </c>
      <c r="AT33" s="9">
        <f t="shared" si="78"/>
        <v>1.3310979865902406</v>
      </c>
      <c r="AU33" s="9">
        <f t="shared" si="78"/>
        <v>1.4265102891534798</v>
      </c>
      <c r="AV33" s="9">
        <f t="shared" si="78"/>
        <v>1.4855964722978756</v>
      </c>
      <c r="AW33" s="9">
        <f t="shared" si="78"/>
        <v>1.5933597767555159</v>
      </c>
      <c r="AX33" s="9">
        <f t="shared" si="78"/>
        <v>1.7421991372137391</v>
      </c>
      <c r="AY33" s="9">
        <f t="shared" si="78"/>
        <v>1.9187024002458795</v>
      </c>
      <c r="AZ33" s="9">
        <f t="shared" si="78"/>
        <v>2.0949928281004531</v>
      </c>
      <c r="BA33" s="9">
        <f t="shared" si="78"/>
        <v>2.2205402704519845</v>
      </c>
      <c r="BB33" s="9">
        <f t="shared" si="78"/>
        <v>2.470460465407696</v>
      </c>
      <c r="BC33" s="9">
        <f t="shared" si="78"/>
        <v>3.4002792101579171</v>
      </c>
      <c r="BD33" s="32"/>
      <c r="BE33" s="32"/>
    </row>
    <row r="34" spans="1:57" x14ac:dyDescent="0.25">
      <c r="A34" s="32"/>
      <c r="B34" s="41"/>
      <c r="C34" s="9"/>
      <c r="D34" s="9"/>
      <c r="E34" s="9"/>
      <c r="F34" s="9"/>
      <c r="G34" s="9"/>
      <c r="H34" s="9"/>
      <c r="I34" s="9"/>
      <c r="J34" s="9"/>
      <c r="K34" s="9"/>
      <c r="L34" s="9"/>
      <c r="M34" s="9"/>
      <c r="N34" s="9"/>
      <c r="O34" s="32"/>
      <c r="P34" s="32"/>
      <c r="Q34" s="32"/>
      <c r="R34" s="32"/>
      <c r="S34" s="41">
        <v>45659</v>
      </c>
      <c r="T34" s="9">
        <v>1.5968338719016677</v>
      </c>
      <c r="U34" s="9">
        <f t="shared" ref="U34:AE34" si="79">U33+U$2</f>
        <v>1.289823486722961</v>
      </c>
      <c r="V34" s="9">
        <f t="shared" si="79"/>
        <v>1.409866693152406</v>
      </c>
      <c r="W34" s="9">
        <f t="shared" si="79"/>
        <v>1.510787658197384</v>
      </c>
      <c r="X34" s="9">
        <f t="shared" si="79"/>
        <v>1.577233376796771</v>
      </c>
      <c r="Y34" s="9">
        <f t="shared" si="79"/>
        <v>1.7020825884136326</v>
      </c>
      <c r="Z34" s="9">
        <f t="shared" si="79"/>
        <v>1.8590423803344518</v>
      </c>
      <c r="AA34" s="9">
        <f t="shared" si="79"/>
        <v>2.0459553843242628</v>
      </c>
      <c r="AB34" s="9">
        <f t="shared" si="79"/>
        <v>2.2377562588297772</v>
      </c>
      <c r="AC34" s="9">
        <f t="shared" si="79"/>
        <v>2.3573156350945346</v>
      </c>
      <c r="AD34" s="9">
        <f t="shared" si="79"/>
        <v>2.5985905405282472</v>
      </c>
      <c r="AE34" s="9">
        <f t="shared" si="79"/>
        <v>3.2712108764810108</v>
      </c>
      <c r="AF34" s="32"/>
      <c r="AG34" s="32"/>
      <c r="AQ34" s="231">
        <v>46023</v>
      </c>
      <c r="AR34" s="76">
        <v>1.4506526800000001</v>
      </c>
      <c r="AS34" s="9">
        <f t="shared" ref="AS34:BC34" si="80">AS33+AS$2</f>
        <v>1.2587263941359481</v>
      </c>
      <c r="AT34" s="9">
        <f t="shared" si="80"/>
        <v>1.3822940629975575</v>
      </c>
      <c r="AU34" s="9">
        <f t="shared" si="80"/>
        <v>1.4813760695055367</v>
      </c>
      <c r="AV34" s="9">
        <f t="shared" si="80"/>
        <v>1.5427347981554862</v>
      </c>
      <c r="AW34" s="9">
        <f t="shared" si="80"/>
        <v>1.6546428450922666</v>
      </c>
      <c r="AX34" s="9">
        <f t="shared" si="80"/>
        <v>1.8092067963373444</v>
      </c>
      <c r="AY34" s="9">
        <f t="shared" si="80"/>
        <v>1.9924986464091825</v>
      </c>
      <c r="AZ34" s="9">
        <f t="shared" si="80"/>
        <v>2.1755694753350858</v>
      </c>
      <c r="BA34" s="9">
        <f t="shared" si="80"/>
        <v>2.3059456654693684</v>
      </c>
      <c r="BB34" s="9">
        <f t="shared" si="80"/>
        <v>2.5654781756156844</v>
      </c>
      <c r="BC34" s="9">
        <f t="shared" si="80"/>
        <v>3.5310591797793753</v>
      </c>
      <c r="BD34" s="32"/>
      <c r="BE34" s="32"/>
    </row>
    <row r="35" spans="1:57" x14ac:dyDescent="0.25">
      <c r="A35" s="32"/>
      <c r="B35" s="41"/>
      <c r="C35" s="9"/>
      <c r="D35" s="9"/>
      <c r="E35" s="9"/>
      <c r="F35" s="9"/>
      <c r="G35" s="9"/>
      <c r="H35" s="9"/>
      <c r="I35" s="9"/>
      <c r="J35" s="9"/>
      <c r="K35" s="9"/>
      <c r="L35" s="9"/>
      <c r="M35" s="9"/>
      <c r="N35" s="9"/>
      <c r="O35" s="32"/>
      <c r="P35" s="32"/>
      <c r="Q35" s="32"/>
      <c r="R35" s="32"/>
      <c r="S35" s="41">
        <v>45666</v>
      </c>
      <c r="T35" s="9">
        <v>1.6231268962358945</v>
      </c>
      <c r="U35" s="9">
        <f t="shared" ref="U35:AE35" si="81">U34+U$2</f>
        <v>1.3375947269719595</v>
      </c>
      <c r="V35" s="9">
        <f t="shared" si="81"/>
        <v>1.4620839780839765</v>
      </c>
      <c r="W35" s="9">
        <f t="shared" si="81"/>
        <v>1.566742756649139</v>
      </c>
      <c r="X35" s="9">
        <f t="shared" si="81"/>
        <v>1.6356494277892439</v>
      </c>
      <c r="Y35" s="9">
        <f t="shared" si="81"/>
        <v>1.7651226842808041</v>
      </c>
      <c r="Z35" s="9">
        <f t="shared" si="81"/>
        <v>1.9278958018283203</v>
      </c>
      <c r="AA35" s="9">
        <f t="shared" si="81"/>
        <v>2.1217315096696061</v>
      </c>
      <c r="AB35" s="9">
        <f t="shared" si="81"/>
        <v>2.3206361202679173</v>
      </c>
      <c r="AC35" s="9">
        <f t="shared" si="81"/>
        <v>2.4446236215795172</v>
      </c>
      <c r="AD35" s="9">
        <f t="shared" si="81"/>
        <v>2.6948346346218859</v>
      </c>
      <c r="AE35" s="9">
        <f t="shared" si="81"/>
        <v>3.3923668348691964</v>
      </c>
      <c r="AF35" s="32"/>
      <c r="AG35" s="32"/>
      <c r="AQ35" s="231">
        <v>46030</v>
      </c>
      <c r="AR35" s="76">
        <v>1.5067113680000002</v>
      </c>
      <c r="AS35" s="9">
        <f t="shared" ref="AS35:BC35" si="82">AS34+AS$2</f>
        <v>1.3053458902150572</v>
      </c>
      <c r="AT35" s="9">
        <f t="shared" si="82"/>
        <v>1.4334901394048745</v>
      </c>
      <c r="AU35" s="9">
        <f t="shared" si="82"/>
        <v>1.5362418498575936</v>
      </c>
      <c r="AV35" s="9">
        <f t="shared" si="82"/>
        <v>1.5998731240130968</v>
      </c>
      <c r="AW35" s="9">
        <f t="shared" si="82"/>
        <v>1.7159259134290172</v>
      </c>
      <c r="AX35" s="9">
        <f t="shared" si="82"/>
        <v>1.8762144554609497</v>
      </c>
      <c r="AY35" s="9">
        <f t="shared" si="82"/>
        <v>2.0662948925724858</v>
      </c>
      <c r="AZ35" s="9">
        <f t="shared" si="82"/>
        <v>2.2561461225697186</v>
      </c>
      <c r="BA35" s="9">
        <f t="shared" si="82"/>
        <v>2.3913510604867523</v>
      </c>
      <c r="BB35" s="9">
        <f t="shared" si="82"/>
        <v>2.6604958858236727</v>
      </c>
      <c r="BC35" s="9">
        <f t="shared" si="82"/>
        <v>3.6618391494008335</v>
      </c>
      <c r="BD35" s="32"/>
      <c r="BE35" s="32"/>
    </row>
    <row r="36" spans="1:57" x14ac:dyDescent="0.25">
      <c r="A36" s="32"/>
      <c r="B36" s="41"/>
      <c r="C36" s="9"/>
      <c r="D36" s="9"/>
      <c r="E36" s="9"/>
      <c r="F36" s="9"/>
      <c r="G36" s="9"/>
      <c r="H36" s="9"/>
      <c r="I36" s="9"/>
      <c r="J36" s="9"/>
      <c r="K36" s="9"/>
      <c r="L36" s="9"/>
      <c r="M36" s="9"/>
      <c r="N36" s="9"/>
      <c r="O36" s="32"/>
      <c r="P36" s="32"/>
      <c r="Q36" s="32"/>
      <c r="R36" s="32"/>
      <c r="S36" s="41">
        <v>45673</v>
      </c>
      <c r="T36" s="9">
        <v>1.660991554130762</v>
      </c>
      <c r="U36" s="9">
        <f t="shared" ref="U36:AE36" si="83">U35+U$2</f>
        <v>1.385365967220958</v>
      </c>
      <c r="V36" s="9">
        <f t="shared" si="83"/>
        <v>1.514301263015547</v>
      </c>
      <c r="W36" s="9">
        <f t="shared" si="83"/>
        <v>1.6226978551008939</v>
      </c>
      <c r="X36" s="9">
        <f t="shared" si="83"/>
        <v>1.6940654787817169</v>
      </c>
      <c r="Y36" s="9">
        <f t="shared" si="83"/>
        <v>1.8281627801479756</v>
      </c>
      <c r="Z36" s="9">
        <f t="shared" si="83"/>
        <v>1.9967492233221888</v>
      </c>
      <c r="AA36" s="9">
        <f t="shared" si="83"/>
        <v>2.1975076350149494</v>
      </c>
      <c r="AB36" s="9">
        <f t="shared" si="83"/>
        <v>2.4035159817060574</v>
      </c>
      <c r="AC36" s="9">
        <f t="shared" si="83"/>
        <v>2.5319316080644998</v>
      </c>
      <c r="AD36" s="9">
        <f t="shared" si="83"/>
        <v>2.7910787287155245</v>
      </c>
      <c r="AE36" s="9">
        <f t="shared" si="83"/>
        <v>3.513522793257382</v>
      </c>
      <c r="AF36" s="32"/>
      <c r="AG36" s="32"/>
      <c r="AQ36" s="231">
        <v>46037</v>
      </c>
      <c r="AR36" s="76">
        <v>1.5495302210000002</v>
      </c>
      <c r="AS36" s="9">
        <f t="shared" ref="AS36:BC36" si="84">AS35+AS$2</f>
        <v>1.3519653862941663</v>
      </c>
      <c r="AT36" s="9">
        <f t="shared" si="84"/>
        <v>1.4846862158121914</v>
      </c>
      <c r="AU36" s="9">
        <f t="shared" si="84"/>
        <v>1.5911076302096505</v>
      </c>
      <c r="AV36" s="9">
        <f t="shared" si="84"/>
        <v>1.6570114498707074</v>
      </c>
      <c r="AW36" s="9">
        <f t="shared" si="84"/>
        <v>1.7772089817657679</v>
      </c>
      <c r="AX36" s="9">
        <f t="shared" si="84"/>
        <v>1.943222114584555</v>
      </c>
      <c r="AY36" s="9">
        <f t="shared" si="84"/>
        <v>2.140091138735789</v>
      </c>
      <c r="AZ36" s="9">
        <f t="shared" si="84"/>
        <v>2.3367227698043513</v>
      </c>
      <c r="BA36" s="9">
        <f t="shared" si="84"/>
        <v>2.4767564555041361</v>
      </c>
      <c r="BB36" s="9">
        <f t="shared" si="84"/>
        <v>2.755513596031661</v>
      </c>
      <c r="BC36" s="9">
        <f t="shared" si="84"/>
        <v>3.7926191190222918</v>
      </c>
      <c r="BD36" s="32"/>
      <c r="BE36" s="32"/>
    </row>
    <row r="37" spans="1:57" x14ac:dyDescent="0.25">
      <c r="A37" s="32"/>
      <c r="B37" s="41"/>
      <c r="C37" s="9"/>
      <c r="D37" s="9"/>
      <c r="E37" s="9"/>
      <c r="F37" s="9"/>
      <c r="G37" s="9"/>
      <c r="H37" s="9"/>
      <c r="I37" s="9"/>
      <c r="J37" s="9"/>
      <c r="K37" s="9"/>
      <c r="L37" s="9"/>
      <c r="M37" s="9"/>
      <c r="N37" s="9"/>
      <c r="O37" s="32"/>
      <c r="P37" s="32"/>
      <c r="Q37" s="32"/>
      <c r="R37" s="32"/>
      <c r="S37" s="41">
        <v>45680</v>
      </c>
      <c r="T37" s="9">
        <v>1.7084831626025503</v>
      </c>
      <c r="U37" s="9">
        <f t="shared" ref="U37:AE37" si="85">U36+U$2</f>
        <v>1.4331372074699564</v>
      </c>
      <c r="V37" s="9">
        <f t="shared" si="85"/>
        <v>1.5665185479471175</v>
      </c>
      <c r="W37" s="9">
        <f t="shared" si="85"/>
        <v>1.6786529535526489</v>
      </c>
      <c r="X37" s="9">
        <f t="shared" si="85"/>
        <v>1.7524815297741898</v>
      </c>
      <c r="Y37" s="9">
        <f t="shared" si="85"/>
        <v>1.8912028760151471</v>
      </c>
      <c r="Z37" s="9">
        <f t="shared" si="85"/>
        <v>2.0656026448160576</v>
      </c>
      <c r="AA37" s="9">
        <f t="shared" si="85"/>
        <v>2.2732837603602927</v>
      </c>
      <c r="AB37" s="9">
        <f t="shared" si="85"/>
        <v>2.4863958431441975</v>
      </c>
      <c r="AC37" s="9">
        <f t="shared" si="85"/>
        <v>2.6192395945494824</v>
      </c>
      <c r="AD37" s="9">
        <f t="shared" si="85"/>
        <v>2.8873228228091632</v>
      </c>
      <c r="AE37" s="9">
        <f t="shared" si="85"/>
        <v>3.6346787516455676</v>
      </c>
      <c r="AF37" s="32"/>
      <c r="AG37" s="32"/>
      <c r="AQ37" s="231">
        <v>46044</v>
      </c>
      <c r="AR37" s="76">
        <v>1.6075424710000001</v>
      </c>
      <c r="AS37" s="9">
        <f t="shared" ref="AS37:BC37" si="86">AS36+AS$2</f>
        <v>1.3985848823732754</v>
      </c>
      <c r="AT37" s="9">
        <f t="shared" si="86"/>
        <v>1.5358822922195083</v>
      </c>
      <c r="AU37" s="9">
        <f t="shared" si="86"/>
        <v>1.6459734105617074</v>
      </c>
      <c r="AV37" s="9">
        <f t="shared" si="86"/>
        <v>1.7141497757283179</v>
      </c>
      <c r="AW37" s="9">
        <f t="shared" si="86"/>
        <v>1.8384920501025186</v>
      </c>
      <c r="AX37" s="9">
        <f t="shared" si="86"/>
        <v>2.0102297737081605</v>
      </c>
      <c r="AY37" s="9">
        <f t="shared" si="86"/>
        <v>2.2138873848990923</v>
      </c>
      <c r="AZ37" s="9">
        <f t="shared" si="86"/>
        <v>2.4172994170389841</v>
      </c>
      <c r="BA37" s="9">
        <f t="shared" si="86"/>
        <v>2.56216185052152</v>
      </c>
      <c r="BB37" s="9">
        <f t="shared" si="86"/>
        <v>2.8505313062396493</v>
      </c>
      <c r="BC37" s="9">
        <f t="shared" si="86"/>
        <v>3.92339908864375</v>
      </c>
      <c r="BD37" s="32"/>
      <c r="BE37" s="32"/>
    </row>
    <row r="38" spans="1:57" x14ac:dyDescent="0.25">
      <c r="A38" s="32"/>
      <c r="B38" s="41"/>
      <c r="C38" s="9"/>
      <c r="D38" s="9"/>
      <c r="E38" s="9"/>
      <c r="F38" s="9"/>
      <c r="G38" s="9"/>
      <c r="H38" s="9"/>
      <c r="I38" s="9"/>
      <c r="J38" s="9"/>
      <c r="K38" s="9"/>
      <c r="L38" s="9"/>
      <c r="M38" s="9"/>
      <c r="N38" s="9"/>
      <c r="O38" s="32"/>
      <c r="P38" s="32"/>
      <c r="Q38" s="32"/>
      <c r="R38" s="32"/>
      <c r="S38" s="41">
        <v>45687</v>
      </c>
      <c r="T38" s="9">
        <v>1.7723419118500168</v>
      </c>
      <c r="U38" s="9">
        <f t="shared" ref="U38:AE38" si="87">U37+U$2</f>
        <v>1.4809084477189549</v>
      </c>
      <c r="V38" s="9">
        <f t="shared" si="87"/>
        <v>1.6187358328786881</v>
      </c>
      <c r="W38" s="9">
        <f t="shared" si="87"/>
        <v>1.7346080520044038</v>
      </c>
      <c r="X38" s="9">
        <f t="shared" si="87"/>
        <v>1.8108975807666627</v>
      </c>
      <c r="Y38" s="9">
        <f t="shared" si="87"/>
        <v>1.9542429718823187</v>
      </c>
      <c r="Z38" s="9">
        <f t="shared" si="87"/>
        <v>2.1344560663099261</v>
      </c>
      <c r="AA38" s="9">
        <f t="shared" si="87"/>
        <v>2.349059885705636</v>
      </c>
      <c r="AB38" s="9">
        <f t="shared" si="87"/>
        <v>2.5692757045823376</v>
      </c>
      <c r="AC38" s="9">
        <f t="shared" si="87"/>
        <v>2.706547581034465</v>
      </c>
      <c r="AD38" s="9">
        <f t="shared" si="87"/>
        <v>2.9835669169028018</v>
      </c>
      <c r="AE38" s="9">
        <f t="shared" si="87"/>
        <v>3.7558347100337532</v>
      </c>
      <c r="AF38" s="32"/>
      <c r="AG38" s="32"/>
      <c r="AQ38" s="231">
        <v>46051</v>
      </c>
      <c r="AR38" s="76">
        <v>1.6759616290000001</v>
      </c>
      <c r="AS38" s="9">
        <f t="shared" ref="AS38:BC38" si="88">AS37+AS$2</f>
        <v>1.4452043784523845</v>
      </c>
      <c r="AT38" s="9">
        <f t="shared" si="88"/>
        <v>1.5870783686268253</v>
      </c>
      <c r="AU38" s="9">
        <f t="shared" si="88"/>
        <v>1.7008391909137643</v>
      </c>
      <c r="AV38" s="9">
        <f t="shared" si="88"/>
        <v>1.7712881015859285</v>
      </c>
      <c r="AW38" s="9">
        <f t="shared" si="88"/>
        <v>1.8997751184392693</v>
      </c>
      <c r="AX38" s="9">
        <f t="shared" si="88"/>
        <v>2.0772374328317658</v>
      </c>
      <c r="AY38" s="9">
        <f t="shared" si="88"/>
        <v>2.2876836310623956</v>
      </c>
      <c r="AZ38" s="9">
        <f t="shared" si="88"/>
        <v>2.4978760642736169</v>
      </c>
      <c r="BA38" s="9">
        <f t="shared" si="88"/>
        <v>2.6475672455389039</v>
      </c>
      <c r="BB38" s="9">
        <f t="shared" si="88"/>
        <v>2.9455490164476377</v>
      </c>
      <c r="BC38" s="9">
        <f t="shared" si="88"/>
        <v>4.0541790582652082</v>
      </c>
      <c r="BD38" s="32"/>
      <c r="BE38" s="32"/>
    </row>
    <row r="39" spans="1:57" x14ac:dyDescent="0.25">
      <c r="A39" s="32"/>
      <c r="B39" s="41"/>
      <c r="C39" s="9"/>
      <c r="D39" s="9"/>
      <c r="E39" s="9"/>
      <c r="F39" s="9"/>
      <c r="G39" s="9"/>
      <c r="H39" s="9"/>
      <c r="I39" s="9"/>
      <c r="J39" s="9"/>
      <c r="K39" s="9"/>
      <c r="L39" s="9"/>
      <c r="M39" s="9"/>
      <c r="N39" s="9"/>
      <c r="O39" s="32"/>
      <c r="P39" s="32"/>
      <c r="Q39" s="32"/>
      <c r="R39" s="32"/>
      <c r="S39" s="41">
        <v>45694</v>
      </c>
      <c r="T39" s="9">
        <v>1.8671378320708734</v>
      </c>
      <c r="U39" s="9">
        <f t="shared" ref="U39:AE39" si="89">U38+U$2</f>
        <v>1.5286796879679534</v>
      </c>
      <c r="V39" s="9">
        <f t="shared" si="89"/>
        <v>1.6709531178102586</v>
      </c>
      <c r="W39" s="9">
        <f t="shared" si="89"/>
        <v>1.7905631504561588</v>
      </c>
      <c r="X39" s="9">
        <f t="shared" si="89"/>
        <v>1.8693136317591357</v>
      </c>
      <c r="Y39" s="9">
        <f t="shared" si="89"/>
        <v>2.0172830677494904</v>
      </c>
      <c r="Z39" s="9">
        <f t="shared" si="89"/>
        <v>2.2033094878037947</v>
      </c>
      <c r="AA39" s="9">
        <f t="shared" si="89"/>
        <v>2.4248360110509792</v>
      </c>
      <c r="AB39" s="9">
        <f t="shared" si="89"/>
        <v>2.6521555660204776</v>
      </c>
      <c r="AC39" s="9">
        <f t="shared" si="89"/>
        <v>2.7938555675194476</v>
      </c>
      <c r="AD39" s="9">
        <f t="shared" si="89"/>
        <v>3.0798110109964405</v>
      </c>
      <c r="AE39" s="9">
        <f t="shared" si="89"/>
        <v>3.8769906684219388</v>
      </c>
      <c r="AF39" s="32"/>
      <c r="AG39" s="32"/>
      <c r="AQ39" s="231">
        <v>46058</v>
      </c>
      <c r="AR39" s="76">
        <v>1.7727575290000002</v>
      </c>
      <c r="AS39" s="9">
        <f t="shared" ref="AS39:BC39" si="90">AS38+AS$2</f>
        <v>1.4918238745314936</v>
      </c>
      <c r="AT39" s="9">
        <f t="shared" si="90"/>
        <v>1.6382744450341422</v>
      </c>
      <c r="AU39" s="9">
        <f t="shared" si="90"/>
        <v>1.7557049712658213</v>
      </c>
      <c r="AV39" s="9">
        <f t="shared" si="90"/>
        <v>1.8284264274435391</v>
      </c>
      <c r="AW39" s="9">
        <f t="shared" si="90"/>
        <v>1.96105818677602</v>
      </c>
      <c r="AX39" s="9">
        <f t="shared" si="90"/>
        <v>2.1442450919553711</v>
      </c>
      <c r="AY39" s="9">
        <f t="shared" si="90"/>
        <v>2.3614798772256989</v>
      </c>
      <c r="AZ39" s="9">
        <f t="shared" si="90"/>
        <v>2.5784527115082496</v>
      </c>
      <c r="BA39" s="9">
        <f t="shared" si="90"/>
        <v>2.7329726405562877</v>
      </c>
      <c r="BB39" s="9">
        <f t="shared" si="90"/>
        <v>3.040566726655626</v>
      </c>
      <c r="BC39" s="9">
        <f t="shared" si="90"/>
        <v>4.1849590278866664</v>
      </c>
      <c r="BD39" s="32"/>
      <c r="BE39" s="32"/>
    </row>
    <row r="40" spans="1:57" x14ac:dyDescent="0.25">
      <c r="A40" s="32"/>
      <c r="B40" s="41"/>
      <c r="C40" s="9"/>
      <c r="D40" s="9"/>
      <c r="E40" s="9"/>
      <c r="F40" s="9"/>
      <c r="G40" s="9"/>
      <c r="H40" s="9"/>
      <c r="I40" s="9"/>
      <c r="J40" s="9"/>
      <c r="K40" s="9"/>
      <c r="L40" s="9"/>
      <c r="M40" s="9"/>
      <c r="N40" s="9"/>
      <c r="O40" s="32"/>
      <c r="P40" s="32"/>
      <c r="Q40" s="32"/>
      <c r="R40" s="32"/>
      <c r="S40" s="41">
        <v>45701</v>
      </c>
      <c r="T40" s="9">
        <v>1.9064217682766922</v>
      </c>
      <c r="U40" s="9">
        <f t="shared" ref="U40:AE40" si="91">U39+U$2</f>
        <v>1.5764509282169519</v>
      </c>
      <c r="V40" s="9">
        <f t="shared" si="91"/>
        <v>1.7231704027418291</v>
      </c>
      <c r="W40" s="9">
        <f t="shared" si="91"/>
        <v>1.8465182489079137</v>
      </c>
      <c r="X40" s="9">
        <f t="shared" si="91"/>
        <v>1.9277296827516086</v>
      </c>
      <c r="Y40" s="9">
        <f t="shared" si="91"/>
        <v>2.0803231636166619</v>
      </c>
      <c r="Z40" s="9">
        <f t="shared" si="91"/>
        <v>2.2721629092976632</v>
      </c>
      <c r="AA40" s="9">
        <f t="shared" si="91"/>
        <v>2.5006121363963225</v>
      </c>
      <c r="AB40" s="9">
        <f t="shared" si="91"/>
        <v>2.7350354274586177</v>
      </c>
      <c r="AC40" s="9">
        <f t="shared" si="91"/>
        <v>2.8811635540044302</v>
      </c>
      <c r="AD40" s="9">
        <f t="shared" si="91"/>
        <v>3.1760551050900792</v>
      </c>
      <c r="AE40" s="9">
        <f t="shared" si="91"/>
        <v>3.9981466268101244</v>
      </c>
      <c r="AF40" s="32"/>
      <c r="AG40" s="32"/>
      <c r="AQ40" s="231">
        <v>46065</v>
      </c>
      <c r="AR40" s="76">
        <v>1.9154543020000001</v>
      </c>
      <c r="AS40" s="9">
        <f t="shared" ref="AS40:BC40" si="92">AS39+AS$2</f>
        <v>1.5384433706106027</v>
      </c>
      <c r="AT40" s="9">
        <f t="shared" si="92"/>
        <v>1.6894705214414591</v>
      </c>
      <c r="AU40" s="9">
        <f t="shared" si="92"/>
        <v>1.8105707516178782</v>
      </c>
      <c r="AV40" s="9">
        <f t="shared" si="92"/>
        <v>1.8855647533011497</v>
      </c>
      <c r="AW40" s="9">
        <f t="shared" si="92"/>
        <v>2.0223412551127704</v>
      </c>
      <c r="AX40" s="9">
        <f t="shared" si="92"/>
        <v>2.2112527510789763</v>
      </c>
      <c r="AY40" s="9">
        <f t="shared" si="92"/>
        <v>2.4352761233890021</v>
      </c>
      <c r="AZ40" s="9">
        <f t="shared" si="92"/>
        <v>2.6590293587428824</v>
      </c>
      <c r="BA40" s="9">
        <f t="shared" si="92"/>
        <v>2.8183780355736716</v>
      </c>
      <c r="BB40" s="9">
        <f t="shared" si="92"/>
        <v>3.1355844368636143</v>
      </c>
      <c r="BC40" s="9">
        <f t="shared" si="92"/>
        <v>4.3157389975081246</v>
      </c>
      <c r="BD40" s="32"/>
      <c r="BE40" s="32"/>
    </row>
    <row r="41" spans="1:57" x14ac:dyDescent="0.25">
      <c r="A41" s="32"/>
      <c r="B41" s="41"/>
      <c r="C41" s="9"/>
      <c r="D41" s="9"/>
      <c r="E41" s="9"/>
      <c r="F41" s="9"/>
      <c r="G41" s="9"/>
      <c r="H41" s="9"/>
      <c r="I41" s="9"/>
      <c r="J41" s="9"/>
      <c r="K41" s="9"/>
      <c r="L41" s="9"/>
      <c r="M41" s="9"/>
      <c r="N41" s="9"/>
      <c r="O41" s="32"/>
      <c r="P41" s="32"/>
      <c r="Q41" s="32"/>
      <c r="R41" s="32"/>
      <c r="S41" s="41">
        <v>45708</v>
      </c>
      <c r="T41" s="9">
        <v>1.9587768114030732</v>
      </c>
      <c r="U41" s="9">
        <f t="shared" ref="U41:AE41" si="93">U40+U$2</f>
        <v>1.6242221684659504</v>
      </c>
      <c r="V41" s="9">
        <f t="shared" si="93"/>
        <v>1.7753876876733996</v>
      </c>
      <c r="W41" s="9">
        <f t="shared" si="93"/>
        <v>1.9024733473596687</v>
      </c>
      <c r="X41" s="9">
        <f t="shared" si="93"/>
        <v>1.9861457337440815</v>
      </c>
      <c r="Y41" s="9">
        <f t="shared" si="93"/>
        <v>2.1433632594838334</v>
      </c>
      <c r="Z41" s="9">
        <f t="shared" si="93"/>
        <v>2.3410163307915317</v>
      </c>
      <c r="AA41" s="9">
        <f t="shared" si="93"/>
        <v>2.5763882617416658</v>
      </c>
      <c r="AB41" s="9">
        <f t="shared" si="93"/>
        <v>2.8179152888967578</v>
      </c>
      <c r="AC41" s="9">
        <f t="shared" si="93"/>
        <v>2.9684715404894129</v>
      </c>
      <c r="AD41" s="9">
        <f t="shared" si="93"/>
        <v>3.2722991991837178</v>
      </c>
      <c r="AE41" s="9">
        <f t="shared" si="93"/>
        <v>4.1193025851983096</v>
      </c>
      <c r="AF41" s="32"/>
      <c r="AG41" s="32"/>
      <c r="AQ41" s="231">
        <v>46072</v>
      </c>
      <c r="AR41" s="76">
        <v>1.953671248</v>
      </c>
      <c r="AS41" s="9">
        <f t="shared" ref="AS41:BC41" si="94">AS40+AS$2</f>
        <v>1.5850628666897117</v>
      </c>
      <c r="AT41" s="9">
        <f t="shared" si="94"/>
        <v>1.7406665978487761</v>
      </c>
      <c r="AU41" s="9">
        <f t="shared" si="94"/>
        <v>1.8654365319699351</v>
      </c>
      <c r="AV41" s="9">
        <f t="shared" si="94"/>
        <v>1.9427030791587603</v>
      </c>
      <c r="AW41" s="9">
        <f t="shared" si="94"/>
        <v>2.0836243234495209</v>
      </c>
      <c r="AX41" s="9">
        <f t="shared" si="94"/>
        <v>2.2782604102025816</v>
      </c>
      <c r="AY41" s="9">
        <f t="shared" si="94"/>
        <v>2.5090723695523054</v>
      </c>
      <c r="AZ41" s="9">
        <f t="shared" si="94"/>
        <v>2.7396060059775151</v>
      </c>
      <c r="BA41" s="9">
        <f t="shared" si="94"/>
        <v>2.9037834305910555</v>
      </c>
      <c r="BB41" s="9">
        <f t="shared" si="94"/>
        <v>3.2306021470716026</v>
      </c>
      <c r="BC41" s="9">
        <f t="shared" si="94"/>
        <v>4.4465189671295828</v>
      </c>
      <c r="BD41" s="32"/>
      <c r="BE41" s="32"/>
    </row>
    <row r="42" spans="1:57" x14ac:dyDescent="0.25">
      <c r="A42" s="32"/>
      <c r="B42" s="41"/>
      <c r="C42" s="9"/>
      <c r="D42" s="9"/>
      <c r="E42" s="9"/>
      <c r="F42" s="9"/>
      <c r="G42" s="9"/>
      <c r="H42" s="9"/>
      <c r="I42" s="9"/>
      <c r="J42" s="9"/>
      <c r="K42" s="9"/>
      <c r="L42" s="9"/>
      <c r="M42" s="9"/>
      <c r="N42" s="9"/>
      <c r="O42" s="32"/>
      <c r="P42" s="32"/>
      <c r="Q42" s="32"/>
      <c r="R42" s="32"/>
      <c r="S42" s="41">
        <v>45715</v>
      </c>
      <c r="T42" s="9">
        <v>2.0224824717046097</v>
      </c>
      <c r="U42" s="9">
        <f t="shared" ref="U42:AE42" si="95">U41+U$2</f>
        <v>1.6719934087149488</v>
      </c>
      <c r="V42" s="9">
        <f t="shared" si="95"/>
        <v>1.8276049726049701</v>
      </c>
      <c r="W42" s="9">
        <f t="shared" si="95"/>
        <v>1.9584284458114236</v>
      </c>
      <c r="X42" s="9">
        <f t="shared" si="95"/>
        <v>2.0445617847365547</v>
      </c>
      <c r="Y42" s="9">
        <f t="shared" si="95"/>
        <v>2.206403355351005</v>
      </c>
      <c r="Z42" s="9">
        <f t="shared" si="95"/>
        <v>2.4098697522854002</v>
      </c>
      <c r="AA42" s="9">
        <f t="shared" si="95"/>
        <v>2.6521643870870091</v>
      </c>
      <c r="AB42" s="9">
        <f t="shared" si="95"/>
        <v>2.9007951503348979</v>
      </c>
      <c r="AC42" s="9">
        <f t="shared" si="95"/>
        <v>3.0557795269743955</v>
      </c>
      <c r="AD42" s="9">
        <f t="shared" si="95"/>
        <v>3.3685432932773565</v>
      </c>
      <c r="AE42" s="9">
        <f t="shared" si="95"/>
        <v>4.2404585435864952</v>
      </c>
      <c r="AF42" s="32"/>
      <c r="AG42" s="32"/>
      <c r="AQ42" s="231">
        <v>46079</v>
      </c>
      <c r="AR42" s="76">
        <v>2.0057259960000002</v>
      </c>
      <c r="AS42" s="9">
        <f t="shared" ref="AS42:BC42" si="96">AS41+AS$2</f>
        <v>1.6316823627688208</v>
      </c>
      <c r="AT42" s="9">
        <f t="shared" si="96"/>
        <v>1.791862674256093</v>
      </c>
      <c r="AU42" s="9">
        <f t="shared" si="96"/>
        <v>1.920302312321992</v>
      </c>
      <c r="AV42" s="9">
        <f t="shared" si="96"/>
        <v>1.9998414050163709</v>
      </c>
      <c r="AW42" s="9">
        <f t="shared" si="96"/>
        <v>2.1449073917862713</v>
      </c>
      <c r="AX42" s="9">
        <f t="shared" si="96"/>
        <v>2.3452680693261869</v>
      </c>
      <c r="AY42" s="9">
        <f t="shared" si="96"/>
        <v>2.5828686157156087</v>
      </c>
      <c r="AZ42" s="9">
        <f t="shared" si="96"/>
        <v>2.8201826532121479</v>
      </c>
      <c r="BA42" s="9">
        <f t="shared" si="96"/>
        <v>2.9891888256084393</v>
      </c>
      <c r="BB42" s="9">
        <f t="shared" si="96"/>
        <v>3.325619857279591</v>
      </c>
      <c r="BC42" s="9">
        <f t="shared" si="96"/>
        <v>4.577298936751041</v>
      </c>
      <c r="BD42" s="32"/>
      <c r="BE42" s="32"/>
    </row>
    <row r="43" spans="1:57" x14ac:dyDescent="0.25">
      <c r="A43" s="32"/>
      <c r="B43" s="41"/>
      <c r="C43" s="9"/>
      <c r="D43" s="9"/>
      <c r="E43" s="9"/>
      <c r="F43" s="9"/>
      <c r="G43" s="9"/>
      <c r="H43" s="9"/>
      <c r="I43" s="9"/>
      <c r="J43" s="9"/>
      <c r="K43" s="9"/>
      <c r="L43" s="9"/>
      <c r="M43" s="9"/>
      <c r="N43" s="9"/>
      <c r="O43" s="32"/>
      <c r="P43" s="32"/>
      <c r="Q43" s="32"/>
      <c r="R43" s="32"/>
      <c r="S43" s="41">
        <v>45722</v>
      </c>
      <c r="T43" s="9">
        <v>2.0626000573237011</v>
      </c>
      <c r="U43" s="9">
        <f t="shared" ref="U43:AE43" si="97">U42+U$2</f>
        <v>1.7197646489639473</v>
      </c>
      <c r="V43" s="9">
        <f t="shared" si="97"/>
        <v>1.8798222575365406</v>
      </c>
      <c r="W43" s="9">
        <f t="shared" si="97"/>
        <v>2.0143835442631786</v>
      </c>
      <c r="X43" s="9">
        <f t="shared" si="97"/>
        <v>2.1029778357290279</v>
      </c>
      <c r="Y43" s="9">
        <f t="shared" si="97"/>
        <v>2.2694434512181765</v>
      </c>
      <c r="Z43" s="9">
        <f t="shared" si="97"/>
        <v>2.4787231737792688</v>
      </c>
      <c r="AA43" s="9">
        <f t="shared" si="97"/>
        <v>2.7279405124323524</v>
      </c>
      <c r="AB43" s="9">
        <f t="shared" si="97"/>
        <v>2.983675011773038</v>
      </c>
      <c r="AC43" s="9">
        <f t="shared" si="97"/>
        <v>3.1430875134593781</v>
      </c>
      <c r="AD43" s="9">
        <f t="shared" si="97"/>
        <v>3.4647873873709951</v>
      </c>
      <c r="AE43" s="9">
        <f t="shared" si="97"/>
        <v>4.3616145019746808</v>
      </c>
      <c r="AF43" s="32"/>
      <c r="AG43" s="32"/>
      <c r="AQ43" s="231">
        <v>46086</v>
      </c>
      <c r="AR43" s="76">
        <v>2.0712986880000002</v>
      </c>
      <c r="AS43" s="9">
        <f t="shared" ref="AS43:BC43" si="98">AS42+AS$2</f>
        <v>1.6783018588479299</v>
      </c>
      <c r="AT43" s="9">
        <f t="shared" si="98"/>
        <v>1.84305875066341</v>
      </c>
      <c r="AU43" s="9">
        <f t="shared" si="98"/>
        <v>1.9751680926740489</v>
      </c>
      <c r="AV43" s="9">
        <f t="shared" si="98"/>
        <v>2.0569797308739814</v>
      </c>
      <c r="AW43" s="9">
        <f t="shared" si="98"/>
        <v>2.2061904601230218</v>
      </c>
      <c r="AX43" s="9">
        <f t="shared" si="98"/>
        <v>2.4122757284497922</v>
      </c>
      <c r="AY43" s="9">
        <f t="shared" si="98"/>
        <v>2.6566648618789119</v>
      </c>
      <c r="AZ43" s="9">
        <f t="shared" si="98"/>
        <v>2.9007593004467807</v>
      </c>
      <c r="BA43" s="9">
        <f t="shared" si="98"/>
        <v>3.0745942206258232</v>
      </c>
      <c r="BB43" s="9">
        <f t="shared" si="98"/>
        <v>3.4206375674875793</v>
      </c>
      <c r="BC43" s="9">
        <f t="shared" si="98"/>
        <v>4.7080789063724993</v>
      </c>
      <c r="BD43" s="32"/>
      <c r="BE43" s="32"/>
    </row>
    <row r="44" spans="1:57" x14ac:dyDescent="0.25">
      <c r="A44" s="32"/>
      <c r="B44" s="41"/>
      <c r="C44" s="9"/>
      <c r="D44" s="9"/>
      <c r="E44" s="9"/>
      <c r="F44" s="9"/>
      <c r="G44" s="9"/>
      <c r="H44" s="9"/>
      <c r="I44" s="9"/>
      <c r="J44" s="9"/>
      <c r="K44" s="9"/>
      <c r="L44" s="9"/>
      <c r="M44" s="9"/>
      <c r="N44" s="9"/>
      <c r="O44" s="32"/>
      <c r="P44" s="32"/>
      <c r="Q44" s="32"/>
      <c r="R44" s="32"/>
      <c r="S44" s="41">
        <v>45729</v>
      </c>
      <c r="T44" s="9">
        <v>2.1024210431873165</v>
      </c>
      <c r="U44" s="9">
        <f t="shared" ref="U44:AE44" si="99">U43+U$2</f>
        <v>1.7675358892129458</v>
      </c>
      <c r="V44" s="9">
        <f t="shared" si="99"/>
        <v>1.9320395424681112</v>
      </c>
      <c r="W44" s="9">
        <f t="shared" si="99"/>
        <v>2.0703386427149337</v>
      </c>
      <c r="X44" s="9">
        <f t="shared" si="99"/>
        <v>2.161393886721501</v>
      </c>
      <c r="Y44" s="9">
        <f t="shared" si="99"/>
        <v>2.332483547085348</v>
      </c>
      <c r="Z44" s="9">
        <f t="shared" si="99"/>
        <v>2.5475765952731373</v>
      </c>
      <c r="AA44" s="9">
        <f t="shared" si="99"/>
        <v>2.8037166377776956</v>
      </c>
      <c r="AB44" s="9">
        <f t="shared" si="99"/>
        <v>3.066554873211178</v>
      </c>
      <c r="AC44" s="9">
        <f t="shared" si="99"/>
        <v>3.2303954999443607</v>
      </c>
      <c r="AD44" s="9">
        <f t="shared" si="99"/>
        <v>3.5610314814646338</v>
      </c>
      <c r="AE44" s="9">
        <f t="shared" si="99"/>
        <v>4.4827704603628664</v>
      </c>
      <c r="AF44" s="32"/>
      <c r="AG44" s="32"/>
      <c r="AQ44" s="231">
        <v>46093</v>
      </c>
      <c r="AR44" s="76">
        <v>2.1625613889999999</v>
      </c>
      <c r="AS44" s="9">
        <f t="shared" ref="AS44:BC44" si="100">AS43+AS$2</f>
        <v>1.724921354927039</v>
      </c>
      <c r="AT44" s="9">
        <f t="shared" si="100"/>
        <v>1.8942548270707269</v>
      </c>
      <c r="AU44" s="9">
        <f t="shared" si="100"/>
        <v>2.0300338730261061</v>
      </c>
      <c r="AV44" s="9">
        <f t="shared" si="100"/>
        <v>2.1141180567315923</v>
      </c>
      <c r="AW44" s="9">
        <f t="shared" si="100"/>
        <v>2.2674735284597722</v>
      </c>
      <c r="AX44" s="9">
        <f t="shared" si="100"/>
        <v>2.4792833875733975</v>
      </c>
      <c r="AY44" s="9">
        <f t="shared" si="100"/>
        <v>2.7304611080422152</v>
      </c>
      <c r="AZ44" s="9">
        <f t="shared" si="100"/>
        <v>2.9813359476814134</v>
      </c>
      <c r="BA44" s="9">
        <f t="shared" si="100"/>
        <v>3.1599996156432071</v>
      </c>
      <c r="BB44" s="9">
        <f t="shared" si="100"/>
        <v>3.5156552776955676</v>
      </c>
      <c r="BC44" s="9">
        <f t="shared" si="100"/>
        <v>4.8388588759939575</v>
      </c>
      <c r="BD44" s="32"/>
      <c r="BE44" s="32"/>
    </row>
    <row r="45" spans="1:57" x14ac:dyDescent="0.25">
      <c r="A45" s="32"/>
      <c r="B45" s="41"/>
      <c r="C45" s="9"/>
      <c r="D45" s="9"/>
      <c r="E45" s="9"/>
      <c r="F45" s="9"/>
      <c r="G45" s="9"/>
      <c r="H45" s="9"/>
      <c r="I45" s="9"/>
      <c r="J45" s="9"/>
      <c r="K45" s="9"/>
      <c r="L45" s="9"/>
      <c r="M45" s="9"/>
      <c r="N45" s="9"/>
      <c r="O45" s="32"/>
      <c r="P45" s="32"/>
      <c r="Q45" s="32"/>
      <c r="R45" s="32"/>
      <c r="S45" s="41">
        <v>45736</v>
      </c>
      <c r="T45" s="9">
        <v>2.1408858111364504</v>
      </c>
      <c r="U45" s="9">
        <f t="shared" ref="U45:AE45" si="101">U44+U$2</f>
        <v>1.8153071294619443</v>
      </c>
      <c r="V45" s="9">
        <f t="shared" si="101"/>
        <v>1.9842568273996817</v>
      </c>
      <c r="W45" s="9">
        <f t="shared" si="101"/>
        <v>2.1262937411666889</v>
      </c>
      <c r="X45" s="9">
        <f t="shared" si="101"/>
        <v>2.2198099377139742</v>
      </c>
      <c r="Y45" s="9">
        <f t="shared" si="101"/>
        <v>2.3955236429525195</v>
      </c>
      <c r="Z45" s="9">
        <f t="shared" si="101"/>
        <v>2.6164300167670058</v>
      </c>
      <c r="AA45" s="9">
        <f t="shared" si="101"/>
        <v>2.8794927631230389</v>
      </c>
      <c r="AB45" s="9">
        <f t="shared" si="101"/>
        <v>3.1494347346493181</v>
      </c>
      <c r="AC45" s="9">
        <f t="shared" si="101"/>
        <v>3.3177034864293433</v>
      </c>
      <c r="AD45" s="9">
        <f t="shared" si="101"/>
        <v>3.6572755755582724</v>
      </c>
      <c r="AE45" s="9">
        <f t="shared" si="101"/>
        <v>4.603926418751052</v>
      </c>
      <c r="AF45" s="32"/>
      <c r="AG45" s="32"/>
      <c r="AQ45" s="231">
        <v>46100</v>
      </c>
      <c r="AR45" s="76">
        <v>2.2029817760000001</v>
      </c>
      <c r="AS45" s="9">
        <f t="shared" ref="AS45:BC45" si="102">AS44+AS$2</f>
        <v>1.7715408510061481</v>
      </c>
      <c r="AT45" s="9">
        <f t="shared" si="102"/>
        <v>1.9454509034780438</v>
      </c>
      <c r="AU45" s="9">
        <f t="shared" si="102"/>
        <v>2.0848996533781632</v>
      </c>
      <c r="AV45" s="9">
        <f t="shared" si="102"/>
        <v>2.1712563825892031</v>
      </c>
      <c r="AW45" s="9">
        <f t="shared" si="102"/>
        <v>2.3287565967965227</v>
      </c>
      <c r="AX45" s="9">
        <f t="shared" si="102"/>
        <v>2.5462910466970028</v>
      </c>
      <c r="AY45" s="9">
        <f t="shared" si="102"/>
        <v>2.8042573542055185</v>
      </c>
      <c r="AZ45" s="9">
        <f t="shared" si="102"/>
        <v>3.0619125949160462</v>
      </c>
      <c r="BA45" s="9">
        <f t="shared" si="102"/>
        <v>3.2454050106605909</v>
      </c>
      <c r="BB45" s="9">
        <f t="shared" si="102"/>
        <v>3.610672987903556</v>
      </c>
      <c r="BC45" s="9">
        <f t="shared" si="102"/>
        <v>4.9696388456154157</v>
      </c>
      <c r="BD45" s="32"/>
      <c r="BE45" s="32"/>
    </row>
    <row r="46" spans="1:57" x14ac:dyDescent="0.25">
      <c r="A46" s="32"/>
      <c r="B46" s="41"/>
      <c r="C46" s="9"/>
      <c r="D46" s="9"/>
      <c r="E46" s="9"/>
      <c r="F46" s="9"/>
      <c r="G46" s="9"/>
      <c r="H46" s="9"/>
      <c r="I46" s="9"/>
      <c r="J46" s="9"/>
      <c r="K46" s="9"/>
      <c r="L46" s="9"/>
      <c r="M46" s="9"/>
      <c r="N46" s="9"/>
      <c r="O46" s="32"/>
      <c r="P46" s="32"/>
      <c r="Q46" s="32"/>
      <c r="R46" s="32"/>
      <c r="S46" s="41">
        <v>45743</v>
      </c>
      <c r="T46" s="9">
        <v>2.1900735165748286</v>
      </c>
      <c r="U46" s="9">
        <f t="shared" ref="U46:AE46" si="103">U45+U$2</f>
        <v>1.8630783697109428</v>
      </c>
      <c r="V46" s="9">
        <f t="shared" si="103"/>
        <v>2.0364741123312524</v>
      </c>
      <c r="W46" s="9">
        <f t="shared" si="103"/>
        <v>2.1822488396184441</v>
      </c>
      <c r="X46" s="9">
        <f t="shared" si="103"/>
        <v>2.2782259887064473</v>
      </c>
      <c r="Y46" s="9">
        <f t="shared" si="103"/>
        <v>2.458563738819691</v>
      </c>
      <c r="Z46" s="9">
        <f t="shared" si="103"/>
        <v>2.6852834382608743</v>
      </c>
      <c r="AA46" s="9">
        <f t="shared" si="103"/>
        <v>2.9552688884683822</v>
      </c>
      <c r="AB46" s="9">
        <f t="shared" si="103"/>
        <v>3.2323145960874582</v>
      </c>
      <c r="AC46" s="9">
        <f t="shared" si="103"/>
        <v>3.4050114729143259</v>
      </c>
      <c r="AD46" s="9">
        <f t="shared" si="103"/>
        <v>3.7535196696519111</v>
      </c>
      <c r="AE46" s="9">
        <f t="shared" si="103"/>
        <v>4.7250823771392376</v>
      </c>
      <c r="AF46" s="32"/>
      <c r="AG46" s="32"/>
      <c r="AQ46" s="231">
        <v>46107</v>
      </c>
      <c r="AR46" s="76">
        <v>2.2430520870000001</v>
      </c>
      <c r="AS46" s="9">
        <f t="shared" ref="AS46:BC46" si="104">AS45+AS$2</f>
        <v>1.8181603470852572</v>
      </c>
      <c r="AT46" s="9">
        <f t="shared" si="104"/>
        <v>1.9966469798853608</v>
      </c>
      <c r="AU46" s="9">
        <f t="shared" si="104"/>
        <v>2.1397654337302203</v>
      </c>
      <c r="AV46" s="9">
        <f t="shared" si="104"/>
        <v>2.2283947084468139</v>
      </c>
      <c r="AW46" s="9">
        <f t="shared" si="104"/>
        <v>2.3900396651332732</v>
      </c>
      <c r="AX46" s="9">
        <f t="shared" si="104"/>
        <v>2.6132987058206081</v>
      </c>
      <c r="AY46" s="9">
        <f t="shared" si="104"/>
        <v>2.8780536003688217</v>
      </c>
      <c r="AZ46" s="9">
        <f t="shared" si="104"/>
        <v>3.1424892421506789</v>
      </c>
      <c r="BA46" s="9">
        <f t="shared" si="104"/>
        <v>3.3308104056779748</v>
      </c>
      <c r="BB46" s="9">
        <f t="shared" si="104"/>
        <v>3.7056906981115443</v>
      </c>
      <c r="BC46" s="9">
        <f t="shared" si="104"/>
        <v>5.1004188152368739</v>
      </c>
      <c r="BD46" s="32"/>
      <c r="BE46" s="32"/>
    </row>
    <row r="47" spans="1:57" x14ac:dyDescent="0.25">
      <c r="A47" s="32"/>
      <c r="B47" s="41"/>
      <c r="C47" s="9"/>
      <c r="D47" s="9"/>
      <c r="E47" s="9"/>
      <c r="F47" s="9"/>
      <c r="G47" s="9"/>
      <c r="H47" s="9"/>
      <c r="I47" s="9"/>
      <c r="J47" s="9"/>
      <c r="K47" s="9"/>
      <c r="L47" s="9"/>
      <c r="M47" s="9"/>
      <c r="N47" s="9"/>
      <c r="O47" s="32"/>
      <c r="P47" s="32"/>
      <c r="Q47" s="32"/>
      <c r="R47" s="32"/>
      <c r="S47" s="41">
        <v>45750</v>
      </c>
      <c r="T47" s="9">
        <v>2.2251647541973196</v>
      </c>
      <c r="U47" s="9">
        <f t="shared" ref="U47:AE47" si="105">U46+U$2</f>
        <v>1.9108496099599412</v>
      </c>
      <c r="V47" s="9">
        <f t="shared" si="105"/>
        <v>2.0886913972628229</v>
      </c>
      <c r="W47" s="9">
        <f t="shared" si="105"/>
        <v>2.2382039380701992</v>
      </c>
      <c r="X47" s="9">
        <f t="shared" si="105"/>
        <v>2.3366420396989205</v>
      </c>
      <c r="Y47" s="9">
        <f t="shared" si="105"/>
        <v>2.5216038346868626</v>
      </c>
      <c r="Z47" s="9">
        <f t="shared" si="105"/>
        <v>2.7541368597547429</v>
      </c>
      <c r="AA47" s="9">
        <f t="shared" si="105"/>
        <v>3.0310450138137255</v>
      </c>
      <c r="AB47" s="9">
        <f t="shared" si="105"/>
        <v>3.3151944575255983</v>
      </c>
      <c r="AC47" s="9">
        <f t="shared" si="105"/>
        <v>3.4923194593993085</v>
      </c>
      <c r="AD47" s="9">
        <f t="shared" si="105"/>
        <v>3.8497637637455497</v>
      </c>
      <c r="AE47" s="9">
        <f t="shared" si="105"/>
        <v>4.8462383355274232</v>
      </c>
      <c r="AF47" s="32"/>
      <c r="AG47" s="32"/>
      <c r="AQ47" s="231">
        <v>46114</v>
      </c>
      <c r="AR47" s="76">
        <v>2.300409003</v>
      </c>
      <c r="AS47" s="9">
        <f t="shared" ref="AS47:BC47" si="106">AS46+AS$2</f>
        <v>1.8647798431643663</v>
      </c>
      <c r="AT47" s="9">
        <f t="shared" si="106"/>
        <v>2.0478430562926779</v>
      </c>
      <c r="AU47" s="9">
        <f t="shared" si="106"/>
        <v>2.1946312140822775</v>
      </c>
      <c r="AV47" s="9">
        <f t="shared" si="106"/>
        <v>2.2855330343044247</v>
      </c>
      <c r="AW47" s="9">
        <f t="shared" si="106"/>
        <v>2.4513227334700236</v>
      </c>
      <c r="AX47" s="9">
        <f t="shared" si="106"/>
        <v>2.6803063649442134</v>
      </c>
      <c r="AY47" s="9">
        <f t="shared" si="106"/>
        <v>2.951849846532125</v>
      </c>
      <c r="AZ47" s="9">
        <f t="shared" si="106"/>
        <v>3.2230658893853117</v>
      </c>
      <c r="BA47" s="9">
        <f t="shared" si="106"/>
        <v>3.4162158006953587</v>
      </c>
      <c r="BB47" s="9">
        <f t="shared" si="106"/>
        <v>3.8007084083195326</v>
      </c>
      <c r="BC47" s="9">
        <f t="shared" si="106"/>
        <v>5.2311987848583321</v>
      </c>
      <c r="BD47" s="32"/>
      <c r="BE47" s="32"/>
    </row>
    <row r="48" spans="1:57" x14ac:dyDescent="0.25">
      <c r="A48" s="32"/>
      <c r="B48" s="41"/>
      <c r="C48" s="9"/>
      <c r="D48" s="9"/>
      <c r="E48" s="9"/>
      <c r="F48" s="9"/>
      <c r="G48" s="9"/>
      <c r="H48" s="9"/>
      <c r="I48" s="9"/>
      <c r="J48" s="9"/>
      <c r="K48" s="9"/>
      <c r="L48" s="9"/>
      <c r="M48" s="9"/>
      <c r="N48" s="9"/>
      <c r="O48" s="32"/>
      <c r="P48" s="32"/>
      <c r="Q48" s="32"/>
      <c r="R48" s="32"/>
      <c r="S48" s="41">
        <v>45757</v>
      </c>
      <c r="T48" s="9">
        <v>2.2695393853085322</v>
      </c>
      <c r="U48" s="9">
        <f t="shared" ref="U48:AE48" si="107">U47+U$2</f>
        <v>1.9586208502089397</v>
      </c>
      <c r="V48" s="9">
        <f t="shared" si="107"/>
        <v>2.1409086821943935</v>
      </c>
      <c r="W48" s="9">
        <f t="shared" si="107"/>
        <v>2.2941590365219544</v>
      </c>
      <c r="X48" s="9">
        <f t="shared" si="107"/>
        <v>2.3950580906913936</v>
      </c>
      <c r="Y48" s="9">
        <f t="shared" si="107"/>
        <v>2.5846439305540341</v>
      </c>
      <c r="Z48" s="9">
        <f t="shared" si="107"/>
        <v>2.8229902812486114</v>
      </c>
      <c r="AA48" s="9">
        <f t="shared" si="107"/>
        <v>3.1068211391590688</v>
      </c>
      <c r="AB48" s="9">
        <f t="shared" si="107"/>
        <v>3.3980743189637383</v>
      </c>
      <c r="AC48" s="9">
        <f t="shared" si="107"/>
        <v>3.5796274458842912</v>
      </c>
      <c r="AD48" s="9">
        <f t="shared" si="107"/>
        <v>3.9460078578391884</v>
      </c>
      <c r="AE48" s="9">
        <f t="shared" si="107"/>
        <v>4.9673942939156088</v>
      </c>
      <c r="AF48" s="32"/>
      <c r="AG48" s="32"/>
      <c r="AQ48" s="231">
        <v>46121</v>
      </c>
      <c r="AR48" s="76">
        <v>2.3662267860000004</v>
      </c>
      <c r="AS48" s="9">
        <f t="shared" ref="AS48:BC48" si="108">AS47+AS$2</f>
        <v>1.9113993392434754</v>
      </c>
      <c r="AT48" s="9">
        <f t="shared" si="108"/>
        <v>2.0990391326999949</v>
      </c>
      <c r="AU48" s="9">
        <f t="shared" si="108"/>
        <v>2.2494969944343346</v>
      </c>
      <c r="AV48" s="9">
        <f t="shared" si="108"/>
        <v>2.3426713601620355</v>
      </c>
      <c r="AW48" s="9">
        <f t="shared" si="108"/>
        <v>2.5126058018067741</v>
      </c>
      <c r="AX48" s="9">
        <f t="shared" si="108"/>
        <v>2.7473140240678187</v>
      </c>
      <c r="AY48" s="9">
        <f t="shared" si="108"/>
        <v>3.0256460926954283</v>
      </c>
      <c r="AZ48" s="9">
        <f t="shared" si="108"/>
        <v>3.3036425366199444</v>
      </c>
      <c r="BA48" s="9">
        <f t="shared" si="108"/>
        <v>3.5016211957127426</v>
      </c>
      <c r="BB48" s="9">
        <f t="shared" si="108"/>
        <v>3.8957261185275209</v>
      </c>
      <c r="BC48" s="9">
        <f t="shared" si="108"/>
        <v>5.3619787544797903</v>
      </c>
      <c r="BD48" s="32"/>
      <c r="BE48" s="32"/>
    </row>
    <row r="49" spans="1:67" x14ac:dyDescent="0.25">
      <c r="A49" s="32"/>
      <c r="B49" s="41"/>
      <c r="C49" s="9"/>
      <c r="D49" s="9"/>
      <c r="E49" s="9"/>
      <c r="F49" s="9"/>
      <c r="G49" s="9"/>
      <c r="H49" s="9"/>
      <c r="I49" s="9"/>
      <c r="J49" s="9"/>
      <c r="K49" s="9"/>
      <c r="L49" s="9"/>
      <c r="M49" s="9"/>
      <c r="N49" s="9"/>
      <c r="O49" s="32"/>
      <c r="P49" s="32"/>
      <c r="Q49" s="32"/>
      <c r="R49" s="32"/>
      <c r="S49" s="41">
        <v>45764</v>
      </c>
      <c r="T49" s="9">
        <v>2.3269505284791108</v>
      </c>
      <c r="U49" s="9">
        <f t="shared" ref="U49:AE49" si="109">U48+U$2</f>
        <v>2.0063920904579384</v>
      </c>
      <c r="V49" s="9">
        <f t="shared" si="109"/>
        <v>2.193125967125964</v>
      </c>
      <c r="W49" s="9">
        <f t="shared" si="109"/>
        <v>2.3501141349737096</v>
      </c>
      <c r="X49" s="9">
        <f t="shared" si="109"/>
        <v>2.4534741416838668</v>
      </c>
      <c r="Y49" s="9">
        <f t="shared" si="109"/>
        <v>2.6476840264212056</v>
      </c>
      <c r="Z49" s="9">
        <f t="shared" si="109"/>
        <v>2.8918437027424799</v>
      </c>
      <c r="AA49" s="9">
        <f t="shared" si="109"/>
        <v>3.182597264504412</v>
      </c>
      <c r="AB49" s="9">
        <f t="shared" si="109"/>
        <v>3.4809541804018784</v>
      </c>
      <c r="AC49" s="9">
        <f t="shared" si="109"/>
        <v>3.6669354323692738</v>
      </c>
      <c r="AD49" s="9">
        <f t="shared" si="109"/>
        <v>4.042251951932827</v>
      </c>
      <c r="AE49" s="9">
        <f t="shared" si="109"/>
        <v>5.0885502523037944</v>
      </c>
      <c r="AF49" s="32"/>
      <c r="AG49" s="32"/>
      <c r="AQ49" s="231">
        <v>46128</v>
      </c>
      <c r="AR49" s="76">
        <v>2.446017747</v>
      </c>
      <c r="AS49" s="9">
        <f t="shared" ref="AS49:BC49" si="110">AS48+AS$2</f>
        <v>1.9580188353225845</v>
      </c>
      <c r="AT49" s="9">
        <f t="shared" si="110"/>
        <v>2.1502352091073118</v>
      </c>
      <c r="AU49" s="9">
        <f t="shared" si="110"/>
        <v>2.3043627747863917</v>
      </c>
      <c r="AV49" s="9">
        <f t="shared" si="110"/>
        <v>2.3998096860196463</v>
      </c>
      <c r="AW49" s="9">
        <f t="shared" si="110"/>
        <v>2.5738888701435245</v>
      </c>
      <c r="AX49" s="9">
        <f t="shared" si="110"/>
        <v>2.814321683191424</v>
      </c>
      <c r="AY49" s="9">
        <f t="shared" si="110"/>
        <v>3.0994423388587315</v>
      </c>
      <c r="AZ49" s="9">
        <f t="shared" si="110"/>
        <v>3.3842191838545772</v>
      </c>
      <c r="BA49" s="9">
        <f t="shared" si="110"/>
        <v>3.5870265907301264</v>
      </c>
      <c r="BB49" s="9">
        <f t="shared" si="110"/>
        <v>3.9907438287355093</v>
      </c>
      <c r="BC49" s="9">
        <f t="shared" si="110"/>
        <v>5.4927587241012485</v>
      </c>
      <c r="BD49" s="32"/>
      <c r="BE49" s="32"/>
    </row>
    <row r="50" spans="1:67" x14ac:dyDescent="0.25">
      <c r="A50" s="32"/>
      <c r="B50" s="41"/>
      <c r="C50" s="9"/>
      <c r="D50" s="9"/>
      <c r="E50" s="9"/>
      <c r="F50" s="9"/>
      <c r="G50" s="9"/>
      <c r="H50" s="9"/>
      <c r="I50" s="9"/>
      <c r="J50" s="9"/>
      <c r="K50" s="9"/>
      <c r="L50" s="9"/>
      <c r="M50" s="9"/>
      <c r="N50" s="9"/>
      <c r="O50" s="32"/>
      <c r="P50" s="32"/>
      <c r="Q50" s="32"/>
      <c r="R50" s="32"/>
      <c r="S50" s="41">
        <v>45771</v>
      </c>
      <c r="T50" s="9">
        <v>2.3659474656800259</v>
      </c>
      <c r="U50" s="9">
        <f t="shared" ref="U50:AE50" si="111">U49+U$2</f>
        <v>2.0541633307069369</v>
      </c>
      <c r="V50" s="9">
        <f t="shared" si="111"/>
        <v>2.2453432520575345</v>
      </c>
      <c r="W50" s="9">
        <f t="shared" si="111"/>
        <v>2.4060692334254647</v>
      </c>
      <c r="X50" s="9">
        <f t="shared" si="111"/>
        <v>2.51189019267634</v>
      </c>
      <c r="Y50" s="9">
        <f t="shared" si="111"/>
        <v>2.7107241222883771</v>
      </c>
      <c r="Z50" s="9">
        <f t="shared" si="111"/>
        <v>2.9606971242363485</v>
      </c>
      <c r="AA50" s="9">
        <f t="shared" si="111"/>
        <v>3.2583733898497553</v>
      </c>
      <c r="AB50" s="9">
        <f t="shared" si="111"/>
        <v>3.5638340418400185</v>
      </c>
      <c r="AC50" s="9">
        <f t="shared" si="111"/>
        <v>3.7542434188542564</v>
      </c>
      <c r="AD50" s="9">
        <f t="shared" si="111"/>
        <v>4.1384960460264661</v>
      </c>
      <c r="AE50" s="9">
        <f t="shared" si="111"/>
        <v>5.20970621069198</v>
      </c>
      <c r="AF50" s="32"/>
      <c r="AG50" s="32"/>
      <c r="AQ50" s="231">
        <v>46135</v>
      </c>
      <c r="AR50" s="76">
        <v>2.4789150370000002</v>
      </c>
      <c r="AS50" s="9">
        <f t="shared" ref="AS50:BC50" si="112">AS49+AS$2</f>
        <v>2.0046383314016936</v>
      </c>
      <c r="AT50" s="9">
        <f t="shared" si="112"/>
        <v>2.2014312855146287</v>
      </c>
      <c r="AU50" s="9">
        <f t="shared" si="112"/>
        <v>2.3592285551384489</v>
      </c>
      <c r="AV50" s="9">
        <f t="shared" si="112"/>
        <v>2.4569480118772571</v>
      </c>
      <c r="AW50" s="9">
        <f t="shared" si="112"/>
        <v>2.635171938480275</v>
      </c>
      <c r="AX50" s="9">
        <f t="shared" si="112"/>
        <v>2.8813293423150292</v>
      </c>
      <c r="AY50" s="9">
        <f t="shared" si="112"/>
        <v>3.1732385850220348</v>
      </c>
      <c r="AZ50" s="9">
        <f t="shared" si="112"/>
        <v>3.46479583108921</v>
      </c>
      <c r="BA50" s="9">
        <f t="shared" si="112"/>
        <v>3.6724319857475103</v>
      </c>
      <c r="BB50" s="9">
        <f t="shared" si="112"/>
        <v>4.0857615389434976</v>
      </c>
      <c r="BC50" s="9">
        <f t="shared" si="112"/>
        <v>5.6235386937227068</v>
      </c>
      <c r="BD50" s="32"/>
      <c r="BE50" s="32"/>
    </row>
    <row r="51" spans="1:67" x14ac:dyDescent="0.25">
      <c r="A51" s="32"/>
      <c r="B51" s="41"/>
      <c r="C51" s="9"/>
      <c r="D51" s="9"/>
      <c r="E51" s="9"/>
      <c r="F51" s="9"/>
      <c r="G51" s="9"/>
      <c r="H51" s="9"/>
      <c r="I51" s="9"/>
      <c r="J51" s="9"/>
      <c r="K51" s="9"/>
      <c r="L51" s="9"/>
      <c r="M51" s="9"/>
      <c r="N51" s="9"/>
      <c r="O51" s="32"/>
      <c r="P51" s="32"/>
      <c r="Q51" s="32"/>
      <c r="R51" s="32"/>
      <c r="S51" s="41">
        <v>45778</v>
      </c>
      <c r="T51" s="9">
        <v>2.4152266955323114</v>
      </c>
      <c r="U51" s="9">
        <f t="shared" ref="U51:AE51" si="113">U50+U$2</f>
        <v>2.1019345709559354</v>
      </c>
      <c r="V51" s="9">
        <f t="shared" si="113"/>
        <v>2.297560536989105</v>
      </c>
      <c r="W51" s="9">
        <f t="shared" si="113"/>
        <v>2.4620243318772199</v>
      </c>
      <c r="X51" s="9">
        <f t="shared" si="113"/>
        <v>2.5703062436688131</v>
      </c>
      <c r="Y51" s="9">
        <f t="shared" si="113"/>
        <v>2.7737642181555486</v>
      </c>
      <c r="Z51" s="9">
        <f t="shared" si="113"/>
        <v>3.029550545730217</v>
      </c>
      <c r="AA51" s="9">
        <f t="shared" si="113"/>
        <v>3.3341495151950986</v>
      </c>
      <c r="AB51" s="9">
        <f t="shared" si="113"/>
        <v>3.6467139032781586</v>
      </c>
      <c r="AC51" s="9">
        <f t="shared" si="113"/>
        <v>3.841551405339239</v>
      </c>
      <c r="AD51" s="9">
        <f t="shared" si="113"/>
        <v>4.2347401401201052</v>
      </c>
      <c r="AE51" s="9">
        <f t="shared" si="113"/>
        <v>5.3308621690801656</v>
      </c>
      <c r="AF51" s="32"/>
      <c r="AG51" s="32"/>
      <c r="AQ51" s="231">
        <v>46142</v>
      </c>
      <c r="AR51" s="76">
        <v>2.5113870450000002</v>
      </c>
      <c r="AS51" s="9">
        <f t="shared" ref="AS51:BC51" si="114">AS50+AS$2</f>
        <v>2.0512578274808027</v>
      </c>
      <c r="AT51" s="9">
        <f t="shared" si="114"/>
        <v>2.2526273619219457</v>
      </c>
      <c r="AU51" s="9">
        <f t="shared" si="114"/>
        <v>2.414094335490506</v>
      </c>
      <c r="AV51" s="9">
        <f t="shared" si="114"/>
        <v>2.5140863377348679</v>
      </c>
      <c r="AW51" s="9">
        <f t="shared" si="114"/>
        <v>2.6964550068170254</v>
      </c>
      <c r="AX51" s="9">
        <f t="shared" si="114"/>
        <v>2.9483370014386345</v>
      </c>
      <c r="AY51" s="9">
        <f t="shared" si="114"/>
        <v>3.2470348311853381</v>
      </c>
      <c r="AZ51" s="9">
        <f t="shared" si="114"/>
        <v>3.5453724783238427</v>
      </c>
      <c r="BA51" s="9">
        <f t="shared" si="114"/>
        <v>3.7578373807648942</v>
      </c>
      <c r="BB51" s="9">
        <f t="shared" si="114"/>
        <v>4.1807792491514855</v>
      </c>
      <c r="BC51" s="9">
        <f t="shared" si="114"/>
        <v>5.754318663344165</v>
      </c>
      <c r="BD51" s="32"/>
      <c r="BE51" s="32"/>
    </row>
    <row r="52" spans="1:67" x14ac:dyDescent="0.25">
      <c r="A52" s="32"/>
      <c r="B52" s="41"/>
      <c r="C52" s="9"/>
      <c r="D52" s="9"/>
      <c r="E52" s="9"/>
      <c r="F52" s="9"/>
      <c r="G52" s="9"/>
      <c r="H52" s="9"/>
      <c r="I52" s="9"/>
      <c r="J52" s="9"/>
      <c r="K52" s="9"/>
      <c r="L52" s="9"/>
      <c r="M52" s="9"/>
      <c r="N52" s="9"/>
      <c r="O52" s="32"/>
      <c r="P52" s="32"/>
      <c r="Q52" s="32"/>
      <c r="R52" s="32"/>
      <c r="S52" s="41">
        <v>45785</v>
      </c>
      <c r="T52" s="9">
        <v>2.4724912643271746</v>
      </c>
      <c r="U52" s="9">
        <f t="shared" ref="U52:AE52" si="115">U51+U$2</f>
        <v>2.1497058112049339</v>
      </c>
      <c r="V52" s="9">
        <f t="shared" si="115"/>
        <v>2.3497778219206755</v>
      </c>
      <c r="W52" s="9">
        <f t="shared" si="115"/>
        <v>2.5179794303289751</v>
      </c>
      <c r="X52" s="9">
        <f t="shared" si="115"/>
        <v>2.6287222946612863</v>
      </c>
      <c r="Y52" s="9">
        <f t="shared" si="115"/>
        <v>2.8368043140227202</v>
      </c>
      <c r="Z52" s="9">
        <f t="shared" si="115"/>
        <v>3.0984039672240855</v>
      </c>
      <c r="AA52" s="9">
        <f t="shared" si="115"/>
        <v>3.4099256405404419</v>
      </c>
      <c r="AB52" s="9">
        <f t="shared" si="115"/>
        <v>3.7295937647162987</v>
      </c>
      <c r="AC52" s="9">
        <f t="shared" si="115"/>
        <v>3.9288593918242216</v>
      </c>
      <c r="AD52" s="9">
        <f t="shared" si="115"/>
        <v>4.3309842342137443</v>
      </c>
      <c r="AE52" s="9">
        <f t="shared" si="115"/>
        <v>5.4520181274683512</v>
      </c>
      <c r="AF52" s="32"/>
      <c r="AG52" s="32"/>
      <c r="AQ52" s="231">
        <v>46149</v>
      </c>
      <c r="AR52" s="76">
        <v>2.5549270450000003</v>
      </c>
      <c r="AS52" s="9">
        <f t="shared" ref="AS52:BC52" si="116">AS51+AS$2</f>
        <v>2.0978773235599117</v>
      </c>
      <c r="AT52" s="9">
        <f t="shared" si="116"/>
        <v>2.3038234383292626</v>
      </c>
      <c r="AU52" s="9">
        <f t="shared" si="116"/>
        <v>2.4689601158425631</v>
      </c>
      <c r="AV52" s="9">
        <f t="shared" si="116"/>
        <v>2.5712246635924787</v>
      </c>
      <c r="AW52" s="9">
        <f t="shared" si="116"/>
        <v>2.7577380751537759</v>
      </c>
      <c r="AX52" s="9">
        <f t="shared" si="116"/>
        <v>3.0153446605622398</v>
      </c>
      <c r="AY52" s="9">
        <f t="shared" si="116"/>
        <v>3.3208310773486414</v>
      </c>
      <c r="AZ52" s="9">
        <f t="shared" si="116"/>
        <v>3.6259491255584755</v>
      </c>
      <c r="BA52" s="9">
        <f t="shared" si="116"/>
        <v>3.843242775782278</v>
      </c>
      <c r="BB52" s="9">
        <f t="shared" si="116"/>
        <v>4.2757969593594733</v>
      </c>
      <c r="BC52" s="9">
        <f t="shared" si="116"/>
        <v>5.8850986329656232</v>
      </c>
      <c r="BD52" s="32"/>
      <c r="BE52" s="32"/>
    </row>
    <row r="53" spans="1:67" x14ac:dyDescent="0.25">
      <c r="A53" s="32"/>
      <c r="B53" s="41"/>
      <c r="C53" s="9"/>
      <c r="D53" s="9"/>
      <c r="E53" s="9"/>
      <c r="F53" s="9"/>
      <c r="G53" s="9"/>
      <c r="H53" s="9"/>
      <c r="I53" s="9"/>
      <c r="J53" s="9"/>
      <c r="K53" s="9"/>
      <c r="L53" s="9"/>
      <c r="M53" s="9"/>
      <c r="N53" s="9"/>
      <c r="O53" s="32"/>
      <c r="P53" s="32"/>
      <c r="Q53" s="32"/>
      <c r="R53" s="32"/>
      <c r="S53" s="41">
        <v>45792</v>
      </c>
      <c r="T53" s="9">
        <v>2.5077430380391981</v>
      </c>
      <c r="U53" s="9">
        <f t="shared" ref="U53:AE53" si="117">U52+U$2</f>
        <v>2.1974770514539324</v>
      </c>
      <c r="V53" s="9">
        <f t="shared" si="117"/>
        <v>2.401995106852246</v>
      </c>
      <c r="W53" s="9">
        <f t="shared" si="117"/>
        <v>2.5739345287807303</v>
      </c>
      <c r="X53" s="9">
        <f t="shared" si="117"/>
        <v>2.6871383456537594</v>
      </c>
      <c r="Y53" s="9">
        <f t="shared" si="117"/>
        <v>2.8998444098898917</v>
      </c>
      <c r="Z53" s="9">
        <f t="shared" si="117"/>
        <v>3.167257388717954</v>
      </c>
      <c r="AA53" s="9">
        <f t="shared" si="117"/>
        <v>3.4857017658857852</v>
      </c>
      <c r="AB53" s="9">
        <f t="shared" si="117"/>
        <v>3.8124736261544387</v>
      </c>
      <c r="AC53" s="9">
        <f t="shared" si="117"/>
        <v>4.0161673783092047</v>
      </c>
      <c r="AD53" s="9">
        <f t="shared" si="117"/>
        <v>4.4272283283073834</v>
      </c>
      <c r="AE53" s="9">
        <f t="shared" si="117"/>
        <v>5.5731740858565368</v>
      </c>
      <c r="AF53" s="32"/>
      <c r="AG53" s="32"/>
      <c r="AQ53" s="231">
        <v>46156</v>
      </c>
      <c r="AR53" s="76">
        <v>2.6118330869999999</v>
      </c>
      <c r="AS53" s="9">
        <f t="shared" ref="AS53:BC53" si="118">AS52+AS$2</f>
        <v>2.1444968196390208</v>
      </c>
      <c r="AT53" s="9">
        <f t="shared" si="118"/>
        <v>2.3550195147365796</v>
      </c>
      <c r="AU53" s="9">
        <f t="shared" si="118"/>
        <v>2.5238258961946203</v>
      </c>
      <c r="AV53" s="9">
        <f t="shared" si="118"/>
        <v>2.6283629894500895</v>
      </c>
      <c r="AW53" s="9">
        <f t="shared" si="118"/>
        <v>2.8190211434905263</v>
      </c>
      <c r="AX53" s="9">
        <f t="shared" si="118"/>
        <v>3.0823523196858451</v>
      </c>
      <c r="AY53" s="9">
        <f t="shared" si="118"/>
        <v>3.3946273235119446</v>
      </c>
      <c r="AZ53" s="9">
        <f t="shared" si="118"/>
        <v>3.7065257727931082</v>
      </c>
      <c r="BA53" s="9">
        <f t="shared" si="118"/>
        <v>3.9286481707996619</v>
      </c>
      <c r="BB53" s="9">
        <f t="shared" si="118"/>
        <v>4.3708146695674612</v>
      </c>
      <c r="BC53" s="9">
        <f t="shared" si="118"/>
        <v>6.0158786025870814</v>
      </c>
      <c r="BD53" s="32"/>
      <c r="BE53" s="32"/>
    </row>
    <row r="54" spans="1:67" x14ac:dyDescent="0.25">
      <c r="A54" s="32"/>
      <c r="B54" s="41"/>
      <c r="C54" s="9"/>
      <c r="D54" s="9"/>
      <c r="E54" s="9"/>
      <c r="F54" s="9"/>
      <c r="G54" s="9"/>
      <c r="H54" s="9"/>
      <c r="I54" s="9"/>
      <c r="J54" s="9"/>
      <c r="K54" s="9"/>
      <c r="L54" s="9"/>
      <c r="M54" s="9"/>
      <c r="N54" s="9"/>
      <c r="O54" s="32"/>
      <c r="P54" s="32"/>
      <c r="Q54" s="32"/>
      <c r="R54" s="32"/>
      <c r="S54" s="41">
        <v>45799</v>
      </c>
      <c r="T54" s="9">
        <v>2.5521466686063681</v>
      </c>
      <c r="U54" s="9">
        <f t="shared" ref="U54:AE54" si="119">U53+U$2</f>
        <v>2.2452482917029308</v>
      </c>
      <c r="V54" s="9">
        <f t="shared" si="119"/>
        <v>2.4542123917838166</v>
      </c>
      <c r="W54" s="9">
        <f t="shared" si="119"/>
        <v>2.6298896272324854</v>
      </c>
      <c r="X54" s="9">
        <f t="shared" si="119"/>
        <v>2.7455543966462326</v>
      </c>
      <c r="Y54" s="9">
        <f t="shared" si="119"/>
        <v>2.9628845057570632</v>
      </c>
      <c r="Z54" s="9">
        <f t="shared" si="119"/>
        <v>3.2361108102118226</v>
      </c>
      <c r="AA54" s="9">
        <f t="shared" si="119"/>
        <v>3.5614778912311285</v>
      </c>
      <c r="AB54" s="9">
        <f t="shared" si="119"/>
        <v>3.8953534875925788</v>
      </c>
      <c r="AC54" s="9">
        <f t="shared" si="119"/>
        <v>4.1034753647941873</v>
      </c>
      <c r="AD54" s="9">
        <f t="shared" si="119"/>
        <v>4.5234724224010225</v>
      </c>
      <c r="AE54" s="9">
        <f t="shared" si="119"/>
        <v>5.6943300442447224</v>
      </c>
      <c r="AF54" s="32"/>
      <c r="AG54" s="32"/>
      <c r="AQ54" s="231">
        <v>46163</v>
      </c>
      <c r="AR54" s="76">
        <v>2.6892289980000004</v>
      </c>
      <c r="AS54" s="9">
        <f t="shared" ref="AS54:BC54" si="120">AS53+AS$2</f>
        <v>2.1911163157181299</v>
      </c>
      <c r="AT54" s="9">
        <f t="shared" si="120"/>
        <v>2.4062155911438965</v>
      </c>
      <c r="AU54" s="9">
        <f t="shared" si="120"/>
        <v>2.5786916765466774</v>
      </c>
      <c r="AV54" s="9">
        <f t="shared" si="120"/>
        <v>2.6855013153077003</v>
      </c>
      <c r="AW54" s="9">
        <f t="shared" si="120"/>
        <v>2.8803042118272768</v>
      </c>
      <c r="AX54" s="9">
        <f t="shared" si="120"/>
        <v>3.1493599788094504</v>
      </c>
      <c r="AY54" s="9">
        <f t="shared" si="120"/>
        <v>3.4684235696752479</v>
      </c>
      <c r="AZ54" s="9">
        <f t="shared" si="120"/>
        <v>3.787102420027741</v>
      </c>
      <c r="BA54" s="9">
        <f t="shared" si="120"/>
        <v>4.0140535658170462</v>
      </c>
      <c r="BB54" s="9">
        <f t="shared" si="120"/>
        <v>4.4658323797754491</v>
      </c>
      <c r="BC54" s="9">
        <f t="shared" si="120"/>
        <v>6.1466585722085396</v>
      </c>
      <c r="BD54" s="32"/>
      <c r="BE54" s="32"/>
    </row>
    <row r="55" spans="1:67" x14ac:dyDescent="0.25">
      <c r="A55" s="32"/>
      <c r="B55" s="41"/>
      <c r="C55" s="9"/>
      <c r="D55" s="9"/>
      <c r="E55" s="9"/>
      <c r="F55" s="9"/>
      <c r="G55" s="9"/>
      <c r="H55" s="9"/>
      <c r="I55" s="9"/>
      <c r="J55" s="9"/>
      <c r="K55" s="9"/>
      <c r="L55" s="9"/>
      <c r="M55" s="9"/>
      <c r="N55" s="9"/>
      <c r="O55" s="32"/>
      <c r="P55" s="32"/>
      <c r="Q55" s="32"/>
      <c r="R55" s="32"/>
      <c r="S55" s="41">
        <v>45806</v>
      </c>
      <c r="T55" s="9">
        <v>2.6041292935416265</v>
      </c>
      <c r="U55" s="9">
        <f t="shared" ref="U55:AE55" si="121">U54+U$2</f>
        <v>2.2930195319519293</v>
      </c>
      <c r="V55" s="9">
        <f t="shared" si="121"/>
        <v>2.5064296767153871</v>
      </c>
      <c r="W55" s="9">
        <f t="shared" si="121"/>
        <v>2.6858447256842406</v>
      </c>
      <c r="X55" s="9">
        <f t="shared" si="121"/>
        <v>2.8039704476387057</v>
      </c>
      <c r="Y55" s="9">
        <f t="shared" si="121"/>
        <v>3.0259246016242347</v>
      </c>
      <c r="Z55" s="9">
        <f t="shared" si="121"/>
        <v>3.3049642317056911</v>
      </c>
      <c r="AA55" s="9">
        <f t="shared" si="121"/>
        <v>3.6372540165764717</v>
      </c>
      <c r="AB55" s="9">
        <f t="shared" si="121"/>
        <v>3.9782333490307189</v>
      </c>
      <c r="AC55" s="9">
        <f t="shared" si="121"/>
        <v>4.1907833512791699</v>
      </c>
      <c r="AD55" s="9">
        <f t="shared" si="121"/>
        <v>4.6197165164946616</v>
      </c>
      <c r="AE55" s="9">
        <f t="shared" si="121"/>
        <v>5.815486002632908</v>
      </c>
      <c r="AF55" s="32"/>
      <c r="AG55" s="32"/>
      <c r="AQ55" s="231">
        <v>46170</v>
      </c>
      <c r="AR55" s="76">
        <v>2.7947287300000001</v>
      </c>
      <c r="AS55" s="9">
        <f t="shared" ref="AS55:BC55" si="122">AS54+AS$2</f>
        <v>2.237735811797239</v>
      </c>
      <c r="AT55" s="9">
        <f t="shared" si="122"/>
        <v>2.4574116675512134</v>
      </c>
      <c r="AU55" s="9">
        <f t="shared" si="122"/>
        <v>2.6335574568987346</v>
      </c>
      <c r="AV55" s="9">
        <f t="shared" si="122"/>
        <v>2.7426396411653111</v>
      </c>
      <c r="AW55" s="9">
        <f t="shared" si="122"/>
        <v>2.9415872801640273</v>
      </c>
      <c r="AX55" s="9">
        <f t="shared" si="122"/>
        <v>3.2163676379330557</v>
      </c>
      <c r="AY55" s="9">
        <f t="shared" si="122"/>
        <v>3.5422198158385512</v>
      </c>
      <c r="AZ55" s="9">
        <f t="shared" si="122"/>
        <v>3.8676790672623738</v>
      </c>
      <c r="BA55" s="9">
        <f t="shared" si="122"/>
        <v>4.0994589608344301</v>
      </c>
      <c r="BB55" s="9">
        <f t="shared" si="122"/>
        <v>4.560850089983437</v>
      </c>
      <c r="BC55" s="9">
        <f t="shared" si="122"/>
        <v>6.2774385418299978</v>
      </c>
      <c r="BD55" s="32"/>
      <c r="BE55" s="32"/>
      <c r="BO55" s="233" t="s">
        <v>261</v>
      </c>
    </row>
    <row r="56" spans="1:67" x14ac:dyDescent="0.25">
      <c r="A56" s="32"/>
      <c r="B56" s="41"/>
      <c r="C56" s="9"/>
      <c r="D56" s="9"/>
      <c r="E56" s="9"/>
      <c r="F56" s="9"/>
      <c r="G56" s="9"/>
      <c r="H56" s="9"/>
      <c r="I56" s="9"/>
      <c r="J56" s="9"/>
      <c r="K56" s="9"/>
      <c r="L56" s="9"/>
      <c r="M56" s="9"/>
      <c r="N56" s="9"/>
      <c r="O56" s="32"/>
      <c r="P56" s="32"/>
      <c r="Q56" s="32"/>
      <c r="R56" s="32"/>
      <c r="S56" s="41">
        <v>45813</v>
      </c>
      <c r="T56" s="9">
        <v>2.6828343093992353</v>
      </c>
      <c r="U56" s="9">
        <f t="shared" ref="U56:AE56" si="123">U55+U$2</f>
        <v>2.3407907722009278</v>
      </c>
      <c r="V56" s="9">
        <f t="shared" si="123"/>
        <v>2.5586469616469576</v>
      </c>
      <c r="W56" s="9">
        <f t="shared" si="123"/>
        <v>2.7417998241359958</v>
      </c>
      <c r="X56" s="9">
        <f t="shared" si="123"/>
        <v>2.8623864986311789</v>
      </c>
      <c r="Y56" s="9">
        <f t="shared" si="123"/>
        <v>3.0889646974914062</v>
      </c>
      <c r="Z56" s="9">
        <f t="shared" si="123"/>
        <v>3.3738176531995596</v>
      </c>
      <c r="AA56" s="9">
        <f t="shared" si="123"/>
        <v>3.713030141921815</v>
      </c>
      <c r="AB56" s="9">
        <f t="shared" si="123"/>
        <v>4.061113210468859</v>
      </c>
      <c r="AC56" s="9">
        <f t="shared" si="123"/>
        <v>4.2780913377641525</v>
      </c>
      <c r="AD56" s="9">
        <f t="shared" si="123"/>
        <v>4.7159606105883007</v>
      </c>
      <c r="AE56" s="9">
        <f t="shared" si="123"/>
        <v>5.9366419610210936</v>
      </c>
      <c r="AF56" s="32"/>
      <c r="AG56" s="32"/>
      <c r="AQ56" s="231">
        <v>46177</v>
      </c>
      <c r="AR56" s="76">
        <v>2.8271323080000004</v>
      </c>
      <c r="AS56" s="9">
        <f t="shared" ref="AS56:BC56" si="124">AS55+AS$2</f>
        <v>2.2843553078763481</v>
      </c>
      <c r="AT56" s="9">
        <f t="shared" si="124"/>
        <v>2.5086077439585304</v>
      </c>
      <c r="AU56" s="9">
        <f t="shared" si="124"/>
        <v>2.6884232372507917</v>
      </c>
      <c r="AV56" s="9">
        <f t="shared" si="124"/>
        <v>2.7997779670229219</v>
      </c>
      <c r="AW56" s="9">
        <f t="shared" si="124"/>
        <v>3.0028703485007777</v>
      </c>
      <c r="AX56" s="9">
        <f t="shared" si="124"/>
        <v>3.283375297056661</v>
      </c>
      <c r="AY56" s="9">
        <f t="shared" si="124"/>
        <v>3.6160160620018544</v>
      </c>
      <c r="AZ56" s="9">
        <f t="shared" si="124"/>
        <v>3.9482557144970065</v>
      </c>
      <c r="BA56" s="9">
        <f t="shared" si="124"/>
        <v>4.1848643558518139</v>
      </c>
      <c r="BB56" s="9">
        <f t="shared" si="124"/>
        <v>4.6558678001914249</v>
      </c>
      <c r="BC56" s="9">
        <f t="shared" si="124"/>
        <v>6.408218511451456</v>
      </c>
      <c r="BD56" s="32"/>
      <c r="BE56" s="32"/>
    </row>
    <row r="57" spans="1:67" x14ac:dyDescent="0.25">
      <c r="A57" s="32"/>
      <c r="B57" s="41"/>
      <c r="C57" s="9"/>
      <c r="D57" s="9"/>
      <c r="E57" s="9"/>
      <c r="F57" s="9"/>
      <c r="G57" s="9"/>
      <c r="H57" s="9"/>
      <c r="I57" s="9"/>
      <c r="J57" s="9"/>
      <c r="K57" s="9"/>
      <c r="L57" s="9"/>
      <c r="M57" s="9"/>
      <c r="N57" s="9"/>
      <c r="O57" s="32"/>
      <c r="P57" s="32"/>
      <c r="Q57" s="32"/>
      <c r="R57" s="32"/>
      <c r="S57" s="41">
        <v>45820</v>
      </c>
      <c r="T57" s="9">
        <v>2.8650114347354516</v>
      </c>
      <c r="U57" s="9">
        <f t="shared" ref="U57:AE57" si="125">U56+U$2</f>
        <v>2.3885620124499263</v>
      </c>
      <c r="V57" s="9">
        <f t="shared" si="125"/>
        <v>2.6108642465785281</v>
      </c>
      <c r="W57" s="9">
        <f t="shared" si="125"/>
        <v>2.7977549225877509</v>
      </c>
      <c r="X57" s="9">
        <f t="shared" si="125"/>
        <v>2.920802549623652</v>
      </c>
      <c r="Y57" s="9">
        <f t="shared" si="125"/>
        <v>3.1520047933585777</v>
      </c>
      <c r="Z57" s="9">
        <f t="shared" si="125"/>
        <v>3.4426710746934281</v>
      </c>
      <c r="AA57" s="9">
        <f t="shared" si="125"/>
        <v>3.7888062672671583</v>
      </c>
      <c r="AB57" s="9">
        <f t="shared" si="125"/>
        <v>4.1439930719069986</v>
      </c>
      <c r="AC57" s="9">
        <f t="shared" si="125"/>
        <v>4.3653993242491351</v>
      </c>
      <c r="AD57" s="9">
        <f t="shared" si="125"/>
        <v>4.8122047046819398</v>
      </c>
      <c r="AE57" s="9">
        <f t="shared" si="125"/>
        <v>6.0577979194092793</v>
      </c>
      <c r="AF57" s="32"/>
      <c r="AG57" s="32"/>
      <c r="AQ57" s="231">
        <v>46184</v>
      </c>
      <c r="AR57" s="76">
        <v>2.8721988000000001</v>
      </c>
      <c r="AS57" s="9">
        <f t="shared" ref="AS57:BC57" si="126">AS56+AS$2</f>
        <v>2.3309748039554572</v>
      </c>
      <c r="AT57" s="9">
        <f t="shared" si="126"/>
        <v>2.5598038203658473</v>
      </c>
      <c r="AU57" s="9">
        <f t="shared" si="126"/>
        <v>2.7432890176028488</v>
      </c>
      <c r="AV57" s="9">
        <f t="shared" si="126"/>
        <v>2.8569162928805327</v>
      </c>
      <c r="AW57" s="9">
        <f t="shared" si="126"/>
        <v>3.0641534168375282</v>
      </c>
      <c r="AX57" s="9">
        <f t="shared" si="126"/>
        <v>3.3503829561802663</v>
      </c>
      <c r="AY57" s="9">
        <f t="shared" si="126"/>
        <v>3.6898123081651577</v>
      </c>
      <c r="AZ57" s="9">
        <f t="shared" si="126"/>
        <v>4.0288323617316397</v>
      </c>
      <c r="BA57" s="9">
        <f t="shared" si="126"/>
        <v>4.2702697508691978</v>
      </c>
      <c r="BB57" s="9">
        <f t="shared" si="126"/>
        <v>4.7508855103994128</v>
      </c>
      <c r="BC57" s="9">
        <f t="shared" si="126"/>
        <v>6.5389984810729143</v>
      </c>
      <c r="BD57" s="32"/>
      <c r="BE57" s="32"/>
    </row>
    <row r="58" spans="1:67" x14ac:dyDescent="0.25">
      <c r="A58" s="32"/>
      <c r="B58" s="41"/>
      <c r="C58" s="9"/>
      <c r="D58" s="9"/>
      <c r="E58" s="9"/>
      <c r="F58" s="9"/>
      <c r="G58" s="9"/>
      <c r="H58" s="9"/>
      <c r="I58" s="9"/>
      <c r="J58" s="9"/>
      <c r="K58" s="9"/>
      <c r="L58" s="9"/>
      <c r="M58" s="9"/>
      <c r="N58" s="9"/>
      <c r="O58" s="32"/>
      <c r="P58" s="32"/>
      <c r="Q58" s="32"/>
      <c r="R58" s="32"/>
      <c r="S58" s="41">
        <v>45827</v>
      </c>
      <c r="T58" s="9">
        <v>2.8924600538942782</v>
      </c>
      <c r="U58" s="9">
        <f t="shared" ref="U58:AE58" si="127">U57+U$2</f>
        <v>2.4363332526989248</v>
      </c>
      <c r="V58" s="9">
        <f t="shared" si="127"/>
        <v>2.6630815315100986</v>
      </c>
      <c r="W58" s="9">
        <f t="shared" si="127"/>
        <v>2.8537100210395061</v>
      </c>
      <c r="X58" s="9">
        <f t="shared" si="127"/>
        <v>2.9792186006161252</v>
      </c>
      <c r="Y58" s="9">
        <f t="shared" si="127"/>
        <v>3.2150448892257493</v>
      </c>
      <c r="Z58" s="9">
        <f t="shared" si="127"/>
        <v>3.5115244961872967</v>
      </c>
      <c r="AA58" s="9">
        <f t="shared" si="127"/>
        <v>3.8645823926125016</v>
      </c>
      <c r="AB58" s="9">
        <f t="shared" si="127"/>
        <v>4.2268729333451383</v>
      </c>
      <c r="AC58" s="9">
        <f t="shared" si="127"/>
        <v>4.4527073107341177</v>
      </c>
      <c r="AD58" s="9">
        <f t="shared" si="127"/>
        <v>4.9084487987755789</v>
      </c>
      <c r="AE58" s="9">
        <f t="shared" si="127"/>
        <v>6.1789538777974649</v>
      </c>
      <c r="AF58" s="32"/>
      <c r="AG58" s="32"/>
      <c r="AQ58" s="231">
        <v>46191</v>
      </c>
      <c r="AR58" s="76">
        <v>2.9284968020000002</v>
      </c>
      <c r="AS58" s="9">
        <f t="shared" ref="AS58:BC58" si="128">AS57+AS$2</f>
        <v>2.3775943000345663</v>
      </c>
      <c r="AT58" s="9">
        <f t="shared" si="128"/>
        <v>2.6109998967731642</v>
      </c>
      <c r="AU58" s="9">
        <f t="shared" si="128"/>
        <v>2.798154797954906</v>
      </c>
      <c r="AV58" s="9">
        <f t="shared" si="128"/>
        <v>2.9140546187381435</v>
      </c>
      <c r="AW58" s="9">
        <f t="shared" si="128"/>
        <v>3.1254364851742786</v>
      </c>
      <c r="AX58" s="9">
        <f t="shared" si="128"/>
        <v>3.4173906153038716</v>
      </c>
      <c r="AY58" s="9">
        <f t="shared" si="128"/>
        <v>3.763608554328461</v>
      </c>
      <c r="AZ58" s="9">
        <f t="shared" si="128"/>
        <v>4.1094090089662725</v>
      </c>
      <c r="BA58" s="9">
        <f t="shared" si="128"/>
        <v>4.3556751458865817</v>
      </c>
      <c r="BB58" s="9">
        <f t="shared" si="128"/>
        <v>4.8459032206074006</v>
      </c>
      <c r="BC58" s="9">
        <f t="shared" si="128"/>
        <v>6.6697784506943725</v>
      </c>
      <c r="BD58" s="32"/>
      <c r="BE58" s="32"/>
    </row>
    <row r="59" spans="1:67" x14ac:dyDescent="0.25">
      <c r="A59" s="32"/>
      <c r="B59" s="41"/>
      <c r="C59" s="9"/>
      <c r="D59" s="9"/>
      <c r="E59" s="9"/>
      <c r="F59" s="9"/>
      <c r="G59" s="9"/>
      <c r="H59" s="9"/>
      <c r="I59" s="9"/>
      <c r="J59" s="9"/>
      <c r="K59" s="9"/>
      <c r="L59" s="9"/>
      <c r="M59" s="9"/>
      <c r="N59" s="9"/>
      <c r="O59" s="32"/>
      <c r="P59" s="32"/>
      <c r="Q59" s="32"/>
      <c r="R59" s="32"/>
      <c r="S59" s="41">
        <v>45834</v>
      </c>
      <c r="T59" s="9">
        <v>2.9319854918675299</v>
      </c>
      <c r="U59" s="9">
        <f t="shared" ref="U59:AE59" si="129">U58+U$2</f>
        <v>2.4841044929479232</v>
      </c>
      <c r="V59" s="9">
        <f t="shared" si="129"/>
        <v>2.7152988164416691</v>
      </c>
      <c r="W59" s="9">
        <f t="shared" si="129"/>
        <v>2.9096651194912613</v>
      </c>
      <c r="X59" s="9">
        <f t="shared" si="129"/>
        <v>3.0376346516085984</v>
      </c>
      <c r="Y59" s="9">
        <f t="shared" si="129"/>
        <v>3.2780849850929208</v>
      </c>
      <c r="Z59" s="9">
        <f t="shared" si="129"/>
        <v>3.5803779176811652</v>
      </c>
      <c r="AA59" s="9">
        <f t="shared" si="129"/>
        <v>3.9403585179578449</v>
      </c>
      <c r="AB59" s="9">
        <f t="shared" si="129"/>
        <v>4.3097527947832779</v>
      </c>
      <c r="AC59" s="9">
        <f t="shared" si="129"/>
        <v>4.5400152972191004</v>
      </c>
      <c r="AD59" s="9">
        <f t="shared" si="129"/>
        <v>5.004692892869218</v>
      </c>
      <c r="AE59" s="9">
        <f t="shared" si="129"/>
        <v>6.3001098361856505</v>
      </c>
      <c r="AF59" s="32"/>
      <c r="AG59" s="32"/>
      <c r="AQ59" s="231">
        <v>46198</v>
      </c>
      <c r="AR59" s="76">
        <v>3.0039091950000003</v>
      </c>
      <c r="AS59" s="9">
        <f t="shared" ref="AS59:BC59" si="130">AS58+AS$2</f>
        <v>2.4242137961136754</v>
      </c>
      <c r="AT59" s="9">
        <f t="shared" si="130"/>
        <v>2.6621959731804812</v>
      </c>
      <c r="AU59" s="9">
        <f t="shared" si="130"/>
        <v>2.8530205783069631</v>
      </c>
      <c r="AV59" s="9">
        <f t="shared" si="130"/>
        <v>2.9711929445957543</v>
      </c>
      <c r="AW59" s="9">
        <f t="shared" si="130"/>
        <v>3.1867195535110291</v>
      </c>
      <c r="AX59" s="9">
        <f t="shared" si="130"/>
        <v>3.4843982744274768</v>
      </c>
      <c r="AY59" s="9">
        <f t="shared" si="130"/>
        <v>3.8374048004917642</v>
      </c>
      <c r="AZ59" s="9">
        <f t="shared" si="130"/>
        <v>4.1899856562009052</v>
      </c>
      <c r="BA59" s="9">
        <f t="shared" si="130"/>
        <v>4.4410805409039655</v>
      </c>
      <c r="BB59" s="9">
        <f t="shared" si="130"/>
        <v>4.9409209308153885</v>
      </c>
      <c r="BC59" s="9">
        <f t="shared" si="130"/>
        <v>6.8005584203158307</v>
      </c>
      <c r="BD59" s="32"/>
      <c r="BE59" s="32"/>
    </row>
    <row r="60" spans="1:67" x14ac:dyDescent="0.25">
      <c r="A60" s="32"/>
      <c r="B60" s="41"/>
      <c r="C60" s="9"/>
      <c r="D60" s="9"/>
      <c r="E60" s="9"/>
      <c r="F60" s="9"/>
      <c r="G60" s="9"/>
      <c r="H60" s="9"/>
      <c r="I60" s="66"/>
      <c r="J60" s="9"/>
      <c r="K60" s="9"/>
      <c r="L60" s="9"/>
      <c r="M60" s="9"/>
      <c r="N60" s="9"/>
      <c r="O60" s="32"/>
      <c r="P60" s="32"/>
      <c r="Q60" s="32"/>
      <c r="R60" s="32"/>
      <c r="S60" s="41"/>
      <c r="T60" s="9"/>
      <c r="U60" s="9"/>
      <c r="V60" s="9"/>
      <c r="W60" s="9"/>
      <c r="X60" s="9"/>
      <c r="Y60" s="9"/>
      <c r="Z60" s="66"/>
      <c r="AA60" s="9"/>
      <c r="AB60" s="9"/>
      <c r="AC60" s="9"/>
      <c r="AD60" s="9"/>
      <c r="AE60" s="9"/>
      <c r="AF60" s="32"/>
      <c r="AG60" s="32"/>
      <c r="AQ60" s="41"/>
      <c r="AR60" s="9"/>
      <c r="AS60" s="9"/>
      <c r="AT60" s="9"/>
      <c r="AU60" s="9"/>
      <c r="AV60" s="9"/>
      <c r="AW60" s="9"/>
      <c r="AX60" s="66"/>
      <c r="AY60" s="9"/>
      <c r="AZ60" s="9"/>
      <c r="BA60" s="9"/>
      <c r="BB60" s="9"/>
      <c r="BC60" s="9"/>
      <c r="BD60" s="32"/>
      <c r="BE60" s="32"/>
    </row>
    <row r="61" spans="1:67" x14ac:dyDescent="0.25">
      <c r="BL61" s="232">
        <f>30/108</f>
        <v>0.27777777777777779</v>
      </c>
    </row>
    <row r="63" spans="1:67" x14ac:dyDescent="0.25">
      <c r="B63" t="s">
        <v>87</v>
      </c>
      <c r="C63" t="s">
        <v>57</v>
      </c>
      <c r="D63" t="s">
        <v>88</v>
      </c>
      <c r="E63" t="s">
        <v>89</v>
      </c>
      <c r="G63" t="s">
        <v>90</v>
      </c>
      <c r="I63" t="s">
        <v>91</v>
      </c>
      <c r="L63" s="6">
        <v>60</v>
      </c>
      <c r="S63" t="s">
        <v>87</v>
      </c>
      <c r="T63" t="s">
        <v>57</v>
      </c>
      <c r="U63" t="s">
        <v>88</v>
      </c>
      <c r="V63" t="s">
        <v>89</v>
      </c>
      <c r="X63" t="s">
        <v>90</v>
      </c>
      <c r="Z63" t="s">
        <v>91</v>
      </c>
      <c r="AC63" s="6">
        <v>60</v>
      </c>
      <c r="AQ63" t="s">
        <v>87</v>
      </c>
      <c r="AR63" t="s">
        <v>57</v>
      </c>
      <c r="AS63" t="s">
        <v>88</v>
      </c>
      <c r="AT63" t="s">
        <v>89</v>
      </c>
      <c r="AV63" t="s">
        <v>90</v>
      </c>
      <c r="BA63" s="6"/>
    </row>
    <row r="64" spans="1:67" x14ac:dyDescent="0.25">
      <c r="B64" s="67" t="s">
        <v>30</v>
      </c>
      <c r="C64" s="7">
        <v>0.98445005806087593</v>
      </c>
      <c r="D64" s="68">
        <v>26</v>
      </c>
      <c r="E64" s="69">
        <f>C64/D64</f>
        <v>3.7863463771572153E-2</v>
      </c>
      <c r="F64" s="69"/>
      <c r="G64" s="7">
        <v>3.7863463771572153E-2</v>
      </c>
      <c r="I64" t="s">
        <v>76</v>
      </c>
      <c r="L64" s="6">
        <v>80</v>
      </c>
      <c r="S64" s="67" t="s">
        <v>30</v>
      </c>
      <c r="T64" s="7">
        <v>2.4841044929479255</v>
      </c>
      <c r="U64" s="68">
        <v>52</v>
      </c>
      <c r="V64" s="69">
        <f>T64/U64</f>
        <v>4.7771240248998564E-2</v>
      </c>
      <c r="W64" s="69"/>
      <c r="X64" s="7">
        <v>4.7771240248998564E-2</v>
      </c>
      <c r="Z64" t="s">
        <v>76</v>
      </c>
      <c r="AC64" s="6">
        <v>80</v>
      </c>
      <c r="AQ64" s="67" t="s">
        <v>30</v>
      </c>
      <c r="AR64" s="7">
        <v>2.4242137961136785</v>
      </c>
      <c r="AS64" s="68">
        <v>52</v>
      </c>
      <c r="AT64" s="69">
        <f>AR64/AS64</f>
        <v>4.6619496079109202E-2</v>
      </c>
      <c r="AU64" s="69"/>
      <c r="AV64" s="7">
        <v>4.6619496079109202E-2</v>
      </c>
      <c r="BA64" s="6"/>
    </row>
    <row r="65" spans="2:48" x14ac:dyDescent="0.25">
      <c r="B65" s="67">
        <v>0.01</v>
      </c>
      <c r="C65" s="7">
        <v>1.1028407873270922</v>
      </c>
      <c r="D65" s="68">
        <v>26</v>
      </c>
      <c r="E65" s="69">
        <f>C65/D65</f>
        <v>4.2416953358734313E-2</v>
      </c>
      <c r="F65" s="69"/>
      <c r="G65" s="7">
        <v>4.2416953358734313E-2</v>
      </c>
      <c r="S65" s="67">
        <v>0.01</v>
      </c>
      <c r="T65" s="7">
        <v>2.7152988164416718</v>
      </c>
      <c r="U65" s="68">
        <v>52</v>
      </c>
      <c r="V65" s="69">
        <f>T65/U65</f>
        <v>5.2217284931570615E-2</v>
      </c>
      <c r="W65" s="69"/>
      <c r="X65" s="7">
        <v>5.2217284931570615E-2</v>
      </c>
      <c r="AQ65" s="67">
        <v>0.01</v>
      </c>
      <c r="AR65" s="7">
        <v>2.6621959731804816</v>
      </c>
      <c r="AS65" s="68">
        <v>52</v>
      </c>
      <c r="AT65" s="69">
        <f>AR65/AS65</f>
        <v>5.1196076407316951E-2</v>
      </c>
      <c r="AU65" s="69"/>
      <c r="AV65" s="7">
        <v>5.1196076407316951E-2</v>
      </c>
    </row>
    <row r="66" spans="2:48" x14ac:dyDescent="0.25">
      <c r="B66" s="67">
        <v>0.05</v>
      </c>
      <c r="C66" s="7">
        <v>1.1803265523410789</v>
      </c>
      <c r="D66" s="68">
        <v>26</v>
      </c>
      <c r="E66" s="69">
        <f t="shared" ref="E66:E73" si="131">C66/D66</f>
        <v>4.5397175090041493E-2</v>
      </c>
      <c r="F66" s="69"/>
      <c r="G66" s="7">
        <v>4.5397175090041493E-2</v>
      </c>
      <c r="S66" s="67">
        <v>0.05</v>
      </c>
      <c r="T66" s="7">
        <v>2.9096651194912595</v>
      </c>
      <c r="U66" s="68">
        <v>52</v>
      </c>
      <c r="V66" s="69">
        <f t="shared" ref="V66:V73" si="132">T66/U66</f>
        <v>5.5955098451754989E-2</v>
      </c>
      <c r="W66" s="69"/>
      <c r="X66" s="7">
        <v>5.5955098451754989E-2</v>
      </c>
      <c r="AQ66" s="67">
        <v>0.05</v>
      </c>
      <c r="AR66" s="7">
        <v>2.8530205783069595</v>
      </c>
      <c r="AS66" s="68">
        <v>52</v>
      </c>
      <c r="AT66" s="69">
        <f t="shared" ref="AT66:AT73" si="133">AR66/AS66</f>
        <v>5.4865780352056914E-2</v>
      </c>
      <c r="AU66" s="69"/>
      <c r="AV66" s="7">
        <v>5.4865780352056914E-2</v>
      </c>
    </row>
    <row r="67" spans="2:48" x14ac:dyDescent="0.25">
      <c r="B67" s="67">
        <v>0.1</v>
      </c>
      <c r="C67" s="7">
        <v>1.2329408456995901</v>
      </c>
      <c r="D67" s="68">
        <v>26</v>
      </c>
      <c r="E67" s="69">
        <f t="shared" si="131"/>
        <v>4.7420801757676538E-2</v>
      </c>
      <c r="F67" s="69"/>
      <c r="G67" s="7">
        <v>4.7420801757676538E-2</v>
      </c>
      <c r="S67" s="67">
        <v>0.1</v>
      </c>
      <c r="T67" s="7">
        <v>3.037634651608597</v>
      </c>
      <c r="U67" s="68">
        <v>52</v>
      </c>
      <c r="V67" s="69">
        <f t="shared" si="132"/>
        <v>5.8416050992473018E-2</v>
      </c>
      <c r="W67" s="69"/>
      <c r="X67" s="7">
        <v>5.8416050992473018E-2</v>
      </c>
      <c r="AQ67" s="67">
        <v>0.1</v>
      </c>
      <c r="AR67" s="7">
        <v>2.9711929445957521</v>
      </c>
      <c r="AS67" s="68">
        <v>52</v>
      </c>
      <c r="AT67" s="69">
        <f t="shared" si="133"/>
        <v>5.7138325857610618E-2</v>
      </c>
      <c r="AU67" s="69"/>
      <c r="AV67" s="7">
        <v>5.7138325857610618E-2</v>
      </c>
    </row>
    <row r="68" spans="2:48" x14ac:dyDescent="0.25">
      <c r="B68" s="67">
        <v>0.25</v>
      </c>
      <c r="C68" s="7">
        <v>1.3416944250023144</v>
      </c>
      <c r="D68" s="68">
        <v>26</v>
      </c>
      <c r="E68" s="69">
        <f t="shared" si="131"/>
        <v>5.1603631730858246E-2</v>
      </c>
      <c r="F68" s="69"/>
      <c r="G68" s="7">
        <v>5.1603631730858246E-2</v>
      </c>
      <c r="S68" s="67">
        <v>0.25</v>
      </c>
      <c r="T68" s="7">
        <v>3.278084985092923</v>
      </c>
      <c r="U68" s="68">
        <v>52</v>
      </c>
      <c r="V68" s="69">
        <f t="shared" si="132"/>
        <v>6.3040095867171603E-2</v>
      </c>
      <c r="W68" s="69"/>
      <c r="X68" s="7">
        <v>6.3040095867171603E-2</v>
      </c>
      <c r="AQ68" s="67">
        <v>0.25</v>
      </c>
      <c r="AR68" s="7">
        <v>3.18671955351103</v>
      </c>
      <c r="AS68" s="68">
        <v>52</v>
      </c>
      <c r="AT68" s="69">
        <f t="shared" si="133"/>
        <v>6.1283068336750575E-2</v>
      </c>
      <c r="AU68" s="69"/>
      <c r="AV68" s="7">
        <v>6.1283068336750575E-2</v>
      </c>
    </row>
    <row r="69" spans="2:48" x14ac:dyDescent="0.25">
      <c r="B69" s="67">
        <v>0.5</v>
      </c>
      <c r="C69" s="7">
        <v>1.5091283225477279</v>
      </c>
      <c r="D69" s="68">
        <v>26</v>
      </c>
      <c r="E69" s="69">
        <f t="shared" si="131"/>
        <v>5.8043397021066458E-2</v>
      </c>
      <c r="F69" s="69"/>
      <c r="G69" s="7">
        <v>5.8043397021066458E-2</v>
      </c>
      <c r="S69" s="67">
        <v>0.5</v>
      </c>
      <c r="T69" s="7">
        <v>3.5803779176811688</v>
      </c>
      <c r="U69" s="68">
        <v>52</v>
      </c>
      <c r="V69" s="69">
        <f t="shared" si="132"/>
        <v>6.8853421493868625E-2</v>
      </c>
      <c r="W69" s="69"/>
      <c r="X69" s="7">
        <v>6.8853421493868625E-2</v>
      </c>
      <c r="AQ69" s="67">
        <v>0.5</v>
      </c>
      <c r="AR69" s="7">
        <v>3.4843982744274795</v>
      </c>
      <c r="AS69" s="68">
        <v>52</v>
      </c>
      <c r="AT69" s="69">
        <f t="shared" si="133"/>
        <v>6.7007659123605373E-2</v>
      </c>
      <c r="AU69" s="69"/>
      <c r="AV69" s="7">
        <v>6.7007659123605373E-2</v>
      </c>
    </row>
    <row r="70" spans="2:48" x14ac:dyDescent="0.25">
      <c r="B70" s="67">
        <v>0.75</v>
      </c>
      <c r="C70" s="7">
        <v>1.7343874442074971</v>
      </c>
      <c r="D70" s="68">
        <v>26</v>
      </c>
      <c r="E70" s="69">
        <f t="shared" si="131"/>
        <v>6.6707209392596042E-2</v>
      </c>
      <c r="F70" s="69"/>
      <c r="G70" s="7">
        <v>6.6707209392596042E-2</v>
      </c>
      <c r="S70" s="67">
        <v>0.75</v>
      </c>
      <c r="T70" s="7">
        <v>3.9403585179578395</v>
      </c>
      <c r="U70" s="68">
        <v>52</v>
      </c>
      <c r="V70" s="69">
        <f t="shared" si="132"/>
        <v>7.5776125345343073E-2</v>
      </c>
      <c r="W70" s="69"/>
      <c r="X70" s="7">
        <v>7.5776125345343073E-2</v>
      </c>
      <c r="AQ70" s="67">
        <v>0.75</v>
      </c>
      <c r="AR70" s="7">
        <v>3.8374048004917594</v>
      </c>
      <c r="AS70" s="68">
        <v>52</v>
      </c>
      <c r="AT70" s="69">
        <f t="shared" si="133"/>
        <v>7.3796246163303061E-2</v>
      </c>
      <c r="AU70" s="69"/>
      <c r="AV70" s="7">
        <v>7.3796246163303061E-2</v>
      </c>
    </row>
    <row r="71" spans="2:48" x14ac:dyDescent="0.25">
      <c r="B71" s="67">
        <v>0.9</v>
      </c>
      <c r="C71" s="7">
        <v>1.9623453397844028</v>
      </c>
      <c r="D71" s="68">
        <v>26</v>
      </c>
      <c r="E71" s="69">
        <f t="shared" si="131"/>
        <v>7.5474820760938574E-2</v>
      </c>
      <c r="F71" s="69"/>
      <c r="G71" s="7">
        <v>7.5474820760938574E-2</v>
      </c>
      <c r="S71" s="67">
        <v>0.9</v>
      </c>
      <c r="T71" s="7">
        <v>4.3097527947832752</v>
      </c>
      <c r="U71" s="68">
        <v>52</v>
      </c>
      <c r="V71" s="69">
        <f t="shared" si="132"/>
        <v>8.2879861438139912E-2</v>
      </c>
      <c r="W71" s="69"/>
      <c r="X71" s="7">
        <v>8.2879861438139912E-2</v>
      </c>
      <c r="AQ71" s="67">
        <v>0.9</v>
      </c>
      <c r="AR71" s="7">
        <v>4.189985656200907</v>
      </c>
      <c r="AS71" s="68">
        <v>52</v>
      </c>
      <c r="AT71" s="69">
        <f t="shared" si="133"/>
        <v>8.0576647234632828E-2</v>
      </c>
      <c r="AU71" s="69"/>
      <c r="AV71" s="7">
        <v>8.0576647234632828E-2</v>
      </c>
    </row>
    <row r="72" spans="2:48" x14ac:dyDescent="0.25">
      <c r="B72" s="67">
        <v>0.95</v>
      </c>
      <c r="C72" s="7">
        <v>2.1400501445495919</v>
      </c>
      <c r="D72" s="68">
        <v>26</v>
      </c>
      <c r="E72" s="69">
        <f t="shared" si="131"/>
        <v>8.2309620944215067E-2</v>
      </c>
      <c r="F72" s="69"/>
      <c r="G72" s="7">
        <v>8.2309620944215067E-2</v>
      </c>
      <c r="S72" s="67">
        <v>0.95</v>
      </c>
      <c r="T72" s="7">
        <v>4.540015297219103</v>
      </c>
      <c r="U72" s="68">
        <v>52</v>
      </c>
      <c r="V72" s="69">
        <f t="shared" si="132"/>
        <v>8.7307986484982752E-2</v>
      </c>
      <c r="W72" s="69"/>
      <c r="X72" s="7">
        <v>8.7307986484982752E-2</v>
      </c>
      <c r="AQ72" s="67">
        <v>0.95</v>
      </c>
      <c r="AR72" s="7">
        <v>4.4410805409039691</v>
      </c>
      <c r="AS72" s="68">
        <v>52</v>
      </c>
      <c r="AT72" s="69">
        <f t="shared" si="133"/>
        <v>8.540539501738402E-2</v>
      </c>
      <c r="AU72" s="69"/>
      <c r="AV72" s="7">
        <v>8.540539501738402E-2</v>
      </c>
    </row>
    <row r="73" spans="2:48" x14ac:dyDescent="0.25">
      <c r="B73" s="67">
        <v>0.99</v>
      </c>
      <c r="C73" s="7">
        <v>2.5157201184231139</v>
      </c>
      <c r="D73" s="68">
        <v>26</v>
      </c>
      <c r="E73" s="69">
        <f t="shared" si="131"/>
        <v>9.6758466093196688E-2</v>
      </c>
      <c r="F73" s="69"/>
      <c r="G73" s="7">
        <v>9.6758466093196688E-2</v>
      </c>
      <c r="S73" s="67">
        <v>0.99</v>
      </c>
      <c r="T73" s="7">
        <v>5.0046928928692171</v>
      </c>
      <c r="U73" s="68">
        <v>52</v>
      </c>
      <c r="V73" s="69">
        <f t="shared" si="132"/>
        <v>9.6244094093638793E-2</v>
      </c>
      <c r="W73" s="69"/>
      <c r="X73" s="7">
        <v>9.6244094093638793E-2</v>
      </c>
      <c r="AQ73" s="67">
        <v>0.99</v>
      </c>
      <c r="AR73" s="7">
        <v>4.9409209308153912</v>
      </c>
      <c r="AS73" s="68">
        <v>52</v>
      </c>
      <c r="AT73" s="69">
        <f t="shared" si="133"/>
        <v>9.5017710207988298E-2</v>
      </c>
      <c r="AU73" s="69"/>
      <c r="AV73" s="7">
        <v>9.5017710207988298E-2</v>
      </c>
    </row>
    <row r="74" spans="2:48" x14ac:dyDescent="0.25">
      <c r="B74" s="67" t="s">
        <v>40</v>
      </c>
      <c r="C74" s="7">
        <v>3.3952879375741438</v>
      </c>
      <c r="D74" s="68">
        <v>26</v>
      </c>
      <c r="E74" s="69">
        <f>C74/D74</f>
        <v>0.13058799759900552</v>
      </c>
      <c r="F74" s="69"/>
      <c r="G74" s="7">
        <v>0.13058799759900552</v>
      </c>
      <c r="S74" s="67" t="s">
        <v>40</v>
      </c>
      <c r="T74" s="7">
        <v>6.3001098361856487</v>
      </c>
      <c r="U74" s="68">
        <v>52</v>
      </c>
      <c r="V74" s="69">
        <f>T74/U74</f>
        <v>0.12115595838818555</v>
      </c>
      <c r="W74" s="69"/>
      <c r="X74" s="7">
        <v>0.12115595838818555</v>
      </c>
      <c r="AQ74" s="67" t="s">
        <v>40</v>
      </c>
      <c r="AR74" s="7">
        <v>6.8005584203158387</v>
      </c>
      <c r="AS74" s="68">
        <v>52</v>
      </c>
      <c r="AT74" s="69">
        <f>AR74/AS74</f>
        <v>0.13077996962145844</v>
      </c>
      <c r="AU74" s="69"/>
      <c r="AV74" s="7">
        <v>0.13077996962145844</v>
      </c>
    </row>
    <row r="76" spans="2:48" x14ac:dyDescent="0.25">
      <c r="C76">
        <v>1.7706</v>
      </c>
    </row>
    <row r="77" spans="2:48" x14ac:dyDescent="0.25">
      <c r="C77">
        <v>1.5091283225477279</v>
      </c>
      <c r="D77" s="80">
        <f>C77/C76-1</f>
        <v>-0.14767405255409016</v>
      </c>
    </row>
    <row r="80" spans="2:48" x14ac:dyDescent="0.25">
      <c r="B80">
        <v>38117855.737822823</v>
      </c>
    </row>
    <row r="81" spans="2:2" x14ac:dyDescent="0.25">
      <c r="B81">
        <v>73507496.964367449</v>
      </c>
    </row>
    <row r="82" spans="2:2" x14ac:dyDescent="0.25">
      <c r="B82">
        <v>111498199.43942466</v>
      </c>
    </row>
    <row r="83" spans="2:2" x14ac:dyDescent="0.25">
      <c r="B83">
        <v>149369573.89486763</v>
      </c>
    </row>
    <row r="84" spans="2:2" x14ac:dyDescent="0.25">
      <c r="B84">
        <v>202910486.07819551</v>
      </c>
    </row>
    <row r="85" spans="2:2" x14ac:dyDescent="0.25">
      <c r="B85">
        <v>270601814.42471397</v>
      </c>
    </row>
    <row r="86" spans="2:2" x14ac:dyDescent="0.25">
      <c r="B86">
        <v>364965926.42432171</v>
      </c>
    </row>
    <row r="87" spans="2:2" x14ac:dyDescent="0.25">
      <c r="B87">
        <v>564057936.87374961</v>
      </c>
    </row>
    <row r="88" spans="2:2" x14ac:dyDescent="0.25">
      <c r="B88">
        <v>591320737.16430211</v>
      </c>
    </row>
    <row r="89" spans="2:2" x14ac:dyDescent="0.25">
      <c r="B89">
        <v>619279547.08349144</v>
      </c>
    </row>
    <row r="90" spans="2:2" x14ac:dyDescent="0.25">
      <c r="B90">
        <v>663608290.92422366</v>
      </c>
    </row>
    <row r="91" spans="2:2" x14ac:dyDescent="0.25">
      <c r="B91">
        <v>721077125.53069639</v>
      </c>
    </row>
    <row r="92" spans="2:2" x14ac:dyDescent="0.25">
      <c r="B92">
        <v>748977600.53756142</v>
      </c>
    </row>
    <row r="93" spans="2:2" x14ac:dyDescent="0.25">
      <c r="B93">
        <v>793526832.267277</v>
      </c>
    </row>
    <row r="94" spans="2:2" x14ac:dyDescent="0.25">
      <c r="B94">
        <v>835775608.29892135</v>
      </c>
    </row>
    <row r="95" spans="2:2" x14ac:dyDescent="0.25">
      <c r="B95">
        <v>894779767.38868928</v>
      </c>
    </row>
    <row r="96" spans="2:2" x14ac:dyDescent="0.25">
      <c r="B96">
        <v>963259797.54154968</v>
      </c>
    </row>
    <row r="97" spans="2:2" x14ac:dyDescent="0.25">
      <c r="B97">
        <v>1005839508.1267083</v>
      </c>
    </row>
    <row r="98" spans="2:2" x14ac:dyDescent="0.25">
      <c r="B98">
        <v>1062426687.5112131</v>
      </c>
    </row>
    <row r="99" spans="2:2" x14ac:dyDescent="0.25">
      <c r="B99">
        <v>1129692978.3830013</v>
      </c>
    </row>
    <row r="100" spans="2:2" x14ac:dyDescent="0.25">
      <c r="B100">
        <v>1223356321.7890818</v>
      </c>
    </row>
    <row r="101" spans="2:2" x14ac:dyDescent="0.25">
      <c r="B101">
        <v>1406961436.5286698</v>
      </c>
    </row>
    <row r="102" spans="2:2" x14ac:dyDescent="0.25">
      <c r="B102">
        <v>1434528919.090945</v>
      </c>
    </row>
    <row r="103" spans="2:2" x14ac:dyDescent="0.25">
      <c r="B103">
        <v>1475594429.634129</v>
      </c>
    </row>
    <row r="104" spans="2:2" x14ac:dyDescent="0.25">
      <c r="B104">
        <v>1504849176.8542664</v>
      </c>
    </row>
    <row r="105" spans="2:2" x14ac:dyDescent="0.25">
      <c r="B105">
        <v>1545947452.124747</v>
      </c>
    </row>
    <row r="106" spans="2:2" x14ac:dyDescent="0.25">
      <c r="B106">
        <v>1596833871.9016676</v>
      </c>
    </row>
  </sheetData>
  <sortState xmlns:xlrd2="http://schemas.microsoft.com/office/spreadsheetml/2017/richdata2" ref="S8:S59">
    <sortCondition ref="S8:S59"/>
  </sortState>
  <pageMargins left="0.7" right="0.7" top="0.75" bottom="0.75" header="0.3" footer="0.3"/>
  <pageSetup paperSize="9" scale="96"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37482-9342-4E52-AF2E-9F044CC41EE1}">
  <sheetPr codeName="Sheet20">
    <tabColor theme="3" tint="0.79998168889431442"/>
    <pageSetUpPr autoPageBreaks="0"/>
  </sheetPr>
  <dimension ref="B1:FE395"/>
  <sheetViews>
    <sheetView zoomScale="85" zoomScaleNormal="85" workbookViewId="0">
      <selection activeCell="Q243" sqref="Q243"/>
    </sheetView>
  </sheetViews>
  <sheetFormatPr defaultRowHeight="15" outlineLevelCol="1" x14ac:dyDescent="0.25"/>
  <cols>
    <col min="1" max="1" width="2.7109375" style="85" customWidth="1"/>
    <col min="2" max="2" width="10.7109375" style="2" bestFit="1" customWidth="1"/>
    <col min="3" max="3" width="11.28515625" style="2" bestFit="1" customWidth="1"/>
    <col min="4" max="4" width="11.28515625" style="2" customWidth="1"/>
    <col min="5" max="5" width="2.7109375" style="85" customWidth="1"/>
    <col min="6" max="6" width="7.5703125" style="2" bestFit="1" customWidth="1"/>
    <col min="7" max="7" width="10.7109375" style="2" bestFit="1" customWidth="1"/>
    <col min="8" max="8" width="11.28515625" style="2" bestFit="1" customWidth="1"/>
    <col min="9" max="9" width="2.7109375" style="85" customWidth="1"/>
    <col min="10" max="11" width="5.140625" style="85" bestFit="1" customWidth="1"/>
    <col min="12" max="12" width="13.7109375" style="86" bestFit="1" customWidth="1"/>
    <col min="13" max="14" width="13" style="2" bestFit="1" customWidth="1"/>
    <col min="15" max="18" width="13.28515625" style="81" customWidth="1"/>
    <col min="19" max="19" width="13.28515625" style="81" customWidth="1" outlineLevel="1"/>
    <col min="20" max="21" width="13.28515625" style="81" customWidth="1"/>
    <col min="22" max="22" width="13.28515625" style="81" customWidth="1" outlineLevel="1"/>
    <col min="23" max="23" width="13.28515625" style="81" customWidth="1"/>
    <col min="24" max="24" width="2.7109375" style="81" customWidth="1"/>
    <col min="25" max="30" width="15.42578125" style="85" customWidth="1"/>
    <col min="31" max="31" width="5.7109375" style="85" bestFit="1" customWidth="1"/>
    <col min="32" max="32" width="11.28515625" style="85" bestFit="1" customWidth="1"/>
    <col min="33" max="34" width="11.28515625" style="85" customWidth="1"/>
    <col min="35" max="35" width="2.7109375" style="85" customWidth="1"/>
    <col min="36" max="36" width="18.42578125" customWidth="1"/>
    <col min="37" max="37" width="12.28515625" bestFit="1" customWidth="1"/>
    <col min="38" max="38" width="4.140625" bestFit="1" customWidth="1"/>
    <col min="39" max="39" width="12.28515625" bestFit="1" customWidth="1"/>
    <col min="40" max="40" width="12.7109375" customWidth="1"/>
    <col min="41" max="42" width="2.7109375" customWidth="1"/>
    <col min="43" max="43" width="12.5703125" bestFit="1" customWidth="1"/>
    <col min="44" max="44" width="2.7109375" style="85" customWidth="1"/>
    <col min="45" max="45" width="75.85546875" style="85" customWidth="1"/>
    <col min="46" max="46" width="2.7109375" style="81" customWidth="1"/>
    <col min="47" max="50" width="15.42578125" style="85" customWidth="1"/>
    <col min="51" max="51" width="5.7109375" style="85" bestFit="1" customWidth="1"/>
    <col min="52" max="52" width="2.7109375" style="85" customWidth="1"/>
    <col min="53" max="53" width="18.42578125" customWidth="1"/>
    <col min="54" max="54" width="11.28515625" bestFit="1" customWidth="1"/>
    <col min="55" max="55" width="2.7109375" customWidth="1"/>
    <col min="56" max="56" width="12.7109375" customWidth="1"/>
    <col min="57" max="57" width="12.5703125" bestFit="1" customWidth="1"/>
    <col min="58" max="58" width="2.7109375" style="85" customWidth="1"/>
    <col min="59" max="59" width="75.85546875" style="85" customWidth="1"/>
    <col min="60" max="60" width="2.7109375" style="81" customWidth="1"/>
    <col min="61" max="66" width="15.42578125" style="85" customWidth="1"/>
    <col min="67" max="67" width="5.7109375" style="85" bestFit="1" customWidth="1"/>
    <col min="68" max="68" width="2.7109375" style="85" customWidth="1"/>
    <col min="69" max="69" width="18.42578125" customWidth="1"/>
    <col min="70" max="70" width="11.28515625" bestFit="1" customWidth="1"/>
    <col min="71" max="72" width="2.7109375" customWidth="1"/>
    <col min="73" max="73" width="12.7109375" customWidth="1"/>
    <col min="74" max="75" width="2.7109375" customWidth="1"/>
    <col min="76" max="76" width="12.5703125" bestFit="1" customWidth="1"/>
    <col min="77" max="77" width="2.7109375" style="85" customWidth="1"/>
    <col min="78" max="78" width="75.85546875" style="85" customWidth="1"/>
    <col min="79" max="79" width="2.7109375" style="81" customWidth="1"/>
    <col min="80" max="85" width="15.42578125" style="85" customWidth="1"/>
    <col min="86" max="86" width="5.7109375" style="85" bestFit="1" customWidth="1"/>
    <col min="87" max="87" width="2.7109375" style="85" customWidth="1"/>
    <col min="88" max="88" width="18.42578125" customWidth="1"/>
    <col min="89" max="89" width="11.28515625" bestFit="1" customWidth="1"/>
    <col min="90" max="90" width="2.7109375" customWidth="1"/>
    <col min="91" max="91" width="12.7109375" customWidth="1"/>
    <col min="92" max="92" width="12.5703125" bestFit="1" customWidth="1"/>
    <col min="93" max="93" width="2.7109375" style="85" customWidth="1"/>
    <col min="94" max="94" width="75.85546875" style="85" customWidth="1"/>
    <col min="95" max="95" width="2.7109375" style="81" customWidth="1"/>
    <col min="96" max="101" width="15.42578125" style="85" customWidth="1"/>
    <col min="102" max="102" width="5.7109375" style="85" bestFit="1" customWidth="1"/>
    <col min="103" max="104" width="2.7109375" style="85" customWidth="1"/>
    <col min="105" max="105" width="18.42578125" customWidth="1"/>
    <col min="106" max="106" width="11.28515625" bestFit="1" customWidth="1"/>
    <col min="107" max="108" width="2.7109375" customWidth="1"/>
    <col min="109" max="109" width="12.7109375" customWidth="1"/>
    <col min="110" max="111" width="2.7109375" customWidth="1"/>
    <col min="112" max="112" width="12.5703125" bestFit="1" customWidth="1"/>
    <col min="113" max="113" width="2.7109375" style="85" customWidth="1"/>
    <col min="114" max="114" width="75.85546875" style="85" customWidth="1"/>
    <col min="115" max="115" width="2.7109375" style="81" customWidth="1"/>
    <col min="116" max="121" width="15.42578125" style="85" customWidth="1"/>
    <col min="122" max="122" width="5.7109375" style="85" bestFit="1" customWidth="1"/>
    <col min="123" max="123" width="2.7109375" style="85" customWidth="1"/>
    <col min="124" max="124" width="18.42578125" customWidth="1"/>
    <col min="125" max="125" width="11.28515625" bestFit="1" customWidth="1"/>
    <col min="126" max="127" width="2.7109375" customWidth="1"/>
    <col min="128" max="128" width="12.7109375" customWidth="1"/>
    <col min="129" max="130" width="2.7109375" customWidth="1"/>
    <col min="131" max="131" width="12.5703125" bestFit="1" customWidth="1"/>
    <col min="132" max="132" width="2.7109375" style="85" customWidth="1"/>
    <col min="133" max="133" width="75.85546875" style="85" customWidth="1"/>
    <col min="134" max="134" width="2.7109375" style="81" customWidth="1"/>
    <col min="135" max="140" width="15.42578125" style="85" customWidth="1"/>
    <col min="141" max="141" width="5.7109375" style="85" bestFit="1" customWidth="1"/>
    <col min="142" max="142" width="2.7109375" style="85" customWidth="1"/>
    <col min="143" max="143" width="18.42578125" customWidth="1"/>
    <col min="144" max="144" width="11.28515625" bestFit="1" customWidth="1"/>
    <col min="145" max="146" width="2.7109375" customWidth="1"/>
    <col min="147" max="147" width="12.7109375" customWidth="1"/>
    <col min="148" max="149" width="2.7109375" customWidth="1"/>
    <col min="150" max="150" width="12.5703125" bestFit="1" customWidth="1"/>
    <col min="151" max="151" width="2.7109375" style="85" customWidth="1"/>
    <col min="152" max="152" width="75.85546875" style="85" customWidth="1"/>
    <col min="153" max="16384" width="9.140625" style="85"/>
  </cols>
  <sheetData>
    <row r="1" spans="2:161" x14ac:dyDescent="0.25">
      <c r="DL1" s="85" t="s">
        <v>111</v>
      </c>
      <c r="EL1" s="85" t="s">
        <v>112</v>
      </c>
    </row>
    <row r="2" spans="2:161" x14ac:dyDescent="0.25">
      <c r="B2" s="87" t="s">
        <v>113</v>
      </c>
      <c r="C2" s="87"/>
      <c r="D2" s="87"/>
      <c r="F2" s="87" t="s">
        <v>114</v>
      </c>
      <c r="G2" s="87"/>
      <c r="H2" s="87"/>
      <c r="J2" s="87" t="s">
        <v>115</v>
      </c>
      <c r="K2" s="88"/>
      <c r="L2" s="89"/>
      <c r="M2" s="89"/>
      <c r="N2" s="89"/>
      <c r="O2" s="89"/>
      <c r="P2" s="89"/>
      <c r="Q2" s="89"/>
      <c r="R2" s="89"/>
      <c r="S2" s="89"/>
      <c r="T2" s="89"/>
      <c r="U2" s="89"/>
      <c r="V2" s="89"/>
      <c r="W2" s="89"/>
      <c r="X2" s="2"/>
      <c r="Y2" s="90" t="s">
        <v>116</v>
      </c>
      <c r="Z2" s="91"/>
      <c r="AA2" s="91"/>
      <c r="AB2" s="92"/>
      <c r="AC2" s="92"/>
      <c r="AD2" s="92"/>
      <c r="AE2" s="92"/>
      <c r="AF2" s="92"/>
      <c r="AG2" s="92"/>
      <c r="AH2" s="92"/>
      <c r="AJ2" s="90" t="s">
        <v>117</v>
      </c>
      <c r="AK2" s="91"/>
      <c r="AL2" s="91"/>
      <c r="AM2" s="91"/>
      <c r="AN2" s="92"/>
      <c r="AO2" s="91"/>
      <c r="AP2" s="91"/>
      <c r="AQ2" s="92"/>
      <c r="AS2" s="90" t="s">
        <v>118</v>
      </c>
      <c r="AT2" s="2"/>
      <c r="AU2" s="93" t="s">
        <v>119</v>
      </c>
      <c r="AV2" s="94"/>
      <c r="AW2" s="94"/>
      <c r="AX2" s="95"/>
      <c r="AY2" s="95"/>
      <c r="BA2" s="93" t="s">
        <v>120</v>
      </c>
      <c r="BB2" s="94"/>
      <c r="BC2" s="94"/>
      <c r="BD2" s="95"/>
      <c r="BE2" s="95"/>
      <c r="BG2" s="93" t="s">
        <v>121</v>
      </c>
      <c r="BH2" s="2"/>
      <c r="BI2" s="96" t="s">
        <v>122</v>
      </c>
      <c r="BJ2" s="97"/>
      <c r="BK2" s="97"/>
      <c r="BL2" s="98"/>
      <c r="BM2" s="98"/>
      <c r="BN2" s="98"/>
      <c r="BO2" s="98"/>
      <c r="BQ2" s="96" t="s">
        <v>123</v>
      </c>
      <c r="BR2" s="97"/>
      <c r="BS2" s="97"/>
      <c r="BT2" s="97"/>
      <c r="BU2" s="98"/>
      <c r="BV2" s="97"/>
      <c r="BW2" s="97"/>
      <c r="BX2" s="98"/>
      <c r="BZ2" s="96" t="s">
        <v>124</v>
      </c>
      <c r="CA2" s="2"/>
      <c r="CB2" s="87" t="s">
        <v>125</v>
      </c>
      <c r="CC2" s="88"/>
      <c r="CD2" s="88"/>
      <c r="CE2" s="89"/>
      <c r="CF2" s="89"/>
      <c r="CG2" s="89"/>
      <c r="CH2" s="89"/>
      <c r="CJ2" s="87" t="s">
        <v>126</v>
      </c>
      <c r="CK2" s="88"/>
      <c r="CL2" s="88"/>
      <c r="CM2" s="89"/>
      <c r="CN2" s="89"/>
      <c r="CP2" s="87" t="s">
        <v>127</v>
      </c>
      <c r="CQ2" s="2"/>
      <c r="CR2" s="99" t="s">
        <v>128</v>
      </c>
      <c r="CS2" s="100"/>
      <c r="CT2" s="101"/>
      <c r="CU2" s="101"/>
      <c r="CV2" s="101"/>
      <c r="CW2" s="101"/>
      <c r="CX2" s="101"/>
      <c r="DA2" s="99" t="s">
        <v>129</v>
      </c>
      <c r="DB2" s="100"/>
      <c r="DC2" s="100"/>
      <c r="DD2" s="100"/>
      <c r="DE2" s="101"/>
      <c r="DF2" s="100"/>
      <c r="DG2" s="100"/>
      <c r="DH2" s="101"/>
      <c r="DJ2" s="99" t="s">
        <v>130</v>
      </c>
      <c r="DK2" s="2"/>
      <c r="DL2" s="93" t="s">
        <v>131</v>
      </c>
      <c r="DM2" s="94"/>
      <c r="DN2" s="95"/>
      <c r="DO2" s="95"/>
      <c r="DP2" s="95"/>
      <c r="DQ2" s="95"/>
      <c r="DR2" s="95"/>
      <c r="DT2" s="93" t="s">
        <v>132</v>
      </c>
      <c r="DU2" s="94"/>
      <c r="DV2" s="94"/>
      <c r="DW2" s="94"/>
      <c r="DX2" s="95"/>
      <c r="DY2" s="94"/>
      <c r="DZ2" s="94"/>
      <c r="EA2" s="95"/>
      <c r="EC2" s="93" t="s">
        <v>133</v>
      </c>
      <c r="ED2" s="2"/>
      <c r="EE2" s="102" t="s">
        <v>134</v>
      </c>
      <c r="EF2" s="103"/>
      <c r="EG2" s="104"/>
      <c r="EH2" s="104"/>
      <c r="EI2" s="104"/>
      <c r="EJ2" s="104"/>
      <c r="EK2" s="104"/>
      <c r="EM2" s="102" t="s">
        <v>135</v>
      </c>
      <c r="EN2" s="103"/>
      <c r="EO2" s="103"/>
      <c r="EP2" s="103"/>
      <c r="EQ2" s="104"/>
      <c r="ER2" s="103"/>
      <c r="ES2" s="103"/>
      <c r="ET2" s="104"/>
      <c r="EV2" s="102" t="s">
        <v>136</v>
      </c>
    </row>
    <row r="3" spans="2:161" x14ac:dyDescent="0.25">
      <c r="E3" s="105"/>
      <c r="I3" s="105"/>
      <c r="J3" s="105"/>
      <c r="K3" s="105"/>
      <c r="L3" s="36"/>
      <c r="M3" s="85"/>
      <c r="N3" s="85"/>
      <c r="O3" s="36"/>
      <c r="P3" s="36"/>
      <c r="Q3" s="36"/>
      <c r="R3" s="36"/>
      <c r="S3" s="36"/>
      <c r="T3" s="36"/>
      <c r="U3" s="36"/>
      <c r="V3" s="36"/>
      <c r="W3" s="36"/>
      <c r="X3" s="36"/>
      <c r="AI3" s="105"/>
      <c r="AJ3" s="106"/>
      <c r="AK3" s="107"/>
      <c r="AL3" s="107"/>
      <c r="AM3" s="107"/>
      <c r="AN3" s="108"/>
      <c r="AO3" s="107"/>
      <c r="AP3" s="107"/>
      <c r="AQ3" s="108"/>
      <c r="AT3" s="36"/>
      <c r="AZ3" s="105"/>
      <c r="BA3" s="106"/>
      <c r="BB3" s="107"/>
      <c r="BC3" s="107"/>
      <c r="BD3" s="108"/>
      <c r="BE3" s="108"/>
      <c r="BH3" s="36"/>
      <c r="BP3" s="105"/>
      <c r="BQ3" s="106"/>
      <c r="BR3" s="107"/>
      <c r="BS3" s="107"/>
      <c r="BT3" s="107"/>
      <c r="BU3" s="108"/>
      <c r="BV3" s="107"/>
      <c r="BW3" s="107"/>
      <c r="BX3" s="108"/>
      <c r="CA3" s="36"/>
      <c r="CI3" s="105"/>
      <c r="CJ3" s="106"/>
      <c r="CK3" s="107"/>
      <c r="CL3" s="107"/>
      <c r="CM3" s="108"/>
      <c r="CN3" s="108"/>
      <c r="CQ3" s="36"/>
      <c r="CY3" s="105"/>
      <c r="CZ3" s="105"/>
      <c r="DA3" s="106"/>
      <c r="DB3" s="107"/>
      <c r="DC3" s="107"/>
      <c r="DD3" s="107"/>
      <c r="DE3" s="108"/>
      <c r="DF3" s="107"/>
      <c r="DG3" s="107"/>
      <c r="DH3" s="108"/>
      <c r="DK3" s="36"/>
      <c r="DS3" s="105"/>
      <c r="DT3" s="106"/>
      <c r="DU3" s="107"/>
      <c r="DV3" s="107"/>
      <c r="DW3" s="107"/>
      <c r="DX3" s="108"/>
      <c r="DY3" s="107"/>
      <c r="DZ3" s="107"/>
      <c r="EA3" s="108"/>
      <c r="ED3" s="36"/>
      <c r="EL3" s="105"/>
      <c r="EM3" s="106"/>
      <c r="EN3" s="107"/>
      <c r="EO3" s="107"/>
      <c r="EP3" s="107"/>
      <c r="EQ3" s="108"/>
      <c r="ER3" s="107"/>
      <c r="ES3" s="107"/>
      <c r="ET3" s="108"/>
    </row>
    <row r="4" spans="2:161" ht="25.5" x14ac:dyDescent="0.25">
      <c r="E4" s="105"/>
      <c r="I4" s="105"/>
      <c r="J4" s="109" t="s">
        <v>137</v>
      </c>
      <c r="K4" s="109" t="s">
        <v>138</v>
      </c>
      <c r="L4" s="110" t="s">
        <v>59</v>
      </c>
      <c r="M4" s="111" t="s">
        <v>139</v>
      </c>
      <c r="N4" s="111" t="s">
        <v>57</v>
      </c>
      <c r="O4" s="112" t="s">
        <v>61</v>
      </c>
      <c r="P4" s="112" t="s">
        <v>140</v>
      </c>
      <c r="Q4" s="112" t="s">
        <v>141</v>
      </c>
      <c r="R4" s="112" t="s">
        <v>142</v>
      </c>
      <c r="S4" s="112" t="s">
        <v>143</v>
      </c>
      <c r="T4" s="112" t="s">
        <v>144</v>
      </c>
      <c r="U4" s="112" t="s">
        <v>145</v>
      </c>
      <c r="V4" s="112" t="s">
        <v>143</v>
      </c>
      <c r="W4" s="112" t="s">
        <v>146</v>
      </c>
      <c r="X4" s="113"/>
      <c r="Y4" s="114" t="s">
        <v>147</v>
      </c>
      <c r="Z4" s="115">
        <v>44698</v>
      </c>
      <c r="AA4" s="114" t="s">
        <v>148</v>
      </c>
      <c r="AB4" s="115">
        <v>44910</v>
      </c>
      <c r="AI4" s="116"/>
      <c r="AL4" s="107"/>
      <c r="AM4" s="107"/>
      <c r="AN4" s="108"/>
      <c r="AO4" s="107"/>
      <c r="AP4" s="107"/>
      <c r="AQ4" s="108"/>
      <c r="AT4" s="113"/>
      <c r="AZ4" s="116"/>
      <c r="BA4" s="106"/>
      <c r="BB4" s="107"/>
      <c r="BC4" s="107"/>
      <c r="BD4" s="108"/>
      <c r="BE4" s="108"/>
      <c r="BH4" s="113"/>
      <c r="BP4" s="116"/>
      <c r="BQ4" s="106"/>
      <c r="BR4" s="107"/>
      <c r="BS4" s="107"/>
      <c r="BT4" s="107"/>
      <c r="BU4" s="108"/>
      <c r="BV4" s="107"/>
      <c r="BW4" s="107"/>
      <c r="BX4" s="108"/>
      <c r="CA4" s="113"/>
      <c r="CI4" s="116"/>
      <c r="CJ4" s="106"/>
      <c r="CK4" s="107"/>
      <c r="CL4" s="107"/>
      <c r="CM4" s="108"/>
      <c r="CN4" s="108"/>
      <c r="CQ4" s="113"/>
      <c r="CY4" s="116"/>
      <c r="CZ4" s="116"/>
      <c r="DA4" s="106"/>
      <c r="DB4" s="107"/>
      <c r="DC4" s="107"/>
      <c r="DD4" s="107"/>
      <c r="DE4" s="108"/>
      <c r="DF4" s="107"/>
      <c r="DG4" s="107"/>
      <c r="DH4" s="108"/>
      <c r="DK4" s="113"/>
      <c r="DS4" s="116"/>
      <c r="DT4" s="106"/>
      <c r="DU4" s="107"/>
      <c r="DV4" s="107"/>
      <c r="DW4" s="107"/>
      <c r="DX4" s="108"/>
      <c r="DY4" s="107"/>
      <c r="DZ4" s="107"/>
      <c r="EA4" s="108"/>
      <c r="ED4" s="113"/>
      <c r="EL4" s="116"/>
      <c r="EM4" s="106"/>
      <c r="EN4" s="107"/>
      <c r="EO4" s="107"/>
      <c r="EP4" s="107"/>
      <c r="EQ4" s="108"/>
      <c r="ER4" s="107"/>
      <c r="ES4" s="107"/>
      <c r="ET4" s="108"/>
    </row>
    <row r="5" spans="2:161" x14ac:dyDescent="0.2">
      <c r="B5" s="117" t="s">
        <v>149</v>
      </c>
      <c r="C5" s="117"/>
      <c r="D5" s="117"/>
      <c r="E5" s="105"/>
      <c r="F5" s="117" t="s">
        <v>150</v>
      </c>
      <c r="G5" s="117"/>
      <c r="H5" s="117"/>
      <c r="J5" s="86" t="str" cm="1">
        <f t="array" ref="J5">LOOKUP(2,1/($G$17:$G$33&lt;=$L5)/($H$17:$H$33&gt;=$L5),$F$17:$F$33)</f>
        <v>2H24</v>
      </c>
      <c r="K5" s="86" t="str" cm="1">
        <f t="array" ref="K5">LOOKUP(2,1/($G$6:$G$14&lt;=$L5)/($H$6:$H$14&gt;=$L5),$F$6:$F$14)</f>
        <v>FY24</v>
      </c>
      <c r="L5" s="118">
        <v>45470</v>
      </c>
      <c r="M5" s="49">
        <v>19509070</v>
      </c>
      <c r="N5" s="49">
        <v>26290423</v>
      </c>
      <c r="O5" s="50">
        <v>4000000</v>
      </c>
      <c r="P5" s="119" cm="1">
        <f t="array" ref="P5">LOOKUP(2,1/($B$10:$B$14&lt;=$L5)/($C$10:$C$14&gt;=$L5),$D$10:$D$14)</f>
        <v>1.1000000000000001</v>
      </c>
      <c r="Q5" s="120" cm="1">
        <f t="array" ref="Q5">LOOKUP(2,1/($B$17:$B$21&lt;=$L5)/($C$17:$C$21&gt;=$L5),$D$17:$D$21)</f>
        <v>134.49039999999999</v>
      </c>
      <c r="R5" s="113" t="str">
        <f t="shared" ref="R5:R28" si="0">IF($J5&lt;&gt;$J6,$J5,"")</f>
        <v/>
      </c>
      <c r="S5" s="113" t="str">
        <f t="shared" ref="S5:S28" si="1">IF($O4&lt;$O5,$J5,S4)</f>
        <v>Filter</v>
      </c>
      <c r="T5" s="113" t="str">
        <f t="shared" ref="T5:T28" ca="1" si="2">IF(AND(S5&lt;&gt;S4,ISNUMBER(MATCH($S4,$F$17:$F$33,0))),OFFSET($F$16,MATCH($J5,$F$17:$F$33,0)+1,0),"")</f>
        <v/>
      </c>
      <c r="U5" s="113" t="str">
        <f t="shared" ref="U5:U28" si="3">IF($K5&lt;&gt;$K6,$K5,"")</f>
        <v/>
      </c>
      <c r="V5" s="113" t="str">
        <f t="shared" ref="V5:V196" si="4">IF($O4&lt;$O5,$K5,V4)</f>
        <v>Filter</v>
      </c>
      <c r="W5" s="113" t="str">
        <f t="shared" ref="W5:W28" ca="1" si="5">IF(AND(V5&lt;&gt;V4,ISNUMBER(MATCH($V4,$F$6:$F$14,0))),OFFSET($F$5,MATCH($K5,$F$6:$F$14,0)+1,0),"")</f>
        <v/>
      </c>
      <c r="X5" s="50"/>
      <c r="Y5" s="121" t="s">
        <v>151</v>
      </c>
      <c r="Z5" s="122"/>
      <c r="AA5" s="122"/>
      <c r="AB5" s="122"/>
      <c r="AC5" s="122"/>
      <c r="AD5" s="122"/>
      <c r="AE5" s="122"/>
      <c r="AF5" s="122"/>
      <c r="AG5" s="122"/>
      <c r="AH5" s="122"/>
      <c r="AI5" s="122"/>
      <c r="AJ5" s="122"/>
      <c r="AK5" s="122"/>
      <c r="AL5" s="122"/>
      <c r="AM5" s="122"/>
      <c r="AN5" s="122"/>
      <c r="AO5" s="122"/>
      <c r="AP5" s="122"/>
      <c r="AQ5" s="122"/>
      <c r="AR5" s="122"/>
      <c r="AS5" s="122"/>
      <c r="AT5" s="50"/>
      <c r="AU5" s="121" t="s">
        <v>152</v>
      </c>
      <c r="AV5" s="122"/>
      <c r="AW5" s="122"/>
      <c r="AX5" s="122"/>
      <c r="AY5" s="122"/>
      <c r="AZ5" s="122"/>
      <c r="BA5" s="122"/>
      <c r="BB5" s="122"/>
      <c r="BC5" s="122"/>
      <c r="BD5" s="122"/>
      <c r="BE5" s="122"/>
      <c r="BF5" s="122"/>
      <c r="BG5" s="122"/>
      <c r="BH5" s="50"/>
      <c r="BI5" s="123" t="s">
        <v>153</v>
      </c>
      <c r="BJ5" s="124"/>
      <c r="BK5" s="124"/>
      <c r="BL5" s="124"/>
      <c r="BM5" s="124"/>
      <c r="BN5" s="124"/>
      <c r="BO5" s="124"/>
      <c r="BP5" s="124"/>
      <c r="BQ5" s="124"/>
      <c r="BR5" s="124"/>
      <c r="BS5" s="124"/>
      <c r="BT5" s="124"/>
      <c r="BU5" s="124"/>
      <c r="BV5" s="124"/>
      <c r="BW5" s="124"/>
      <c r="BX5" s="124"/>
      <c r="BY5" s="124"/>
      <c r="BZ5" s="124"/>
      <c r="CA5" s="50"/>
      <c r="CB5" s="123" t="s">
        <v>154</v>
      </c>
      <c r="CC5" s="124"/>
      <c r="CD5" s="124"/>
      <c r="CE5" s="124"/>
      <c r="CF5" s="124"/>
      <c r="CG5" s="124"/>
      <c r="CH5" s="124"/>
      <c r="CI5" s="124"/>
      <c r="CJ5" s="124"/>
      <c r="CK5" s="124"/>
      <c r="CL5" s="124"/>
      <c r="CM5" s="124"/>
      <c r="CN5" s="124"/>
      <c r="CO5" s="124"/>
      <c r="CP5" s="124"/>
      <c r="CQ5" s="50"/>
      <c r="CR5" s="125" t="s">
        <v>155</v>
      </c>
      <c r="CS5" s="126"/>
      <c r="CT5" s="126"/>
      <c r="CU5" s="126"/>
      <c r="CV5" s="126"/>
      <c r="CW5" s="126"/>
      <c r="CX5" s="126"/>
      <c r="CY5" s="126"/>
      <c r="CZ5" s="126"/>
      <c r="DA5" s="126"/>
      <c r="DB5" s="126"/>
      <c r="DC5" s="126"/>
      <c r="DD5" s="126"/>
      <c r="DE5" s="126"/>
      <c r="DF5" s="126"/>
      <c r="DG5" s="126"/>
      <c r="DH5" s="126"/>
      <c r="DI5" s="126"/>
      <c r="DJ5" s="126"/>
      <c r="DK5" s="50"/>
      <c r="DL5" s="125" t="s">
        <v>43</v>
      </c>
      <c r="DM5" s="126"/>
      <c r="DN5" s="126"/>
      <c r="DO5" s="126"/>
      <c r="DP5" s="126"/>
      <c r="DQ5" s="126"/>
      <c r="DR5" s="126"/>
      <c r="DS5" s="126"/>
      <c r="DT5" s="126"/>
      <c r="DU5" s="126"/>
      <c r="DV5" s="126"/>
      <c r="DW5" s="126"/>
      <c r="DX5" s="126"/>
      <c r="DY5" s="126"/>
      <c r="DZ5" s="126"/>
      <c r="EA5" s="126"/>
      <c r="EB5" s="126"/>
      <c r="EC5" s="126"/>
      <c r="ED5" s="50"/>
      <c r="EE5" s="127" t="s">
        <v>156</v>
      </c>
      <c r="EF5" s="128"/>
      <c r="EG5" s="128"/>
      <c r="EH5" s="128"/>
      <c r="EI5" s="128"/>
      <c r="EJ5" s="128"/>
      <c r="EK5" s="128"/>
      <c r="EL5" s="128"/>
      <c r="EM5" s="128"/>
      <c r="EN5" s="128"/>
      <c r="EO5" s="128"/>
      <c r="EP5" s="128"/>
      <c r="EQ5" s="128"/>
      <c r="ER5" s="128"/>
      <c r="ES5" s="128"/>
      <c r="ET5" s="128"/>
      <c r="EU5" s="128"/>
      <c r="EV5" s="128"/>
    </row>
    <row r="6" spans="2:161" ht="15" customHeight="1" x14ac:dyDescent="0.2">
      <c r="B6" s="129">
        <v>31724</v>
      </c>
      <c r="C6" s="129">
        <v>43737</v>
      </c>
      <c r="D6" s="130">
        <v>9.2999999999999999E-2</v>
      </c>
      <c r="F6" s="86" t="s">
        <v>157</v>
      </c>
      <c r="G6" s="129">
        <v>42552</v>
      </c>
      <c r="H6" s="131">
        <f>EOMONTH(G6,11)</f>
        <v>42916</v>
      </c>
      <c r="J6" s="86" t="str" cm="1">
        <f t="array" ref="J6">LOOKUP(2,1/($G$17:$G$33&lt;=$L6)/($H$17:$H$33&gt;=$L6),$F$17:$F$33)</f>
        <v>2H24</v>
      </c>
      <c r="K6" s="86" t="str" cm="1">
        <f t="array" ref="K6">LOOKUP(2,1/($G$6:$G$14&lt;=$L6)/($H$6:$H$14&gt;=$L6),$F$6:$F$14)</f>
        <v>FY24</v>
      </c>
      <c r="L6" s="118">
        <v>45463</v>
      </c>
      <c r="M6" s="49">
        <v>55077121</v>
      </c>
      <c r="N6" s="49">
        <v>74221928</v>
      </c>
      <c r="O6" s="50">
        <v>40000000</v>
      </c>
      <c r="P6" s="119" cm="1">
        <f t="array" ref="P6">LOOKUP(2,1/($B$10:$B$14&lt;=$L6)/($C$10:$C$14&gt;=$L6),$D$10:$D$14)</f>
        <v>1.1000000000000001</v>
      </c>
      <c r="Q6" s="120" cm="1">
        <f t="array" ref="Q6">LOOKUP(2,1/($B$17:$B$21&lt;=$L6)/($C$17:$C$21&gt;=$L6),$D$17:$D$21)</f>
        <v>134.49039999999999</v>
      </c>
      <c r="R6" s="113" t="str">
        <f t="shared" si="0"/>
        <v/>
      </c>
      <c r="S6" s="113" t="str">
        <f t="shared" si="1"/>
        <v>2H24</v>
      </c>
      <c r="T6" s="113" t="str">
        <f t="shared" ca="1" si="2"/>
        <v/>
      </c>
      <c r="U6" s="113" t="str">
        <f t="shared" si="3"/>
        <v/>
      </c>
      <c r="V6" s="113" t="str">
        <f t="shared" si="4"/>
        <v>FY24</v>
      </c>
      <c r="W6" s="113" t="str">
        <f t="shared" ca="1" si="5"/>
        <v/>
      </c>
      <c r="X6" s="113"/>
      <c r="Y6" s="114" t="s">
        <v>147</v>
      </c>
      <c r="Z6" s="115">
        <v>44587</v>
      </c>
      <c r="AA6" s="114" t="s">
        <v>148</v>
      </c>
      <c r="AB6" s="115">
        <v>44952</v>
      </c>
      <c r="AC6" s="132"/>
      <c r="AD6" s="132"/>
      <c r="AE6" s="132"/>
      <c r="AF6" s="132"/>
      <c r="AG6" s="132"/>
      <c r="AH6" s="132"/>
      <c r="AI6" s="133"/>
      <c r="AJ6" s="133"/>
      <c r="AK6" s="133"/>
      <c r="AL6" s="133"/>
      <c r="AM6" s="133"/>
      <c r="AN6" s="133"/>
      <c r="AO6" s="133"/>
      <c r="AP6" s="133"/>
      <c r="AQ6" s="133"/>
      <c r="AR6" s="133"/>
      <c r="AS6" s="133"/>
      <c r="AT6" s="113"/>
      <c r="AU6" s="114" t="s">
        <v>147</v>
      </c>
      <c r="AV6" s="115">
        <v>44652</v>
      </c>
      <c r="AW6" s="114" t="s">
        <v>148</v>
      </c>
      <c r="AX6" s="115">
        <v>44868</v>
      </c>
      <c r="AY6" s="132"/>
      <c r="AZ6" s="133"/>
      <c r="BA6" s="133"/>
      <c r="BB6" s="133"/>
      <c r="BC6" s="133"/>
      <c r="BD6" s="133"/>
      <c r="BE6" s="133"/>
      <c r="BF6" s="133"/>
      <c r="BG6" s="133"/>
      <c r="BH6" s="113"/>
      <c r="BI6" s="114" t="s">
        <v>147</v>
      </c>
      <c r="BJ6" s="115" t="s">
        <v>158</v>
      </c>
      <c r="BK6" s="114" t="s">
        <v>148</v>
      </c>
      <c r="BL6" s="115" t="s">
        <v>158</v>
      </c>
      <c r="BM6" s="115"/>
      <c r="BN6" s="115"/>
      <c r="BO6" s="132"/>
      <c r="BP6" s="133"/>
      <c r="BQ6" s="133"/>
      <c r="BR6" s="133"/>
      <c r="BS6" s="133"/>
      <c r="BT6" s="133"/>
      <c r="BU6" s="133"/>
      <c r="BV6" s="133"/>
      <c r="BW6" s="133"/>
      <c r="BX6" s="133"/>
      <c r="BY6" s="133"/>
      <c r="BZ6" s="133"/>
      <c r="CA6" s="113"/>
      <c r="CB6" s="114" t="s">
        <v>147</v>
      </c>
      <c r="CC6" s="115" t="s">
        <v>158</v>
      </c>
      <c r="CD6" s="114" t="s">
        <v>148</v>
      </c>
      <c r="CE6" s="115" t="s">
        <v>158</v>
      </c>
      <c r="CF6" s="132"/>
      <c r="CG6" s="132"/>
      <c r="CH6" s="132"/>
      <c r="CI6" s="133"/>
      <c r="CJ6" s="133"/>
      <c r="CK6" s="133"/>
      <c r="CL6" s="133"/>
      <c r="CM6" s="133"/>
      <c r="CN6" s="133"/>
      <c r="CO6" s="133"/>
      <c r="CP6" s="133"/>
      <c r="CQ6" s="113"/>
      <c r="CR6" s="114" t="s">
        <v>147</v>
      </c>
      <c r="CS6" s="115">
        <v>42917</v>
      </c>
      <c r="CT6" s="114" t="s">
        <v>148</v>
      </c>
      <c r="CU6" s="115">
        <v>43208</v>
      </c>
      <c r="CV6" s="132"/>
      <c r="CW6" s="132"/>
      <c r="CX6" s="132"/>
      <c r="CY6" s="133"/>
      <c r="CZ6" s="133"/>
      <c r="DA6" s="133"/>
      <c r="DB6" s="133"/>
      <c r="DC6" s="133"/>
      <c r="DD6" s="133"/>
      <c r="DE6" s="133"/>
      <c r="DF6" s="133"/>
      <c r="DG6" s="133"/>
      <c r="DH6" s="133"/>
      <c r="DI6" s="133"/>
      <c r="DJ6" s="133"/>
      <c r="DK6" s="113"/>
      <c r="DL6" s="114" t="s">
        <v>147</v>
      </c>
      <c r="DM6" s="115">
        <v>42917</v>
      </c>
      <c r="DN6" s="114" t="s">
        <v>148</v>
      </c>
      <c r="DO6" s="115">
        <v>43100</v>
      </c>
      <c r="DP6" s="132"/>
      <c r="DQ6" s="132"/>
      <c r="DR6" s="132"/>
      <c r="DS6" s="133"/>
      <c r="DT6" s="133"/>
      <c r="DU6" s="133"/>
      <c r="DV6" s="133"/>
      <c r="DW6" s="133"/>
      <c r="DX6" s="133"/>
      <c r="DY6" s="133"/>
      <c r="DZ6" s="133"/>
      <c r="EA6" s="133"/>
      <c r="EB6" s="133"/>
      <c r="EC6" s="133"/>
      <c r="ED6" s="113"/>
      <c r="EE6" s="114" t="s">
        <v>147</v>
      </c>
      <c r="EF6" s="115">
        <v>42838</v>
      </c>
      <c r="EG6" s="114" t="s">
        <v>148</v>
      </c>
      <c r="EH6" s="115">
        <v>43202</v>
      </c>
      <c r="EI6" s="132"/>
      <c r="EJ6" s="132"/>
      <c r="EK6" s="132"/>
      <c r="EL6" s="133"/>
      <c r="EM6" s="133"/>
      <c r="EN6" s="133"/>
      <c r="EO6" s="133"/>
      <c r="EP6" s="133"/>
      <c r="EQ6" s="133"/>
      <c r="ER6" s="133"/>
      <c r="ES6" s="133"/>
      <c r="ET6" s="133"/>
      <c r="EU6" s="133"/>
      <c r="EV6" s="133"/>
    </row>
    <row r="7" spans="2:161" ht="15" customHeight="1" x14ac:dyDescent="0.2">
      <c r="B7" s="129">
        <v>43738</v>
      </c>
      <c r="C7" s="131">
        <f>EOMONTH(MAX($L:$L),0)</f>
        <v>45473</v>
      </c>
      <c r="D7" s="130">
        <v>0.10299999999999999</v>
      </c>
      <c r="F7" s="86" t="s">
        <v>18</v>
      </c>
      <c r="G7" s="131">
        <f>H6+1</f>
        <v>42917</v>
      </c>
      <c r="H7" s="131">
        <f t="shared" ref="H7:H14" si="6">EOMONTH(G7,11)</f>
        <v>43281</v>
      </c>
      <c r="J7" s="86" t="str" cm="1">
        <f t="array" ref="J7">LOOKUP(2,1/($G$17:$G$33&lt;=$L7)/($H$17:$H$33&gt;=$L7),$F$17:$F$33)</f>
        <v>2H24</v>
      </c>
      <c r="K7" s="86" t="str" cm="1">
        <f t="array" ref="K7">LOOKUP(2,1/($G$6:$G$14&lt;=$L7)/($H$6:$H$14&gt;=$L7),$F$6:$F$14)</f>
        <v>FY24</v>
      </c>
      <c r="L7" s="118">
        <v>45456</v>
      </c>
      <c r="M7" s="49">
        <v>41109276</v>
      </c>
      <c r="N7" s="49">
        <v>55398860</v>
      </c>
      <c r="O7" s="50">
        <v>20000000</v>
      </c>
      <c r="P7" s="119" cm="1">
        <f t="array" ref="P7">LOOKUP(2,1/($B$10:$B$14&lt;=$L7)/($C$10:$C$14&gt;=$L7),$D$10:$D$14)</f>
        <v>1.1000000000000001</v>
      </c>
      <c r="Q7" s="120" cm="1">
        <f t="array" ref="Q7">LOOKUP(2,1/($B$17:$B$21&lt;=$L7)/($C$17:$C$21&gt;=$L7),$D$17:$D$21)</f>
        <v>134.49039999999999</v>
      </c>
      <c r="R7" s="113" t="str">
        <f t="shared" si="0"/>
        <v/>
      </c>
      <c r="S7" s="113" t="str">
        <f t="shared" si="1"/>
        <v>2H24</v>
      </c>
      <c r="T7" s="113" t="str">
        <f t="shared" ca="1" si="2"/>
        <v/>
      </c>
      <c r="U7" s="113" t="str">
        <f t="shared" si="3"/>
        <v/>
      </c>
      <c r="V7" s="113" t="str">
        <f t="shared" si="4"/>
        <v>FY24</v>
      </c>
      <c r="W7" s="113" t="str">
        <f t="shared" ca="1" si="5"/>
        <v/>
      </c>
      <c r="X7" s="113"/>
      <c r="Y7" s="114" t="s">
        <v>159</v>
      </c>
      <c r="Z7" s="115" t="s">
        <v>160</v>
      </c>
      <c r="AA7" s="114" t="s">
        <v>161</v>
      </c>
      <c r="AB7" s="134" t="str" cm="1">
        <f t="array" ref="AB7">IF(OR(LOOKUP(2,1/($B$10:$B$14&lt;=AB6)/($C$10:$C$14&gt;=AB6),$D$10:$D$14)&lt;&gt;Z10,LOOKUP(2,1/($B$6:$B$7&lt;=AB6)/($C$6:$C$7&gt;=AB6),$D$6:$D$7)&lt;&gt;AB10),"FAIL","PASS")</f>
        <v>PASS</v>
      </c>
      <c r="AC7" s="134" t="s">
        <v>162</v>
      </c>
      <c r="AD7" s="134" t="s">
        <v>162</v>
      </c>
      <c r="AE7" s="134"/>
      <c r="AF7" s="134"/>
      <c r="AG7" s="134"/>
      <c r="AH7" s="134"/>
      <c r="AI7" s="133"/>
      <c r="AJ7" s="133"/>
      <c r="AK7" s="133"/>
      <c r="AL7" s="133"/>
      <c r="AM7" s="133"/>
      <c r="AN7" s="133"/>
      <c r="AO7" s="133"/>
      <c r="AP7" s="133"/>
      <c r="AQ7" s="133"/>
      <c r="AR7" s="133"/>
      <c r="AS7" s="133"/>
      <c r="AT7" s="113"/>
      <c r="AU7" s="114" t="s">
        <v>159</v>
      </c>
      <c r="AV7" s="115" t="s">
        <v>163</v>
      </c>
      <c r="AW7" s="114" t="s">
        <v>161</v>
      </c>
      <c r="AX7" s="115" t="s">
        <v>163</v>
      </c>
      <c r="AY7" s="134"/>
      <c r="AZ7" s="133"/>
      <c r="BA7" s="133"/>
      <c r="BB7" s="133"/>
      <c r="BC7" s="133"/>
      <c r="BD7" s="133"/>
      <c r="BE7" s="133"/>
      <c r="BF7" s="133"/>
      <c r="BG7" s="133"/>
      <c r="BH7" s="113"/>
      <c r="BI7" s="114" t="s">
        <v>159</v>
      </c>
      <c r="BJ7" s="115" t="s">
        <v>23</v>
      </c>
      <c r="BK7" s="114" t="s">
        <v>161</v>
      </c>
      <c r="BL7" s="115" t="s">
        <v>163</v>
      </c>
      <c r="BM7" s="115"/>
      <c r="BN7" s="115"/>
      <c r="BO7" s="132"/>
      <c r="BP7" s="133"/>
      <c r="BQ7" s="133"/>
      <c r="BR7" s="133"/>
      <c r="BS7" s="133"/>
      <c r="BT7" s="133"/>
      <c r="BU7" s="133"/>
      <c r="BV7" s="133"/>
      <c r="BW7" s="133"/>
      <c r="BX7" s="133"/>
      <c r="BY7" s="133"/>
      <c r="BZ7" s="133"/>
      <c r="CA7" s="113"/>
      <c r="CB7" s="114" t="s">
        <v>159</v>
      </c>
      <c r="CC7" s="115" t="s">
        <v>164</v>
      </c>
      <c r="CD7" s="114" t="s">
        <v>161</v>
      </c>
      <c r="CE7" s="115" t="s">
        <v>163</v>
      </c>
      <c r="CF7" s="134" t="s">
        <v>162</v>
      </c>
      <c r="CG7" s="134" t="s">
        <v>162</v>
      </c>
      <c r="CH7" s="132"/>
      <c r="CI7" s="133"/>
      <c r="CJ7" s="133"/>
      <c r="CK7" s="133"/>
      <c r="CL7" s="133"/>
      <c r="CM7" s="133"/>
      <c r="CN7" s="133"/>
      <c r="CO7" s="133"/>
      <c r="CP7" s="133"/>
      <c r="CQ7" s="113"/>
      <c r="CR7" s="114" t="s">
        <v>159</v>
      </c>
      <c r="CS7" s="115" t="s">
        <v>18</v>
      </c>
      <c r="CT7" s="114" t="s">
        <v>161</v>
      </c>
      <c r="CU7" s="134" t="str" cm="1">
        <f t="array" ref="CU7">IF(OR(LOOKUP(2,1/($B$10:$B$14&lt;=CU6)/($C$10:$C$14&gt;=CU6),$D$10:$D$14)&lt;&gt;CS10,LOOKUP(2,1/($B$6:$B$7&lt;=CU6)/($C$6:$C$7&gt;=CU6),$D$6:$D$7)&lt;&gt;CU10),"FAIL","PASS")</f>
        <v>PASS</v>
      </c>
      <c r="CV7" s="134" t="s">
        <v>162</v>
      </c>
      <c r="CW7" s="134" t="s">
        <v>162</v>
      </c>
      <c r="CX7" s="134"/>
      <c r="CY7" s="133"/>
      <c r="CZ7" s="133"/>
      <c r="DA7" s="133"/>
      <c r="DB7" s="133"/>
      <c r="DC7" s="133"/>
      <c r="DD7" s="133"/>
      <c r="DE7" s="133"/>
      <c r="DF7" s="133"/>
      <c r="DG7" s="133"/>
      <c r="DH7" s="133"/>
      <c r="DI7" s="133"/>
      <c r="DJ7" s="133"/>
      <c r="DK7" s="113"/>
      <c r="DL7" s="114" t="s">
        <v>159</v>
      </c>
      <c r="DM7" s="115" t="s">
        <v>43</v>
      </c>
      <c r="DN7" s="114" t="s">
        <v>161</v>
      </c>
      <c r="DO7" s="134" t="str" cm="1">
        <f t="array" ref="DO7">IF(OR(LOOKUP(2,1/($B$10:$B$14&lt;=DO6)/($C$10:$C$14&gt;=DO6),$D$10:$D$14)&lt;&gt;DM10,LOOKUP(2,1/($B$6:$B$7&lt;=DO6)/($C$6:$C$7&gt;=DO6),$D$6:$D$7)&lt;&gt;DO10),"FAIL","PASS")</f>
        <v>PASS</v>
      </c>
      <c r="DP7" s="134" t="s">
        <v>162</v>
      </c>
      <c r="DQ7" s="134" t="s">
        <v>162</v>
      </c>
      <c r="DR7" s="134"/>
      <c r="DS7" s="133"/>
      <c r="DT7" s="133"/>
      <c r="DU7" s="133"/>
      <c r="DV7" s="133"/>
      <c r="DW7" s="133"/>
      <c r="DX7" s="133"/>
      <c r="DY7" s="133"/>
      <c r="DZ7" s="133"/>
      <c r="EA7" s="133"/>
      <c r="EB7" s="133"/>
      <c r="EC7" s="133"/>
      <c r="ED7" s="113"/>
      <c r="EE7" s="114" t="s">
        <v>159</v>
      </c>
      <c r="EF7" s="115" t="s">
        <v>163</v>
      </c>
      <c r="EG7" s="114" t="s">
        <v>161</v>
      </c>
      <c r="EH7" s="134" t="str" cm="1">
        <f t="array" ref="EH7">IF(OR(LOOKUP(2,1/($B$10:$B$14&lt;=EH6)/($C$10:$C$14&gt;=EH6),$D$10:$D$14)&lt;&gt;EF10,LOOKUP(2,1/($B$6:$B$7&lt;=EH6)/($C$6:$C$7&gt;=EH6),$D$6:$D$7)&lt;&gt;EH10),"FAIL","PASS")</f>
        <v>PASS</v>
      </c>
      <c r="EI7" s="134" t="s">
        <v>162</v>
      </c>
      <c r="EJ7" s="134" t="s">
        <v>162</v>
      </c>
      <c r="EK7" s="134"/>
      <c r="EL7" s="133"/>
      <c r="EM7" s="133"/>
      <c r="EN7" s="133"/>
      <c r="EO7" s="133"/>
      <c r="EP7" s="133"/>
      <c r="EQ7" s="133"/>
      <c r="ER7" s="133"/>
      <c r="ES7" s="133"/>
      <c r="ET7" s="133"/>
      <c r="EU7" s="133"/>
      <c r="EV7" s="133"/>
    </row>
    <row r="8" spans="2:161" ht="15" customHeight="1" x14ac:dyDescent="0.2">
      <c r="B8" s="86"/>
      <c r="C8" s="86"/>
      <c r="D8" s="86"/>
      <c r="F8" s="86" t="s">
        <v>19</v>
      </c>
      <c r="G8" s="131">
        <f t="shared" ref="G8:G14" si="7">H7+1</f>
        <v>43282</v>
      </c>
      <c r="H8" s="131">
        <f t="shared" si="6"/>
        <v>43646</v>
      </c>
      <c r="J8" s="86" t="str" cm="1">
        <f t="array" ref="J8">LOOKUP(2,1/($G$17:$G$33&lt;=$L8)/($H$17:$H$33&gt;=$L8),$F$17:$F$33)</f>
        <v>2H24</v>
      </c>
      <c r="K8" s="86" t="str" cm="1">
        <f t="array" ref="K8">LOOKUP(2,1/($G$6:$G$14&lt;=$L8)/($H$6:$H$14&gt;=$L8),$F$6:$F$14)</f>
        <v>FY24</v>
      </c>
      <c r="L8" s="118">
        <v>45449</v>
      </c>
      <c r="M8" s="49">
        <v>32649364</v>
      </c>
      <c r="N8" s="49">
        <v>43998282</v>
      </c>
      <c r="O8" s="50">
        <v>12000000</v>
      </c>
      <c r="P8" s="119" cm="1">
        <f t="array" ref="P8">LOOKUP(2,1/($B$10:$B$14&lt;=$L8)/($C$10:$C$14&gt;=$L8),$D$10:$D$14)</f>
        <v>1.1000000000000001</v>
      </c>
      <c r="Q8" s="120" cm="1">
        <f t="array" ref="Q8">LOOKUP(2,1/($B$17:$B$21&lt;=$L8)/($C$17:$C$21&gt;=$L8),$D$17:$D$21)</f>
        <v>134.49039999999999</v>
      </c>
      <c r="R8" s="113" t="str">
        <f t="shared" si="0"/>
        <v/>
      </c>
      <c r="S8" s="113" t="str">
        <f t="shared" si="1"/>
        <v>2H24</v>
      </c>
      <c r="T8" s="113" t="str">
        <f t="shared" ca="1" si="2"/>
        <v/>
      </c>
      <c r="U8" s="113" t="str">
        <f t="shared" si="3"/>
        <v/>
      </c>
      <c r="V8" s="113" t="str">
        <f t="shared" si="4"/>
        <v>FY24</v>
      </c>
      <c r="W8" s="113" t="str">
        <f t="shared" ca="1" si="5"/>
        <v/>
      </c>
      <c r="X8" s="113"/>
      <c r="Y8" s="114" t="s">
        <v>165</v>
      </c>
      <c r="Z8" s="134">
        <f>INDEX($G:$G,MATCH(Z7,$F:$F,0))</f>
        <v>45108</v>
      </c>
      <c r="AA8" s="114" t="s">
        <v>166</v>
      </c>
      <c r="AB8" s="134">
        <f>INDEX($H:$H,MATCH(Z7,$F:$F,0))</f>
        <v>45291</v>
      </c>
      <c r="AC8" s="135">
        <v>1.3</v>
      </c>
      <c r="AD8" s="135">
        <v>1</v>
      </c>
      <c r="AE8" s="134"/>
      <c r="AF8" s="134"/>
      <c r="AG8" s="134"/>
      <c r="AH8" s="134"/>
      <c r="AJ8" s="136" t="s">
        <v>167</v>
      </c>
      <c r="AK8" s="137"/>
      <c r="AL8" s="137"/>
      <c r="AM8" s="137"/>
      <c r="AN8" s="138"/>
      <c r="AO8" s="137"/>
      <c r="AP8" s="137"/>
      <c r="AQ8" s="139"/>
      <c r="AT8" s="113"/>
      <c r="AU8" s="114" t="s">
        <v>165</v>
      </c>
      <c r="AV8" s="115">
        <v>44874</v>
      </c>
      <c r="AW8" s="114" t="s">
        <v>166</v>
      </c>
      <c r="AX8" s="115">
        <v>44926</v>
      </c>
      <c r="AY8" s="134"/>
      <c r="BA8" s="136" t="s">
        <v>167</v>
      </c>
      <c r="BB8" s="137"/>
      <c r="BC8" s="137"/>
      <c r="BD8" s="138"/>
      <c r="BE8" s="139"/>
      <c r="BH8" s="113"/>
      <c r="BI8" s="114" t="s">
        <v>165</v>
      </c>
      <c r="BJ8" s="134">
        <f>INDEX($G:$G,MATCH(BJ7,$F:$F,0))</f>
        <v>44743</v>
      </c>
      <c r="BK8" s="114" t="s">
        <v>166</v>
      </c>
      <c r="BL8" s="134">
        <f>INDEX($H:$H,MATCH(BJ7,$F:$F,0))</f>
        <v>45107</v>
      </c>
      <c r="BM8" s="134"/>
      <c r="BN8" s="134"/>
      <c r="BO8" s="134"/>
      <c r="BQ8" s="136" t="s">
        <v>167</v>
      </c>
      <c r="BR8" s="137"/>
      <c r="BS8" s="137"/>
      <c r="BT8" s="137"/>
      <c r="BU8" s="138"/>
      <c r="BV8" s="137"/>
      <c r="BW8" s="137"/>
      <c r="BX8" s="139"/>
      <c r="CA8" s="113"/>
      <c r="CB8" s="114" t="s">
        <v>165</v>
      </c>
      <c r="CC8" s="134">
        <f>INDEX($G:$G,MATCH(CC7,$F:$F,0))</f>
        <v>44743</v>
      </c>
      <c r="CD8" s="114" t="s">
        <v>166</v>
      </c>
      <c r="CE8" s="134">
        <f>INDEX($H:$H,MATCH(CC7,$F:$F,0))</f>
        <v>44926</v>
      </c>
      <c r="CF8" s="135">
        <v>1.4</v>
      </c>
      <c r="CG8" s="135">
        <v>1</v>
      </c>
      <c r="CH8" s="134"/>
      <c r="CJ8" s="136" t="s">
        <v>167</v>
      </c>
      <c r="CK8" s="137"/>
      <c r="CL8" s="137"/>
      <c r="CM8" s="138"/>
      <c r="CN8" s="139"/>
      <c r="CQ8" s="113"/>
      <c r="CR8" s="114" t="s">
        <v>165</v>
      </c>
      <c r="CS8" s="134">
        <f>INDEX($G:$G,MATCH(CS7,$F:$F,0))</f>
        <v>42917</v>
      </c>
      <c r="CT8" s="114" t="s">
        <v>166</v>
      </c>
      <c r="CU8" s="134">
        <f>INDEX($H:$H,MATCH(CS7,$F:$F,0))</f>
        <v>43281</v>
      </c>
      <c r="CV8" s="135">
        <v>1.25</v>
      </c>
      <c r="CW8" s="135">
        <v>1</v>
      </c>
      <c r="CX8" s="134"/>
      <c r="DA8" s="136" t="s">
        <v>167</v>
      </c>
      <c r="DB8" s="137"/>
      <c r="DC8" s="137"/>
      <c r="DD8" s="137"/>
      <c r="DE8" s="138"/>
      <c r="DF8" s="137"/>
      <c r="DG8" s="137"/>
      <c r="DH8" s="139"/>
      <c r="DK8" s="113"/>
      <c r="DL8" s="114" t="s">
        <v>165</v>
      </c>
      <c r="DM8" s="134">
        <f>INDEX($G:$G,MATCH(DM7,$F:$F,0))</f>
        <v>42917</v>
      </c>
      <c r="DN8" s="114" t="s">
        <v>166</v>
      </c>
      <c r="DO8" s="134">
        <f>INDEX($H:$H,MATCH(DM7,$F:$F,0))</f>
        <v>43100</v>
      </c>
      <c r="DP8" s="135">
        <v>1.25</v>
      </c>
      <c r="DQ8" s="135">
        <v>1</v>
      </c>
      <c r="DR8" s="134"/>
      <c r="DT8" s="136" t="s">
        <v>167</v>
      </c>
      <c r="DU8" s="137"/>
      <c r="DV8" s="137"/>
      <c r="DW8" s="137"/>
      <c r="DX8" s="138"/>
      <c r="DY8" s="137"/>
      <c r="DZ8" s="137"/>
      <c r="EA8" s="139"/>
      <c r="ED8" s="113"/>
      <c r="EE8" s="114" t="s">
        <v>165</v>
      </c>
      <c r="EF8" s="115">
        <v>42838</v>
      </c>
      <c r="EG8" s="114" t="s">
        <v>166</v>
      </c>
      <c r="EH8" s="115">
        <v>43062</v>
      </c>
      <c r="EI8" s="135">
        <v>1.35</v>
      </c>
      <c r="EJ8" s="135">
        <v>1</v>
      </c>
      <c r="EK8" s="132"/>
      <c r="EM8" s="136" t="s">
        <v>167</v>
      </c>
      <c r="EN8" s="137"/>
      <c r="EO8" s="137"/>
      <c r="EP8" s="137"/>
      <c r="EQ8" s="138"/>
      <c r="ER8" s="137"/>
      <c r="ES8" s="137"/>
      <c r="ET8" s="139"/>
      <c r="EX8" s="136" t="s">
        <v>167</v>
      </c>
      <c r="EY8" s="137"/>
      <c r="EZ8" s="137"/>
      <c r="FA8" s="137"/>
      <c r="FB8" s="138"/>
      <c r="FC8" s="137"/>
      <c r="FD8" s="137"/>
      <c r="FE8" s="139"/>
    </row>
    <row r="9" spans="2:161" ht="15" customHeight="1" x14ac:dyDescent="0.2">
      <c r="B9" s="117" t="s">
        <v>140</v>
      </c>
      <c r="C9" s="117"/>
      <c r="D9" s="117"/>
      <c r="F9" s="86" t="s">
        <v>20</v>
      </c>
      <c r="G9" s="131">
        <f t="shared" si="7"/>
        <v>43647</v>
      </c>
      <c r="H9" s="131">
        <f t="shared" si="6"/>
        <v>44012</v>
      </c>
      <c r="J9" s="86" t="str" cm="1">
        <f t="array" ref="J9">LOOKUP(2,1/($G$17:$G$33&lt;=$L9)/($H$17:$H$33&gt;=$L9),$F$17:$F$33)</f>
        <v>2H24</v>
      </c>
      <c r="K9" s="86" t="str" cm="1">
        <f t="array" ref="K9">LOOKUP(2,1/($G$6:$G$14&lt;=$L9)/($H$6:$H$14&gt;=$L9),$F$6:$F$14)</f>
        <v>FY24</v>
      </c>
      <c r="L9" s="118">
        <v>45442</v>
      </c>
      <c r="M9" s="49">
        <v>21155361</v>
      </c>
      <c r="N9" s="49">
        <v>28508964</v>
      </c>
      <c r="O9" s="50">
        <v>4000000</v>
      </c>
      <c r="P9" s="119" cm="1">
        <f t="array" ref="P9">LOOKUP(2,1/($B$10:$B$14&lt;=$L9)/($C$10:$C$14&gt;=$L9),$D$10:$D$14)</f>
        <v>1.1000000000000001</v>
      </c>
      <c r="Q9" s="120" cm="1">
        <f t="array" ref="Q9">LOOKUP(2,1/($B$17:$B$21&lt;=$L9)/($C$17:$C$21&gt;=$L9),$D$17:$D$21)</f>
        <v>134.49039999999999</v>
      </c>
      <c r="R9" s="113" t="str">
        <f t="shared" si="0"/>
        <v/>
      </c>
      <c r="S9" s="113" t="str">
        <f t="shared" si="1"/>
        <v>2H24</v>
      </c>
      <c r="T9" s="113" t="str">
        <f t="shared" ca="1" si="2"/>
        <v/>
      </c>
      <c r="U9" s="113" t="str">
        <f t="shared" si="3"/>
        <v/>
      </c>
      <c r="V9" s="113" t="str">
        <f t="shared" si="4"/>
        <v>FY24</v>
      </c>
      <c r="W9" s="113" t="str">
        <f t="shared" ca="1" si="5"/>
        <v/>
      </c>
      <c r="X9" s="113"/>
      <c r="Y9" s="114" t="s">
        <v>91</v>
      </c>
      <c r="Z9" s="140" t="e">
        <f>INDEX($O:$O,MATCH(Z7,$U:$U,0))</f>
        <v>#N/A</v>
      </c>
      <c r="AA9" s="114" t="s">
        <v>76</v>
      </c>
      <c r="AB9" s="140" t="e">
        <f ca="1">INDEX($O:$O,MATCH(Z7,$W:$W,0))</f>
        <v>#N/A</v>
      </c>
      <c r="AC9" s="140"/>
      <c r="AD9" s="140"/>
      <c r="AE9" s="140"/>
      <c r="AF9" s="140"/>
      <c r="AG9" s="140"/>
      <c r="AH9" s="140"/>
      <c r="AJ9" s="141" t="s">
        <v>168</v>
      </c>
      <c r="AK9" s="141"/>
      <c r="AL9" s="142"/>
      <c r="AM9" s="142"/>
      <c r="AN9" s="143" t="s">
        <v>15</v>
      </c>
      <c r="AO9" s="142"/>
      <c r="AP9" s="142"/>
      <c r="AQ9" s="144" t="s">
        <v>139</v>
      </c>
      <c r="AT9" s="113"/>
      <c r="AU9" s="114" t="s">
        <v>91</v>
      </c>
      <c r="AV9" s="145">
        <v>20000000</v>
      </c>
      <c r="AW9" s="114" t="s">
        <v>76</v>
      </c>
      <c r="AX9" s="145">
        <v>160000000</v>
      </c>
      <c r="AY9" s="146"/>
      <c r="BA9" s="147" t="s">
        <v>165</v>
      </c>
      <c r="BB9" s="148">
        <f>AV8</f>
        <v>44874</v>
      </c>
      <c r="BC9" s="142"/>
      <c r="BD9" s="143" t="s">
        <v>15</v>
      </c>
      <c r="BE9" s="144" t="s">
        <v>139</v>
      </c>
      <c r="BH9" s="113"/>
      <c r="BI9" s="114" t="s">
        <v>91</v>
      </c>
      <c r="BJ9" s="140">
        <f>INDEX($O:$O,MATCH(BJ7,$U:$U,0))</f>
        <v>4000000</v>
      </c>
      <c r="BK9" s="114" t="s">
        <v>76</v>
      </c>
      <c r="BL9" s="140">
        <f ca="1">INDEX($O:$O,MATCH(BJ7,$W:$W,0))</f>
        <v>60000000</v>
      </c>
      <c r="BM9" s="140"/>
      <c r="BN9" s="140"/>
      <c r="BO9" s="140"/>
      <c r="BQ9" s="141" t="s">
        <v>168</v>
      </c>
      <c r="BR9" s="141"/>
      <c r="BS9" s="2"/>
      <c r="BT9" s="2"/>
      <c r="BU9" s="149" t="s">
        <v>15</v>
      </c>
      <c r="BV9" s="2"/>
      <c r="BW9" s="2"/>
      <c r="BX9" s="150" t="s">
        <v>139</v>
      </c>
      <c r="CA9" s="113"/>
      <c r="CB9" s="114" t="s">
        <v>91</v>
      </c>
      <c r="CC9" s="140">
        <f>INDEX($O:$O,MATCH(CC7,$R:$R,0))</f>
        <v>4000000</v>
      </c>
      <c r="CD9" s="114" t="s">
        <v>76</v>
      </c>
      <c r="CE9" s="140">
        <f ca="1">INDEX($O:$O,MATCH(CC7,$T:$T,0))</f>
        <v>60000000</v>
      </c>
      <c r="CF9" s="140"/>
      <c r="CG9" s="140"/>
      <c r="CH9" s="140"/>
      <c r="CJ9" s="147" t="s">
        <v>165</v>
      </c>
      <c r="CK9" s="148">
        <f>CC8</f>
        <v>44743</v>
      </c>
      <c r="CL9" s="142"/>
      <c r="CM9" s="143" t="s">
        <v>15</v>
      </c>
      <c r="CN9" s="144" t="s">
        <v>139</v>
      </c>
      <c r="CQ9" s="113"/>
      <c r="CR9" s="114" t="s">
        <v>91</v>
      </c>
      <c r="CS9" s="140">
        <f>INDEX($O:$O,MATCH(CS7,$U:$U,0))</f>
        <v>3000000</v>
      </c>
      <c r="CT9" s="114" t="s">
        <v>76</v>
      </c>
      <c r="CU9" s="140" t="e">
        <f ca="1">INDEX($O:$O,MATCH(CS7,$W:$W,0))</f>
        <v>#N/A</v>
      </c>
      <c r="CV9" s="140"/>
      <c r="CW9" s="140"/>
      <c r="CX9" s="140"/>
      <c r="DA9" s="147" t="s">
        <v>165</v>
      </c>
      <c r="DB9" s="148">
        <f>CS8</f>
        <v>42917</v>
      </c>
      <c r="DC9" s="142"/>
      <c r="DD9" s="142"/>
      <c r="DE9" s="143" t="s">
        <v>15</v>
      </c>
      <c r="DF9" s="142"/>
      <c r="DG9" s="142"/>
      <c r="DH9" s="144" t="s">
        <v>139</v>
      </c>
      <c r="DK9" s="113"/>
      <c r="DL9" s="114" t="s">
        <v>91</v>
      </c>
      <c r="DM9" s="140">
        <f>INDEX($O:$O,MATCH(DM7,$R:$R,0))</f>
        <v>3000000</v>
      </c>
      <c r="DN9" s="114" t="s">
        <v>76</v>
      </c>
      <c r="DO9" s="140">
        <f ca="1">INDEX($O:$O,MATCH(DM7,$T:$T,0))</f>
        <v>6000000</v>
      </c>
      <c r="DP9" s="140"/>
      <c r="DQ9" s="140"/>
      <c r="DR9" s="140"/>
      <c r="DT9" s="147" t="s">
        <v>165</v>
      </c>
      <c r="DU9" s="148">
        <f>DM8</f>
        <v>42917</v>
      </c>
      <c r="DV9" s="142"/>
      <c r="DW9" s="142"/>
      <c r="DX9" s="143" t="s">
        <v>15</v>
      </c>
      <c r="DY9" s="142"/>
      <c r="DZ9" s="142"/>
      <c r="EA9" s="144" t="s">
        <v>139</v>
      </c>
      <c r="ED9" s="113"/>
      <c r="EE9" s="114" t="s">
        <v>91</v>
      </c>
      <c r="EF9" s="145">
        <v>6000000</v>
      </c>
      <c r="EG9" s="114" t="s">
        <v>76</v>
      </c>
      <c r="EH9" s="145">
        <v>15000000</v>
      </c>
      <c r="EI9" s="140"/>
      <c r="EJ9" s="140"/>
      <c r="EK9" s="146"/>
      <c r="EM9" s="141" t="s">
        <v>168</v>
      </c>
      <c r="EN9" s="141"/>
      <c r="EO9" s="2"/>
      <c r="EP9" s="2"/>
      <c r="EQ9" s="149" t="s">
        <v>15</v>
      </c>
      <c r="ER9" s="2"/>
      <c r="ES9" s="2"/>
      <c r="ET9" s="150" t="s">
        <v>139</v>
      </c>
      <c r="EX9" s="141" t="s">
        <v>168</v>
      </c>
      <c r="EY9" s="141"/>
      <c r="EZ9" s="142"/>
      <c r="FA9" s="142"/>
      <c r="FB9" s="143" t="s">
        <v>15</v>
      </c>
      <c r="FC9" s="142"/>
      <c r="FD9" s="142"/>
      <c r="FE9" s="144" t="s">
        <v>139</v>
      </c>
    </row>
    <row r="10" spans="2:161" ht="15" customHeight="1" x14ac:dyDescent="0.2">
      <c r="B10" s="129">
        <v>35208</v>
      </c>
      <c r="C10" s="129">
        <v>40237</v>
      </c>
      <c r="D10" s="151">
        <v>0.6</v>
      </c>
      <c r="F10" s="86" t="s">
        <v>21</v>
      </c>
      <c r="G10" s="131">
        <f t="shared" si="7"/>
        <v>44013</v>
      </c>
      <c r="H10" s="131">
        <f t="shared" si="6"/>
        <v>44377</v>
      </c>
      <c r="J10" s="86" t="str" cm="1">
        <f t="array" ref="J10">LOOKUP(2,1/($G$17:$G$33&lt;=$L10)/($H$17:$H$33&gt;=$L10),$F$17:$F$33)</f>
        <v>2H24</v>
      </c>
      <c r="K10" s="86" t="str" cm="1">
        <f t="array" ref="K10">LOOKUP(2,1/($G$6:$G$14&lt;=$L10)/($H$6:$H$14&gt;=$L10),$F$6:$F$14)</f>
        <v>FY24</v>
      </c>
      <c r="L10" s="118">
        <v>45435</v>
      </c>
      <c r="M10" s="49">
        <v>194704917</v>
      </c>
      <c r="N10" s="49">
        <v>262384346</v>
      </c>
      <c r="O10" s="50">
        <v>150000000</v>
      </c>
      <c r="P10" s="119" cm="1">
        <f t="array" ref="P10">LOOKUP(2,1/($B$10:$B$14&lt;=$L10)/($C$10:$C$14&gt;=$L10),$D$10:$D$14)</f>
        <v>1.1000000000000001</v>
      </c>
      <c r="Q10" s="120" cm="1">
        <f t="array" ref="Q10">LOOKUP(2,1/($B$17:$B$21&lt;=$L10)/($C$17:$C$21&gt;=$L10),$D$17:$D$21)</f>
        <v>134.49039999999999</v>
      </c>
      <c r="R10" s="113" t="str">
        <f t="shared" si="0"/>
        <v/>
      </c>
      <c r="S10" s="113" t="str">
        <f t="shared" si="1"/>
        <v>2H24</v>
      </c>
      <c r="T10" s="113" t="str">
        <f t="shared" ca="1" si="2"/>
        <v/>
      </c>
      <c r="U10" s="113" t="str">
        <f t="shared" si="3"/>
        <v/>
      </c>
      <c r="V10" s="113" t="str">
        <f t="shared" si="4"/>
        <v>FY24</v>
      </c>
      <c r="W10" s="113" t="str">
        <f t="shared" ca="1" si="5"/>
        <v/>
      </c>
      <c r="X10" s="113"/>
      <c r="Y10" s="114" t="s">
        <v>169</v>
      </c>
      <c r="Z10" s="119" cm="1">
        <f t="array" ref="Z10">LOOKUP(2,1/($B$10:$B$14&lt;=Z6)/($C$10:$C$14&gt;=Z6),$D$10:$D$14)</f>
        <v>1.1000000000000001</v>
      </c>
      <c r="AA10" s="114" t="s">
        <v>149</v>
      </c>
      <c r="AB10" s="152" cm="1">
        <f t="array" ref="AB10">LOOKUP(2,1/($B$6:$B$7&lt;=Z6)/($C$6:$C$7&gt;=Z6),$D$6:$D$7)</f>
        <v>0.10299999999999999</v>
      </c>
      <c r="AC10" s="152" t="s">
        <v>170</v>
      </c>
      <c r="AD10" s="152" t="s">
        <v>171</v>
      </c>
      <c r="AE10" s="152"/>
      <c r="AF10" s="152"/>
      <c r="AG10" s="152"/>
      <c r="AH10" s="152"/>
      <c r="AJ10" s="153" t="s">
        <v>165</v>
      </c>
      <c r="AK10" s="148">
        <f>Z8</f>
        <v>45108</v>
      </c>
      <c r="AL10" s="154"/>
      <c r="AM10" s="154"/>
      <c r="AN10" s="155">
        <f t="shared" ref="AN10:AN19" si="8">Z13/1000000</f>
        <v>8</v>
      </c>
      <c r="AO10" s="154"/>
      <c r="AP10" s="154"/>
      <c r="AQ10" s="156">
        <f t="shared" ref="AQ10:AQ19" si="9">MAX(AA13:AB13)/1000000</f>
        <v>25.887099916666667</v>
      </c>
      <c r="AT10" s="113"/>
      <c r="AU10" s="114" t="s">
        <v>169</v>
      </c>
      <c r="AV10" s="119" cm="1">
        <f t="array" ref="AV10">LOOKUP(2,1/($B$10:$B$14&lt;=AV6)/($C$10:$C$14&gt;=AV6),$D$10:$D$14)</f>
        <v>1.1000000000000001</v>
      </c>
      <c r="AW10" s="114" t="s">
        <v>149</v>
      </c>
      <c r="AX10" s="152" cm="1">
        <f t="array" ref="AX10">LOOKUP(2,1/($B$6:$B$7&lt;=AV6)/($C$6:$C$7&gt;=AV6),$D$6:$D$7)</f>
        <v>0.10299999999999999</v>
      </c>
      <c r="AY10" s="157"/>
      <c r="BA10" s="153" t="s">
        <v>166</v>
      </c>
      <c r="BB10" s="158">
        <f>AX8</f>
        <v>44926</v>
      </c>
      <c r="BC10" s="154"/>
      <c r="BD10" s="155">
        <f>AV13/1000000</f>
        <v>8</v>
      </c>
      <c r="BE10" s="156">
        <f>MAX(AW13:AX13)/1000000</f>
        <v>25.404847749999998</v>
      </c>
      <c r="BH10" s="113"/>
      <c r="BI10" s="114" t="s">
        <v>169</v>
      </c>
      <c r="BJ10" s="159">
        <v>1.1000000000000001</v>
      </c>
      <c r="BK10" s="114" t="s">
        <v>149</v>
      </c>
      <c r="BL10" s="160">
        <v>0.10299999999999999</v>
      </c>
      <c r="BM10" s="160"/>
      <c r="BN10" s="160"/>
      <c r="BO10" s="157"/>
      <c r="BQ10" s="153" t="s">
        <v>165</v>
      </c>
      <c r="BR10" s="158">
        <f>BJ8</f>
        <v>44743</v>
      </c>
      <c r="BS10" s="154"/>
      <c r="BT10" s="154"/>
      <c r="BU10" s="155">
        <f t="shared" ref="BU10:BU19" si="10">BJ13/1000000</f>
        <v>4</v>
      </c>
      <c r="BV10" s="154"/>
      <c r="BW10" s="154"/>
      <c r="BX10" s="156">
        <f t="shared" ref="BX10:BX19" si="11">MAX(BK13:BL13)/1000000</f>
        <v>19.109771374760438</v>
      </c>
      <c r="CA10" s="113"/>
      <c r="CB10" s="114" t="s">
        <v>169</v>
      </c>
      <c r="CC10" s="159">
        <v>1.1000000000000001</v>
      </c>
      <c r="CD10" s="114" t="s">
        <v>149</v>
      </c>
      <c r="CE10" s="160">
        <v>0.10299999999999999</v>
      </c>
      <c r="CF10" s="152" t="s">
        <v>170</v>
      </c>
      <c r="CG10" s="152" t="s">
        <v>171</v>
      </c>
      <c r="CH10" s="157"/>
      <c r="CJ10" s="153" t="s">
        <v>166</v>
      </c>
      <c r="CK10" s="158">
        <f>CE8</f>
        <v>44926</v>
      </c>
      <c r="CL10" s="154"/>
      <c r="CM10" s="155">
        <f>CC13/1000000</f>
        <v>4</v>
      </c>
      <c r="CN10" s="156">
        <f>MAX(CD13:CE13)/1000000</f>
        <v>19.109771374760438</v>
      </c>
      <c r="CQ10" s="113"/>
      <c r="CR10" s="114" t="s">
        <v>169</v>
      </c>
      <c r="CS10" s="119" cm="1">
        <f t="array" ref="CS10">LOOKUP(2,1/($B$10:$B$14&lt;=CS6)/($C$10:$C$14&gt;=CS6),$D$10:$D$14)</f>
        <v>0.85</v>
      </c>
      <c r="CT10" s="114" t="s">
        <v>149</v>
      </c>
      <c r="CU10" s="152" cm="1">
        <f t="array" ref="CU10">LOOKUP(2,1/($B$6:$B$7&lt;=CS6)/($C$6:$C$7&gt;=CS6),$D$6:$D$7)</f>
        <v>9.2999999999999999E-2</v>
      </c>
      <c r="CV10" s="152" t="s">
        <v>170</v>
      </c>
      <c r="CW10" s="152" t="s">
        <v>171</v>
      </c>
      <c r="CX10" s="152"/>
      <c r="DA10" s="153" t="s">
        <v>166</v>
      </c>
      <c r="DB10" s="158">
        <f>CU8</f>
        <v>43281</v>
      </c>
      <c r="DC10" s="154"/>
      <c r="DD10" s="154"/>
      <c r="DE10" s="155">
        <f>CS13/1000000</f>
        <v>3</v>
      </c>
      <c r="DF10" s="154"/>
      <c r="DG10" s="154"/>
      <c r="DH10" s="156">
        <f>MAX(CT13:CU13)/1000000</f>
        <v>13.748894333333334</v>
      </c>
      <c r="DK10" s="113"/>
      <c r="DL10" s="114" t="s">
        <v>169</v>
      </c>
      <c r="DM10" s="119" cm="1">
        <f t="array" ref="DM10">LOOKUP(2,1/($B$10:$B$14&lt;=DM6)/($C$10:$C$14&gt;=DM6),$D$10:$D$14)</f>
        <v>0.85</v>
      </c>
      <c r="DN10" s="114" t="s">
        <v>149</v>
      </c>
      <c r="DO10" s="152" cm="1">
        <f t="array" ref="DO10">LOOKUP(2,1/($B$6:$B$7&lt;=DM6)/($C$6:$C$7&gt;=DM6),$D$6:$D$7)</f>
        <v>9.2999999999999999E-2</v>
      </c>
      <c r="DP10" s="152" t="s">
        <v>170</v>
      </c>
      <c r="DQ10" s="152" t="s">
        <v>171</v>
      </c>
      <c r="DR10" s="152"/>
      <c r="DT10" s="153" t="s">
        <v>166</v>
      </c>
      <c r="DU10" s="158">
        <f>DO8</f>
        <v>43100</v>
      </c>
      <c r="DV10" s="154"/>
      <c r="DW10" s="154"/>
      <c r="DX10" s="155">
        <f>DM13/1000000</f>
        <v>3</v>
      </c>
      <c r="DY10" s="154"/>
      <c r="DZ10" s="154"/>
      <c r="EA10" s="156">
        <f>MAX(DN13:DO13)/1000000</f>
        <v>13.395472666666667</v>
      </c>
      <c r="ED10" s="113"/>
      <c r="EE10" s="114" t="s">
        <v>169</v>
      </c>
      <c r="EF10" s="119" cm="1">
        <f t="array" ref="EF10">LOOKUP(2,1/($B$10:$B$14&lt;=EF6)/($C$10:$C$14&gt;=EF6),$D$10:$D$14)</f>
        <v>0.85</v>
      </c>
      <c r="EG10" s="114" t="s">
        <v>149</v>
      </c>
      <c r="EH10" s="152" cm="1">
        <f t="array" ref="EH10">LOOKUP(2,1/($B$6:$B$7&lt;=EF6)/($C$6:$C$7&gt;=EF6),$D$6:$D$7)</f>
        <v>9.2999999999999999E-2</v>
      </c>
      <c r="EI10" s="152" t="s">
        <v>170</v>
      </c>
      <c r="EJ10" s="152" t="s">
        <v>171</v>
      </c>
      <c r="EK10" s="152"/>
      <c r="EM10" s="153" t="s">
        <v>165</v>
      </c>
      <c r="EN10" s="158">
        <f>EF8</f>
        <v>42838</v>
      </c>
      <c r="EO10" s="154"/>
      <c r="EP10" s="154"/>
      <c r="EQ10" s="155">
        <f t="shared" ref="EQ10:EQ19" si="12">EF13/1000000</f>
        <v>3</v>
      </c>
      <c r="ER10" s="154"/>
      <c r="ES10" s="154"/>
      <c r="ET10" s="156">
        <f t="shared" ref="ET10:ET19" si="13">MAX(EG13:EH13)/1000000</f>
        <v>13.694197411764705</v>
      </c>
      <c r="EX10" s="153" t="s">
        <v>165</v>
      </c>
      <c r="EY10" s="148">
        <f>EN8</f>
        <v>0</v>
      </c>
      <c r="EZ10" s="154"/>
      <c r="FA10" s="154"/>
      <c r="FB10" s="155">
        <f>EN12/1000000</f>
        <v>8.5000000000000001E-7</v>
      </c>
      <c r="FC10" s="154"/>
      <c r="FD10" s="154"/>
      <c r="FE10" s="156">
        <f t="shared" ref="FE10:FE19" si="14">MAX(EO13:EQ13)/1000000</f>
        <v>1.5E-5</v>
      </c>
    </row>
    <row r="11" spans="2:161" ht="15" customHeight="1" x14ac:dyDescent="0.2">
      <c r="B11" s="129">
        <v>40238</v>
      </c>
      <c r="C11" s="129">
        <v>40694</v>
      </c>
      <c r="D11" s="151">
        <v>0.65</v>
      </c>
      <c r="F11" s="86" t="s">
        <v>22</v>
      </c>
      <c r="G11" s="131">
        <f t="shared" si="7"/>
        <v>44378</v>
      </c>
      <c r="H11" s="131">
        <f t="shared" si="6"/>
        <v>44742</v>
      </c>
      <c r="J11" s="86" t="str" cm="1">
        <f t="array" ref="J11">LOOKUP(2,1/($G$17:$G$33&lt;=$L11)/($H$17:$H$33&gt;=$L11),$F$17:$F$33)</f>
        <v>2H24</v>
      </c>
      <c r="K11" s="86" t="str" cm="1">
        <f t="array" ref="K11">LOOKUP(2,1/($G$6:$G$14&lt;=$L11)/($H$6:$H$14&gt;=$L11),$F$6:$F$14)</f>
        <v>FY24</v>
      </c>
      <c r="L11" s="118">
        <v>45428</v>
      </c>
      <c r="M11" s="49">
        <v>140290076</v>
      </c>
      <c r="N11" s="49">
        <v>189054906</v>
      </c>
      <c r="O11" s="50">
        <v>100000000</v>
      </c>
      <c r="P11" s="119" cm="1">
        <f t="array" ref="P11">LOOKUP(2,1/($B$10:$B$14&lt;=$L11)/($C$10:$C$14&gt;=$L11),$D$10:$D$14)</f>
        <v>1.1000000000000001</v>
      </c>
      <c r="Q11" s="120" cm="1">
        <f t="array" ref="Q11">LOOKUP(2,1/($B$17:$B$21&lt;=$L11)/($C$17:$C$21&gt;=$L11),$D$17:$D$21)</f>
        <v>134.49039999999999</v>
      </c>
      <c r="R11" s="113" t="str">
        <f t="shared" si="0"/>
        <v/>
      </c>
      <c r="S11" s="113" t="str">
        <f t="shared" si="1"/>
        <v>2H24</v>
      </c>
      <c r="T11" s="113" t="str">
        <f t="shared" ca="1" si="2"/>
        <v/>
      </c>
      <c r="U11" s="113" t="str">
        <f t="shared" si="3"/>
        <v/>
      </c>
      <c r="V11" s="113" t="str">
        <f t="shared" si="4"/>
        <v>FY24</v>
      </c>
      <c r="W11" s="113" t="str">
        <f t="shared" ca="1" si="5"/>
        <v/>
      </c>
      <c r="X11" s="113"/>
      <c r="Y11" s="114" t="s">
        <v>172</v>
      </c>
      <c r="Z11" s="119" cm="1">
        <f t="array" ref="Z11">LOOKUP(2,1/($B$17:$B$21&lt;=Z6)/($C$17:$C$21&gt;=Z6),$D$17:$D$21)</f>
        <v>134.49039999999999</v>
      </c>
      <c r="AA11" s="114" t="s">
        <v>0</v>
      </c>
      <c r="AB11" s="161">
        <v>1</v>
      </c>
      <c r="AC11" s="162">
        <v>1</v>
      </c>
      <c r="AD11" s="162">
        <f>1-AC11</f>
        <v>0</v>
      </c>
      <c r="AJ11" s="153" t="s">
        <v>166</v>
      </c>
      <c r="AK11" s="158">
        <f>AB8</f>
        <v>45291</v>
      </c>
      <c r="AL11" s="154"/>
      <c r="AM11" s="154"/>
      <c r="AN11" s="155">
        <f t="shared" si="8"/>
        <v>20</v>
      </c>
      <c r="AO11" s="154"/>
      <c r="AP11" s="154"/>
      <c r="AQ11" s="156">
        <f t="shared" si="9"/>
        <v>39.94656136363637</v>
      </c>
      <c r="AT11" s="113"/>
      <c r="AU11" s="114" t="s">
        <v>172</v>
      </c>
      <c r="AV11" s="119" cm="1">
        <f t="array" ref="AV11">LOOKUP(2,1/($B$17:$B$21&lt;=AV6)/($C$17:$C$21&gt;=AV6),$D$17:$D$21)</f>
        <v>134.49039999999999</v>
      </c>
      <c r="AW11" s="114" t="s">
        <v>0</v>
      </c>
      <c r="AX11" s="135">
        <v>1</v>
      </c>
      <c r="BA11" s="153" t="s">
        <v>91</v>
      </c>
      <c r="BB11" s="155">
        <f>AV9/1000000</f>
        <v>20</v>
      </c>
      <c r="BC11" s="154"/>
      <c r="BD11" s="155">
        <f t="shared" ref="BD11:BD19" si="15">AV14/1000000</f>
        <v>20</v>
      </c>
      <c r="BE11" s="156">
        <f t="shared" ref="BE11:BE19" si="16">MAX(AW14:AX14)/1000000</f>
        <v>39.899441000000003</v>
      </c>
      <c r="BH11" s="113"/>
      <c r="BI11" s="114" t="s">
        <v>172</v>
      </c>
      <c r="BJ11" s="159">
        <v>134.49039999999999</v>
      </c>
      <c r="BQ11" s="153" t="s">
        <v>166</v>
      </c>
      <c r="BR11" s="158">
        <f>BL8</f>
        <v>45107</v>
      </c>
      <c r="BS11" s="154"/>
      <c r="BT11" s="154"/>
      <c r="BU11" s="155">
        <f t="shared" si="10"/>
        <v>8</v>
      </c>
      <c r="BV11" s="154"/>
      <c r="BW11" s="154"/>
      <c r="BX11" s="156">
        <f t="shared" si="11"/>
        <v>23.289148265343773</v>
      </c>
      <c r="CA11" s="113"/>
      <c r="CB11" s="114" t="s">
        <v>172</v>
      </c>
      <c r="CC11" s="159">
        <v>134.49039999999999</v>
      </c>
      <c r="CF11" s="162">
        <v>1</v>
      </c>
      <c r="CG11" s="162">
        <f>1-CF11</f>
        <v>0</v>
      </c>
      <c r="CJ11" s="153" t="s">
        <v>91</v>
      </c>
      <c r="CK11" s="155">
        <f>CC9/1000000</f>
        <v>4</v>
      </c>
      <c r="CL11" s="154"/>
      <c r="CM11" s="155">
        <f t="shared" ref="CM11:CM19" si="17">CC14/1000000</f>
        <v>8</v>
      </c>
      <c r="CN11" s="156">
        <f t="shared" ref="CN11:CN19" si="18">MAX(CD14:CE14)/1000000</f>
        <v>23.289148265343773</v>
      </c>
      <c r="CQ11" s="113"/>
      <c r="CR11" s="114" t="s">
        <v>172</v>
      </c>
      <c r="CS11" s="119" cm="1">
        <f t="array" ref="CS11">LOOKUP(2,1/($B$17:$B$21&lt;=CS6)/($C$17:$C$21&gt;=CS6),$D$17:$D$21)</f>
        <v>76.767600000000002</v>
      </c>
      <c r="CT11" s="114" t="s">
        <v>173</v>
      </c>
      <c r="CU11" s="163">
        <f>INT((WEEKDAY(CS6-5)-CS6+CU6)/7)/INT((WEEKDAY(CS8-5)-CS8+CU8)/7)</f>
        <v>0.78846153846153844</v>
      </c>
      <c r="CV11" s="162">
        <v>1</v>
      </c>
      <c r="CW11" s="162">
        <f>1-CV11</f>
        <v>0</v>
      </c>
      <c r="CX11" s="163"/>
      <c r="DA11" s="153" t="s">
        <v>91</v>
      </c>
      <c r="DB11" s="155">
        <f>CS9/1000000</f>
        <v>3</v>
      </c>
      <c r="DC11" s="154"/>
      <c r="DD11" s="154"/>
      <c r="DE11" s="155">
        <f t="shared" ref="DE11:DE19" si="19">CS14/1000000</f>
        <v>6</v>
      </c>
      <c r="DF11" s="154"/>
      <c r="DG11" s="154"/>
      <c r="DH11" s="156">
        <f t="shared" ref="DH11:DH19" si="20">MAX(CT14:CU14)/1000000</f>
        <v>16.9460029</v>
      </c>
      <c r="DK11" s="113"/>
      <c r="DL11" s="114" t="s">
        <v>172</v>
      </c>
      <c r="DM11" s="119" cm="1">
        <f t="array" ref="DM11">LOOKUP(2,1/($B$17:$B$21&lt;=DM6)/($C$17:$C$21&gt;=DM6),$D$17:$D$21)</f>
        <v>76.767600000000002</v>
      </c>
      <c r="DN11" s="114" t="s">
        <v>173</v>
      </c>
      <c r="DO11" s="163">
        <f>INT((WEEKDAY(DM6-5)-DM6+DO6)/7)/INT((WEEKDAY(DM8-5)-DM8+DO8)/7)</f>
        <v>1</v>
      </c>
      <c r="DP11" s="162">
        <v>1</v>
      </c>
      <c r="DQ11" s="162">
        <f>1-DP11</f>
        <v>0</v>
      </c>
      <c r="DR11" s="163"/>
      <c r="DT11" s="153" t="s">
        <v>91</v>
      </c>
      <c r="DU11" s="155">
        <f>DM9/1000000</f>
        <v>3</v>
      </c>
      <c r="DV11" s="154"/>
      <c r="DW11" s="154"/>
      <c r="DX11" s="155">
        <f t="shared" ref="DX11:DX19" si="21">DM14/1000000</f>
        <v>6</v>
      </c>
      <c r="DY11" s="154"/>
      <c r="DZ11" s="154"/>
      <c r="EA11" s="156">
        <f t="shared" ref="EA11:EA19" si="22">MAX(DN14:DO14)/1000000</f>
        <v>16.81129842857143</v>
      </c>
      <c r="ED11" s="113"/>
      <c r="EE11" s="114" t="s">
        <v>172</v>
      </c>
      <c r="EF11" s="119" cm="1">
        <f t="array" ref="EF11">LOOKUP(2,1/($B$17:$B$21&lt;=EF6)/($C$17:$C$21&gt;=EF6),$D$17:$D$21)</f>
        <v>76.767600000000002</v>
      </c>
      <c r="EG11" s="114" t="s">
        <v>0</v>
      </c>
      <c r="EH11" s="135">
        <v>1</v>
      </c>
      <c r="EI11" s="162">
        <v>1</v>
      </c>
      <c r="EJ11" s="162">
        <f>1-EI11</f>
        <v>0</v>
      </c>
      <c r="EK11" s="164"/>
      <c r="EM11" s="153" t="s">
        <v>166</v>
      </c>
      <c r="EN11" s="158">
        <f>EH8</f>
        <v>43062</v>
      </c>
      <c r="EO11" s="154"/>
      <c r="EP11" s="154"/>
      <c r="EQ11" s="155">
        <f t="shared" si="12"/>
        <v>6</v>
      </c>
      <c r="ER11" s="154"/>
      <c r="ES11" s="154"/>
      <c r="ET11" s="156">
        <f t="shared" si="13"/>
        <v>17.009155846153849</v>
      </c>
      <c r="EX11" s="153" t="s">
        <v>166</v>
      </c>
      <c r="EY11" s="158">
        <f>EQ8</f>
        <v>0</v>
      </c>
      <c r="EZ11" s="154"/>
      <c r="FA11" s="154"/>
      <c r="FB11" s="155">
        <f>EN13/1000000</f>
        <v>9.2999999999999999E-8</v>
      </c>
      <c r="FC11" s="154"/>
      <c r="FD11" s="154"/>
      <c r="FE11" s="156">
        <f t="shared" si="14"/>
        <v>3.0000000000000001E-5</v>
      </c>
    </row>
    <row r="12" spans="2:161" ht="15" customHeight="1" x14ac:dyDescent="0.2">
      <c r="B12" s="129">
        <v>40695</v>
      </c>
      <c r="C12" s="129">
        <v>41339</v>
      </c>
      <c r="D12" s="151">
        <v>0.75</v>
      </c>
      <c r="F12" s="86" t="s">
        <v>23</v>
      </c>
      <c r="G12" s="131">
        <f t="shared" si="7"/>
        <v>44743</v>
      </c>
      <c r="H12" s="131">
        <f t="shared" si="6"/>
        <v>45107</v>
      </c>
      <c r="J12" s="86" t="str" cm="1">
        <f t="array" ref="J12">LOOKUP(2,1/($G$17:$G$33&lt;=$L12)/($H$17:$H$33&gt;=$L12),$F$17:$F$33)</f>
        <v>2H24</v>
      </c>
      <c r="K12" s="86" t="str" cm="1">
        <f t="array" ref="K12">LOOKUP(2,1/($G$6:$G$14&lt;=$L12)/($H$6:$H$14&gt;=$L12),$F$6:$F$14)</f>
        <v>FY24</v>
      </c>
      <c r="L12" s="118">
        <v>45421</v>
      </c>
      <c r="M12" s="49">
        <v>77952956</v>
      </c>
      <c r="N12" s="49">
        <v>105049403</v>
      </c>
      <c r="O12" s="50">
        <v>60000000</v>
      </c>
      <c r="P12" s="119" cm="1">
        <f t="array" ref="P12">LOOKUP(2,1/($B$10:$B$14&lt;=$L12)/($C$10:$C$14&gt;=$L12),$D$10:$D$14)</f>
        <v>1.1000000000000001</v>
      </c>
      <c r="Q12" s="120" cm="1">
        <f t="array" ref="Q12">LOOKUP(2,1/($B$17:$B$21&lt;=$L12)/($C$17:$C$21&gt;=$L12),$D$17:$D$21)</f>
        <v>134.49039999999999</v>
      </c>
      <c r="R12" s="113" t="str">
        <f t="shared" si="0"/>
        <v/>
      </c>
      <c r="S12" s="113" t="str">
        <f t="shared" si="1"/>
        <v>2H24</v>
      </c>
      <c r="T12" s="113" t="str">
        <f t="shared" ca="1" si="2"/>
        <v/>
      </c>
      <c r="U12" s="113" t="str">
        <f t="shared" si="3"/>
        <v/>
      </c>
      <c r="V12" s="113" t="str">
        <f t="shared" si="4"/>
        <v>FY24</v>
      </c>
      <c r="W12" s="113" t="str">
        <f t="shared" ca="1" si="5"/>
        <v/>
      </c>
      <c r="X12" s="113"/>
      <c r="Y12" s="111" t="s">
        <v>174</v>
      </c>
      <c r="Z12" s="111" t="s">
        <v>175</v>
      </c>
      <c r="AA12" s="111" t="s">
        <v>176</v>
      </c>
      <c r="AB12" s="111" t="s">
        <v>177</v>
      </c>
      <c r="AC12" s="111" t="s">
        <v>178</v>
      </c>
      <c r="AD12" s="111" t="s">
        <v>179</v>
      </c>
      <c r="AE12" s="111" t="s">
        <v>180</v>
      </c>
      <c r="AF12" s="37"/>
      <c r="AG12" s="37"/>
      <c r="AH12" s="37"/>
      <c r="AJ12" s="153" t="s">
        <v>169</v>
      </c>
      <c r="AK12" s="165">
        <f>Z10</f>
        <v>1.1000000000000001</v>
      </c>
      <c r="AL12" s="154"/>
      <c r="AM12" s="154"/>
      <c r="AN12" s="155">
        <f t="shared" si="8"/>
        <v>30</v>
      </c>
      <c r="AO12" s="154"/>
      <c r="AP12" s="154"/>
      <c r="AQ12" s="156">
        <f t="shared" si="9"/>
        <v>49.514571333333336</v>
      </c>
      <c r="AT12" s="113"/>
      <c r="AU12" s="111" t="s">
        <v>174</v>
      </c>
      <c r="AV12" s="111" t="s">
        <v>175</v>
      </c>
      <c r="AW12" s="111" t="s">
        <v>176</v>
      </c>
      <c r="AX12" s="111" t="s">
        <v>177</v>
      </c>
      <c r="AY12" s="111" t="s">
        <v>180</v>
      </c>
      <c r="BA12" s="153" t="s">
        <v>76</v>
      </c>
      <c r="BB12" s="155">
        <f>AX9/1000000</f>
        <v>160</v>
      </c>
      <c r="BC12" s="154"/>
      <c r="BD12" s="155">
        <f t="shared" si="15"/>
        <v>30</v>
      </c>
      <c r="BE12" s="156">
        <f t="shared" si="16"/>
        <v>47.423181</v>
      </c>
      <c r="BH12" s="113"/>
      <c r="BI12" s="111" t="s">
        <v>174</v>
      </c>
      <c r="BJ12" s="111" t="s">
        <v>175</v>
      </c>
      <c r="BK12" s="111" t="s">
        <v>176</v>
      </c>
      <c r="BL12" s="111" t="s">
        <v>177</v>
      </c>
      <c r="BM12" s="111"/>
      <c r="BN12" s="111"/>
      <c r="BO12" s="111"/>
      <c r="BQ12" s="153" t="s">
        <v>169</v>
      </c>
      <c r="BR12" s="165">
        <f>BJ10</f>
        <v>1.1000000000000001</v>
      </c>
      <c r="BS12" s="154"/>
      <c r="BT12" s="154"/>
      <c r="BU12" s="155">
        <f t="shared" si="10"/>
        <v>20</v>
      </c>
      <c r="BV12" s="154"/>
      <c r="BW12" s="154"/>
      <c r="BX12" s="156">
        <f t="shared" si="11"/>
        <v>37.073147564176885</v>
      </c>
      <c r="CA12" s="113"/>
      <c r="CB12" s="111" t="s">
        <v>174</v>
      </c>
      <c r="CC12" s="111" t="s">
        <v>175</v>
      </c>
      <c r="CD12" s="111" t="s">
        <v>176</v>
      </c>
      <c r="CE12" s="111" t="s">
        <v>177</v>
      </c>
      <c r="CF12" s="111" t="s">
        <v>178</v>
      </c>
      <c r="CG12" s="111" t="s">
        <v>179</v>
      </c>
      <c r="CH12" s="111"/>
      <c r="CJ12" s="153" t="s">
        <v>76</v>
      </c>
      <c r="CK12" s="155">
        <f ca="1">CE9/1000000</f>
        <v>60</v>
      </c>
      <c r="CL12" s="154"/>
      <c r="CM12" s="155">
        <f t="shared" si="17"/>
        <v>20</v>
      </c>
      <c r="CN12" s="156">
        <f t="shared" si="18"/>
        <v>37.073147564176885</v>
      </c>
      <c r="CQ12" s="113"/>
      <c r="CR12" s="111" t="s">
        <v>174</v>
      </c>
      <c r="CS12" s="111" t="s">
        <v>175</v>
      </c>
      <c r="CT12" s="111" t="s">
        <v>176</v>
      </c>
      <c r="CU12" s="111" t="s">
        <v>177</v>
      </c>
      <c r="CV12" s="111" t="s">
        <v>178</v>
      </c>
      <c r="CW12" s="111" t="s">
        <v>179</v>
      </c>
      <c r="CX12" s="111" t="s">
        <v>180</v>
      </c>
      <c r="DA12" s="153" t="s">
        <v>76</v>
      </c>
      <c r="DB12" s="155" t="e">
        <f ca="1">CU9/1000000</f>
        <v>#N/A</v>
      </c>
      <c r="DC12" s="154"/>
      <c r="DD12" s="154"/>
      <c r="DE12" s="155">
        <f t="shared" si="19"/>
        <v>10</v>
      </c>
      <c r="DF12" s="154"/>
      <c r="DG12" s="154"/>
      <c r="DH12" s="156">
        <f t="shared" si="20"/>
        <v>22.098549600000002</v>
      </c>
      <c r="DK12" s="113"/>
      <c r="DL12" s="111" t="s">
        <v>174</v>
      </c>
      <c r="DM12" s="111" t="s">
        <v>175</v>
      </c>
      <c r="DN12" s="111" t="s">
        <v>176</v>
      </c>
      <c r="DO12" s="111" t="s">
        <v>177</v>
      </c>
      <c r="DP12" s="111" t="s">
        <v>178</v>
      </c>
      <c r="DQ12" s="111" t="s">
        <v>179</v>
      </c>
      <c r="DR12" s="111" t="s">
        <v>180</v>
      </c>
      <c r="DT12" s="153" t="s">
        <v>76</v>
      </c>
      <c r="DU12" s="155">
        <f ca="1">DO9/1000000</f>
        <v>6</v>
      </c>
      <c r="DV12" s="154"/>
      <c r="DW12" s="154"/>
      <c r="DX12" s="155">
        <f t="shared" si="21"/>
        <v>10</v>
      </c>
      <c r="DY12" s="154"/>
      <c r="DZ12" s="154"/>
      <c r="EA12" s="156">
        <f t="shared" si="22"/>
        <v>22.201704249999999</v>
      </c>
      <c r="ED12" s="113"/>
      <c r="EE12" s="111" t="s">
        <v>174</v>
      </c>
      <c r="EF12" s="111" t="s">
        <v>175</v>
      </c>
      <c r="EG12" s="111" t="s">
        <v>176</v>
      </c>
      <c r="EH12" s="111" t="s">
        <v>177</v>
      </c>
      <c r="EI12" s="111" t="s">
        <v>178</v>
      </c>
      <c r="EJ12" s="111" t="s">
        <v>179</v>
      </c>
      <c r="EK12" s="111" t="s">
        <v>180</v>
      </c>
      <c r="EM12" s="153" t="s">
        <v>169</v>
      </c>
      <c r="EN12" s="165">
        <f>EF10</f>
        <v>0.85</v>
      </c>
      <c r="EO12" s="154"/>
      <c r="EP12" s="154"/>
      <c r="EQ12" s="155">
        <f t="shared" si="12"/>
        <v>10</v>
      </c>
      <c r="ER12" s="154"/>
      <c r="ES12" s="154"/>
      <c r="ET12" s="156">
        <f t="shared" si="13"/>
        <v>22.485423999999998</v>
      </c>
      <c r="EX12" s="153" t="s">
        <v>169</v>
      </c>
      <c r="EY12" s="165">
        <f>EN11</f>
        <v>43062</v>
      </c>
      <c r="EZ12" s="154"/>
      <c r="FA12" s="154"/>
      <c r="FB12" s="155">
        <f>EN14/1000000</f>
        <v>7.6767600000000007E-5</v>
      </c>
      <c r="FC12" s="154"/>
      <c r="FD12" s="154"/>
      <c r="FE12" s="156">
        <f t="shared" si="14"/>
        <v>5.0000000000000002E-5</v>
      </c>
    </row>
    <row r="13" spans="2:161" ht="15" customHeight="1" x14ac:dyDescent="0.2">
      <c r="B13" s="129">
        <v>41340</v>
      </c>
      <c r="C13" s="129">
        <v>43208</v>
      </c>
      <c r="D13" s="151">
        <v>0.85</v>
      </c>
      <c r="F13" s="86" t="s">
        <v>181</v>
      </c>
      <c r="G13" s="131">
        <f t="shared" si="7"/>
        <v>45108</v>
      </c>
      <c r="H13" s="131">
        <f t="shared" si="6"/>
        <v>45473</v>
      </c>
      <c r="J13" s="86" t="str" cm="1">
        <f t="array" ref="J13">LOOKUP(2,1/($G$17:$G$33&lt;=$L13)/($H$17:$H$33&gt;=$L13),$F$17:$F$33)</f>
        <v>2H24</v>
      </c>
      <c r="K13" s="86" t="str" cm="1">
        <f t="array" ref="K13">LOOKUP(2,1/($G$6:$G$14&lt;=$L13)/($H$6:$H$14&gt;=$L13),$F$6:$F$14)</f>
        <v>FY24</v>
      </c>
      <c r="L13" s="118">
        <v>45414</v>
      </c>
      <c r="M13" s="49">
        <v>54983203</v>
      </c>
      <c r="N13" s="49">
        <v>74095365</v>
      </c>
      <c r="O13" s="50">
        <v>40000000</v>
      </c>
      <c r="P13" s="119" cm="1">
        <f t="array" ref="P13">LOOKUP(2,1/($B$10:$B$14&lt;=$L13)/($C$10:$C$14&gt;=$L13),$D$10:$D$14)</f>
        <v>1.1000000000000001</v>
      </c>
      <c r="Q13" s="120" cm="1">
        <f t="array" ref="Q13">LOOKUP(2,1/($B$17:$B$21&lt;=$L13)/($C$17:$C$21&gt;=$L13),$D$17:$D$21)</f>
        <v>134.49039999999999</v>
      </c>
      <c r="R13" s="113" t="str">
        <f t="shared" si="0"/>
        <v/>
      </c>
      <c r="S13" s="113" t="str">
        <f t="shared" si="1"/>
        <v>2H24</v>
      </c>
      <c r="T13" s="113" t="str">
        <f t="shared" ca="1" si="2"/>
        <v/>
      </c>
      <c r="U13" s="113" t="str">
        <f t="shared" si="3"/>
        <v/>
      </c>
      <c r="V13" s="113" t="str">
        <f t="shared" si="4"/>
        <v>FY24</v>
      </c>
      <c r="W13" s="113" t="str">
        <f t="shared" ca="1" si="5"/>
        <v/>
      </c>
      <c r="X13" s="113"/>
      <c r="Y13" s="146">
        <v>1</v>
      </c>
      <c r="Z13" s="166">
        <v>8000000</v>
      </c>
      <c r="AA13" s="167">
        <f>AVERAGEIFS($M:$M,$L:$L,"&gt;="&amp;Z$6,$L:$L,"&lt;="&amp;AB$6,$O:$O,"="&amp;Z13)*AB$11</f>
        <v>25887099.916666668</v>
      </c>
      <c r="AB13" s="168"/>
      <c r="AC13" s="168"/>
      <c r="AD13" s="168"/>
      <c r="AE13" s="167">
        <f t="shared" ref="AE13:AE19" si="23">COUNTIFS($L:$L,"&gt;="&amp;Z$6,$L:$L,"&lt;="&amp;AB$6,$O:$O,"="&amp;Z13)</f>
        <v>12</v>
      </c>
      <c r="AF13" s="167"/>
      <c r="AG13" s="167"/>
      <c r="AH13" s="167"/>
      <c r="AJ13" s="153" t="s">
        <v>149</v>
      </c>
      <c r="AK13" s="169">
        <f>AB10</f>
        <v>0.10299999999999999</v>
      </c>
      <c r="AL13" s="154"/>
      <c r="AM13" s="154"/>
      <c r="AN13" s="155">
        <f t="shared" si="8"/>
        <v>50</v>
      </c>
      <c r="AO13" s="154"/>
      <c r="AP13" s="154"/>
      <c r="AQ13" s="156">
        <f t="shared" si="9"/>
        <v>74.897735999999995</v>
      </c>
      <c r="AT13" s="113"/>
      <c r="AU13" s="146">
        <v>1</v>
      </c>
      <c r="AV13" s="166">
        <v>8000000</v>
      </c>
      <c r="AW13" s="167">
        <f t="shared" ref="AW13:AW18" si="24">AVERAGEIFS($M:$M,$L:$L,"&gt;="&amp;AV$6,$L:$L,"&lt;="&amp;AX$6,$O:$O,"="&amp;AV13)*AX$11</f>
        <v>25404847.75</v>
      </c>
      <c r="AX13" s="168"/>
      <c r="AY13" s="167">
        <f t="shared" ref="AY13:AY18" si="25">COUNTIFS($L:$L,"&gt;="&amp;AV$6,$L:$L,"&lt;="&amp;AX$6,$O:$O,"="&amp;$AV13)</f>
        <v>8</v>
      </c>
      <c r="BA13" s="153" t="s">
        <v>169</v>
      </c>
      <c r="BB13" s="165">
        <f>AV10</f>
        <v>1.1000000000000001</v>
      </c>
      <c r="BC13" s="154"/>
      <c r="BD13" s="155">
        <f t="shared" si="15"/>
        <v>50</v>
      </c>
      <c r="BE13" s="156">
        <f t="shared" si="16"/>
        <v>77.692655999999999</v>
      </c>
      <c r="BH13" s="113"/>
      <c r="BI13" s="146">
        <v>1</v>
      </c>
      <c r="BJ13" s="166">
        <v>4000000</v>
      </c>
      <c r="BK13" s="146">
        <v>19109771.374760438</v>
      </c>
      <c r="BL13" s="168"/>
      <c r="BM13" s="168"/>
      <c r="BN13" s="168"/>
      <c r="BO13" s="167"/>
      <c r="BQ13" s="153" t="s">
        <v>149</v>
      </c>
      <c r="BR13" s="169">
        <f>BL10</f>
        <v>0.10299999999999999</v>
      </c>
      <c r="BS13" s="154"/>
      <c r="BT13" s="154"/>
      <c r="BU13" s="155">
        <f t="shared" si="10"/>
        <v>40</v>
      </c>
      <c r="BV13" s="154"/>
      <c r="BW13" s="154"/>
      <c r="BX13" s="156">
        <f t="shared" si="11"/>
        <v>53.171402923389799</v>
      </c>
      <c r="CA13" s="113"/>
      <c r="CB13" s="146">
        <v>1</v>
      </c>
      <c r="CC13" s="166">
        <v>4000000</v>
      </c>
      <c r="CD13" s="146">
        <v>19109771.374760438</v>
      </c>
      <c r="CE13" s="168"/>
      <c r="CF13" s="168"/>
      <c r="CG13" s="168"/>
      <c r="CH13" s="167"/>
      <c r="CJ13" s="153" t="s">
        <v>169</v>
      </c>
      <c r="CK13" s="165">
        <f>CC10</f>
        <v>1.1000000000000001</v>
      </c>
      <c r="CL13" s="154"/>
      <c r="CM13" s="155">
        <f t="shared" si="17"/>
        <v>40</v>
      </c>
      <c r="CN13" s="156">
        <f t="shared" si="18"/>
        <v>53.171402923389799</v>
      </c>
      <c r="CQ13" s="113"/>
      <c r="CR13" s="146">
        <v>1</v>
      </c>
      <c r="CS13" s="166">
        <v>3000000</v>
      </c>
      <c r="CT13" s="168">
        <f t="shared" ref="CT13:CT19" si="26">AVERAGEIFS($M:$M,$L:$L,"&gt;="&amp;CS$6,$L:$L,"&lt;="&amp;CU$6,$O:$O,"="&amp;CS13)</f>
        <v>13748894.333333334</v>
      </c>
      <c r="CU13" s="168"/>
      <c r="CV13" s="168"/>
      <c r="CW13" s="168"/>
      <c r="CX13" s="167">
        <f t="shared" ref="CX13:CX19" si="27">COUNTIFS($L:$L,"&gt;="&amp;CS$6,$L:$L,"&lt;="&amp;CU$6,$O:$O,"="&amp;CS13)</f>
        <v>15</v>
      </c>
      <c r="DA13" s="153" t="s">
        <v>169</v>
      </c>
      <c r="DB13" s="165">
        <f>CS10</f>
        <v>0.85</v>
      </c>
      <c r="DC13" s="154"/>
      <c r="DD13" s="154"/>
      <c r="DE13" s="155">
        <f t="shared" si="19"/>
        <v>15</v>
      </c>
      <c r="DF13" s="154"/>
      <c r="DG13" s="154"/>
      <c r="DH13" s="156">
        <f t="shared" si="20"/>
        <v>26.257429250000001</v>
      </c>
      <c r="DK13" s="113"/>
      <c r="DL13" s="146">
        <v>1</v>
      </c>
      <c r="DM13" s="166">
        <v>3000000</v>
      </c>
      <c r="DN13" s="168">
        <f>AVERAGEIFS($M:$M,$L:$L,"&gt;="&amp;DM$6,$L:$L,"&lt;="&amp;DO$6,$O:$O,"="&amp;DM13)</f>
        <v>13395472.666666666</v>
      </c>
      <c r="DO13" s="168"/>
      <c r="DP13" s="168"/>
      <c r="DQ13" s="168"/>
      <c r="DR13" s="167">
        <f t="shared" ref="DR13:DR18" si="28">COUNTIFS($L:$L,"&gt;="&amp;DM$6,$L:$L,"&lt;="&amp;DO$6,$O:$O,"="&amp;DM13)</f>
        <v>9</v>
      </c>
      <c r="DT13" s="153" t="s">
        <v>169</v>
      </c>
      <c r="DU13" s="165">
        <f>DM10</f>
        <v>0.85</v>
      </c>
      <c r="DV13" s="154"/>
      <c r="DW13" s="154"/>
      <c r="DX13" s="155">
        <f t="shared" si="21"/>
        <v>15</v>
      </c>
      <c r="DY13" s="154"/>
      <c r="DZ13" s="154"/>
      <c r="EA13" s="156">
        <f t="shared" si="22"/>
        <v>25.872445333333332</v>
      </c>
      <c r="ED13" s="113"/>
      <c r="EE13" s="146">
        <v>1</v>
      </c>
      <c r="EF13" s="166">
        <v>3000000</v>
      </c>
      <c r="EG13" s="168">
        <f t="shared" ref="EG13:EG18" si="29">AVERAGEIFS($M:$M,$L:$L,"&gt;="&amp;EF$6,$L:$L,"&lt;="&amp;EH$6,$O:$O,"="&amp;EF13)*EH$11</f>
        <v>13694197.411764706</v>
      </c>
      <c r="EH13" s="168"/>
      <c r="EI13" s="168"/>
      <c r="EJ13" s="168"/>
      <c r="EK13" s="167">
        <f t="shared" ref="EK13:EK18" si="30">COUNTIFS($L:$L,"&gt;="&amp;EF$6,$L:$L,"&lt;="&amp;EH$6,$O:$O,"="&amp;EF13)</f>
        <v>17</v>
      </c>
      <c r="EM13" s="153" t="s">
        <v>149</v>
      </c>
      <c r="EN13" s="169">
        <f>EH10</f>
        <v>9.2999999999999999E-2</v>
      </c>
      <c r="EO13" s="154"/>
      <c r="EP13" s="154"/>
      <c r="EQ13" s="155">
        <f t="shared" si="12"/>
        <v>15</v>
      </c>
      <c r="ER13" s="154"/>
      <c r="ES13" s="154"/>
      <c r="ET13" s="156">
        <f t="shared" si="13"/>
        <v>26.955270500000001</v>
      </c>
      <c r="EX13" s="153" t="s">
        <v>149</v>
      </c>
      <c r="EY13" s="169">
        <f>EQ10</f>
        <v>3</v>
      </c>
      <c r="EZ13" s="154"/>
      <c r="FA13" s="154"/>
      <c r="FB13" s="155" t="e">
        <f>#REF!/1000000</f>
        <v>#REF!</v>
      </c>
      <c r="FC13" s="154"/>
      <c r="FD13" s="154"/>
      <c r="FE13" s="156">
        <f t="shared" si="14"/>
        <v>6.9999999999999994E-5</v>
      </c>
    </row>
    <row r="14" spans="2:161" ht="15" customHeight="1" x14ac:dyDescent="0.2">
      <c r="B14" s="129">
        <v>43209</v>
      </c>
      <c r="C14" s="131">
        <f>EOMONTH(MAX($L:$L),0)</f>
        <v>45473</v>
      </c>
      <c r="D14" s="151">
        <v>1.1000000000000001</v>
      </c>
      <c r="F14" s="86" t="s">
        <v>182</v>
      </c>
      <c r="G14" s="131">
        <f t="shared" si="7"/>
        <v>45474</v>
      </c>
      <c r="H14" s="131">
        <f t="shared" si="6"/>
        <v>45838</v>
      </c>
      <c r="J14" s="86" t="str" cm="1">
        <f t="array" ref="J14">LOOKUP(2,1/($G$17:$G$33&lt;=$L14)/($H$17:$H$33&gt;=$L14),$F$17:$F$33)</f>
        <v>2H24</v>
      </c>
      <c r="K14" s="86" t="str" cm="1">
        <f t="array" ref="K14">LOOKUP(2,1/($G$6:$G$14&lt;=$L14)/($H$6:$H$14&gt;=$L14),$F$6:$F$14)</f>
        <v>FY24</v>
      </c>
      <c r="L14" s="118">
        <v>45407</v>
      </c>
      <c r="M14" s="49">
        <v>37208674</v>
      </c>
      <c r="N14" s="49">
        <v>50142409</v>
      </c>
      <c r="O14" s="50">
        <v>20000000</v>
      </c>
      <c r="P14" s="119" cm="1">
        <f t="array" ref="P14">LOOKUP(2,1/($B$10:$B$14&lt;=$L14)/($C$10:$C$14&gt;=$L14),$D$10:$D$14)</f>
        <v>1.1000000000000001</v>
      </c>
      <c r="Q14" s="120" cm="1">
        <f t="array" ref="Q14">LOOKUP(2,1/($B$17:$B$21&lt;=$L14)/($C$17:$C$21&gt;=$L14),$D$17:$D$21)</f>
        <v>134.49039999999999</v>
      </c>
      <c r="R14" s="113" t="str">
        <f t="shared" si="0"/>
        <v/>
      </c>
      <c r="S14" s="113" t="str">
        <f t="shared" si="1"/>
        <v>2H24</v>
      </c>
      <c r="T14" s="113" t="str">
        <f t="shared" ca="1" si="2"/>
        <v/>
      </c>
      <c r="U14" s="113" t="str">
        <f t="shared" si="3"/>
        <v/>
      </c>
      <c r="V14" s="113" t="str">
        <f t="shared" si="4"/>
        <v>FY24</v>
      </c>
      <c r="W14" s="113" t="str">
        <f t="shared" ca="1" si="5"/>
        <v/>
      </c>
      <c r="X14" s="113"/>
      <c r="Y14" s="146">
        <v>2</v>
      </c>
      <c r="Z14" s="166">
        <v>20000000</v>
      </c>
      <c r="AA14" s="167">
        <f>AVERAGEIFS($M:$M,$L:$L,"&gt;="&amp;Z$6,$L:$L,"&lt;="&amp;AB$6,$O:$O,"="&amp;Z14)*AB$11</f>
        <v>39946561.363636367</v>
      </c>
      <c r="AE14" s="167">
        <f t="shared" si="23"/>
        <v>11</v>
      </c>
      <c r="AF14" s="167"/>
      <c r="AG14" s="167"/>
      <c r="AH14" s="167"/>
      <c r="AJ14" s="153" t="s">
        <v>172</v>
      </c>
      <c r="AK14" s="170">
        <f>Z11</f>
        <v>134.49039999999999</v>
      </c>
      <c r="AL14" s="154"/>
      <c r="AM14" s="154"/>
      <c r="AN14" s="155">
        <f t="shared" si="8"/>
        <v>100</v>
      </c>
      <c r="AO14" s="154"/>
      <c r="AP14" s="154"/>
      <c r="AQ14" s="156">
        <f t="shared" si="9"/>
        <v>169.11959999999999</v>
      </c>
      <c r="AT14" s="113"/>
      <c r="AU14" s="146">
        <v>2</v>
      </c>
      <c r="AV14" s="166">
        <v>20000000</v>
      </c>
      <c r="AW14" s="167">
        <f t="shared" si="24"/>
        <v>39899441</v>
      </c>
      <c r="AY14" s="167">
        <f t="shared" si="25"/>
        <v>6</v>
      </c>
      <c r="BA14" s="153" t="s">
        <v>149</v>
      </c>
      <c r="BB14" s="169">
        <f>AX10</f>
        <v>0.10299999999999999</v>
      </c>
      <c r="BC14" s="154"/>
      <c r="BD14" s="155">
        <f t="shared" si="15"/>
        <v>100</v>
      </c>
      <c r="BE14" s="156">
        <f t="shared" si="16"/>
        <v>183.084473</v>
      </c>
      <c r="BH14" s="113"/>
      <c r="BI14" s="146">
        <v>2</v>
      </c>
      <c r="BJ14" s="166">
        <v>8000000</v>
      </c>
      <c r="BK14" s="146">
        <v>23289148.265343774</v>
      </c>
      <c r="BO14" s="167"/>
      <c r="BQ14" s="153" t="s">
        <v>172</v>
      </c>
      <c r="BR14" s="170">
        <f>BJ11</f>
        <v>134.49039999999999</v>
      </c>
      <c r="BS14" s="154"/>
      <c r="BT14" s="154"/>
      <c r="BU14" s="155">
        <f t="shared" si="10"/>
        <v>60</v>
      </c>
      <c r="BV14" s="154"/>
      <c r="BW14" s="154"/>
      <c r="BX14" s="156">
        <f t="shared" si="11"/>
        <v>77.545671333813914</v>
      </c>
      <c r="CA14" s="113"/>
      <c r="CB14" s="146">
        <v>2</v>
      </c>
      <c r="CC14" s="166">
        <v>8000000</v>
      </c>
      <c r="CD14" s="146">
        <v>23289148.265343774</v>
      </c>
      <c r="CH14" s="167"/>
      <c r="CJ14" s="153" t="s">
        <v>149</v>
      </c>
      <c r="CK14" s="169">
        <f>CE10</f>
        <v>0.10299999999999999</v>
      </c>
      <c r="CL14" s="154"/>
      <c r="CM14" s="155">
        <f t="shared" si="17"/>
        <v>60</v>
      </c>
      <c r="CN14" s="156">
        <f t="shared" si="18"/>
        <v>84.873999999999995</v>
      </c>
      <c r="CQ14" s="113"/>
      <c r="CR14" s="146">
        <v>2</v>
      </c>
      <c r="CS14" s="166">
        <v>6000000</v>
      </c>
      <c r="CT14" s="168">
        <f t="shared" si="26"/>
        <v>16946002.899999999</v>
      </c>
      <c r="CX14" s="167">
        <f t="shared" si="27"/>
        <v>10</v>
      </c>
      <c r="DA14" s="153" t="s">
        <v>149</v>
      </c>
      <c r="DB14" s="169">
        <f>CU10</f>
        <v>9.2999999999999999E-2</v>
      </c>
      <c r="DC14" s="154"/>
      <c r="DD14" s="154"/>
      <c r="DE14" s="155">
        <f t="shared" si="19"/>
        <v>25</v>
      </c>
      <c r="DF14" s="154"/>
      <c r="DG14" s="154"/>
      <c r="DH14" s="156">
        <f t="shared" si="20"/>
        <v>27.652623999999999</v>
      </c>
      <c r="DK14" s="113"/>
      <c r="DL14" s="146">
        <v>2</v>
      </c>
      <c r="DM14" s="166">
        <v>6000000</v>
      </c>
      <c r="DN14" s="168">
        <f>AVERAGEIFS($M:$M,$L:$L,"&gt;="&amp;$DM$6,$L:$L,"&lt;="&amp;$DO$6,$O:$O,"="&amp;$DM14)</f>
        <v>16811298.428571429</v>
      </c>
      <c r="DR14" s="167">
        <f t="shared" si="28"/>
        <v>7</v>
      </c>
      <c r="DT14" s="153" t="s">
        <v>149</v>
      </c>
      <c r="DU14" s="169">
        <f>DO10</f>
        <v>9.2999999999999999E-2</v>
      </c>
      <c r="DV14" s="154"/>
      <c r="DW14" s="154"/>
      <c r="DX14" s="155">
        <f t="shared" si="21"/>
        <v>30</v>
      </c>
      <c r="DY14" s="154"/>
      <c r="DZ14" s="154"/>
      <c r="EA14" s="156">
        <f t="shared" si="22"/>
        <v>42.955933000000002</v>
      </c>
      <c r="ED14" s="113"/>
      <c r="EE14" s="146">
        <v>2</v>
      </c>
      <c r="EF14" s="166">
        <v>6000000</v>
      </c>
      <c r="EG14" s="168">
        <f t="shared" si="29"/>
        <v>17009155.846153848</v>
      </c>
      <c r="EK14" s="167">
        <f t="shared" si="30"/>
        <v>13</v>
      </c>
      <c r="EM14" s="153" t="s">
        <v>172</v>
      </c>
      <c r="EN14" s="170">
        <f>EF11</f>
        <v>76.767600000000002</v>
      </c>
      <c r="EO14" s="154"/>
      <c r="EP14" s="154"/>
      <c r="EQ14" s="155">
        <f t="shared" si="12"/>
        <v>30</v>
      </c>
      <c r="ER14" s="154"/>
      <c r="ES14" s="154"/>
      <c r="ET14" s="156">
        <f t="shared" si="13"/>
        <v>42.863537749999999</v>
      </c>
      <c r="EX14" s="153" t="s">
        <v>172</v>
      </c>
      <c r="EY14" s="170">
        <f>EN16</f>
        <v>6</v>
      </c>
      <c r="EZ14" s="154"/>
      <c r="FA14" s="154"/>
      <c r="FB14" s="155">
        <f>EN18/1000000</f>
        <v>4.2838000000000001E-2</v>
      </c>
      <c r="FC14" s="154"/>
      <c r="FD14" s="154"/>
      <c r="FE14" s="156">
        <f t="shared" si="14"/>
        <v>1E-4</v>
      </c>
    </row>
    <row r="15" spans="2:161" x14ac:dyDescent="0.25">
      <c r="B15" s="86"/>
      <c r="C15" s="86"/>
      <c r="D15" s="86"/>
      <c r="F15" s="86"/>
      <c r="G15" s="86"/>
      <c r="H15" s="86"/>
      <c r="J15" s="86" t="str" cm="1">
        <f t="array" ref="J15">LOOKUP(2,1/($G$17:$G$33&lt;=$L15)/($H$17:$H$33&gt;=$L15),$F$17:$F$33)</f>
        <v>2H24</v>
      </c>
      <c r="K15" s="86" t="str" cm="1">
        <f t="array" ref="K15">LOOKUP(2,1/($G$6:$G$14&lt;=$L15)/($H$6:$H$14&gt;=$L15),$F$6:$F$14)</f>
        <v>FY24</v>
      </c>
      <c r="L15" s="118">
        <v>45400</v>
      </c>
      <c r="M15" s="49">
        <v>30895474</v>
      </c>
      <c r="N15" s="49">
        <v>41634740</v>
      </c>
      <c r="O15" s="50">
        <v>12000000</v>
      </c>
      <c r="P15" s="119" cm="1">
        <f t="array" ref="P15">LOOKUP(2,1/($B$10:$B$14&lt;=$L15)/($C$10:$C$14&gt;=$L15),$D$10:$D$14)</f>
        <v>1.1000000000000001</v>
      </c>
      <c r="Q15" s="120" cm="1">
        <f t="array" ref="Q15">LOOKUP(2,1/($B$17:$B$21&lt;=$L15)/($C$17:$C$21&gt;=$L15),$D$17:$D$21)</f>
        <v>134.49039999999999</v>
      </c>
      <c r="R15" s="113" t="str">
        <f t="shared" si="0"/>
        <v/>
      </c>
      <c r="S15" s="113" t="str">
        <f t="shared" si="1"/>
        <v>2H24</v>
      </c>
      <c r="T15" s="113" t="str">
        <f t="shared" ca="1" si="2"/>
        <v/>
      </c>
      <c r="U15" s="113" t="str">
        <f t="shared" si="3"/>
        <v/>
      </c>
      <c r="V15" s="113" t="str">
        <f t="shared" si="4"/>
        <v>FY24</v>
      </c>
      <c r="W15" s="113" t="str">
        <f t="shared" ca="1" si="5"/>
        <v/>
      </c>
      <c r="X15" s="113"/>
      <c r="Y15" s="146">
        <v>3</v>
      </c>
      <c r="Z15" s="166">
        <v>30000000</v>
      </c>
      <c r="AA15" s="167">
        <f>AVERAGEIFS($M:$M,$L:$L,"&gt;="&amp;Z$6,$L:$L,"&lt;="&amp;AB$6,$O:$O,"="&amp;Z15)*AB$11</f>
        <v>49514571.333333336</v>
      </c>
      <c r="AE15" s="167">
        <f t="shared" si="23"/>
        <v>3</v>
      </c>
      <c r="AF15" s="167"/>
      <c r="AG15" s="167"/>
      <c r="AH15" s="167"/>
      <c r="AJ15" s="171"/>
      <c r="AL15" s="154"/>
      <c r="AM15" s="154"/>
      <c r="AN15" s="155">
        <f t="shared" si="8"/>
        <v>160</v>
      </c>
      <c r="AO15" s="154"/>
      <c r="AP15" s="154"/>
      <c r="AQ15" s="156">
        <f t="shared" si="9"/>
        <v>257.40779999999995</v>
      </c>
      <c r="AT15" s="113"/>
      <c r="AU15" s="146">
        <v>3</v>
      </c>
      <c r="AV15" s="166">
        <v>30000000</v>
      </c>
      <c r="AW15" s="167">
        <f t="shared" si="24"/>
        <v>47423181</v>
      </c>
      <c r="AY15" s="167">
        <f t="shared" si="25"/>
        <v>1</v>
      </c>
      <c r="BA15" s="153" t="s">
        <v>172</v>
      </c>
      <c r="BB15" s="170">
        <f>AV11</f>
        <v>134.49039999999999</v>
      </c>
      <c r="BC15" s="154"/>
      <c r="BD15" s="155">
        <f t="shared" si="15"/>
        <v>160</v>
      </c>
      <c r="BE15" s="156">
        <f t="shared" si="16"/>
        <v>284.83741400000002</v>
      </c>
      <c r="BH15" s="113"/>
      <c r="BI15" s="146">
        <v>3</v>
      </c>
      <c r="BJ15" s="166">
        <v>20000000</v>
      </c>
      <c r="BK15" s="146">
        <v>37073147.564176887</v>
      </c>
      <c r="BO15" s="167"/>
      <c r="BQ15" s="171"/>
      <c r="BS15" s="154"/>
      <c r="BT15" s="154"/>
      <c r="BU15" s="155">
        <f t="shared" si="10"/>
        <v>80</v>
      </c>
      <c r="BV15" s="154"/>
      <c r="BW15" s="154"/>
      <c r="BX15" s="156">
        <f t="shared" si="11"/>
        <v>113.75124441664214</v>
      </c>
      <c r="CA15" s="113"/>
      <c r="CB15" s="146">
        <v>3</v>
      </c>
      <c r="CC15" s="166">
        <v>20000000</v>
      </c>
      <c r="CD15" s="146">
        <v>37073147.564176887</v>
      </c>
      <c r="CH15" s="167"/>
      <c r="CJ15" s="153" t="s">
        <v>172</v>
      </c>
      <c r="CK15" s="170">
        <f>CC11</f>
        <v>134.49039999999999</v>
      </c>
      <c r="CL15" s="154"/>
      <c r="CM15" s="155">
        <f t="shared" si="17"/>
        <v>80</v>
      </c>
      <c r="CN15" s="156">
        <f t="shared" si="18"/>
        <v>113.75124441664214</v>
      </c>
      <c r="CQ15" s="113"/>
      <c r="CR15" s="146">
        <v>3</v>
      </c>
      <c r="CS15" s="166">
        <v>10000000</v>
      </c>
      <c r="CT15" s="168">
        <f t="shared" si="26"/>
        <v>22098549.600000001</v>
      </c>
      <c r="CX15" s="167">
        <f t="shared" si="27"/>
        <v>5</v>
      </c>
      <c r="DA15" s="153" t="s">
        <v>172</v>
      </c>
      <c r="DB15" s="170">
        <f>CS11</f>
        <v>76.767600000000002</v>
      </c>
      <c r="DC15" s="154"/>
      <c r="DD15" s="154"/>
      <c r="DE15" s="155">
        <f t="shared" si="19"/>
        <v>40</v>
      </c>
      <c r="DF15" s="154"/>
      <c r="DG15" s="154"/>
      <c r="DH15" s="156">
        <f t="shared" si="20"/>
        <v>52.311529</v>
      </c>
      <c r="DK15" s="113"/>
      <c r="DL15" s="146">
        <v>3</v>
      </c>
      <c r="DM15" s="166">
        <v>10000000</v>
      </c>
      <c r="DN15" s="168">
        <f>AVERAGEIFS($M:$M,$L:$L,"&gt;="&amp;$DM$6,$L:$L,"&lt;="&amp;$DO$6,$O:$O,"="&amp;$DM15)</f>
        <v>22201704.25</v>
      </c>
      <c r="DR15" s="167">
        <f t="shared" si="28"/>
        <v>4</v>
      </c>
      <c r="DT15" s="153" t="s">
        <v>172</v>
      </c>
      <c r="DU15" s="170">
        <f>DM11</f>
        <v>76.767600000000002</v>
      </c>
      <c r="DV15" s="154"/>
      <c r="DW15" s="154"/>
      <c r="DX15" s="155">
        <f t="shared" si="21"/>
        <v>50</v>
      </c>
      <c r="DY15" s="154"/>
      <c r="DZ15" s="154"/>
      <c r="EA15" s="156">
        <f t="shared" si="22"/>
        <v>69.849423000000002</v>
      </c>
      <c r="ED15" s="113"/>
      <c r="EE15" s="146">
        <v>3</v>
      </c>
      <c r="EF15" s="166">
        <v>10000000</v>
      </c>
      <c r="EG15" s="168">
        <f t="shared" si="29"/>
        <v>22485424</v>
      </c>
      <c r="EK15" s="167">
        <f t="shared" si="30"/>
        <v>7</v>
      </c>
      <c r="EM15" s="171"/>
      <c r="EO15" s="154"/>
      <c r="EP15" s="154"/>
      <c r="EQ15" s="155">
        <f t="shared" si="12"/>
        <v>50</v>
      </c>
      <c r="ER15" s="154"/>
      <c r="ES15" s="154"/>
      <c r="ET15" s="156">
        <f t="shared" si="13"/>
        <v>68.554623500000005</v>
      </c>
      <c r="EX15" s="171"/>
      <c r="EY15"/>
      <c r="EZ15" s="154"/>
      <c r="FA15" s="154"/>
      <c r="FB15" s="155">
        <f>EN19/1000000</f>
        <v>4.3201999999999997E-2</v>
      </c>
      <c r="FC15" s="154"/>
      <c r="FD15" s="154"/>
      <c r="FE15" s="156">
        <f t="shared" si="14"/>
        <v>1.2E-4</v>
      </c>
    </row>
    <row r="16" spans="2:161" ht="15" customHeight="1" x14ac:dyDescent="0.2">
      <c r="B16" s="117" t="s">
        <v>183</v>
      </c>
      <c r="C16" s="117"/>
      <c r="D16" s="117"/>
      <c r="F16" s="117" t="s">
        <v>184</v>
      </c>
      <c r="G16" s="117"/>
      <c r="H16" s="117"/>
      <c r="J16" s="86" t="str" cm="1">
        <f t="array" ref="J16">LOOKUP(2,1/($G$17:$G$33&lt;=$L16)/($H$17:$H$33&gt;=$L16),$F$17:$F$33)</f>
        <v>2H24</v>
      </c>
      <c r="K16" s="86" t="str" cm="1">
        <f t="array" ref="K16">LOOKUP(2,1/($G$6:$G$14&lt;=$L16)/($H$6:$H$14&gt;=$L16),$F$6:$F$14)</f>
        <v>FY24</v>
      </c>
      <c r="L16" s="118">
        <v>45393</v>
      </c>
      <c r="M16" s="49">
        <v>19709566</v>
      </c>
      <c r="N16" s="49">
        <v>26560611</v>
      </c>
      <c r="O16" s="50">
        <v>4000000</v>
      </c>
      <c r="P16" s="119" cm="1">
        <f t="array" ref="P16">LOOKUP(2,1/($B$10:$B$14&lt;=$L16)/($C$10:$C$14&gt;=$L16),$D$10:$D$14)</f>
        <v>1.1000000000000001</v>
      </c>
      <c r="Q16" s="120" cm="1">
        <f t="array" ref="Q16">LOOKUP(2,1/($B$17:$B$21&lt;=$L16)/($C$17:$C$21&gt;=$L16),$D$17:$D$21)</f>
        <v>134.49039999999999</v>
      </c>
      <c r="R16" s="113" t="str">
        <f t="shared" si="0"/>
        <v/>
      </c>
      <c r="S16" s="113" t="str">
        <f t="shared" si="1"/>
        <v>2H24</v>
      </c>
      <c r="T16" s="113" t="str">
        <f t="shared" ca="1" si="2"/>
        <v/>
      </c>
      <c r="U16" s="113" t="str">
        <f t="shared" si="3"/>
        <v/>
      </c>
      <c r="V16" s="113" t="str">
        <f t="shared" si="4"/>
        <v>FY24</v>
      </c>
      <c r="W16" s="113" t="str">
        <f t="shared" ca="1" si="5"/>
        <v/>
      </c>
      <c r="X16" s="113"/>
      <c r="Y16" s="146">
        <v>4</v>
      </c>
      <c r="Z16" s="166">
        <v>50000000</v>
      </c>
      <c r="AA16" s="167">
        <f>AVERAGEIFS($M:$M,$L:$L,"&gt;="&amp;Z$6,$L:$L,"&lt;="&amp;AB$6,$O:$O,"="&amp;Z16)*AB$11</f>
        <v>74897736</v>
      </c>
      <c r="AE16" s="167">
        <f t="shared" si="23"/>
        <v>3</v>
      </c>
      <c r="AF16" s="167"/>
      <c r="AG16" s="167"/>
      <c r="AH16" s="167"/>
      <c r="AJ16" s="153" t="s">
        <v>91</v>
      </c>
      <c r="AK16" s="155" t="e">
        <f>Z9/1000000</f>
        <v>#N/A</v>
      </c>
      <c r="AL16" s="154"/>
      <c r="AM16" s="154"/>
      <c r="AN16" s="155">
        <f t="shared" si="8"/>
        <v>200</v>
      </c>
      <c r="AO16" s="154"/>
      <c r="AP16" s="154"/>
      <c r="AQ16" s="156">
        <f t="shared" si="9"/>
        <v>316.26659999999998</v>
      </c>
      <c r="AT16" s="113"/>
      <c r="AU16" s="146">
        <v>4</v>
      </c>
      <c r="AV16" s="166">
        <v>50000000</v>
      </c>
      <c r="AW16" s="167">
        <f t="shared" si="24"/>
        <v>77692656</v>
      </c>
      <c r="AY16" s="167">
        <f t="shared" si="25"/>
        <v>1</v>
      </c>
      <c r="BA16" s="172"/>
      <c r="BB16" s="2"/>
      <c r="BC16" s="154"/>
      <c r="BD16" s="155">
        <f t="shared" si="15"/>
        <v>200</v>
      </c>
      <c r="BE16" s="156">
        <f t="shared" si="16"/>
        <v>400</v>
      </c>
      <c r="BH16" s="113"/>
      <c r="BI16" s="146">
        <v>4</v>
      </c>
      <c r="BJ16" s="166">
        <v>40000000</v>
      </c>
      <c r="BK16" s="146">
        <v>53171402.9233898</v>
      </c>
      <c r="BO16" s="167"/>
      <c r="BQ16" s="153" t="s">
        <v>91</v>
      </c>
      <c r="BR16" s="155">
        <f>BJ9/1000000</f>
        <v>4</v>
      </c>
      <c r="BS16" s="154"/>
      <c r="BT16" s="154"/>
      <c r="BU16" s="155">
        <f t="shared" si="10"/>
        <v>120</v>
      </c>
      <c r="BV16" s="154"/>
      <c r="BW16" s="154"/>
      <c r="BX16" s="156">
        <f t="shared" si="11"/>
        <v>226.12630409125558</v>
      </c>
      <c r="CA16" s="113"/>
      <c r="CB16" s="146">
        <v>4</v>
      </c>
      <c r="CC16" s="166">
        <v>40000000</v>
      </c>
      <c r="CD16" s="146">
        <v>53171402.9233898</v>
      </c>
      <c r="CH16" s="167"/>
      <c r="CJ16" s="172"/>
      <c r="CK16" s="2"/>
      <c r="CL16" s="154"/>
      <c r="CM16" s="155">
        <f t="shared" si="17"/>
        <v>120</v>
      </c>
      <c r="CN16" s="156">
        <f t="shared" si="18"/>
        <v>226.12630409125558</v>
      </c>
      <c r="CQ16" s="113"/>
      <c r="CR16" s="146">
        <v>4</v>
      </c>
      <c r="CS16" s="166">
        <v>15000000</v>
      </c>
      <c r="CT16" s="168">
        <f t="shared" si="26"/>
        <v>26257429.25</v>
      </c>
      <c r="CX16" s="167">
        <f t="shared" si="27"/>
        <v>4</v>
      </c>
      <c r="DA16" s="172"/>
      <c r="DB16" s="2"/>
      <c r="DC16" s="154"/>
      <c r="DD16" s="154"/>
      <c r="DE16" s="155">
        <f t="shared" si="19"/>
        <v>55</v>
      </c>
      <c r="DF16" s="154"/>
      <c r="DG16" s="154"/>
      <c r="DH16" s="156">
        <f t="shared" si="20"/>
        <v>80.521889000000002</v>
      </c>
      <c r="DK16" s="113"/>
      <c r="DL16" s="146">
        <v>4</v>
      </c>
      <c r="DM16" s="166">
        <v>15000000</v>
      </c>
      <c r="DN16" s="168">
        <f>AVERAGEIFS($M:$M,$L:$L,"&gt;="&amp;$DM$6,$L:$L,"&lt;="&amp;$DO$6,$O:$O,"="&amp;$DM16)</f>
        <v>25872445.333333332</v>
      </c>
      <c r="DR16" s="167">
        <f t="shared" si="28"/>
        <v>3</v>
      </c>
      <c r="DT16" s="172"/>
      <c r="DU16" s="2"/>
      <c r="DV16" s="154"/>
      <c r="DW16" s="154"/>
      <c r="DX16" s="155">
        <f t="shared" si="21"/>
        <v>80</v>
      </c>
      <c r="DY16" s="154"/>
      <c r="DZ16" s="154"/>
      <c r="EA16" s="156">
        <f t="shared" si="22"/>
        <v>128.35499999999999</v>
      </c>
      <c r="ED16" s="113"/>
      <c r="EE16" s="146">
        <v>4</v>
      </c>
      <c r="EF16" s="166">
        <v>15000000</v>
      </c>
      <c r="EG16" s="168">
        <f t="shared" si="29"/>
        <v>26955270.5</v>
      </c>
      <c r="EK16" s="167">
        <f t="shared" si="30"/>
        <v>6</v>
      </c>
      <c r="EM16" s="153" t="s">
        <v>91</v>
      </c>
      <c r="EN16" s="155">
        <f>EF9/1000000</f>
        <v>6</v>
      </c>
      <c r="EO16" s="154"/>
      <c r="EP16" s="154"/>
      <c r="EQ16" s="155">
        <f t="shared" si="12"/>
        <v>70</v>
      </c>
      <c r="ER16" s="154"/>
      <c r="ES16" s="154"/>
      <c r="ET16" s="156">
        <f t="shared" si="13"/>
        <v>90.484999999999985</v>
      </c>
      <c r="EX16" s="153" t="s">
        <v>91</v>
      </c>
      <c r="EY16" s="155">
        <f>EN10/1000000</f>
        <v>4.2838000000000001E-2</v>
      </c>
      <c r="EZ16" s="154"/>
      <c r="FA16" s="154"/>
      <c r="FB16" s="155">
        <f>EN20/1000000</f>
        <v>9.9999999999999995E-7</v>
      </c>
      <c r="FC16" s="154"/>
      <c r="FD16" s="154"/>
      <c r="FE16" s="156">
        <f t="shared" si="14"/>
        <v>1.4999999999999999E-4</v>
      </c>
    </row>
    <row r="17" spans="2:161" x14ac:dyDescent="0.25">
      <c r="B17" s="129">
        <v>35208</v>
      </c>
      <c r="C17" s="129">
        <v>40237</v>
      </c>
      <c r="D17" s="151"/>
      <c r="F17" s="86" t="s">
        <v>185</v>
      </c>
      <c r="G17" s="129">
        <v>42736</v>
      </c>
      <c r="H17" s="131">
        <f>EOMONTH(G17,5)</f>
        <v>42916</v>
      </c>
      <c r="J17" s="86" t="str" cm="1">
        <f t="array" ref="J17">LOOKUP(2,1/($G$17:$G$33&lt;=$L17)/($H$17:$H$33&gt;=$L17),$F$17:$F$33)</f>
        <v>2H24</v>
      </c>
      <c r="K17" s="86" t="str" cm="1">
        <f t="array" ref="K17">LOOKUP(2,1/($G$6:$G$14&lt;=$L17)/($H$6:$H$14&gt;=$L17),$F$6:$F$14)</f>
        <v>FY24</v>
      </c>
      <c r="L17" s="118">
        <v>45386</v>
      </c>
      <c r="M17" s="49">
        <v>33664849</v>
      </c>
      <c r="N17" s="49">
        <v>45366750</v>
      </c>
      <c r="O17" s="50">
        <v>20000000</v>
      </c>
      <c r="P17" s="119" cm="1">
        <f t="array" ref="P17">LOOKUP(2,1/($B$10:$B$14&lt;=$L17)/($C$10:$C$14&gt;=$L17),$D$10:$D$14)</f>
        <v>1.1000000000000001</v>
      </c>
      <c r="Q17" s="120" cm="1">
        <f t="array" ref="Q17">LOOKUP(2,1/($B$17:$B$21&lt;=$L17)/($C$17:$C$21&gt;=$L17),$D$17:$D$21)</f>
        <v>134.49039999999999</v>
      </c>
      <c r="R17" s="113" t="str">
        <f t="shared" si="0"/>
        <v/>
      </c>
      <c r="S17" s="113" t="str">
        <f t="shared" si="1"/>
        <v>2H24</v>
      </c>
      <c r="T17" s="113" t="str">
        <f t="shared" ca="1" si="2"/>
        <v/>
      </c>
      <c r="U17" s="113" t="str">
        <f t="shared" si="3"/>
        <v/>
      </c>
      <c r="V17" s="113" t="str">
        <f t="shared" si="4"/>
        <v>FY24</v>
      </c>
      <c r="W17" s="113" t="str">
        <f t="shared" ca="1" si="5"/>
        <v/>
      </c>
      <c r="X17" s="113"/>
      <c r="Y17" s="146">
        <v>5</v>
      </c>
      <c r="Z17" s="166">
        <v>100000000</v>
      </c>
      <c r="AA17" s="167"/>
      <c r="AB17" s="173">
        <f t="shared" ref="AB17:AB22" si="31">IF($Z17&gt;=100000000,$AC$8*AC$11*AC17+$AD$8*AD$11*AD17,AC$11*AC17+AD$11*AD17)*AB$11</f>
        <v>169119600</v>
      </c>
      <c r="AC17" s="145">
        <v>130091999.99999999</v>
      </c>
      <c r="AD17" s="145">
        <v>142170000</v>
      </c>
      <c r="AE17" s="167">
        <f t="shared" si="23"/>
        <v>2</v>
      </c>
      <c r="AF17" s="167"/>
      <c r="AG17" s="167"/>
      <c r="AH17" s="167"/>
      <c r="AJ17" s="172" t="s">
        <v>147</v>
      </c>
      <c r="AK17" s="174">
        <f>Z6</f>
        <v>44587</v>
      </c>
      <c r="AL17" s="154"/>
      <c r="AM17" s="154"/>
      <c r="AN17" s="155">
        <f t="shared" si="8"/>
        <v>250</v>
      </c>
      <c r="AO17" s="154"/>
      <c r="AP17" s="154"/>
      <c r="AQ17" s="156">
        <f t="shared" si="9"/>
        <v>389.84009999999995</v>
      </c>
      <c r="AT17" s="113"/>
      <c r="AU17" s="146">
        <v>5</v>
      </c>
      <c r="AV17" s="166">
        <v>100000000</v>
      </c>
      <c r="AW17" s="167">
        <f t="shared" si="24"/>
        <v>183084473</v>
      </c>
      <c r="AY17" s="167">
        <f t="shared" si="25"/>
        <v>1</v>
      </c>
      <c r="BA17" s="172" t="s">
        <v>147</v>
      </c>
      <c r="BB17" s="174">
        <f>AV6</f>
        <v>44652</v>
      </c>
      <c r="BC17" s="154"/>
      <c r="BD17" s="155">
        <f t="shared" si="15"/>
        <v>250</v>
      </c>
      <c r="BE17" s="156">
        <f t="shared" si="16"/>
        <v>510</v>
      </c>
      <c r="BH17" s="113"/>
      <c r="BI17" s="146">
        <v>5</v>
      </c>
      <c r="BJ17" s="166">
        <v>60000000</v>
      </c>
      <c r="BK17" s="146">
        <v>77545671.333813921</v>
      </c>
      <c r="BO17" s="167"/>
      <c r="BQ17" s="171"/>
      <c r="BS17" s="154"/>
      <c r="BT17" s="154"/>
      <c r="BU17" s="155">
        <f t="shared" si="10"/>
        <v>150</v>
      </c>
      <c r="BV17" s="154"/>
      <c r="BW17" s="154"/>
      <c r="BX17" s="156">
        <f t="shared" si="11"/>
        <v>295</v>
      </c>
      <c r="CA17" s="113"/>
      <c r="CB17" s="146">
        <v>5</v>
      </c>
      <c r="CC17" s="166">
        <v>60000000</v>
      </c>
      <c r="CD17" s="146">
        <v>77545671.333813921</v>
      </c>
      <c r="CE17" s="173">
        <f t="shared" ref="CE17:CE22" si="32">IF($CC17&gt;=100000000,$CF$8*CF$11*CF17+$CG$8*CG$11*CG17,CF$11*CF17+CG$11*CG17)</f>
        <v>84874000</v>
      </c>
      <c r="CF17" s="145">
        <v>84874000</v>
      </c>
      <c r="CG17" s="145">
        <v>83587000</v>
      </c>
      <c r="CH17" s="167"/>
      <c r="CJ17" s="172" t="s">
        <v>147</v>
      </c>
      <c r="CK17" s="174" t="str">
        <f>CC6</f>
        <v>EST</v>
      </c>
      <c r="CL17" s="154"/>
      <c r="CM17" s="155">
        <f t="shared" si="17"/>
        <v>160</v>
      </c>
      <c r="CN17" s="156">
        <f t="shared" si="18"/>
        <v>277.9896</v>
      </c>
      <c r="CQ17" s="113"/>
      <c r="CR17" s="146">
        <v>5</v>
      </c>
      <c r="CS17" s="166">
        <v>25000000</v>
      </c>
      <c r="CT17" s="168">
        <f t="shared" si="26"/>
        <v>27652624</v>
      </c>
      <c r="CX17" s="167">
        <f t="shared" si="27"/>
        <v>1</v>
      </c>
      <c r="DA17" s="172" t="s">
        <v>147</v>
      </c>
      <c r="DB17" s="174">
        <f>CS6</f>
        <v>42917</v>
      </c>
      <c r="DC17" s="154"/>
      <c r="DD17" s="154"/>
      <c r="DE17" s="155">
        <f t="shared" si="19"/>
        <v>80</v>
      </c>
      <c r="DF17" s="154"/>
      <c r="DG17" s="154"/>
      <c r="DH17" s="156">
        <f t="shared" si="20"/>
        <v>128.35499999999999</v>
      </c>
      <c r="DK17" s="113"/>
      <c r="DL17" s="146">
        <v>5</v>
      </c>
      <c r="DM17" s="166">
        <v>30000000</v>
      </c>
      <c r="DN17" s="168">
        <f>AVERAGEIFS($M:$M,$L:$L,"&gt;="&amp;$DM$6,$L:$L,"&lt;="&amp;$DO$6,$O:$O,"="&amp;$DM17)</f>
        <v>42955933</v>
      </c>
      <c r="DR17" s="167">
        <f t="shared" si="28"/>
        <v>1</v>
      </c>
      <c r="DT17" s="172" t="s">
        <v>147</v>
      </c>
      <c r="DU17" s="174">
        <f>DM6</f>
        <v>42917</v>
      </c>
      <c r="DV17" s="154"/>
      <c r="DW17" s="154"/>
      <c r="DX17" s="155">
        <f t="shared" si="21"/>
        <v>100</v>
      </c>
      <c r="DY17" s="154"/>
      <c r="DZ17" s="154"/>
      <c r="EA17" s="156">
        <f t="shared" si="22"/>
        <v>197.19125</v>
      </c>
      <c r="ED17" s="113"/>
      <c r="EE17" s="146">
        <v>5</v>
      </c>
      <c r="EF17" s="166">
        <v>30000000</v>
      </c>
      <c r="EG17" s="168">
        <f t="shared" si="29"/>
        <v>42863537.75</v>
      </c>
      <c r="EK17" s="167">
        <f t="shared" si="30"/>
        <v>4</v>
      </c>
      <c r="EM17" s="171"/>
      <c r="EO17" s="154"/>
      <c r="EP17" s="154"/>
      <c r="EQ17" s="155">
        <f t="shared" si="12"/>
        <v>100</v>
      </c>
      <c r="ER17" s="154"/>
      <c r="ES17" s="154"/>
      <c r="ET17" s="156">
        <f t="shared" si="13"/>
        <v>168.65280000000001</v>
      </c>
      <c r="EX17" s="172"/>
      <c r="EY17" s="2"/>
      <c r="EZ17" s="154"/>
      <c r="FA17" s="154"/>
      <c r="FB17" s="155" t="e">
        <f>#REF!/1000000</f>
        <v>#REF!</v>
      </c>
      <c r="FC17" s="154"/>
      <c r="FD17" s="154"/>
      <c r="FE17" s="156">
        <f t="shared" si="14"/>
        <v>0</v>
      </c>
    </row>
    <row r="18" spans="2:161" ht="15" customHeight="1" x14ac:dyDescent="0.2">
      <c r="B18" s="129">
        <v>40238</v>
      </c>
      <c r="C18" s="129">
        <v>40694</v>
      </c>
      <c r="D18" s="151"/>
      <c r="F18" s="86" t="s">
        <v>43</v>
      </c>
      <c r="G18" s="131">
        <f>H17+1</f>
        <v>42917</v>
      </c>
      <c r="H18" s="131">
        <f>EOMONTH(G18,5)</f>
        <v>43100</v>
      </c>
      <c r="J18" s="86" t="str" cm="1">
        <f t="array" ref="J18">LOOKUP(2,1/($G$17:$G$33&lt;=$L18)/($H$17:$H$33&gt;=$L18),$F$17:$F$33)</f>
        <v>2H24</v>
      </c>
      <c r="K18" s="86" t="str" cm="1">
        <f t="array" ref="K18">LOOKUP(2,1/($G$6:$G$14&lt;=$L18)/($H$6:$H$14&gt;=$L18),$F$6:$F$14)</f>
        <v>FY24</v>
      </c>
      <c r="L18" s="118">
        <v>45379</v>
      </c>
      <c r="M18" s="49">
        <v>28780960</v>
      </c>
      <c r="N18" s="49">
        <v>38785221</v>
      </c>
      <c r="O18" s="50">
        <v>12000000</v>
      </c>
      <c r="P18" s="119" cm="1">
        <f t="array" ref="P18">LOOKUP(2,1/($B$10:$B$14&lt;=$L18)/($C$10:$C$14&gt;=$L18),$D$10:$D$14)</f>
        <v>1.1000000000000001</v>
      </c>
      <c r="Q18" s="120" cm="1">
        <f t="array" ref="Q18">LOOKUP(2,1/($B$17:$B$21&lt;=$L18)/($C$17:$C$21&gt;=$L18),$D$17:$D$21)</f>
        <v>134.49039999999999</v>
      </c>
      <c r="R18" s="113" t="str">
        <f t="shared" si="0"/>
        <v/>
      </c>
      <c r="S18" s="113" t="str">
        <f t="shared" si="1"/>
        <v>2H24</v>
      </c>
      <c r="T18" s="113" t="str">
        <f t="shared" ca="1" si="2"/>
        <v/>
      </c>
      <c r="U18" s="113" t="str">
        <f t="shared" si="3"/>
        <v/>
      </c>
      <c r="V18" s="113" t="str">
        <f t="shared" si="4"/>
        <v>FY24</v>
      </c>
      <c r="W18" s="113" t="str">
        <f t="shared" ca="1" si="5"/>
        <v/>
      </c>
      <c r="X18" s="113"/>
      <c r="Y18" s="146">
        <v>6</v>
      </c>
      <c r="Z18" s="166">
        <v>160000000</v>
      </c>
      <c r="AA18" s="167"/>
      <c r="AB18" s="173">
        <f t="shared" si="31"/>
        <v>257407799.99999997</v>
      </c>
      <c r="AC18" s="145">
        <v>198005999.99999997</v>
      </c>
      <c r="AD18" s="145">
        <v>246312000</v>
      </c>
      <c r="AE18" s="167">
        <f t="shared" si="23"/>
        <v>1</v>
      </c>
      <c r="AF18" s="167"/>
      <c r="AG18" s="167"/>
      <c r="AH18" s="167"/>
      <c r="AJ18" s="172" t="s">
        <v>148</v>
      </c>
      <c r="AK18" s="174">
        <f>AB6</f>
        <v>44952</v>
      </c>
      <c r="AL18" s="154"/>
      <c r="AM18" s="154"/>
      <c r="AN18" s="155">
        <f t="shared" si="8"/>
        <v>300</v>
      </c>
      <c r="AO18" s="154"/>
      <c r="AP18" s="154"/>
      <c r="AQ18" s="156">
        <f t="shared" si="9"/>
        <v>463.41359999999997</v>
      </c>
      <c r="AT18" s="113"/>
      <c r="AU18" s="146">
        <v>6</v>
      </c>
      <c r="AV18" s="166">
        <v>160000000</v>
      </c>
      <c r="AW18" s="167">
        <f t="shared" si="24"/>
        <v>284837414</v>
      </c>
      <c r="AY18" s="167">
        <f t="shared" si="25"/>
        <v>1</v>
      </c>
      <c r="BA18" s="172" t="s">
        <v>148</v>
      </c>
      <c r="BB18" s="174">
        <f>AX6</f>
        <v>44868</v>
      </c>
      <c r="BC18" s="154"/>
      <c r="BD18" s="155">
        <f t="shared" si="15"/>
        <v>300</v>
      </c>
      <c r="BE18" s="156">
        <f t="shared" si="16"/>
        <v>640</v>
      </c>
      <c r="BH18" s="113"/>
      <c r="BI18" s="146">
        <v>6</v>
      </c>
      <c r="BJ18" s="166">
        <v>80000000</v>
      </c>
      <c r="BK18" s="146">
        <v>113751244.41664214</v>
      </c>
      <c r="BQ18" s="172" t="s">
        <v>147</v>
      </c>
      <c r="BR18" s="174" t="str">
        <f>BJ6</f>
        <v>EST</v>
      </c>
      <c r="BS18" s="154"/>
      <c r="BT18" s="154"/>
      <c r="BU18" s="155">
        <f t="shared" si="10"/>
        <v>200</v>
      </c>
      <c r="BV18" s="154"/>
      <c r="BW18" s="154"/>
      <c r="BX18" s="156">
        <f t="shared" si="11"/>
        <v>396</v>
      </c>
      <c r="CA18" s="113"/>
      <c r="CB18" s="146">
        <v>6</v>
      </c>
      <c r="CC18" s="166">
        <v>80000000</v>
      </c>
      <c r="CD18" s="146">
        <v>113751244.41664214</v>
      </c>
      <c r="CE18" s="173">
        <f t="shared" si="32"/>
        <v>107612000</v>
      </c>
      <c r="CF18" s="145">
        <v>107612000</v>
      </c>
      <c r="CG18" s="145">
        <v>103685000.00000001</v>
      </c>
      <c r="CH18" s="167"/>
      <c r="CJ18" s="172" t="s">
        <v>148</v>
      </c>
      <c r="CK18" s="174" t="str">
        <f>CE6</f>
        <v>EST</v>
      </c>
      <c r="CL18" s="154"/>
      <c r="CM18" s="155">
        <f t="shared" si="17"/>
        <v>200</v>
      </c>
      <c r="CN18" s="156">
        <f t="shared" si="18"/>
        <v>341.65600000000001</v>
      </c>
      <c r="CQ18" s="113"/>
      <c r="CR18" s="146">
        <v>6</v>
      </c>
      <c r="CS18" s="166">
        <v>40000000</v>
      </c>
      <c r="CT18" s="168">
        <f t="shared" si="26"/>
        <v>52311529</v>
      </c>
      <c r="CX18" s="167">
        <f t="shared" si="27"/>
        <v>1</v>
      </c>
      <c r="DA18" s="172" t="s">
        <v>148</v>
      </c>
      <c r="DB18" s="174">
        <f>CU6</f>
        <v>43208</v>
      </c>
      <c r="DC18" s="154"/>
      <c r="DD18" s="154"/>
      <c r="DE18" s="155">
        <f t="shared" si="19"/>
        <v>100</v>
      </c>
      <c r="DF18" s="154"/>
      <c r="DG18" s="154"/>
      <c r="DH18" s="156">
        <f t="shared" si="20"/>
        <v>197.19125</v>
      </c>
      <c r="DK18" s="113"/>
      <c r="DL18" s="146">
        <v>6</v>
      </c>
      <c r="DM18" s="166">
        <v>50000000</v>
      </c>
      <c r="DN18" s="168">
        <f>AVERAGEIFS($M:$M,$L:$L,"&gt;="&amp;$DM$6,$L:$L,"&lt;="&amp;$DO$6,$O:$O,"="&amp;$DM18)</f>
        <v>69849423</v>
      </c>
      <c r="DR18" s="167">
        <f t="shared" si="28"/>
        <v>1</v>
      </c>
      <c r="DT18" s="172" t="s">
        <v>148</v>
      </c>
      <c r="DU18" s="174">
        <f>DO6</f>
        <v>43100</v>
      </c>
      <c r="DV18" s="154"/>
      <c r="DW18" s="154"/>
      <c r="DX18" s="155">
        <f t="shared" si="21"/>
        <v>120</v>
      </c>
      <c r="DY18" s="154"/>
      <c r="DZ18" s="154"/>
      <c r="EA18" s="156">
        <f t="shared" si="22"/>
        <v>233.93875</v>
      </c>
      <c r="ED18" s="113"/>
      <c r="EE18" s="146">
        <v>6</v>
      </c>
      <c r="EF18" s="166">
        <v>50000000</v>
      </c>
      <c r="EG18" s="168">
        <f t="shared" si="29"/>
        <v>68554623.5</v>
      </c>
      <c r="EK18" s="167">
        <f t="shared" si="30"/>
        <v>2</v>
      </c>
      <c r="EM18" s="172" t="s">
        <v>147</v>
      </c>
      <c r="EN18" s="174">
        <f>EF6</f>
        <v>42838</v>
      </c>
      <c r="EO18" s="154"/>
      <c r="EP18" s="154"/>
      <c r="EQ18" s="155">
        <f t="shared" si="12"/>
        <v>120</v>
      </c>
      <c r="ER18" s="154"/>
      <c r="ES18" s="154"/>
      <c r="ET18" s="156">
        <f t="shared" si="13"/>
        <v>199.6515</v>
      </c>
      <c r="EX18" s="172" t="s">
        <v>147</v>
      </c>
      <c r="EY18" s="174">
        <f>EN6</f>
        <v>0</v>
      </c>
      <c r="EZ18" s="154"/>
      <c r="FA18" s="154"/>
      <c r="FB18" s="155">
        <f>EN21/1000000</f>
        <v>0</v>
      </c>
      <c r="FC18" s="154"/>
      <c r="FD18" s="154"/>
      <c r="FE18" s="156">
        <f t="shared" si="14"/>
        <v>0</v>
      </c>
    </row>
    <row r="19" spans="2:161" ht="15" customHeight="1" x14ac:dyDescent="0.2">
      <c r="B19" s="129">
        <v>40695</v>
      </c>
      <c r="C19" s="129">
        <v>41339</v>
      </c>
      <c r="D19" s="151"/>
      <c r="F19" s="86" t="s">
        <v>46</v>
      </c>
      <c r="G19" s="131">
        <f t="shared" ref="G19:G33" si="33">H18+1</f>
        <v>43101</v>
      </c>
      <c r="H19" s="131">
        <f t="shared" ref="H19:H33" si="34">EOMONTH(G19,5)</f>
        <v>43281</v>
      </c>
      <c r="J19" s="86" t="str" cm="1">
        <f t="array" ref="J19">LOOKUP(2,1/($G$17:$G$33&lt;=$L19)/($H$17:$H$33&gt;=$L19),$F$17:$F$33)</f>
        <v>2H24</v>
      </c>
      <c r="K19" s="86" t="str" cm="1">
        <f t="array" ref="K19">LOOKUP(2,1/($G$6:$G$14&lt;=$L19)/($H$6:$H$14&gt;=$L19),$F$6:$F$14)</f>
        <v>FY24</v>
      </c>
      <c r="L19" s="118">
        <v>45372</v>
      </c>
      <c r="M19" s="49">
        <v>19763649</v>
      </c>
      <c r="N19" s="49">
        <v>26633493</v>
      </c>
      <c r="O19" s="50">
        <v>4000000</v>
      </c>
      <c r="P19" s="119" cm="1">
        <f t="array" ref="P19">LOOKUP(2,1/($B$10:$B$14&lt;=$L19)/($C$10:$C$14&gt;=$L19),$D$10:$D$14)</f>
        <v>1.1000000000000001</v>
      </c>
      <c r="Q19" s="120" cm="1">
        <f t="array" ref="Q19">LOOKUP(2,1/($B$17:$B$21&lt;=$L19)/($C$17:$C$21&gt;=$L19),$D$17:$D$21)</f>
        <v>134.49039999999999</v>
      </c>
      <c r="R19" s="113" t="str">
        <f t="shared" si="0"/>
        <v/>
      </c>
      <c r="S19" s="113" t="str">
        <f t="shared" si="1"/>
        <v>2H24</v>
      </c>
      <c r="T19" s="113" t="str">
        <f t="shared" ca="1" si="2"/>
        <v/>
      </c>
      <c r="U19" s="113" t="str">
        <f t="shared" si="3"/>
        <v/>
      </c>
      <c r="V19" s="113" t="str">
        <f t="shared" si="4"/>
        <v>FY24</v>
      </c>
      <c r="W19" s="113" t="str">
        <f t="shared" ca="1" si="5"/>
        <v/>
      </c>
      <c r="X19" s="113"/>
      <c r="Y19" s="146">
        <v>7</v>
      </c>
      <c r="Z19" s="145">
        <v>200000000</v>
      </c>
      <c r="AA19" s="145"/>
      <c r="AB19" s="173">
        <f t="shared" si="31"/>
        <v>316266600</v>
      </c>
      <c r="AC19" s="145">
        <v>243281999.99999997</v>
      </c>
      <c r="AD19" s="145">
        <v>328140000</v>
      </c>
      <c r="AE19" s="167">
        <f t="shared" si="23"/>
        <v>0</v>
      </c>
      <c r="AF19" s="167"/>
      <c r="AG19" s="167"/>
      <c r="AH19" s="167"/>
      <c r="AJ19" s="172" t="s">
        <v>0</v>
      </c>
      <c r="AK19" s="175">
        <f>AB11</f>
        <v>1</v>
      </c>
      <c r="AL19" s="154"/>
      <c r="AM19" s="154"/>
      <c r="AN19" s="155">
        <f t="shared" si="8"/>
        <v>350</v>
      </c>
      <c r="AO19" s="154"/>
      <c r="AP19" s="154"/>
      <c r="AQ19" s="156">
        <f t="shared" si="9"/>
        <v>536.98710000000005</v>
      </c>
      <c r="AT19" s="113"/>
      <c r="AU19" s="146">
        <v>7</v>
      </c>
      <c r="AV19" s="145">
        <v>200000000</v>
      </c>
      <c r="AW19" s="145"/>
      <c r="AX19" s="145">
        <v>400000000</v>
      </c>
      <c r="AY19" s="146"/>
      <c r="BA19" s="176"/>
      <c r="BB19" s="85"/>
      <c r="BC19" s="154"/>
      <c r="BD19" s="155">
        <f t="shared" si="15"/>
        <v>350</v>
      </c>
      <c r="BE19" s="156">
        <f t="shared" si="16"/>
        <v>800</v>
      </c>
      <c r="BH19" s="113"/>
      <c r="BI19" s="146">
        <v>7</v>
      </c>
      <c r="BJ19" s="166">
        <v>120000000</v>
      </c>
      <c r="BK19" s="146">
        <v>226126304.09125558</v>
      </c>
      <c r="BL19" s="168"/>
      <c r="BM19" s="168"/>
      <c r="BN19" s="168"/>
      <c r="BO19" s="168"/>
      <c r="BQ19" s="172" t="s">
        <v>148</v>
      </c>
      <c r="BR19" s="174" t="str">
        <f>BL6</f>
        <v>EST</v>
      </c>
      <c r="BS19" s="154"/>
      <c r="BT19" s="154"/>
      <c r="BU19" s="155">
        <f t="shared" si="10"/>
        <v>250</v>
      </c>
      <c r="BV19" s="154"/>
      <c r="BW19" s="154"/>
      <c r="BX19" s="156">
        <f t="shared" si="11"/>
        <v>510</v>
      </c>
      <c r="CA19" s="113"/>
      <c r="CB19" s="146">
        <v>7</v>
      </c>
      <c r="CC19" s="166">
        <v>120000000</v>
      </c>
      <c r="CD19" s="146">
        <v>226126304.09125558</v>
      </c>
      <c r="CE19" s="173">
        <f t="shared" si="32"/>
        <v>214323200</v>
      </c>
      <c r="CF19" s="145">
        <v>153088000</v>
      </c>
      <c r="CG19" s="145">
        <v>140281000</v>
      </c>
      <c r="CH19" s="167"/>
      <c r="CJ19" s="176"/>
      <c r="CK19" s="85"/>
      <c r="CL19" s="154"/>
      <c r="CM19" s="155">
        <f t="shared" si="17"/>
        <v>250</v>
      </c>
      <c r="CN19" s="156">
        <f t="shared" si="18"/>
        <v>421.23900000000003</v>
      </c>
      <c r="CQ19" s="113"/>
      <c r="CR19" s="146">
        <v>7</v>
      </c>
      <c r="CS19" s="166">
        <v>55000000</v>
      </c>
      <c r="CT19" s="168">
        <f t="shared" si="26"/>
        <v>80521889</v>
      </c>
      <c r="CU19" s="168"/>
      <c r="CV19" s="168"/>
      <c r="CW19" s="168"/>
      <c r="CX19" s="167">
        <f t="shared" si="27"/>
        <v>1</v>
      </c>
      <c r="DA19" s="172" t="s">
        <v>173</v>
      </c>
      <c r="DB19" s="177">
        <f>CU11</f>
        <v>0.78846153846153844</v>
      </c>
      <c r="DC19" s="154"/>
      <c r="DD19" s="154"/>
      <c r="DE19" s="155">
        <f t="shared" si="19"/>
        <v>150</v>
      </c>
      <c r="DF19" s="154"/>
      <c r="DG19" s="154"/>
      <c r="DH19" s="156">
        <f t="shared" si="20"/>
        <v>289.06</v>
      </c>
      <c r="DK19" s="113"/>
      <c r="DL19" s="146">
        <v>7</v>
      </c>
      <c r="DM19" s="145">
        <v>80000000</v>
      </c>
      <c r="DN19" s="145"/>
      <c r="DO19" s="173">
        <f>IF($DM19&gt;=100000000,$DP$8*DP$11*DP19+$DQ$8*DQ$11*DQ19,DP$11*DP19+DQ$11*DQ19)</f>
        <v>128354999.99999999</v>
      </c>
      <c r="DP19" s="145">
        <v>128354999.99999999</v>
      </c>
      <c r="DQ19" s="145">
        <v>126586000</v>
      </c>
      <c r="DR19" s="167"/>
      <c r="DT19" s="172" t="s">
        <v>173</v>
      </c>
      <c r="DU19" s="177">
        <f>DO11</f>
        <v>1</v>
      </c>
      <c r="DV19" s="154"/>
      <c r="DW19" s="154"/>
      <c r="DX19" s="155">
        <f t="shared" si="21"/>
        <v>150</v>
      </c>
      <c r="DY19" s="154"/>
      <c r="DZ19" s="154"/>
      <c r="EA19" s="156">
        <f t="shared" si="22"/>
        <v>289.06</v>
      </c>
      <c r="ED19" s="113"/>
      <c r="EE19" s="146">
        <v>7</v>
      </c>
      <c r="EF19" s="145">
        <v>70000000</v>
      </c>
      <c r="EG19" s="145"/>
      <c r="EH19" s="173">
        <f>IF($EF19&gt;=100000000,$EI$8*EI$11*EI19+$EJ$8*EJ$11*EJ19,EI$11*EI19+EJ$11*EJ19)*EH$11</f>
        <v>90484999.999999985</v>
      </c>
      <c r="EI19" s="145">
        <v>90484999.999999985</v>
      </c>
      <c r="EJ19" s="145">
        <v>91498000</v>
      </c>
      <c r="EK19" s="146"/>
      <c r="EM19" s="172" t="s">
        <v>148</v>
      </c>
      <c r="EN19" s="174">
        <f>EH6</f>
        <v>43202</v>
      </c>
      <c r="EO19" s="154"/>
      <c r="EP19" s="154"/>
      <c r="EQ19" s="155">
        <f t="shared" si="12"/>
        <v>150</v>
      </c>
      <c r="ER19" s="154"/>
      <c r="ES19" s="154"/>
      <c r="ET19" s="156">
        <f t="shared" si="13"/>
        <v>246.14954999999998</v>
      </c>
      <c r="EX19" s="172" t="s">
        <v>148</v>
      </c>
      <c r="EY19" s="174">
        <f>EQ6</f>
        <v>0</v>
      </c>
      <c r="EZ19" s="154"/>
      <c r="FA19" s="154"/>
      <c r="FB19" s="155">
        <f>EN22/1000000</f>
        <v>0</v>
      </c>
      <c r="FC19" s="154"/>
      <c r="FD19" s="154"/>
      <c r="FE19" s="156">
        <f t="shared" si="14"/>
        <v>0</v>
      </c>
    </row>
    <row r="20" spans="2:161" x14ac:dyDescent="0.2">
      <c r="B20" s="129">
        <v>41340</v>
      </c>
      <c r="C20" s="129">
        <v>43208</v>
      </c>
      <c r="D20" s="178">
        <v>76.767600000000002</v>
      </c>
      <c r="F20" s="86" t="s">
        <v>47</v>
      </c>
      <c r="G20" s="131">
        <f t="shared" si="33"/>
        <v>43282</v>
      </c>
      <c r="H20" s="131">
        <f t="shared" si="34"/>
        <v>43465</v>
      </c>
      <c r="J20" s="86" t="str" cm="1">
        <f t="array" ref="J20">LOOKUP(2,1/($G$17:$G$33&lt;=$L20)/($H$17:$H$33&gt;=$L20),$F$17:$F$33)</f>
        <v>2H24</v>
      </c>
      <c r="K20" s="86" t="str" cm="1">
        <f t="array" ref="K20">LOOKUP(2,1/($G$6:$G$14&lt;=$L20)/($H$6:$H$14&gt;=$L20),$F$6:$F$14)</f>
        <v>FY24</v>
      </c>
      <c r="L20" s="118">
        <v>45365</v>
      </c>
      <c r="M20" s="49">
        <v>52908047</v>
      </c>
      <c r="N20" s="49">
        <v>71298884</v>
      </c>
      <c r="O20" s="50">
        <v>40000000</v>
      </c>
      <c r="P20" s="119" cm="1">
        <f t="array" ref="P20">LOOKUP(2,1/($B$10:$B$14&lt;=$L20)/($C$10:$C$14&gt;=$L20),$D$10:$D$14)</f>
        <v>1.1000000000000001</v>
      </c>
      <c r="Q20" s="120" cm="1">
        <f t="array" ref="Q20">LOOKUP(2,1/($B$17:$B$21&lt;=$L20)/($C$17:$C$21&gt;=$L20),$D$17:$D$21)</f>
        <v>134.49039999999999</v>
      </c>
      <c r="R20" s="113" t="str">
        <f t="shared" si="0"/>
        <v/>
      </c>
      <c r="S20" s="113" t="str">
        <f t="shared" si="1"/>
        <v>2H24</v>
      </c>
      <c r="T20" s="113" t="str">
        <f t="shared" ca="1" si="2"/>
        <v/>
      </c>
      <c r="U20" s="113" t="str">
        <f t="shared" si="3"/>
        <v/>
      </c>
      <c r="V20" s="113" t="str">
        <f t="shared" si="4"/>
        <v>FY24</v>
      </c>
      <c r="W20" s="113" t="str">
        <f t="shared" ca="1" si="5"/>
        <v/>
      </c>
      <c r="X20" s="113"/>
      <c r="Y20" s="146">
        <v>8</v>
      </c>
      <c r="Z20" s="145">
        <v>250000000</v>
      </c>
      <c r="AA20" s="145"/>
      <c r="AB20" s="173">
        <f t="shared" si="31"/>
        <v>389840099.99999994</v>
      </c>
      <c r="AC20" s="145">
        <v>299876999.99999994</v>
      </c>
      <c r="AD20" s="145">
        <v>444374999.99999994</v>
      </c>
      <c r="AE20" s="146"/>
      <c r="AF20" s="146"/>
      <c r="AG20" s="146"/>
      <c r="AH20" s="146"/>
      <c r="AJ20" s="179" t="s">
        <v>162</v>
      </c>
      <c r="AK20" s="180">
        <f>AC8</f>
        <v>1.3</v>
      </c>
      <c r="AL20" s="181"/>
      <c r="AM20" s="181"/>
      <c r="AN20" s="181"/>
      <c r="AO20" s="181"/>
      <c r="AP20" s="181"/>
      <c r="AQ20" s="182"/>
      <c r="AT20" s="113"/>
      <c r="AU20" s="146">
        <v>8</v>
      </c>
      <c r="AV20" s="145">
        <v>250000000</v>
      </c>
      <c r="AW20" s="145"/>
      <c r="AX20" s="145">
        <v>510000000</v>
      </c>
      <c r="AY20" s="146"/>
      <c r="BA20" s="176"/>
      <c r="BB20" s="32"/>
      <c r="BC20" s="32"/>
      <c r="BD20" s="32"/>
      <c r="BE20" s="183"/>
      <c r="BH20" s="113"/>
      <c r="BI20" s="146">
        <v>8</v>
      </c>
      <c r="BJ20" s="145">
        <v>150000000</v>
      </c>
      <c r="BK20" s="184"/>
      <c r="BL20" s="145">
        <v>295000000</v>
      </c>
      <c r="BM20" s="145"/>
      <c r="BN20" s="145"/>
      <c r="BO20" s="146"/>
      <c r="BQ20" s="179" t="s">
        <v>0</v>
      </c>
      <c r="BR20" s="185">
        <f>BL11</f>
        <v>0</v>
      </c>
      <c r="BS20" s="181"/>
      <c r="BT20" s="181"/>
      <c r="BU20" s="181"/>
      <c r="BV20" s="181"/>
      <c r="BW20" s="181"/>
      <c r="BX20" s="182"/>
      <c r="CA20" s="113"/>
      <c r="CB20" s="146">
        <v>8</v>
      </c>
      <c r="CC20" s="145">
        <v>160000000</v>
      </c>
      <c r="CD20" s="184"/>
      <c r="CE20" s="173">
        <f t="shared" si="32"/>
        <v>277989600</v>
      </c>
      <c r="CF20" s="145">
        <v>198564000</v>
      </c>
      <c r="CG20" s="145">
        <v>172077000</v>
      </c>
      <c r="CH20" s="146"/>
      <c r="CJ20" s="176"/>
      <c r="CK20" s="32"/>
      <c r="CL20" s="32"/>
      <c r="CM20" s="32"/>
      <c r="CN20" s="183"/>
      <c r="CQ20" s="113"/>
      <c r="CR20" s="146">
        <v>8</v>
      </c>
      <c r="CS20" s="145">
        <v>80000000</v>
      </c>
      <c r="CT20" s="145"/>
      <c r="CU20" s="173">
        <f>IF($CS20&gt;=100000000,$CV$8*CV$11*CV20+$CW$8*CW$11*CW20,CV$11*CV20+CW$11*CW20)</f>
        <v>128354999.99999999</v>
      </c>
      <c r="CV20" s="145">
        <v>128354999.99999999</v>
      </c>
      <c r="CW20" s="145">
        <v>126586000</v>
      </c>
      <c r="CX20" s="146"/>
      <c r="DA20" s="176"/>
      <c r="DB20" s="32"/>
      <c r="DC20" s="32"/>
      <c r="DD20" s="32"/>
      <c r="DE20" s="32"/>
      <c r="DF20" s="32"/>
      <c r="DG20" s="32"/>
      <c r="DH20" s="183"/>
      <c r="DK20" s="113"/>
      <c r="DL20" s="146">
        <v>8</v>
      </c>
      <c r="DM20" s="145">
        <v>100000000</v>
      </c>
      <c r="DN20" s="145"/>
      <c r="DO20" s="173">
        <f>IF($DM20&gt;=100000000,$DP$8*DP$11*DP20+$DQ$8*DQ$11*DQ20,DP$11*DP20+DQ$11*DQ20)</f>
        <v>197191250</v>
      </c>
      <c r="DP20" s="145">
        <v>157753000</v>
      </c>
      <c r="DQ20" s="145">
        <v>177328000</v>
      </c>
      <c r="DR20" s="146"/>
      <c r="DT20" s="176"/>
      <c r="DU20" s="32"/>
      <c r="DV20" s="32"/>
      <c r="DW20" s="32"/>
      <c r="DX20" s="32"/>
      <c r="DY20" s="32"/>
      <c r="DZ20" s="32"/>
      <c r="EA20" s="183"/>
      <c r="ED20" s="113"/>
      <c r="EE20" s="146">
        <v>8</v>
      </c>
      <c r="EF20" s="145">
        <v>100000000</v>
      </c>
      <c r="EG20" s="145"/>
      <c r="EH20" s="173">
        <f>IF($EF20&gt;=100000000,$EI$8*EI$11*EI20+$EJ$8*EJ$11*EJ20,EI$11*EI20+EJ$11*EJ20)*EH$11</f>
        <v>168652800</v>
      </c>
      <c r="EI20" s="145">
        <v>124927999.99999999</v>
      </c>
      <c r="EJ20" s="145">
        <v>128104000.00000001</v>
      </c>
      <c r="EK20" s="146"/>
      <c r="EM20" s="179" t="s">
        <v>0</v>
      </c>
      <c r="EN20" s="185">
        <f>EH11</f>
        <v>1</v>
      </c>
      <c r="EO20" s="181"/>
      <c r="EP20" s="181"/>
      <c r="EQ20" s="181"/>
      <c r="ER20" s="181"/>
      <c r="ES20" s="181"/>
      <c r="ET20" s="182"/>
      <c r="EX20" s="179" t="s">
        <v>0</v>
      </c>
      <c r="EY20" s="185">
        <f>EQ11</f>
        <v>6</v>
      </c>
      <c r="EZ20" s="181"/>
      <c r="FA20" s="181"/>
      <c r="FB20" s="181"/>
      <c r="FC20" s="181"/>
      <c r="FD20" s="181"/>
      <c r="FE20" s="182"/>
    </row>
    <row r="21" spans="2:161" s="105" customFormat="1" x14ac:dyDescent="0.2">
      <c r="B21" s="129">
        <v>43209</v>
      </c>
      <c r="C21" s="131">
        <f>EOMONTH(MAX($L:$L),0)</f>
        <v>45473</v>
      </c>
      <c r="D21" s="178">
        <v>134.49039999999999</v>
      </c>
      <c r="E21" s="85"/>
      <c r="F21" s="86" t="s">
        <v>48</v>
      </c>
      <c r="G21" s="131">
        <f t="shared" si="33"/>
        <v>43466</v>
      </c>
      <c r="H21" s="131">
        <f t="shared" si="34"/>
        <v>43646</v>
      </c>
      <c r="I21" s="85"/>
      <c r="J21" s="86" t="str" cm="1">
        <f t="array" ref="J21">LOOKUP(2,1/($G$17:$G$33&lt;=$L21)/($H$17:$H$33&gt;=$L21),$F$17:$F$33)</f>
        <v>2H24</v>
      </c>
      <c r="K21" s="86" t="str" cm="1">
        <f t="array" ref="K21">LOOKUP(2,1/($G$6:$G$14&lt;=$L21)/($H$6:$H$14&gt;=$L21),$F$6:$F$14)</f>
        <v>FY24</v>
      </c>
      <c r="L21" s="118">
        <v>45358</v>
      </c>
      <c r="M21" s="49">
        <v>40790859</v>
      </c>
      <c r="N21" s="49">
        <v>54969762</v>
      </c>
      <c r="O21" s="50">
        <v>20000000</v>
      </c>
      <c r="P21" s="119" cm="1">
        <f t="array" ref="P21">LOOKUP(2,1/($B$10:$B$14&lt;=$L21)/($C$10:$C$14&gt;=$L21),$D$10:$D$14)</f>
        <v>1.1000000000000001</v>
      </c>
      <c r="Q21" s="120" cm="1">
        <f t="array" ref="Q21">LOOKUP(2,1/($B$17:$B$21&lt;=$L21)/($C$17:$C$21&gt;=$L21),$D$17:$D$21)</f>
        <v>134.49039999999999</v>
      </c>
      <c r="R21" s="113" t="str">
        <f t="shared" si="0"/>
        <v/>
      </c>
      <c r="S21" s="113" t="str">
        <f t="shared" si="1"/>
        <v>2H24</v>
      </c>
      <c r="T21" s="113" t="str">
        <f t="shared" ca="1" si="2"/>
        <v/>
      </c>
      <c r="U21" s="113" t="str">
        <f t="shared" si="3"/>
        <v/>
      </c>
      <c r="V21" s="113" t="str">
        <f t="shared" si="4"/>
        <v>FY24</v>
      </c>
      <c r="W21" s="113" t="str">
        <f t="shared" ca="1" si="5"/>
        <v/>
      </c>
      <c r="X21" s="50"/>
      <c r="Y21" s="146">
        <v>9</v>
      </c>
      <c r="Z21" s="145">
        <v>300000000</v>
      </c>
      <c r="AA21" s="145"/>
      <c r="AB21" s="173">
        <f t="shared" si="31"/>
        <v>463413600</v>
      </c>
      <c r="AC21" s="145">
        <v>356472000</v>
      </c>
      <c r="AD21" s="145">
        <v>576110000</v>
      </c>
      <c r="AE21" s="146"/>
      <c r="AF21" s="146"/>
      <c r="AG21" s="146"/>
      <c r="AH21" s="146"/>
      <c r="AI21" s="85"/>
      <c r="AJ21" s="2"/>
      <c r="AK21" s="2"/>
      <c r="AL21" s="2"/>
      <c r="AM21" s="2"/>
      <c r="AN21" s="2"/>
      <c r="AO21" s="2"/>
      <c r="AP21" s="2"/>
      <c r="AQ21" s="2"/>
      <c r="AR21" s="85"/>
      <c r="AS21" s="85"/>
      <c r="AT21" s="50"/>
      <c r="AU21" s="146">
        <v>9</v>
      </c>
      <c r="AV21" s="145">
        <v>300000000</v>
      </c>
      <c r="AW21" s="145"/>
      <c r="AX21" s="145">
        <v>640000000</v>
      </c>
      <c r="AY21" s="146"/>
      <c r="AZ21" s="85"/>
      <c r="BA21" s="186"/>
      <c r="BB21" s="2"/>
      <c r="BC21" s="2"/>
      <c r="BD21" s="2"/>
      <c r="BE21" s="187"/>
      <c r="BF21" s="85"/>
      <c r="BG21" s="85"/>
      <c r="BH21" s="50"/>
      <c r="BI21" s="146">
        <v>9</v>
      </c>
      <c r="BJ21" s="145">
        <v>200000000</v>
      </c>
      <c r="BK21" s="184"/>
      <c r="BL21" s="145">
        <v>396000000</v>
      </c>
      <c r="BM21" s="145"/>
      <c r="BN21" s="145"/>
      <c r="BO21" s="146"/>
      <c r="BP21" s="85"/>
      <c r="BQ21" s="2"/>
      <c r="BR21" s="2"/>
      <c r="BS21" s="2"/>
      <c r="BT21" s="2"/>
      <c r="BU21" s="2"/>
      <c r="BV21" s="2"/>
      <c r="BW21" s="2"/>
      <c r="BX21" s="2"/>
      <c r="BY21" s="85"/>
      <c r="BZ21" s="85"/>
      <c r="CA21" s="50"/>
      <c r="CB21" s="146">
        <v>9</v>
      </c>
      <c r="CC21" s="145">
        <v>200000000</v>
      </c>
      <c r="CD21" s="184"/>
      <c r="CE21" s="173">
        <f t="shared" si="32"/>
        <v>341656000</v>
      </c>
      <c r="CF21" s="145">
        <v>244040000</v>
      </c>
      <c r="CG21" s="145">
        <v>199073000</v>
      </c>
      <c r="CH21" s="146"/>
      <c r="CI21" s="85"/>
      <c r="CJ21" s="186"/>
      <c r="CK21" s="2"/>
      <c r="CL21" s="2"/>
      <c r="CM21" s="2"/>
      <c r="CN21" s="187"/>
      <c r="CO21" s="85"/>
      <c r="CP21" s="85"/>
      <c r="CQ21" s="50"/>
      <c r="CR21" s="146">
        <v>9</v>
      </c>
      <c r="CS21" s="145">
        <v>100000000</v>
      </c>
      <c r="CT21" s="145"/>
      <c r="CU21" s="173">
        <f>IF($CS21&gt;=100000000,$CV$8*CV$11*CV21+$CW$8*CW$11*CW21,CV$11*CV21+CW$11*CW21)</f>
        <v>197191250</v>
      </c>
      <c r="CV21" s="145">
        <v>157753000</v>
      </c>
      <c r="CW21" s="145">
        <v>177328000</v>
      </c>
      <c r="CX21" s="146"/>
      <c r="CY21" s="85"/>
      <c r="CZ21" s="85"/>
      <c r="DA21" s="186"/>
      <c r="DB21" s="2"/>
      <c r="DC21" s="2"/>
      <c r="DD21" s="2"/>
      <c r="DE21" s="2"/>
      <c r="DF21" s="2"/>
      <c r="DG21" s="2"/>
      <c r="DH21" s="187"/>
      <c r="DI21" s="85"/>
      <c r="DJ21" s="85"/>
      <c r="DK21" s="50"/>
      <c r="DL21" s="146">
        <v>9</v>
      </c>
      <c r="DM21" s="145">
        <v>120000000</v>
      </c>
      <c r="DN21" s="145"/>
      <c r="DO21" s="173">
        <f>IF($DM21&gt;=100000000,$DP$8*DP$11*DP21+$DQ$8*DQ$11*DQ21,DP$11*DP21+DQ$11*DQ21)</f>
        <v>233938750</v>
      </c>
      <c r="DP21" s="145">
        <v>187151000</v>
      </c>
      <c r="DQ21" s="145">
        <v>237990000</v>
      </c>
      <c r="DR21" s="146"/>
      <c r="DS21" s="85"/>
      <c r="DT21" s="186"/>
      <c r="DU21" s="2"/>
      <c r="DV21" s="2"/>
      <c r="DW21" s="2"/>
      <c r="DX21" s="2"/>
      <c r="DY21" s="2"/>
      <c r="DZ21" s="2"/>
      <c r="EA21" s="187"/>
      <c r="EB21" s="85"/>
      <c r="EC21" s="85"/>
      <c r="ED21" s="50"/>
      <c r="EE21" s="146">
        <v>9</v>
      </c>
      <c r="EF21" s="145">
        <v>120000000</v>
      </c>
      <c r="EG21" s="145"/>
      <c r="EH21" s="173">
        <f>IF($EF21&gt;=100000000,$EI$8*EI$11*EI21+$EJ$8*EJ$11*EJ21,EI$11*EI21+EJ$11*EJ21)*EH$11</f>
        <v>199651500</v>
      </c>
      <c r="EI21" s="145">
        <v>147890000</v>
      </c>
      <c r="EJ21" s="145">
        <v>153107999.99999997</v>
      </c>
      <c r="EK21" s="146"/>
      <c r="EL21" s="85"/>
      <c r="EM21" s="2"/>
      <c r="EN21" s="2"/>
      <c r="EO21" s="2"/>
      <c r="EP21" s="2"/>
      <c r="EQ21" s="2"/>
      <c r="ER21" s="2"/>
      <c r="ES21" s="2"/>
      <c r="ET21" s="2"/>
      <c r="EU21" s="85"/>
      <c r="EV21" s="85"/>
    </row>
    <row r="22" spans="2:161" s="105" customFormat="1" x14ac:dyDescent="0.2">
      <c r="B22" s="129"/>
      <c r="C22" s="129"/>
      <c r="D22" s="129"/>
      <c r="E22" s="85"/>
      <c r="F22" s="86" t="s">
        <v>49</v>
      </c>
      <c r="G22" s="131">
        <f t="shared" si="33"/>
        <v>43647</v>
      </c>
      <c r="H22" s="131">
        <f t="shared" si="34"/>
        <v>43830</v>
      </c>
      <c r="I22" s="85"/>
      <c r="J22" s="86" t="str" cm="1">
        <f t="array" ref="J22">LOOKUP(2,1/($G$17:$G$33&lt;=$L22)/($H$17:$H$33&gt;=$L22),$F$17:$F$33)</f>
        <v>2H24</v>
      </c>
      <c r="K22" s="86" t="str" cm="1">
        <f t="array" ref="K22">LOOKUP(2,1/($G$6:$G$14&lt;=$L22)/($H$6:$H$14&gt;=$L22),$F$6:$F$14)</f>
        <v>FY24</v>
      </c>
      <c r="L22" s="118">
        <v>45351</v>
      </c>
      <c r="M22" s="49">
        <v>33186051</v>
      </c>
      <c r="N22" s="49">
        <v>44721522</v>
      </c>
      <c r="O22" s="50">
        <v>12000000</v>
      </c>
      <c r="P22" s="119" cm="1">
        <f t="array" ref="P22">LOOKUP(2,1/($B$10:$B$14&lt;=$L22)/($C$10:$C$14&gt;=$L22),$D$10:$D$14)</f>
        <v>1.1000000000000001</v>
      </c>
      <c r="Q22" s="120" cm="1">
        <f t="array" ref="Q22">LOOKUP(2,1/($B$17:$B$21&lt;=$L22)/($C$17:$C$21&gt;=$L22),$D$17:$D$21)</f>
        <v>134.49039999999999</v>
      </c>
      <c r="R22" s="113" t="str">
        <f t="shared" si="0"/>
        <v/>
      </c>
      <c r="S22" s="113" t="str">
        <f t="shared" si="1"/>
        <v>2H24</v>
      </c>
      <c r="T22" s="113" t="str">
        <f t="shared" ca="1" si="2"/>
        <v/>
      </c>
      <c r="U22" s="113" t="str">
        <f t="shared" si="3"/>
        <v/>
      </c>
      <c r="V22" s="113" t="str">
        <f t="shared" si="4"/>
        <v>FY24</v>
      </c>
      <c r="W22" s="113" t="str">
        <f t="shared" ca="1" si="5"/>
        <v/>
      </c>
      <c r="X22" s="50"/>
      <c r="Y22" s="146">
        <v>10</v>
      </c>
      <c r="Z22" s="145">
        <v>350000000</v>
      </c>
      <c r="AA22" s="145"/>
      <c r="AB22" s="173">
        <f t="shared" si="31"/>
        <v>536987100</v>
      </c>
      <c r="AC22" s="145">
        <v>413066999.99999994</v>
      </c>
      <c r="AD22" s="145">
        <v>723345000</v>
      </c>
      <c r="AE22" s="146"/>
      <c r="AF22" s="146"/>
      <c r="AG22" s="146"/>
      <c r="AH22" s="146"/>
      <c r="AI22" s="85"/>
      <c r="AJ22" s="188"/>
      <c r="AK22" s="188"/>
      <c r="AL22" s="188"/>
      <c r="AM22" s="188"/>
      <c r="AN22" s="188"/>
      <c r="AO22" s="188"/>
      <c r="AP22" s="188"/>
      <c r="AQ22" s="188"/>
      <c r="AR22" s="85"/>
      <c r="AS22" s="85"/>
      <c r="AT22" s="50"/>
      <c r="AU22" s="146">
        <v>10</v>
      </c>
      <c r="AV22" s="145">
        <v>350000000</v>
      </c>
      <c r="AW22" s="145"/>
      <c r="AX22" s="145">
        <v>800000000</v>
      </c>
      <c r="AY22" s="146"/>
      <c r="AZ22" s="85"/>
      <c r="BA22" s="189"/>
      <c r="BB22" s="190"/>
      <c r="BC22" s="190"/>
      <c r="BD22" s="190"/>
      <c r="BE22" s="191"/>
      <c r="BF22" s="85"/>
      <c r="BG22" s="85"/>
      <c r="BH22" s="50"/>
      <c r="BI22" s="146">
        <v>10</v>
      </c>
      <c r="BJ22" s="145">
        <v>250000000</v>
      </c>
      <c r="BK22" s="184"/>
      <c r="BL22" s="145">
        <v>510000000</v>
      </c>
      <c r="BM22" s="145"/>
      <c r="BN22" s="145"/>
      <c r="BO22" s="146"/>
      <c r="BP22" s="85"/>
      <c r="BQ22" s="188"/>
      <c r="BR22" s="188"/>
      <c r="BS22" s="188"/>
      <c r="BT22" s="188"/>
      <c r="BU22" s="188"/>
      <c r="BV22" s="188"/>
      <c r="BW22" s="188"/>
      <c r="BX22" s="188"/>
      <c r="BY22" s="85"/>
      <c r="BZ22" s="85"/>
      <c r="CA22" s="50"/>
      <c r="CB22" s="146">
        <v>10</v>
      </c>
      <c r="CC22" s="145">
        <v>250000000</v>
      </c>
      <c r="CD22" s="184"/>
      <c r="CE22" s="173">
        <f t="shared" si="32"/>
        <v>421239000.00000006</v>
      </c>
      <c r="CF22" s="145">
        <v>300885000.00000006</v>
      </c>
      <c r="CG22" s="145">
        <v>226068000</v>
      </c>
      <c r="CH22" s="146"/>
      <c r="CI22" s="85"/>
      <c r="CJ22" s="189"/>
      <c r="CK22" s="190"/>
      <c r="CL22" s="190"/>
      <c r="CM22" s="190"/>
      <c r="CN22" s="191"/>
      <c r="CO22" s="85"/>
      <c r="CP22" s="85"/>
      <c r="CQ22" s="50"/>
      <c r="CR22" s="146">
        <v>10</v>
      </c>
      <c r="CS22" s="145">
        <v>150000000</v>
      </c>
      <c r="CT22" s="145"/>
      <c r="CU22" s="173">
        <f>IF($CS22&gt;=100000000,$CV$8*CV$11*CV22+$CW$8*CW$11*CW22,CV$11*CV22+CW$11*CW22)</f>
        <v>289060000</v>
      </c>
      <c r="CV22" s="145">
        <v>231248000</v>
      </c>
      <c r="CW22" s="145">
        <v>347582999.99999994</v>
      </c>
      <c r="CX22" s="146"/>
      <c r="CY22" s="85"/>
      <c r="CZ22" s="85"/>
      <c r="DA22" s="189"/>
      <c r="DB22" s="190"/>
      <c r="DC22" s="190"/>
      <c r="DD22" s="190"/>
      <c r="DE22" s="190"/>
      <c r="DF22" s="190"/>
      <c r="DG22" s="190"/>
      <c r="DH22" s="191"/>
      <c r="DI22" s="85"/>
      <c r="DJ22" s="85"/>
      <c r="DK22" s="50"/>
      <c r="DL22" s="146">
        <v>10</v>
      </c>
      <c r="DM22" s="145">
        <v>150000000</v>
      </c>
      <c r="DN22" s="145"/>
      <c r="DO22" s="173">
        <f>IF($DM22&gt;=100000000,$DP$8*DP$11*DP22+$DQ$8*DQ$11*DQ22,DP$11*DP22+DQ$11*DQ22)</f>
        <v>289060000</v>
      </c>
      <c r="DP22" s="145">
        <v>231248000</v>
      </c>
      <c r="DQ22" s="145">
        <v>347582999.99999994</v>
      </c>
      <c r="DR22" s="146"/>
      <c r="DS22" s="85"/>
      <c r="DT22" s="189"/>
      <c r="DU22" s="190"/>
      <c r="DV22" s="190"/>
      <c r="DW22" s="190"/>
      <c r="DX22" s="190"/>
      <c r="DY22" s="190"/>
      <c r="DZ22" s="190"/>
      <c r="EA22" s="191"/>
      <c r="EB22" s="85"/>
      <c r="EC22" s="85"/>
      <c r="ED22" s="50"/>
      <c r="EE22" s="146">
        <v>10</v>
      </c>
      <c r="EF22" s="145">
        <v>150000000</v>
      </c>
      <c r="EG22" s="145"/>
      <c r="EH22" s="173">
        <f>IF($EF22&gt;=100000000,$EI$8*EI$11*EI22+$EJ$8*EJ$11*EJ22,EI$11*EI22+EJ$11*EJ22)*EH$11</f>
        <v>246149549.99999997</v>
      </c>
      <c r="EI22" s="145">
        <v>182332999.99999997</v>
      </c>
      <c r="EJ22" s="145">
        <v>191514000</v>
      </c>
      <c r="EK22" s="146"/>
      <c r="EL22" s="85"/>
      <c r="EM22" s="188"/>
      <c r="EN22" s="188"/>
      <c r="EO22" s="188"/>
      <c r="EP22" s="188"/>
      <c r="EQ22" s="188"/>
      <c r="ER22" s="188"/>
      <c r="ES22" s="188"/>
      <c r="ET22" s="188"/>
      <c r="EU22" s="85"/>
      <c r="EV22" s="85"/>
    </row>
    <row r="23" spans="2:161" x14ac:dyDescent="0.2">
      <c r="B23" s="86"/>
      <c r="C23" s="86"/>
      <c r="D23" s="86"/>
      <c r="F23" s="86" t="s">
        <v>50</v>
      </c>
      <c r="G23" s="131">
        <f t="shared" si="33"/>
        <v>43831</v>
      </c>
      <c r="H23" s="131">
        <f t="shared" si="34"/>
        <v>44012</v>
      </c>
      <c r="J23" s="86" t="str" cm="1">
        <f t="array" ref="J23">LOOKUP(2,1/($G$17:$G$33&lt;=$L23)/($H$17:$H$33&gt;=$L23),$F$17:$F$33)</f>
        <v>2H24</v>
      </c>
      <c r="K23" s="86" t="str" cm="1">
        <f t="array" ref="K23">LOOKUP(2,1/($G$6:$G$14&lt;=$L23)/($H$6:$H$14&gt;=$L23),$F$6:$F$14)</f>
        <v>FY24</v>
      </c>
      <c r="L23" s="118">
        <v>45344</v>
      </c>
      <c r="M23" s="49">
        <v>20955574</v>
      </c>
      <c r="N23" s="49">
        <v>28239731</v>
      </c>
      <c r="O23" s="50">
        <v>4000000</v>
      </c>
      <c r="P23" s="119" cm="1">
        <f t="array" ref="P23">LOOKUP(2,1/($B$10:$B$14&lt;=$L23)/($C$10:$C$14&gt;=$L23),$D$10:$D$14)</f>
        <v>1.1000000000000001</v>
      </c>
      <c r="Q23" s="120" cm="1">
        <f t="array" ref="Q23">LOOKUP(2,1/($B$17:$B$21&lt;=$L23)/($C$17:$C$21&gt;=$L23),$D$17:$D$21)</f>
        <v>134.49039999999999</v>
      </c>
      <c r="R23" s="113" t="str">
        <f t="shared" si="0"/>
        <v/>
      </c>
      <c r="S23" s="113" t="str">
        <f t="shared" si="1"/>
        <v>2H24</v>
      </c>
      <c r="T23" s="113" t="str">
        <f t="shared" ca="1" si="2"/>
        <v/>
      </c>
      <c r="U23" s="113" t="str">
        <f t="shared" si="3"/>
        <v/>
      </c>
      <c r="V23" s="113" t="str">
        <f t="shared" si="4"/>
        <v>FY24</v>
      </c>
      <c r="W23" s="113" t="str">
        <f t="shared" ca="1" si="5"/>
        <v/>
      </c>
      <c r="X23" s="50"/>
      <c r="AI23" s="116"/>
      <c r="AJ23" s="106"/>
      <c r="AK23" s="107"/>
      <c r="AL23" s="107"/>
      <c r="AM23" s="107"/>
      <c r="AN23" s="108"/>
      <c r="AO23" s="107"/>
      <c r="AP23" s="107"/>
      <c r="AQ23" s="108"/>
      <c r="AT23" s="50"/>
      <c r="AZ23" s="116"/>
      <c r="BA23" s="106"/>
      <c r="BB23" s="107"/>
      <c r="BC23" s="107"/>
      <c r="BD23" s="108"/>
      <c r="BE23" s="108"/>
      <c r="BH23" s="50"/>
      <c r="BI23" s="192"/>
      <c r="BP23" s="105"/>
      <c r="BQ23" s="105"/>
      <c r="BR23" s="105"/>
      <c r="BS23" s="105"/>
      <c r="BT23" s="105"/>
      <c r="BU23" s="105"/>
      <c r="BV23" s="105"/>
      <c r="BW23" s="105"/>
      <c r="BX23" s="105"/>
      <c r="BY23" s="105"/>
      <c r="BZ23" s="105"/>
      <c r="CA23" s="50"/>
      <c r="CB23" s="192"/>
      <c r="CI23" s="105"/>
      <c r="CJ23" s="105"/>
      <c r="CK23" s="105"/>
      <c r="CL23" s="105"/>
      <c r="CM23" s="105"/>
      <c r="CN23" s="105"/>
      <c r="CO23" s="105"/>
      <c r="CP23" s="105"/>
      <c r="CQ23" s="50"/>
      <c r="CR23" s="192"/>
      <c r="CY23" s="105"/>
      <c r="CZ23" s="105"/>
      <c r="DA23" s="105"/>
      <c r="DB23" s="105"/>
      <c r="DC23" s="105"/>
      <c r="DD23" s="105"/>
      <c r="DE23" s="105"/>
      <c r="DF23" s="105"/>
      <c r="DG23" s="105"/>
      <c r="DH23" s="105"/>
      <c r="DI23" s="105"/>
      <c r="DJ23" s="105"/>
      <c r="DK23" s="50"/>
      <c r="DL23" s="192"/>
      <c r="DS23" s="105"/>
      <c r="DT23" s="105"/>
      <c r="DU23" s="105"/>
      <c r="DV23" s="105"/>
      <c r="DW23" s="105"/>
      <c r="DX23" s="105"/>
      <c r="DY23" s="105"/>
      <c r="DZ23" s="105"/>
      <c r="EA23" s="105"/>
      <c r="EB23" s="105"/>
      <c r="EC23" s="105"/>
      <c r="ED23" s="50"/>
      <c r="EM23" s="105"/>
      <c r="EN23" s="105"/>
      <c r="EO23" s="105"/>
      <c r="EP23" s="105"/>
      <c r="EQ23" s="105"/>
      <c r="ER23" s="105"/>
      <c r="ES23" s="105"/>
      <c r="ET23" s="105"/>
    </row>
    <row r="24" spans="2:161" x14ac:dyDescent="0.2">
      <c r="B24" s="86"/>
      <c r="C24" s="86"/>
      <c r="D24" s="86"/>
      <c r="F24" s="86" t="s">
        <v>51</v>
      </c>
      <c r="G24" s="131">
        <f t="shared" si="33"/>
        <v>44013</v>
      </c>
      <c r="H24" s="131">
        <f t="shared" si="34"/>
        <v>44196</v>
      </c>
      <c r="J24" s="86" t="str" cm="1">
        <f t="array" ref="J24">LOOKUP(2,1/($G$17:$G$33&lt;=$L24)/($H$17:$H$33&gt;=$L24),$F$17:$F$33)</f>
        <v>2H24</v>
      </c>
      <c r="K24" s="86" t="str" cm="1">
        <f t="array" ref="K24">LOOKUP(2,1/($G$6:$G$14&lt;=$L24)/($H$6:$H$14&gt;=$L24),$F$6:$F$14)</f>
        <v>FY24</v>
      </c>
      <c r="L24" s="118">
        <v>45337</v>
      </c>
      <c r="M24" s="49">
        <v>21269048</v>
      </c>
      <c r="N24" s="49">
        <v>28662169</v>
      </c>
      <c r="O24" s="50">
        <v>4000000</v>
      </c>
      <c r="P24" s="119" cm="1">
        <f t="array" ref="P24">LOOKUP(2,1/($B$10:$B$14&lt;=$L24)/($C$10:$C$14&gt;=$L24),$D$10:$D$14)</f>
        <v>1.1000000000000001</v>
      </c>
      <c r="Q24" s="120" cm="1">
        <f t="array" ref="Q24">LOOKUP(2,1/($B$17:$B$21&lt;=$L24)/($C$17:$C$21&gt;=$L24),$D$17:$D$21)</f>
        <v>134.49039999999999</v>
      </c>
      <c r="R24" s="113" t="str">
        <f t="shared" si="0"/>
        <v/>
      </c>
      <c r="S24" s="113" t="str">
        <f t="shared" si="1"/>
        <v>2H24</v>
      </c>
      <c r="T24" s="113" t="str">
        <f t="shared" ca="1" si="2"/>
        <v/>
      </c>
      <c r="U24" s="113" t="str">
        <f t="shared" si="3"/>
        <v/>
      </c>
      <c r="V24" s="113" t="str">
        <f t="shared" si="4"/>
        <v>FY24</v>
      </c>
      <c r="W24" s="113" t="str">
        <f t="shared" ca="1" si="5"/>
        <v/>
      </c>
      <c r="X24" s="50"/>
      <c r="Y24" s="121" t="s">
        <v>186</v>
      </c>
      <c r="Z24" s="122"/>
      <c r="AA24" s="122"/>
      <c r="AB24" s="122"/>
      <c r="AC24" s="122"/>
      <c r="AD24" s="122"/>
      <c r="AE24" s="122"/>
      <c r="AF24" s="122"/>
      <c r="AG24" s="122"/>
      <c r="AH24" s="122"/>
      <c r="AI24" s="122"/>
      <c r="AJ24" s="122"/>
      <c r="AK24" s="122"/>
      <c r="AL24" s="122"/>
      <c r="AM24" s="122"/>
      <c r="AN24" s="122"/>
      <c r="AO24" s="122"/>
      <c r="AP24" s="122"/>
      <c r="AQ24" s="122"/>
      <c r="AR24" s="122"/>
      <c r="AS24" s="122"/>
      <c r="AT24" s="50"/>
      <c r="AU24" s="193" t="s">
        <v>187</v>
      </c>
      <c r="AV24" s="194"/>
      <c r="AW24" s="194"/>
      <c r="AX24" s="194"/>
      <c r="AY24" s="194"/>
      <c r="AZ24" s="194"/>
      <c r="BA24" s="194"/>
      <c r="BB24" s="194"/>
      <c r="BC24" s="194"/>
      <c r="BD24" s="194"/>
      <c r="BE24" s="194"/>
      <c r="BF24" s="194"/>
      <c r="BG24" s="194"/>
      <c r="BH24" s="50"/>
      <c r="BI24" s="123" t="s">
        <v>188</v>
      </c>
      <c r="BJ24" s="124"/>
      <c r="BK24" s="124"/>
      <c r="BL24" s="124"/>
      <c r="BM24" s="124"/>
      <c r="BN24" s="124"/>
      <c r="BO24" s="124"/>
      <c r="BP24" s="124"/>
      <c r="BQ24" s="124"/>
      <c r="BR24" s="124"/>
      <c r="BS24" s="124"/>
      <c r="BT24" s="124"/>
      <c r="BU24" s="124"/>
      <c r="BV24" s="124"/>
      <c r="BW24" s="124"/>
      <c r="BX24" s="124"/>
      <c r="BY24" s="124"/>
      <c r="BZ24" s="124"/>
      <c r="CA24" s="50"/>
      <c r="CB24" s="123" t="s">
        <v>189</v>
      </c>
      <c r="CC24" s="124"/>
      <c r="CD24" s="124"/>
      <c r="CE24" s="124"/>
      <c r="CF24" s="124"/>
      <c r="CG24" s="124"/>
      <c r="CH24" s="124"/>
      <c r="CI24" s="124"/>
      <c r="CJ24" s="124"/>
      <c r="CK24" s="124"/>
      <c r="CL24" s="124"/>
      <c r="CM24" s="124"/>
      <c r="CN24" s="124"/>
      <c r="CO24" s="124"/>
      <c r="CP24" s="124"/>
      <c r="CQ24" s="50"/>
      <c r="CR24" s="125" t="s">
        <v>190</v>
      </c>
      <c r="CS24" s="126"/>
      <c r="CT24" s="126"/>
      <c r="CU24" s="126"/>
      <c r="CV24" s="126"/>
      <c r="CW24" s="126"/>
      <c r="CX24" s="126"/>
      <c r="CY24" s="126"/>
      <c r="CZ24" s="126"/>
      <c r="DA24" s="126"/>
      <c r="DB24" s="126"/>
      <c r="DC24" s="126"/>
      <c r="DD24" s="126"/>
      <c r="DE24" s="126"/>
      <c r="DF24" s="126"/>
      <c r="DG24" s="126"/>
      <c r="DH24" s="126"/>
      <c r="DI24" s="126"/>
      <c r="DJ24" s="126"/>
      <c r="DK24" s="50"/>
      <c r="DL24" s="125" t="s">
        <v>191</v>
      </c>
      <c r="DM24" s="126"/>
      <c r="DN24" s="126"/>
      <c r="DO24" s="126"/>
      <c r="DP24" s="126"/>
      <c r="DQ24" s="126"/>
      <c r="DR24" s="126"/>
      <c r="DS24" s="126"/>
      <c r="DT24" s="126"/>
      <c r="DU24" s="126"/>
      <c r="DV24" s="126"/>
      <c r="DW24" s="126"/>
      <c r="DX24" s="126"/>
      <c r="DY24" s="126"/>
      <c r="DZ24" s="126"/>
      <c r="EA24" s="126"/>
      <c r="EB24" s="126"/>
      <c r="EC24" s="126"/>
      <c r="ED24" s="50"/>
      <c r="EE24" s="127" t="s">
        <v>192</v>
      </c>
      <c r="EF24" s="128"/>
      <c r="EG24" s="128"/>
      <c r="EH24" s="128"/>
      <c r="EI24" s="128"/>
      <c r="EJ24" s="128"/>
      <c r="EK24" s="128"/>
      <c r="EL24" s="128"/>
      <c r="EM24" s="128"/>
      <c r="EN24" s="128"/>
      <c r="EO24" s="128"/>
      <c r="EP24" s="128"/>
      <c r="EQ24" s="128"/>
      <c r="ER24" s="128"/>
      <c r="ES24" s="128"/>
      <c r="ET24" s="128"/>
      <c r="EU24" s="128"/>
      <c r="EV24" s="128"/>
    </row>
    <row r="25" spans="2:161" x14ac:dyDescent="0.2">
      <c r="B25" s="86"/>
      <c r="C25" s="86"/>
      <c r="D25" s="86"/>
      <c r="F25" s="86" t="s">
        <v>52</v>
      </c>
      <c r="G25" s="131">
        <f t="shared" si="33"/>
        <v>44197</v>
      </c>
      <c r="H25" s="131">
        <f t="shared" si="34"/>
        <v>44377</v>
      </c>
      <c r="J25" s="86" t="str" cm="1">
        <f t="array" ref="J25">LOOKUP(2,1/($G$17:$G$33&lt;=$L25)/($H$17:$H$33&gt;=$L25),$F$17:$F$33)</f>
        <v>2H24</v>
      </c>
      <c r="K25" s="86" t="str" cm="1">
        <f t="array" ref="K25">LOOKUP(2,1/($G$6:$G$14&lt;=$L25)/($H$6:$H$14&gt;=$L25),$F$6:$F$14)</f>
        <v>FY24</v>
      </c>
      <c r="L25" s="118">
        <v>45330</v>
      </c>
      <c r="M25" s="49">
        <v>22032789</v>
      </c>
      <c r="N25" s="49">
        <v>29691387</v>
      </c>
      <c r="O25" s="50">
        <v>4000000</v>
      </c>
      <c r="P25" s="119" cm="1">
        <f t="array" ref="P25">LOOKUP(2,1/($B$10:$B$14&lt;=$L25)/($C$10:$C$14&gt;=$L25),$D$10:$D$14)</f>
        <v>1.1000000000000001</v>
      </c>
      <c r="Q25" s="120" cm="1">
        <f t="array" ref="Q25">LOOKUP(2,1/($B$17:$B$21&lt;=$L25)/($C$17:$C$21&gt;=$L25),$D$17:$D$21)</f>
        <v>134.49039999999999</v>
      </c>
      <c r="R25" s="113" t="str">
        <f t="shared" si="0"/>
        <v/>
      </c>
      <c r="S25" s="113" t="str">
        <f t="shared" si="1"/>
        <v>2H24</v>
      </c>
      <c r="T25" s="113" t="str">
        <f t="shared" ca="1" si="2"/>
        <v/>
      </c>
      <c r="U25" s="113" t="str">
        <f t="shared" si="3"/>
        <v/>
      </c>
      <c r="V25" s="113" t="str">
        <f t="shared" si="4"/>
        <v>FY24</v>
      </c>
      <c r="W25" s="113" t="str">
        <f t="shared" ca="1" si="5"/>
        <v/>
      </c>
      <c r="X25" s="50"/>
      <c r="Y25" s="114" t="s">
        <v>147</v>
      </c>
      <c r="Z25" s="115">
        <v>44587</v>
      </c>
      <c r="AA25" s="114" t="s">
        <v>148</v>
      </c>
      <c r="AB25" s="115">
        <v>44952</v>
      </c>
      <c r="AC25" s="132"/>
      <c r="AD25" s="132"/>
      <c r="AE25" s="132"/>
      <c r="AF25" s="132"/>
      <c r="AG25" s="132"/>
      <c r="AH25" s="132"/>
      <c r="AI25" s="133"/>
      <c r="AJ25" s="133"/>
      <c r="AK25" s="133"/>
      <c r="AL25" s="133"/>
      <c r="AM25" s="133"/>
      <c r="AN25" s="133"/>
      <c r="AO25" s="133"/>
      <c r="AP25" s="133"/>
      <c r="AQ25" s="133"/>
      <c r="AR25" s="133"/>
      <c r="AS25" s="133"/>
      <c r="AT25" s="50"/>
      <c r="AU25" s="114" t="s">
        <v>147</v>
      </c>
      <c r="AV25" s="115" t="s">
        <v>158</v>
      </c>
      <c r="AW25" s="114" t="s">
        <v>148</v>
      </c>
      <c r="AX25" s="115" t="s">
        <v>158</v>
      </c>
      <c r="AY25" s="132"/>
      <c r="AZ25" s="133"/>
      <c r="BA25" s="133"/>
      <c r="BB25" s="133"/>
      <c r="BC25" s="133"/>
      <c r="BD25" s="133"/>
      <c r="BE25" s="133"/>
      <c r="BF25" s="133"/>
      <c r="BG25" s="133"/>
      <c r="BH25" s="50"/>
      <c r="BI25" s="114" t="s">
        <v>147</v>
      </c>
      <c r="BJ25" s="115">
        <v>44652</v>
      </c>
      <c r="BK25" s="114" t="s">
        <v>148</v>
      </c>
      <c r="BL25" s="115">
        <v>44864</v>
      </c>
      <c r="BM25" s="132"/>
      <c r="BN25" s="132"/>
      <c r="BO25" s="132"/>
      <c r="BP25" s="133"/>
      <c r="BQ25" s="133"/>
      <c r="BR25" s="133"/>
      <c r="BS25" s="133"/>
      <c r="BT25" s="133"/>
      <c r="BU25" s="133"/>
      <c r="BV25" s="133"/>
      <c r="BW25" s="133"/>
      <c r="BX25" s="133"/>
      <c r="BY25" s="133"/>
      <c r="BZ25" s="133"/>
      <c r="CA25" s="50"/>
      <c r="CB25" s="114" t="s">
        <v>147</v>
      </c>
      <c r="CC25" s="115">
        <v>44652</v>
      </c>
      <c r="CD25" s="114" t="s">
        <v>148</v>
      </c>
      <c r="CE25" s="115">
        <v>44834</v>
      </c>
      <c r="CF25" s="132"/>
      <c r="CG25" s="132"/>
      <c r="CH25" s="132"/>
      <c r="CI25" s="133"/>
      <c r="CJ25" s="133"/>
      <c r="CK25" s="133"/>
      <c r="CL25" s="133"/>
      <c r="CM25" s="133"/>
      <c r="CN25" s="133"/>
      <c r="CO25" s="133"/>
      <c r="CP25" s="133"/>
      <c r="CQ25" s="50"/>
      <c r="CR25" s="114" t="s">
        <v>147</v>
      </c>
      <c r="CS25" s="115">
        <v>43209</v>
      </c>
      <c r="CT25" s="114" t="s">
        <v>148</v>
      </c>
      <c r="CU25" s="115">
        <v>43281</v>
      </c>
      <c r="CV25" s="132"/>
      <c r="CW25" s="132"/>
      <c r="CX25" s="132"/>
      <c r="CY25" s="133"/>
      <c r="CZ25" s="133"/>
      <c r="DA25" s="133"/>
      <c r="DB25" s="133"/>
      <c r="DC25" s="133"/>
      <c r="DD25" s="133"/>
      <c r="DE25" s="133"/>
      <c r="DF25" s="133"/>
      <c r="DG25" s="133"/>
      <c r="DH25" s="133"/>
      <c r="DI25" s="133"/>
      <c r="DJ25" s="133"/>
      <c r="DK25" s="50"/>
      <c r="DL25" s="114" t="s">
        <v>147</v>
      </c>
      <c r="DM25" s="115">
        <v>43101</v>
      </c>
      <c r="DN25" s="114" t="s">
        <v>148</v>
      </c>
      <c r="DO25" s="115">
        <v>43202</v>
      </c>
      <c r="DP25" s="132"/>
      <c r="DQ25" s="132"/>
      <c r="DR25" s="132"/>
      <c r="DS25" s="133"/>
      <c r="DT25" s="133"/>
      <c r="DU25" s="133"/>
      <c r="DV25" s="133"/>
      <c r="DW25" s="133"/>
      <c r="DX25" s="133"/>
      <c r="DY25" s="133"/>
      <c r="DZ25" s="133"/>
      <c r="EA25" s="133"/>
      <c r="EB25" s="133"/>
      <c r="EC25" s="133"/>
      <c r="ED25" s="50"/>
      <c r="EE25" s="114" t="s">
        <v>147</v>
      </c>
      <c r="EF25" s="115">
        <v>42838</v>
      </c>
      <c r="EG25" s="114" t="s">
        <v>148</v>
      </c>
      <c r="EH25" s="115">
        <v>43202</v>
      </c>
      <c r="EI25" s="132"/>
      <c r="EJ25" s="132"/>
      <c r="EK25" s="132"/>
      <c r="EL25" s="133"/>
      <c r="EM25" s="133"/>
      <c r="EN25" s="133"/>
      <c r="EO25" s="133"/>
      <c r="EP25" s="133"/>
      <c r="EQ25" s="133"/>
      <c r="ER25" s="133"/>
      <c r="ES25" s="133"/>
      <c r="ET25" s="133"/>
      <c r="EU25" s="133"/>
      <c r="EV25" s="133"/>
    </row>
    <row r="26" spans="2:161" x14ac:dyDescent="0.2">
      <c r="B26" s="86"/>
      <c r="C26" s="86"/>
      <c r="D26" s="86"/>
      <c r="F26" s="86" t="s">
        <v>53</v>
      </c>
      <c r="G26" s="131">
        <f t="shared" si="33"/>
        <v>44378</v>
      </c>
      <c r="H26" s="131">
        <f t="shared" si="34"/>
        <v>44561</v>
      </c>
      <c r="J26" s="86" t="str" cm="1">
        <f t="array" ref="J26">LOOKUP(2,1/($G$17:$G$33&lt;=$L26)/($H$17:$H$33&gt;=$L26),$F$17:$F$33)</f>
        <v>2H24</v>
      </c>
      <c r="K26" s="86" t="str" cm="1">
        <f t="array" ref="K26">LOOKUP(2,1/($G$6:$G$14&lt;=$L26)/($H$6:$H$14&gt;=$L26),$F$6:$F$14)</f>
        <v>FY24</v>
      </c>
      <c r="L26" s="118">
        <v>45323</v>
      </c>
      <c r="M26" s="49">
        <v>305330546</v>
      </c>
      <c r="N26" s="49">
        <v>411463444</v>
      </c>
      <c r="O26" s="50">
        <v>200000000</v>
      </c>
      <c r="P26" s="119" cm="1">
        <f t="array" ref="P26">LOOKUP(2,1/($B$10:$B$14&lt;=$L26)/($C$10:$C$14&gt;=$L26),$D$10:$D$14)</f>
        <v>1.1000000000000001</v>
      </c>
      <c r="Q26" s="120" cm="1">
        <f t="array" ref="Q26">LOOKUP(2,1/($B$17:$B$21&lt;=$L26)/($C$17:$C$21&gt;=$L26),$D$17:$D$21)</f>
        <v>134.49039999999999</v>
      </c>
      <c r="R26" s="113" t="str">
        <f t="shared" si="0"/>
        <v/>
      </c>
      <c r="S26" s="113" t="str">
        <f t="shared" si="1"/>
        <v>2H24</v>
      </c>
      <c r="T26" s="113" t="str">
        <f t="shared" ca="1" si="2"/>
        <v/>
      </c>
      <c r="U26" s="113" t="str">
        <f t="shared" si="3"/>
        <v/>
      </c>
      <c r="V26" s="113" t="str">
        <f t="shared" si="4"/>
        <v>FY24</v>
      </c>
      <c r="W26" s="113" t="str">
        <f t="shared" ca="1" si="5"/>
        <v/>
      </c>
      <c r="X26" s="50"/>
      <c r="Y26" s="114" t="s">
        <v>159</v>
      </c>
      <c r="Z26" s="115" t="s">
        <v>160</v>
      </c>
      <c r="AA26" s="114" t="s">
        <v>161</v>
      </c>
      <c r="AB26" s="134" t="str" cm="1">
        <f t="array" ref="AB26">IF(OR(LOOKUP(2,1/($B$10:$B$14&lt;=AB25)/($C$10:$C$14&gt;=AB25),$D$10:$D$14)&lt;&gt;Z29,LOOKUP(2,1/($B$6:$B$7&lt;=AB25)/($C$6:$C$7&gt;=AB25),$D$6:$D$7)&lt;&gt;AB29),"FAIL","PASS")</f>
        <v>PASS</v>
      </c>
      <c r="AC26" s="134" t="s">
        <v>162</v>
      </c>
      <c r="AD26" s="134" t="s">
        <v>162</v>
      </c>
      <c r="AE26" s="134"/>
      <c r="AF26" s="134"/>
      <c r="AG26" s="134"/>
      <c r="AH26" s="134"/>
      <c r="AI26" s="133"/>
      <c r="AJ26" s="133"/>
      <c r="AK26" s="133"/>
      <c r="AL26" s="133"/>
      <c r="AM26" s="133"/>
      <c r="AN26" s="133"/>
      <c r="AO26" s="133"/>
      <c r="AP26" s="133"/>
      <c r="AQ26" s="133"/>
      <c r="AR26" s="133"/>
      <c r="AS26" s="133"/>
      <c r="AT26" s="50"/>
      <c r="AU26" s="114" t="s">
        <v>159</v>
      </c>
      <c r="AV26" s="115" t="s">
        <v>193</v>
      </c>
      <c r="AW26" s="114" t="s">
        <v>161</v>
      </c>
      <c r="AX26" s="115" t="s">
        <v>163</v>
      </c>
      <c r="AY26" s="132"/>
      <c r="AZ26" s="133"/>
      <c r="BA26" s="133"/>
      <c r="BB26" s="133"/>
      <c r="BC26" s="133"/>
      <c r="BD26" s="133"/>
      <c r="BE26" s="133"/>
      <c r="BF26" s="133"/>
      <c r="BG26" s="133"/>
      <c r="BH26" s="50"/>
      <c r="BI26" s="114" t="s">
        <v>159</v>
      </c>
      <c r="BJ26" s="115" t="s">
        <v>23</v>
      </c>
      <c r="BK26" s="114" t="s">
        <v>161</v>
      </c>
      <c r="BL26" s="134" t="str" cm="1">
        <f t="array" ref="BL26">IF(OR(LOOKUP(2,1/($B$10:$B$14&lt;=BL25)/($C$10:$C$14&gt;=BL25),$D$10:$D$14)&lt;&gt;BJ29,LOOKUP(2,1/($B$6:$B$7&lt;=BL25)/($C$6:$C$7&gt;=BL25),$D$6:$D$7)&lt;&gt;BL29),"FAIL","PASS")</f>
        <v>PASS</v>
      </c>
      <c r="BM26" s="134" t="s">
        <v>162</v>
      </c>
      <c r="BN26" s="134" t="s">
        <v>162</v>
      </c>
      <c r="BO26" s="134"/>
      <c r="BP26" s="133"/>
      <c r="BQ26" s="133"/>
      <c r="BR26" s="133"/>
      <c r="BS26" s="133"/>
      <c r="BT26" s="133"/>
      <c r="BU26" s="133"/>
      <c r="BV26" s="133"/>
      <c r="BW26" s="133"/>
      <c r="BX26" s="133"/>
      <c r="BY26" s="133"/>
      <c r="BZ26" s="133"/>
      <c r="CA26" s="50"/>
      <c r="CB26" s="114" t="s">
        <v>159</v>
      </c>
      <c r="CC26" s="115" t="s">
        <v>164</v>
      </c>
      <c r="CD26" s="114" t="s">
        <v>161</v>
      </c>
      <c r="CE26" s="134" t="str" cm="1">
        <f t="array" ref="CE26">IF(OR(LOOKUP(2,1/($B$10:$B$14&lt;=CE25)/($C$10:$C$14&gt;=CE25),$D$10:$D$14)&lt;&gt;CC29,LOOKUP(2,1/($B$6:$B$7&lt;=CE25)/($C$6:$C$7&gt;=CE25),$D$6:$D$7)&lt;&gt;CE29),"FAIL","PASS")</f>
        <v>PASS</v>
      </c>
      <c r="CF26" s="134" t="s">
        <v>162</v>
      </c>
      <c r="CG26" s="134" t="s">
        <v>162</v>
      </c>
      <c r="CH26" s="134"/>
      <c r="CI26" s="133"/>
      <c r="CJ26" s="133"/>
      <c r="CK26" s="133"/>
      <c r="CL26" s="133"/>
      <c r="CM26" s="133"/>
      <c r="CN26" s="133"/>
      <c r="CO26" s="133"/>
      <c r="CP26" s="133"/>
      <c r="CQ26" s="50"/>
      <c r="CR26" s="114" t="s">
        <v>159</v>
      </c>
      <c r="CS26" s="115" t="s">
        <v>18</v>
      </c>
      <c r="CT26" s="114" t="s">
        <v>161</v>
      </c>
      <c r="CU26" s="134" t="str" cm="1">
        <f t="array" ref="CU26">IF(OR(LOOKUP(2,1/($B$10:$B$14&lt;=CU25)/($C$10:$C$14&gt;=CU25),$D$10:$D$14)&lt;&gt;CS29,LOOKUP(2,1/($B$6:$B$7&lt;=CU25)/($C$6:$C$7&gt;=CU25),$D$6:$D$7)&lt;&gt;CU29),"FAIL","PASS")</f>
        <v>PASS</v>
      </c>
      <c r="CV26" s="134" t="s">
        <v>162</v>
      </c>
      <c r="CW26" s="134" t="s">
        <v>162</v>
      </c>
      <c r="CX26" s="134"/>
      <c r="CY26" s="133"/>
      <c r="CZ26" s="133"/>
      <c r="DA26" s="133"/>
      <c r="DB26" s="133"/>
      <c r="DC26" s="133"/>
      <c r="DD26" s="133"/>
      <c r="DE26" s="133"/>
      <c r="DF26" s="133"/>
      <c r="DG26" s="133"/>
      <c r="DH26" s="133"/>
      <c r="DI26" s="133"/>
      <c r="DJ26" s="133"/>
      <c r="DK26" s="50"/>
      <c r="DL26" s="114" t="s">
        <v>159</v>
      </c>
      <c r="DM26" s="115" t="s">
        <v>46</v>
      </c>
      <c r="DN26" s="114" t="s">
        <v>161</v>
      </c>
      <c r="DO26" s="134" t="str" cm="1">
        <f t="array" ref="DO26">IF(OR(LOOKUP(2,1/($B$10:$B$14&lt;=DO25)/($C$10:$C$14&gt;=DO25),$D$10:$D$14)&lt;&gt;DM29,LOOKUP(2,1/($B$6:$B$7&lt;=DO25)/($C$6:$C$7&gt;=DO25),$D$6:$D$7)&lt;&gt;DO29),"FAIL","PASS")</f>
        <v>PASS</v>
      </c>
      <c r="DP26" s="134" t="s">
        <v>162</v>
      </c>
      <c r="DQ26" s="134" t="s">
        <v>162</v>
      </c>
      <c r="DR26" s="134"/>
      <c r="DS26" s="133"/>
      <c r="DT26" s="133"/>
      <c r="DU26" s="133"/>
      <c r="DV26" s="133"/>
      <c r="DW26" s="133"/>
      <c r="DX26" s="133"/>
      <c r="DY26" s="133"/>
      <c r="DZ26" s="133"/>
      <c r="EA26" s="133"/>
      <c r="EB26" s="133"/>
      <c r="EC26" s="133"/>
      <c r="ED26" s="50"/>
      <c r="EE26" s="114" t="s">
        <v>159</v>
      </c>
      <c r="EF26" s="115" t="s">
        <v>163</v>
      </c>
      <c r="EG26" s="114" t="s">
        <v>161</v>
      </c>
      <c r="EH26" s="134" t="str" cm="1">
        <f t="array" ref="EH26">IF(OR(LOOKUP(2,1/($B$10:$B$14&lt;=EH25)/($C$10:$C$14&gt;=EH25),$D$10:$D$14)&lt;&gt;EF29,LOOKUP(2,1/($B$6:$B$7&lt;=EH25)/($C$6:$C$7&gt;=EH25),$D$6:$D$7)&lt;&gt;EH29),"FAIL","PASS")</f>
        <v>PASS</v>
      </c>
      <c r="EI26" s="134" t="s">
        <v>162</v>
      </c>
      <c r="EJ26" s="134" t="s">
        <v>162</v>
      </c>
      <c r="EK26" s="134"/>
      <c r="EL26" s="133"/>
      <c r="EM26" s="133"/>
      <c r="EN26" s="133"/>
      <c r="EO26" s="133"/>
      <c r="EP26" s="133"/>
      <c r="EQ26" s="133"/>
      <c r="ER26" s="133"/>
      <c r="ES26" s="133"/>
      <c r="ET26" s="133"/>
      <c r="EU26" s="133"/>
      <c r="EV26" s="133"/>
    </row>
    <row r="27" spans="2:161" x14ac:dyDescent="0.2">
      <c r="B27" s="86"/>
      <c r="C27" s="86"/>
      <c r="D27" s="86"/>
      <c r="F27" s="86" t="s">
        <v>54</v>
      </c>
      <c r="G27" s="131">
        <f t="shared" si="33"/>
        <v>44562</v>
      </c>
      <c r="H27" s="131">
        <f t="shared" si="34"/>
        <v>44742</v>
      </c>
      <c r="J27" s="86" t="str" cm="1">
        <f t="array" ref="J27">LOOKUP(2,1/($G$17:$G$33&lt;=$L27)/($H$17:$H$33&gt;=$L27),$F$17:$F$33)</f>
        <v>2H24</v>
      </c>
      <c r="K27" s="86" t="str" cm="1">
        <f t="array" ref="K27">LOOKUP(2,1/($G$6:$G$14&lt;=$L27)/($H$6:$H$14&gt;=$L27),$F$6:$F$14)</f>
        <v>FY24</v>
      </c>
      <c r="L27" s="118">
        <v>45316</v>
      </c>
      <c r="M27" s="49">
        <v>224519188</v>
      </c>
      <c r="N27" s="49">
        <v>302562058</v>
      </c>
      <c r="O27" s="50">
        <v>150000000</v>
      </c>
      <c r="P27" s="119" cm="1">
        <f t="array" ref="P27">LOOKUP(2,1/($B$10:$B$14&lt;=$L27)/($C$10:$C$14&gt;=$L27),$D$10:$D$14)</f>
        <v>1.1000000000000001</v>
      </c>
      <c r="Q27" s="120" cm="1">
        <f t="array" ref="Q27">LOOKUP(2,1/($B$17:$B$21&lt;=$L27)/($C$17:$C$21&gt;=$L27),$D$17:$D$21)</f>
        <v>134.49039999999999</v>
      </c>
      <c r="R27" s="113" t="str">
        <f t="shared" si="0"/>
        <v/>
      </c>
      <c r="S27" s="113" t="str">
        <f t="shared" si="1"/>
        <v>2H24</v>
      </c>
      <c r="T27" s="113" t="str">
        <f t="shared" ca="1" si="2"/>
        <v/>
      </c>
      <c r="U27" s="113" t="str">
        <f t="shared" si="3"/>
        <v/>
      </c>
      <c r="V27" s="113" t="str">
        <f t="shared" si="4"/>
        <v>FY24</v>
      </c>
      <c r="W27" s="113" t="str">
        <f t="shared" ca="1" si="5"/>
        <v/>
      </c>
      <c r="X27" s="50"/>
      <c r="Y27" s="114" t="s">
        <v>165</v>
      </c>
      <c r="Z27" s="134">
        <f>INDEX($G:$G,MATCH(Z26,$F:$F,0))</f>
        <v>45108</v>
      </c>
      <c r="AA27" s="114" t="s">
        <v>166</v>
      </c>
      <c r="AB27" s="134">
        <f>INDEX($H:$H,MATCH(Z26,$F:$F,0))</f>
        <v>45291</v>
      </c>
      <c r="AC27" s="135">
        <v>1.3</v>
      </c>
      <c r="AD27" s="135">
        <v>1</v>
      </c>
      <c r="AE27" s="134"/>
      <c r="AF27" s="134"/>
      <c r="AG27" s="134"/>
      <c r="AH27" s="134"/>
      <c r="AJ27" s="136" t="s">
        <v>167</v>
      </c>
      <c r="AK27" s="137"/>
      <c r="AL27" s="137"/>
      <c r="AM27" s="137"/>
      <c r="AN27" s="138"/>
      <c r="AO27" s="137"/>
      <c r="AP27" s="137"/>
      <c r="AQ27" s="139"/>
      <c r="AT27" s="50"/>
      <c r="AU27" s="114" t="s">
        <v>165</v>
      </c>
      <c r="AV27" s="134">
        <f>INDEX($G:$G,MATCH(AV26,$F:$F,0))</f>
        <v>44927</v>
      </c>
      <c r="AW27" s="114" t="s">
        <v>166</v>
      </c>
      <c r="AX27" s="134">
        <f>INDEX($H:$H,MATCH(AV26,$F:$F,0))</f>
        <v>45107</v>
      </c>
      <c r="AY27" s="134"/>
      <c r="BA27" s="136" t="s">
        <v>167</v>
      </c>
      <c r="BB27" s="137"/>
      <c r="BC27" s="137"/>
      <c r="BD27" s="138"/>
      <c r="BE27" s="139"/>
      <c r="BH27" s="50"/>
      <c r="BI27" s="114" t="s">
        <v>165</v>
      </c>
      <c r="BJ27" s="134">
        <f>INDEX($G:$G,MATCH(BJ26,$F:$F,0))</f>
        <v>44743</v>
      </c>
      <c r="BK27" s="114" t="s">
        <v>166</v>
      </c>
      <c r="BL27" s="134">
        <f>INDEX($H:$H,MATCH(BJ26,$F:$F,0))</f>
        <v>45107</v>
      </c>
      <c r="BM27" s="135">
        <v>1.4</v>
      </c>
      <c r="BN27" s="135">
        <v>1</v>
      </c>
      <c r="BO27" s="134"/>
      <c r="BQ27" s="136" t="s">
        <v>167</v>
      </c>
      <c r="BR27" s="137"/>
      <c r="BS27" s="137"/>
      <c r="BT27" s="137"/>
      <c r="BU27" s="138"/>
      <c r="BV27" s="137"/>
      <c r="BW27" s="137"/>
      <c r="BX27" s="139"/>
      <c r="CA27" s="50"/>
      <c r="CB27" s="114" t="s">
        <v>165</v>
      </c>
      <c r="CC27" s="134">
        <f>INDEX($G:$G,MATCH(CC26,$F:$F,0))</f>
        <v>44743</v>
      </c>
      <c r="CD27" s="114" t="s">
        <v>166</v>
      </c>
      <c r="CE27" s="134">
        <f>INDEX($H:$H,MATCH(CC26,$F:$F,0))</f>
        <v>44926</v>
      </c>
      <c r="CF27" s="135">
        <v>1.4</v>
      </c>
      <c r="CG27" s="135">
        <v>1</v>
      </c>
      <c r="CH27" s="134"/>
      <c r="CJ27" s="136" t="s">
        <v>167</v>
      </c>
      <c r="CK27" s="137"/>
      <c r="CL27" s="137"/>
      <c r="CM27" s="138"/>
      <c r="CN27" s="139"/>
      <c r="CQ27" s="50"/>
      <c r="CR27" s="114" t="s">
        <v>165</v>
      </c>
      <c r="CS27" s="134">
        <f>INDEX($G:$G,MATCH(CS26,$F:$F,0))</f>
        <v>42917</v>
      </c>
      <c r="CT27" s="114" t="s">
        <v>166</v>
      </c>
      <c r="CU27" s="134">
        <f>INDEX($H:$H,MATCH(CS26,$F:$F,0))</f>
        <v>43281</v>
      </c>
      <c r="CV27" s="135">
        <v>1.25</v>
      </c>
      <c r="CW27" s="135">
        <v>1</v>
      </c>
      <c r="CX27" s="134"/>
      <c r="DA27" s="136" t="s">
        <v>167</v>
      </c>
      <c r="DB27" s="137"/>
      <c r="DC27" s="137"/>
      <c r="DD27" s="137"/>
      <c r="DE27" s="138"/>
      <c r="DF27" s="137"/>
      <c r="DG27" s="137"/>
      <c r="DH27" s="139"/>
      <c r="DK27" s="50"/>
      <c r="DL27" s="114" t="s">
        <v>165</v>
      </c>
      <c r="DM27" s="134">
        <f>INDEX($G:$G,MATCH(DM26,$F:$F,0))</f>
        <v>43101</v>
      </c>
      <c r="DN27" s="114" t="s">
        <v>166</v>
      </c>
      <c r="DO27" s="134">
        <f>INDEX($H:$H,MATCH(DM26,$F:$F,0))</f>
        <v>43281</v>
      </c>
      <c r="DP27" s="135">
        <v>1.25</v>
      </c>
      <c r="DQ27" s="135">
        <v>1</v>
      </c>
      <c r="DR27" s="134"/>
      <c r="DT27" s="136" t="s">
        <v>167</v>
      </c>
      <c r="DU27" s="137"/>
      <c r="DV27" s="137"/>
      <c r="DW27" s="137"/>
      <c r="DX27" s="138"/>
      <c r="DY27" s="137"/>
      <c r="DZ27" s="137"/>
      <c r="EA27" s="139"/>
      <c r="ED27" s="50"/>
      <c r="EE27" s="114" t="s">
        <v>165</v>
      </c>
      <c r="EF27" s="115">
        <v>43063</v>
      </c>
      <c r="EG27" s="114" t="s">
        <v>166</v>
      </c>
      <c r="EH27" s="115">
        <v>43202</v>
      </c>
      <c r="EI27" s="135">
        <v>1.35</v>
      </c>
      <c r="EJ27" s="135">
        <v>1</v>
      </c>
      <c r="EK27" s="132"/>
      <c r="EM27" s="136" t="s">
        <v>167</v>
      </c>
      <c r="EN27" s="137"/>
      <c r="EO27" s="137"/>
      <c r="EP27" s="137"/>
      <c r="EQ27" s="138"/>
      <c r="ER27" s="137"/>
      <c r="ES27" s="137"/>
      <c r="ET27" s="139"/>
    </row>
    <row r="28" spans="2:161" x14ac:dyDescent="0.2">
      <c r="B28" s="86"/>
      <c r="C28" s="86"/>
      <c r="D28" s="86"/>
      <c r="F28" s="86" t="s">
        <v>164</v>
      </c>
      <c r="G28" s="131">
        <f t="shared" si="33"/>
        <v>44743</v>
      </c>
      <c r="H28" s="131">
        <f t="shared" si="34"/>
        <v>44926</v>
      </c>
      <c r="J28" s="86" t="str" cm="1">
        <f t="array" ref="J28">LOOKUP(2,1/($G$17:$G$33&lt;=$L28)/($H$17:$H$33&gt;=$L28),$F$17:$F$33)</f>
        <v>2H24</v>
      </c>
      <c r="K28" s="86" t="str" cm="1">
        <f t="array" ref="K28">LOOKUP(2,1/($G$6:$G$14&lt;=$L28)/($H$6:$H$14&gt;=$L28),$F$6:$F$14)</f>
        <v>FY24</v>
      </c>
      <c r="L28" s="118">
        <v>45309</v>
      </c>
      <c r="M28" s="49">
        <v>155083141</v>
      </c>
      <c r="N28" s="49">
        <v>208990041</v>
      </c>
      <c r="O28" s="50">
        <v>100000000</v>
      </c>
      <c r="P28" s="119" cm="1">
        <f t="array" ref="P28">LOOKUP(2,1/($B$10:$B$14&lt;=$L28)/($C$10:$C$14&gt;=$L28),$D$10:$D$14)</f>
        <v>1.1000000000000001</v>
      </c>
      <c r="Q28" s="120" cm="1">
        <f t="array" ref="Q28">LOOKUP(2,1/($B$17:$B$21&lt;=$L28)/($C$17:$C$21&gt;=$L28),$D$17:$D$21)</f>
        <v>134.49039999999999</v>
      </c>
      <c r="R28" s="113" t="str">
        <f t="shared" si="0"/>
        <v/>
      </c>
      <c r="S28" s="113" t="str">
        <f t="shared" si="1"/>
        <v>2H24</v>
      </c>
      <c r="T28" s="113" t="str">
        <f t="shared" ca="1" si="2"/>
        <v/>
      </c>
      <c r="U28" s="113" t="str">
        <f t="shared" si="3"/>
        <v/>
      </c>
      <c r="V28" s="113" t="str">
        <f t="shared" si="4"/>
        <v>FY24</v>
      </c>
      <c r="W28" s="113" t="str">
        <f t="shared" ca="1" si="5"/>
        <v/>
      </c>
      <c r="X28" s="50"/>
      <c r="Y28" s="114" t="s">
        <v>91</v>
      </c>
      <c r="Z28" s="140" t="e">
        <f>INDEX($O:$O,MATCH(Z26,$U:$U,0))</f>
        <v>#N/A</v>
      </c>
      <c r="AA28" s="114" t="s">
        <v>76</v>
      </c>
      <c r="AB28" s="140" t="e">
        <f ca="1">INDEX($O:$O,MATCH(Z26,$W:$W,0))</f>
        <v>#N/A</v>
      </c>
      <c r="AC28" s="140"/>
      <c r="AD28" s="140"/>
      <c r="AE28" s="140"/>
      <c r="AF28" s="140"/>
      <c r="AG28" s="140"/>
      <c r="AH28" s="140"/>
      <c r="AJ28" s="141" t="s">
        <v>168</v>
      </c>
      <c r="AK28" s="141"/>
      <c r="AL28" s="142"/>
      <c r="AM28" s="142"/>
      <c r="AN28" s="143" t="s">
        <v>15</v>
      </c>
      <c r="AO28" s="142"/>
      <c r="AP28" s="142"/>
      <c r="AQ28" s="144" t="s">
        <v>139</v>
      </c>
      <c r="AT28" s="50"/>
      <c r="AU28" s="114" t="s">
        <v>91</v>
      </c>
      <c r="AV28" s="145">
        <v>12000000</v>
      </c>
      <c r="AW28" s="114" t="s">
        <v>76</v>
      </c>
      <c r="AX28" s="145">
        <v>12000000</v>
      </c>
      <c r="AY28" s="146"/>
      <c r="BA28" s="147" t="s">
        <v>165</v>
      </c>
      <c r="BB28" s="148">
        <f>AV27</f>
        <v>44927</v>
      </c>
      <c r="BC28" s="142"/>
      <c r="BD28" s="143" t="s">
        <v>15</v>
      </c>
      <c r="BE28" s="144" t="s">
        <v>139</v>
      </c>
      <c r="BH28" s="50"/>
      <c r="BI28" s="114" t="s">
        <v>91</v>
      </c>
      <c r="BJ28" s="140">
        <f>INDEX($O:$O,MATCH(BJ26,$U:$U,0))</f>
        <v>4000000</v>
      </c>
      <c r="BK28" s="114" t="s">
        <v>76</v>
      </c>
      <c r="BL28" s="140">
        <f ca="1">INDEX($O:$O,MATCH(BJ26,$W:$W,0))</f>
        <v>60000000</v>
      </c>
      <c r="BM28" s="140"/>
      <c r="BN28" s="140"/>
      <c r="BO28" s="140"/>
      <c r="BQ28" s="141" t="s">
        <v>168</v>
      </c>
      <c r="BR28" s="141"/>
      <c r="BS28" s="2"/>
      <c r="BT28" s="2"/>
      <c r="BU28" s="149" t="s">
        <v>15</v>
      </c>
      <c r="BV28" s="2"/>
      <c r="BW28" s="2"/>
      <c r="BX28" s="150" t="s">
        <v>139</v>
      </c>
      <c r="CA28" s="50"/>
      <c r="CB28" s="114" t="s">
        <v>91</v>
      </c>
      <c r="CC28" s="140">
        <f>INDEX($O:$O,MATCH(CC26,$R:$R,0))</f>
        <v>4000000</v>
      </c>
      <c r="CD28" s="114" t="s">
        <v>76</v>
      </c>
      <c r="CE28" s="140">
        <f ca="1">INDEX($O:$O,MATCH(CC26,$T:$T,0))</f>
        <v>60000000</v>
      </c>
      <c r="CF28" s="140"/>
      <c r="CG28" s="140"/>
      <c r="CH28" s="140"/>
      <c r="CJ28" s="147" t="s">
        <v>165</v>
      </c>
      <c r="CK28" s="148">
        <f>CC27</f>
        <v>44743</v>
      </c>
      <c r="CL28" s="142"/>
      <c r="CM28" s="143" t="s">
        <v>15</v>
      </c>
      <c r="CN28" s="144" t="s">
        <v>139</v>
      </c>
      <c r="CQ28" s="50"/>
      <c r="CR28" s="114" t="s">
        <v>91</v>
      </c>
      <c r="CS28" s="140">
        <f>INDEX($O:$O,MATCH(CS26,$U:$U,0))</f>
        <v>3000000</v>
      </c>
      <c r="CT28" s="114" t="s">
        <v>76</v>
      </c>
      <c r="CU28" s="140" t="e">
        <f ca="1">INDEX($O:$O,MATCH(CS26,$W:$W,0))</f>
        <v>#N/A</v>
      </c>
      <c r="CV28" s="140"/>
      <c r="CW28" s="140"/>
      <c r="CX28" s="140"/>
      <c r="DA28" s="147" t="s">
        <v>165</v>
      </c>
      <c r="DB28" s="148">
        <f>CS27</f>
        <v>42917</v>
      </c>
      <c r="DC28" s="142"/>
      <c r="DD28" s="142"/>
      <c r="DE28" s="143" t="s">
        <v>15</v>
      </c>
      <c r="DF28" s="142"/>
      <c r="DG28" s="142"/>
      <c r="DH28" s="144" t="s">
        <v>139</v>
      </c>
      <c r="DK28" s="50"/>
      <c r="DL28" s="114" t="s">
        <v>91</v>
      </c>
      <c r="DM28" s="140">
        <f>INDEX($O:$O,MATCH(DM26,$R:$R,0))</f>
        <v>35000000</v>
      </c>
      <c r="DN28" s="114" t="s">
        <v>76</v>
      </c>
      <c r="DO28" s="140">
        <f ca="1">INDEX($O:$O,MATCH(DM26,$T:$T,0))</f>
        <v>10000000</v>
      </c>
      <c r="DP28" s="140"/>
      <c r="DQ28" s="140"/>
      <c r="DR28" s="140"/>
      <c r="DT28" s="147" t="s">
        <v>165</v>
      </c>
      <c r="DU28" s="148">
        <f>DM27</f>
        <v>43101</v>
      </c>
      <c r="DV28" s="142"/>
      <c r="DW28" s="142"/>
      <c r="DX28" s="143" t="s">
        <v>15</v>
      </c>
      <c r="DY28" s="142"/>
      <c r="DZ28" s="142"/>
      <c r="EA28" s="144" t="s">
        <v>139</v>
      </c>
      <c r="ED28" s="50"/>
      <c r="EE28" s="114" t="s">
        <v>91</v>
      </c>
      <c r="EF28" s="145" t="e">
        <f>NA()</f>
        <v>#N/A</v>
      </c>
      <c r="EG28" s="114" t="s">
        <v>76</v>
      </c>
      <c r="EH28" s="145">
        <v>15000000</v>
      </c>
      <c r="EI28" s="140"/>
      <c r="EJ28" s="140"/>
      <c r="EK28" s="146"/>
      <c r="EM28" s="141" t="s">
        <v>168</v>
      </c>
      <c r="EN28" s="141"/>
      <c r="EO28" s="2"/>
      <c r="EP28" s="2"/>
      <c r="EQ28" s="149" t="s">
        <v>15</v>
      </c>
      <c r="ER28" s="2"/>
      <c r="ES28" s="2"/>
      <c r="ET28" s="150" t="s">
        <v>139</v>
      </c>
    </row>
    <row r="29" spans="2:161" x14ac:dyDescent="0.2">
      <c r="B29" s="86"/>
      <c r="C29" s="86"/>
      <c r="D29" s="86"/>
      <c r="F29" s="86" t="s">
        <v>193</v>
      </c>
      <c r="G29" s="131">
        <f t="shared" si="33"/>
        <v>44927</v>
      </c>
      <c r="H29" s="131">
        <f t="shared" si="34"/>
        <v>45107</v>
      </c>
      <c r="J29" s="86" t="str" cm="1">
        <f t="array" ref="J29">LOOKUP(2,1/($G$17:$G$33&lt;=$L29)/($H$17:$H$33&gt;=$L29),$F$17:$F$33)</f>
        <v>2H24</v>
      </c>
      <c r="K29" s="86" t="str" cm="1">
        <f t="array" ref="K29">LOOKUP(2,1/($G$6:$G$14&lt;=$L29)/($H$6:$H$14&gt;=$L29),$F$6:$F$14)</f>
        <v>FY24</v>
      </c>
      <c r="L29" s="118">
        <v>45302</v>
      </c>
      <c r="M29" s="49">
        <v>67199003</v>
      </c>
      <c r="N29" s="49">
        <v>90557376</v>
      </c>
      <c r="O29" s="50">
        <v>50000000</v>
      </c>
      <c r="P29" s="119" cm="1">
        <f t="array" ref="P29">LOOKUP(2,1/($B$10:$B$14&lt;=$L29)/($C$10:$C$14&gt;=$L29),$D$10:$D$14)</f>
        <v>1.1000000000000001</v>
      </c>
      <c r="Q29" s="120" cm="1">
        <f t="array" ref="Q29">LOOKUP(2,1/($B$17:$B$21&lt;=$L29)/($C$17:$C$21&gt;=$L29),$D$17:$D$21)</f>
        <v>134.49039999999999</v>
      </c>
      <c r="R29" s="113" t="str">
        <f t="shared" ref="R29:R92" si="35">IF($J29&lt;&gt;$J30,$J29,"")</f>
        <v/>
      </c>
      <c r="S29" s="113" t="str">
        <f t="shared" ref="S29:S92" si="36">IF($O28&lt;$O29,$J29,S28)</f>
        <v>2H24</v>
      </c>
      <c r="T29" s="113" t="str">
        <f t="shared" ref="T29:T92" ca="1" si="37">IF(AND(S29&lt;&gt;S28,ISNUMBER(MATCH($S28,$F$17:$F$33,0))),OFFSET($F$16,MATCH($J29,$F$17:$F$33,0)+1,0),"")</f>
        <v/>
      </c>
      <c r="U29" s="113" t="str">
        <f t="shared" ref="U29:U92" si="38">IF($K29&lt;&gt;$K30,$K29,"")</f>
        <v/>
      </c>
      <c r="V29" s="113" t="str">
        <f t="shared" si="4"/>
        <v>FY24</v>
      </c>
      <c r="W29" s="113" t="str">
        <f t="shared" ref="W29:W69" ca="1" si="39">IF(AND(V29&lt;&gt;V28,ISNUMBER(MATCH($V28,$F$6:$F$14,0))),OFFSET($F$5,MATCH($K29,$F$6:$F$14,0)+1,0),"")</f>
        <v/>
      </c>
      <c r="X29" s="50"/>
      <c r="Y29" s="114" t="s">
        <v>169</v>
      </c>
      <c r="Z29" s="119" cm="1">
        <f t="array" ref="Z29">LOOKUP(2,1/($B$10:$B$14&lt;=Z25)/($C$10:$C$14&gt;=Z25),$D$10:$D$14)</f>
        <v>1.1000000000000001</v>
      </c>
      <c r="AA29" s="114" t="s">
        <v>149</v>
      </c>
      <c r="AB29" s="152" cm="1">
        <f t="array" ref="AB29">LOOKUP(2,1/($B$6:$B$7&lt;=Z25)/($C$6:$C$7&gt;=Z25),$D$6:$D$7)</f>
        <v>0.10299999999999999</v>
      </c>
      <c r="AC29" s="152" t="s">
        <v>170</v>
      </c>
      <c r="AD29" s="152" t="s">
        <v>171</v>
      </c>
      <c r="AE29" s="152"/>
      <c r="AF29" s="152"/>
      <c r="AG29" s="152"/>
      <c r="AH29" s="152"/>
      <c r="AJ29" s="153" t="s">
        <v>165</v>
      </c>
      <c r="AK29" s="148">
        <f>Z27</f>
        <v>45108</v>
      </c>
      <c r="AL29" s="154"/>
      <c r="AM29" s="154"/>
      <c r="AN29" s="155">
        <f t="shared" ref="AN29:AN38" si="40">Z32/1000000</f>
        <v>4</v>
      </c>
      <c r="AO29" s="154"/>
      <c r="AP29" s="154"/>
      <c r="AQ29" s="156">
        <f t="shared" ref="AQ29:AQ38" si="41">MAX(AA32:AB32)/1000000</f>
        <v>20.667160222222225</v>
      </c>
      <c r="AT29" s="50"/>
      <c r="AU29" s="114" t="s">
        <v>169</v>
      </c>
      <c r="AV29" s="159">
        <v>1.1000000000000001</v>
      </c>
      <c r="AW29" s="114" t="s">
        <v>149</v>
      </c>
      <c r="AX29" s="160">
        <v>0.10299999999999999</v>
      </c>
      <c r="AY29" s="157"/>
      <c r="BA29" s="153" t="s">
        <v>166</v>
      </c>
      <c r="BB29" s="158">
        <f>AX27</f>
        <v>45107</v>
      </c>
      <c r="BC29" s="154"/>
      <c r="BD29" s="155">
        <f>AV32/1000000</f>
        <v>3</v>
      </c>
      <c r="BE29" s="156">
        <f>MAX(AW32:AX32)/1000000</f>
        <v>14.795254451882668</v>
      </c>
      <c r="BH29" s="50"/>
      <c r="BI29" s="114" t="s">
        <v>169</v>
      </c>
      <c r="BJ29" s="119" cm="1">
        <f t="array" ref="BJ29">LOOKUP(2,1/($B$10:$B$14&lt;=BJ25)/($C$10:$C$14&gt;=BJ25),$D$10:$D$14)</f>
        <v>1.1000000000000001</v>
      </c>
      <c r="BK29" s="114" t="s">
        <v>149</v>
      </c>
      <c r="BL29" s="152" cm="1">
        <f t="array" ref="BL29">LOOKUP(2,1/($B$6:$B$7&lt;=BJ25)/($C$6:$C$7&gt;=BJ25),$D$6:$D$7)</f>
        <v>0.10299999999999999</v>
      </c>
      <c r="BM29" s="152" t="s">
        <v>170</v>
      </c>
      <c r="BN29" s="152" t="s">
        <v>171</v>
      </c>
      <c r="BO29" s="152"/>
      <c r="BQ29" s="153" t="s">
        <v>165</v>
      </c>
      <c r="BR29" s="158">
        <f>BJ27</f>
        <v>44743</v>
      </c>
      <c r="BS29" s="154"/>
      <c r="BT29" s="154"/>
      <c r="BU29" s="155">
        <f t="shared" ref="BU29:BU38" si="42">BJ32/1000000</f>
        <v>4</v>
      </c>
      <c r="BV29" s="154"/>
      <c r="BW29" s="154"/>
      <c r="BX29" s="156">
        <f t="shared" ref="BX29:BX38" si="43">MAX(BK32:BL32)/1000000</f>
        <v>20.45252257142857</v>
      </c>
      <c r="CA29" s="50"/>
      <c r="CB29" s="114" t="s">
        <v>169</v>
      </c>
      <c r="CC29" s="119" cm="1">
        <f t="array" ref="CC29">LOOKUP(2,1/($B$10:$B$14&lt;=CC25)/($C$10:$C$14&gt;=CC25),$D$10:$D$14)</f>
        <v>1.1000000000000001</v>
      </c>
      <c r="CD29" s="114" t="s">
        <v>149</v>
      </c>
      <c r="CE29" s="152" cm="1">
        <f t="array" ref="CE29">LOOKUP(2,1/($B$6:$B$7&lt;=CC25)/($C$6:$C$7&gt;=CC25),$D$6:$D$7)</f>
        <v>0.10299999999999999</v>
      </c>
      <c r="CF29" s="152" t="s">
        <v>170</v>
      </c>
      <c r="CG29" s="152" t="s">
        <v>171</v>
      </c>
      <c r="CH29" s="152"/>
      <c r="CJ29" s="153" t="s">
        <v>166</v>
      </c>
      <c r="CK29" s="158">
        <f>CE27</f>
        <v>44926</v>
      </c>
      <c r="CL29" s="154"/>
      <c r="CM29" s="155">
        <f>CC32/1000000</f>
        <v>4</v>
      </c>
      <c r="CN29" s="156">
        <f>MAX(CD32:CE32)/1000000</f>
        <v>20.45252257142857</v>
      </c>
      <c r="CQ29" s="50"/>
      <c r="CR29" s="114" t="s">
        <v>169</v>
      </c>
      <c r="CS29" s="119" cm="1">
        <f t="array" ref="CS29">LOOKUP(2,1/($B$10:$B$14&lt;=CS25)/($C$10:$C$14&gt;=CS25),$D$10:$D$14)</f>
        <v>1.1000000000000001</v>
      </c>
      <c r="CT29" s="114" t="s">
        <v>149</v>
      </c>
      <c r="CU29" s="152" cm="1">
        <f t="array" ref="CU29">LOOKUP(2,1/($B$6:$B$7&lt;=CS25)/($C$6:$C$7&gt;=CS25),$D$6:$D$7)</f>
        <v>9.2999999999999999E-2</v>
      </c>
      <c r="CV29" s="152" t="s">
        <v>170</v>
      </c>
      <c r="CW29" s="152" t="s">
        <v>171</v>
      </c>
      <c r="CX29" s="152"/>
      <c r="DA29" s="153" t="s">
        <v>166</v>
      </c>
      <c r="DB29" s="158">
        <f>CU27</f>
        <v>43281</v>
      </c>
      <c r="DC29" s="154"/>
      <c r="DD29" s="154"/>
      <c r="DE29" s="155">
        <f>CS32/1000000</f>
        <v>3</v>
      </c>
      <c r="DF29" s="154"/>
      <c r="DG29" s="154"/>
      <c r="DH29" s="156">
        <f>MAX(CT32:CU32)/1000000</f>
        <v>11.622580333333334</v>
      </c>
      <c r="DK29" s="50"/>
      <c r="DL29" s="114" t="s">
        <v>169</v>
      </c>
      <c r="DM29" s="119" cm="1">
        <f t="array" ref="DM29">LOOKUP(2,1/($B$10:$B$14&lt;=DM25)/($C$10:$C$14&gt;=DM25),$D$10:$D$14)</f>
        <v>0.85</v>
      </c>
      <c r="DN29" s="114" t="s">
        <v>149</v>
      </c>
      <c r="DO29" s="152" cm="1">
        <f t="array" ref="DO29">LOOKUP(2,1/($B$6:$B$7&lt;=DM25)/($C$6:$C$7&gt;=DM25),$D$6:$D$7)</f>
        <v>9.2999999999999999E-2</v>
      </c>
      <c r="DP29" s="152" t="s">
        <v>170</v>
      </c>
      <c r="DQ29" s="152" t="s">
        <v>171</v>
      </c>
      <c r="DR29" s="152"/>
      <c r="DT29" s="153" t="s">
        <v>166</v>
      </c>
      <c r="DU29" s="158">
        <f>DO27</f>
        <v>43281</v>
      </c>
      <c r="DV29" s="154"/>
      <c r="DW29" s="154"/>
      <c r="DX29" s="155">
        <f>DM32/1000000</f>
        <v>3</v>
      </c>
      <c r="DY29" s="154"/>
      <c r="DZ29" s="154"/>
      <c r="EA29" s="156">
        <f>MAX(DN32:DO32)/1000000</f>
        <v>14.279026833333335</v>
      </c>
      <c r="ED29" s="50"/>
      <c r="EE29" s="114" t="s">
        <v>169</v>
      </c>
      <c r="EF29" s="119" cm="1">
        <f t="array" ref="EF29">LOOKUP(2,1/($B$10:$B$14&lt;=EF25)/($C$10:$C$14&gt;=EF25),$D$10:$D$14)</f>
        <v>0.85</v>
      </c>
      <c r="EG29" s="114" t="s">
        <v>149</v>
      </c>
      <c r="EH29" s="152" cm="1">
        <f t="array" ref="EH29">LOOKUP(2,1/($B$6:$B$7&lt;=EF25)/($C$6:$C$7&gt;=EF25),$D$6:$D$7)</f>
        <v>9.2999999999999999E-2</v>
      </c>
      <c r="EI29" s="152" t="s">
        <v>170</v>
      </c>
      <c r="EJ29" s="152" t="s">
        <v>171</v>
      </c>
      <c r="EK29" s="152"/>
      <c r="EM29" s="153" t="s">
        <v>165</v>
      </c>
      <c r="EN29" s="158">
        <f>EF27</f>
        <v>43063</v>
      </c>
      <c r="EO29" s="154"/>
      <c r="EP29" s="154"/>
      <c r="EQ29" s="155">
        <f t="shared" ref="EQ29:EQ38" si="44">EF32/1000000</f>
        <v>3</v>
      </c>
      <c r="ER29" s="154"/>
      <c r="ES29" s="154"/>
      <c r="ET29" s="156">
        <f t="shared" ref="ET29:ET38" si="45">MAX(EG32:EH32)/1000000</f>
        <v>13.694197411764705</v>
      </c>
    </row>
    <row r="30" spans="2:161" x14ac:dyDescent="0.2">
      <c r="B30" s="86"/>
      <c r="C30" s="86"/>
      <c r="D30" s="86"/>
      <c r="F30" s="86" t="s">
        <v>160</v>
      </c>
      <c r="G30" s="131">
        <f t="shared" si="33"/>
        <v>45108</v>
      </c>
      <c r="H30" s="131">
        <f t="shared" si="34"/>
        <v>45291</v>
      </c>
      <c r="J30" s="86" t="str" cm="1">
        <f t="array" ref="J30">LOOKUP(2,1/($G$17:$G$33&lt;=$L30)/($H$17:$H$33&gt;=$L30),$F$17:$F$33)</f>
        <v>2H24</v>
      </c>
      <c r="K30" s="86" t="str" cm="1">
        <f t="array" ref="K30">LOOKUP(2,1/($G$6:$G$14&lt;=$L30)/($H$6:$H$14&gt;=$L30),$F$6:$F$14)</f>
        <v>FY24</v>
      </c>
      <c r="L30" s="118">
        <v>45295</v>
      </c>
      <c r="M30" s="49">
        <v>45025587</v>
      </c>
      <c r="N30" s="49">
        <v>60676481</v>
      </c>
      <c r="O30" s="50">
        <v>30000000</v>
      </c>
      <c r="P30" s="119" cm="1">
        <f t="array" ref="P30">LOOKUP(2,1/($B$10:$B$14&lt;=$L30)/($C$10:$C$14&gt;=$L30),$D$10:$D$14)</f>
        <v>1.1000000000000001</v>
      </c>
      <c r="Q30" s="120" cm="1">
        <f t="array" ref="Q30">LOOKUP(2,1/($B$17:$B$21&lt;=$L30)/($C$17:$C$21&gt;=$L30),$D$17:$D$21)</f>
        <v>134.49039999999999</v>
      </c>
      <c r="R30" s="113" t="str">
        <f t="shared" si="35"/>
        <v>2H24</v>
      </c>
      <c r="S30" s="113" t="str">
        <f t="shared" si="36"/>
        <v>2H24</v>
      </c>
      <c r="T30" s="113" t="str">
        <f t="shared" ca="1" si="37"/>
        <v/>
      </c>
      <c r="U30" s="113" t="str">
        <f t="shared" si="38"/>
        <v/>
      </c>
      <c r="V30" s="113" t="str">
        <f t="shared" si="4"/>
        <v>FY24</v>
      </c>
      <c r="W30" s="113" t="str">
        <f t="shared" ca="1" si="39"/>
        <v/>
      </c>
      <c r="X30" s="50"/>
      <c r="Y30" s="114" t="s">
        <v>172</v>
      </c>
      <c r="Z30" s="119" cm="1">
        <f t="array" ref="Z30">LOOKUP(2,1/($B$17:$B$21&lt;=Z25)/($C$17:$C$21&gt;=Z25),$D$17:$D$21)</f>
        <v>134.49039999999999</v>
      </c>
      <c r="AA30" s="114" t="s">
        <v>0</v>
      </c>
      <c r="AB30" s="161">
        <v>1</v>
      </c>
      <c r="AC30" s="162">
        <v>1</v>
      </c>
      <c r="AD30" s="162">
        <f>1-AC30</f>
        <v>0</v>
      </c>
      <c r="AJ30" s="153" t="s">
        <v>166</v>
      </c>
      <c r="AK30" s="158">
        <f>AB27</f>
        <v>45291</v>
      </c>
      <c r="AL30" s="154"/>
      <c r="AM30" s="154"/>
      <c r="AN30" s="155">
        <f t="shared" si="40"/>
        <v>8</v>
      </c>
      <c r="AO30" s="154"/>
      <c r="AP30" s="154"/>
      <c r="AQ30" s="156">
        <f t="shared" si="41"/>
        <v>25.887099916666667</v>
      </c>
      <c r="AT30" s="50"/>
      <c r="AU30" s="114" t="s">
        <v>172</v>
      </c>
      <c r="AV30" s="159">
        <v>134.49039999999999</v>
      </c>
      <c r="BA30" s="153" t="s">
        <v>91</v>
      </c>
      <c r="BB30" s="155">
        <f>AV28/1000000</f>
        <v>12</v>
      </c>
      <c r="BC30" s="154"/>
      <c r="BD30" s="155">
        <f t="shared" ref="BD30:BD38" si="46">AV33/1000000</f>
        <v>8</v>
      </c>
      <c r="BE30" s="156">
        <f t="shared" ref="BE30:BE37" si="47">MAX(AW33:AX33)/1000000</f>
        <v>19.901707782528003</v>
      </c>
      <c r="BH30" s="50"/>
      <c r="BI30" s="114" t="s">
        <v>172</v>
      </c>
      <c r="BJ30" s="119" cm="1">
        <f t="array" ref="BJ30">LOOKUP(2,1/($B$17:$B$21&lt;=BJ25)/($C$17:$C$21&gt;=BJ25),$D$17:$D$21)</f>
        <v>134.49039999999999</v>
      </c>
      <c r="BM30" s="162">
        <v>1</v>
      </c>
      <c r="BN30" s="162">
        <f>1-BM30</f>
        <v>0</v>
      </c>
      <c r="BQ30" s="153" t="s">
        <v>166</v>
      </c>
      <c r="BR30" s="158">
        <f>BL27</f>
        <v>45107</v>
      </c>
      <c r="BS30" s="154"/>
      <c r="BT30" s="154"/>
      <c r="BU30" s="155">
        <f t="shared" si="42"/>
        <v>8</v>
      </c>
      <c r="BV30" s="154"/>
      <c r="BW30" s="154"/>
      <c r="BX30" s="156">
        <f t="shared" si="43"/>
        <v>25.176484142857142</v>
      </c>
      <c r="CA30" s="50"/>
      <c r="CB30" s="114" t="s">
        <v>172</v>
      </c>
      <c r="CC30" s="119" cm="1">
        <f t="array" ref="CC30">LOOKUP(2,1/($B$17:$B$21&lt;=CC25)/($C$17:$C$21&gt;=CC25),$D$17:$D$21)</f>
        <v>134.49039999999999</v>
      </c>
      <c r="CF30" s="162">
        <v>1</v>
      </c>
      <c r="CG30" s="162">
        <f>1-CF30</f>
        <v>0</v>
      </c>
      <c r="CJ30" s="153" t="s">
        <v>91</v>
      </c>
      <c r="CK30" s="155">
        <f>CC28/1000000</f>
        <v>4</v>
      </c>
      <c r="CL30" s="154"/>
      <c r="CM30" s="155">
        <f t="shared" ref="CM30:CM38" si="48">CC33/1000000</f>
        <v>8</v>
      </c>
      <c r="CN30" s="156">
        <f t="shared" ref="CN30:CN38" si="49">MAX(CD33:CE33)/1000000</f>
        <v>25.176484142857142</v>
      </c>
      <c r="CQ30" s="50"/>
      <c r="CR30" s="114" t="s">
        <v>172</v>
      </c>
      <c r="CS30" s="119" cm="1">
        <f t="array" ref="CS30">LOOKUP(2,1/($B$17:$B$21&lt;=CS25)/($C$17:$C$21&gt;=CS25),$D$17:$D$21)</f>
        <v>134.49039999999999</v>
      </c>
      <c r="CT30" s="114" t="s">
        <v>173</v>
      </c>
      <c r="CU30" s="163">
        <f>INT((WEEKDAY(CS25-5)-CS25+CU25)/7)/INT((WEEKDAY(CS27-5)-CS27+CU27)/7)</f>
        <v>0.21153846153846154</v>
      </c>
      <c r="CV30" s="162">
        <v>1</v>
      </c>
      <c r="CW30" s="162">
        <f>1-CV30</f>
        <v>0</v>
      </c>
      <c r="CX30" s="163"/>
      <c r="DA30" s="153" t="s">
        <v>91</v>
      </c>
      <c r="DB30" s="155">
        <f>CS28/1000000</f>
        <v>3</v>
      </c>
      <c r="DC30" s="154"/>
      <c r="DD30" s="154"/>
      <c r="DE30" s="155">
        <f t="shared" ref="DE30:DE38" si="50">CS33/1000000</f>
        <v>8</v>
      </c>
      <c r="DF30" s="154"/>
      <c r="DG30" s="154"/>
      <c r="DH30" s="156">
        <f t="shared" ref="DH30:DH38" si="51">MAX(CT33:CU33)/1000000</f>
        <v>16.624817666666665</v>
      </c>
      <c r="DK30" s="50"/>
      <c r="DL30" s="114" t="s">
        <v>172</v>
      </c>
      <c r="DM30" s="119" cm="1">
        <f t="array" ref="DM30">LOOKUP(2,1/($B$17:$B$21&lt;=DM25)/($C$17:$C$21&gt;=DM25),$D$17:$D$21)</f>
        <v>76.767600000000002</v>
      </c>
      <c r="DN30" s="114" t="s">
        <v>173</v>
      </c>
      <c r="DO30" s="163">
        <f>INT((WEEKDAY(DM25-5)-DM25+DO25)/7)/INT((WEEKDAY(DM27-5)-DM27+DO27)/7)</f>
        <v>0.57692307692307687</v>
      </c>
      <c r="DP30" s="162">
        <v>1</v>
      </c>
      <c r="DQ30" s="162">
        <f>1-DP30</f>
        <v>0</v>
      </c>
      <c r="DR30" s="163"/>
      <c r="DT30" s="153" t="s">
        <v>91</v>
      </c>
      <c r="DU30" s="155">
        <f>DM28/1000000</f>
        <v>35</v>
      </c>
      <c r="DV30" s="154"/>
      <c r="DW30" s="154"/>
      <c r="DX30" s="155">
        <f t="shared" ref="DX30:DX38" si="52">DM33/1000000</f>
        <v>6</v>
      </c>
      <c r="DY30" s="154"/>
      <c r="DZ30" s="154"/>
      <c r="EA30" s="156">
        <f t="shared" ref="EA30:EA38" si="53">MAX(DN33:DO33)/1000000</f>
        <v>17.260313333333333</v>
      </c>
      <c r="ED30" s="50"/>
      <c r="EE30" s="114" t="s">
        <v>172</v>
      </c>
      <c r="EF30" s="119" cm="1">
        <f t="array" ref="EF30">LOOKUP(2,1/($B$17:$B$21&lt;=EF25)/($C$17:$C$21&gt;=EF25),$D$17:$D$21)</f>
        <v>76.767600000000002</v>
      </c>
      <c r="EG30" s="114" t="s">
        <v>0</v>
      </c>
      <c r="EH30" s="135">
        <v>1</v>
      </c>
      <c r="EI30" s="162">
        <v>1</v>
      </c>
      <c r="EJ30" s="162">
        <f>1-EI30</f>
        <v>0</v>
      </c>
      <c r="EK30" s="164"/>
      <c r="EM30" s="153" t="s">
        <v>166</v>
      </c>
      <c r="EN30" s="158">
        <f>EH27</f>
        <v>43202</v>
      </c>
      <c r="EO30" s="154"/>
      <c r="EP30" s="154"/>
      <c r="EQ30" s="155">
        <f t="shared" si="44"/>
        <v>6</v>
      </c>
      <c r="ER30" s="154"/>
      <c r="ES30" s="154"/>
      <c r="ET30" s="156">
        <f t="shared" si="45"/>
        <v>17.009155846153849</v>
      </c>
    </row>
    <row r="31" spans="2:161" x14ac:dyDescent="0.2">
      <c r="B31" s="86"/>
      <c r="C31" s="86"/>
      <c r="D31" s="86"/>
      <c r="F31" s="86" t="s">
        <v>194</v>
      </c>
      <c r="G31" s="131">
        <f t="shared" si="33"/>
        <v>45292</v>
      </c>
      <c r="H31" s="131">
        <f t="shared" si="34"/>
        <v>45473</v>
      </c>
      <c r="J31" s="86" t="str" cm="1">
        <f t="array" ref="J31">LOOKUP(2,1/($G$17:$G$33&lt;=$L31)/($H$17:$H$33&gt;=$L31),$F$17:$F$33)</f>
        <v>1H24</v>
      </c>
      <c r="K31" s="86" t="str" cm="1">
        <f t="array" ref="K31">LOOKUP(2,1/($G$6:$G$14&lt;=$L31)/($H$6:$H$14&gt;=$L31),$F$6:$F$14)</f>
        <v>FY24</v>
      </c>
      <c r="L31" s="118">
        <v>45288</v>
      </c>
      <c r="M31" s="49">
        <v>34197531</v>
      </c>
      <c r="N31" s="49">
        <v>46084593</v>
      </c>
      <c r="O31" s="50">
        <v>20000000</v>
      </c>
      <c r="P31" s="119" cm="1">
        <f t="array" ref="P31">LOOKUP(2,1/($B$10:$B$14&lt;=$L31)/($C$10:$C$14&gt;=$L31),$D$10:$D$14)</f>
        <v>1.1000000000000001</v>
      </c>
      <c r="Q31" s="120" cm="1">
        <f t="array" ref="Q31">LOOKUP(2,1/($B$17:$B$21&lt;=$L31)/($C$17:$C$21&gt;=$L31),$D$17:$D$21)</f>
        <v>134.49039999999999</v>
      </c>
      <c r="R31" s="113" t="str">
        <f t="shared" si="35"/>
        <v/>
      </c>
      <c r="S31" s="113" t="str">
        <f t="shared" si="36"/>
        <v>2H24</v>
      </c>
      <c r="T31" s="113" t="str">
        <f t="shared" ca="1" si="37"/>
        <v/>
      </c>
      <c r="U31" s="113" t="str">
        <f t="shared" si="38"/>
        <v/>
      </c>
      <c r="V31" s="113" t="str">
        <f t="shared" si="4"/>
        <v>FY24</v>
      </c>
      <c r="W31" s="113" t="str">
        <f t="shared" ca="1" si="39"/>
        <v/>
      </c>
      <c r="Y31" s="111" t="s">
        <v>174</v>
      </c>
      <c r="Z31" s="111" t="s">
        <v>175</v>
      </c>
      <c r="AA31" s="111" t="s">
        <v>176</v>
      </c>
      <c r="AB31" s="111" t="s">
        <v>177</v>
      </c>
      <c r="AC31" s="111" t="s">
        <v>178</v>
      </c>
      <c r="AD31" s="111" t="s">
        <v>179</v>
      </c>
      <c r="AE31" s="111" t="s">
        <v>180</v>
      </c>
      <c r="AF31" s="37"/>
      <c r="AG31" s="37"/>
      <c r="AH31" s="37"/>
      <c r="AJ31" s="153" t="s">
        <v>169</v>
      </c>
      <c r="AK31" s="165">
        <f>Z29</f>
        <v>1.1000000000000001</v>
      </c>
      <c r="AL31" s="154"/>
      <c r="AM31" s="154"/>
      <c r="AN31" s="155">
        <f t="shared" si="40"/>
        <v>20</v>
      </c>
      <c r="AO31" s="154"/>
      <c r="AP31" s="154"/>
      <c r="AQ31" s="156">
        <f t="shared" si="41"/>
        <v>39.94656136363637</v>
      </c>
      <c r="AU31" s="111" t="s">
        <v>174</v>
      </c>
      <c r="AV31" s="111" t="s">
        <v>175</v>
      </c>
      <c r="AW31" s="111" t="s">
        <v>176</v>
      </c>
      <c r="AX31" s="111" t="s">
        <v>177</v>
      </c>
      <c r="AY31" s="111" t="s">
        <v>180</v>
      </c>
      <c r="BA31" s="153" t="s">
        <v>76</v>
      </c>
      <c r="BB31" s="155">
        <f>AX28/1000000</f>
        <v>12</v>
      </c>
      <c r="BC31" s="154"/>
      <c r="BD31" s="155">
        <f t="shared" si="46"/>
        <v>12</v>
      </c>
      <c r="BE31" s="156">
        <f t="shared" si="47"/>
        <v>25.095285017088003</v>
      </c>
      <c r="BI31" s="111" t="s">
        <v>174</v>
      </c>
      <c r="BJ31" s="111" t="s">
        <v>175</v>
      </c>
      <c r="BK31" s="111" t="s">
        <v>176</v>
      </c>
      <c r="BL31" s="111" t="s">
        <v>177</v>
      </c>
      <c r="BM31" s="111" t="s">
        <v>178</v>
      </c>
      <c r="BN31" s="111" t="s">
        <v>179</v>
      </c>
      <c r="BO31" s="111" t="s">
        <v>180</v>
      </c>
      <c r="BQ31" s="153" t="s">
        <v>169</v>
      </c>
      <c r="BR31" s="165">
        <f>BJ29</f>
        <v>1.1000000000000001</v>
      </c>
      <c r="BS31" s="154"/>
      <c r="BT31" s="154"/>
      <c r="BU31" s="155">
        <f t="shared" si="42"/>
        <v>20</v>
      </c>
      <c r="BV31" s="154"/>
      <c r="BW31" s="154"/>
      <c r="BX31" s="156">
        <f t="shared" si="43"/>
        <v>39.899441000000003</v>
      </c>
      <c r="CB31" s="111" t="s">
        <v>174</v>
      </c>
      <c r="CC31" s="111" t="s">
        <v>175</v>
      </c>
      <c r="CD31" s="111" t="s">
        <v>176</v>
      </c>
      <c r="CE31" s="111" t="s">
        <v>177</v>
      </c>
      <c r="CF31" s="111" t="s">
        <v>178</v>
      </c>
      <c r="CG31" s="111" t="s">
        <v>179</v>
      </c>
      <c r="CH31" s="111" t="s">
        <v>180</v>
      </c>
      <c r="CJ31" s="153" t="s">
        <v>76</v>
      </c>
      <c r="CK31" s="155">
        <f ca="1">CE28/1000000</f>
        <v>60</v>
      </c>
      <c r="CL31" s="154"/>
      <c r="CM31" s="155">
        <f t="shared" si="48"/>
        <v>20</v>
      </c>
      <c r="CN31" s="156">
        <f t="shared" si="49"/>
        <v>39.899441000000003</v>
      </c>
      <c r="CR31" s="111" t="s">
        <v>174</v>
      </c>
      <c r="CS31" s="111" t="s">
        <v>175</v>
      </c>
      <c r="CT31" s="111" t="s">
        <v>176</v>
      </c>
      <c r="CU31" s="111" t="s">
        <v>177</v>
      </c>
      <c r="CV31" s="111" t="s">
        <v>178</v>
      </c>
      <c r="CW31" s="111" t="s">
        <v>179</v>
      </c>
      <c r="CX31" s="111" t="s">
        <v>180</v>
      </c>
      <c r="DA31" s="153" t="s">
        <v>76</v>
      </c>
      <c r="DB31" s="155" t="e">
        <f ca="1">CU28/1000000</f>
        <v>#N/A</v>
      </c>
      <c r="DC31" s="154"/>
      <c r="DD31" s="154"/>
      <c r="DE31" s="155">
        <f t="shared" si="50"/>
        <v>12</v>
      </c>
      <c r="DF31" s="154"/>
      <c r="DG31" s="154"/>
      <c r="DH31" s="156">
        <f t="shared" si="51"/>
        <v>17.697271000000001</v>
      </c>
      <c r="DL31" s="111" t="s">
        <v>174</v>
      </c>
      <c r="DM31" s="111" t="s">
        <v>175</v>
      </c>
      <c r="DN31" s="111" t="s">
        <v>176</v>
      </c>
      <c r="DO31" s="111" t="s">
        <v>177</v>
      </c>
      <c r="DP31" s="111" t="s">
        <v>178</v>
      </c>
      <c r="DQ31" s="111" t="s">
        <v>179</v>
      </c>
      <c r="DR31" s="111" t="s">
        <v>180</v>
      </c>
      <c r="DT31" s="153" t="s">
        <v>76</v>
      </c>
      <c r="DU31" s="155">
        <f ca="1">DO28/1000000</f>
        <v>10</v>
      </c>
      <c r="DV31" s="154"/>
      <c r="DW31" s="154"/>
      <c r="DX31" s="155">
        <f t="shared" si="52"/>
        <v>10</v>
      </c>
      <c r="DY31" s="154"/>
      <c r="DZ31" s="154"/>
      <c r="EA31" s="156">
        <f t="shared" si="53"/>
        <v>21.685931</v>
      </c>
      <c r="EE31" s="111" t="s">
        <v>174</v>
      </c>
      <c r="EF31" s="111" t="s">
        <v>175</v>
      </c>
      <c r="EG31" s="111" t="s">
        <v>176</v>
      </c>
      <c r="EH31" s="111" t="s">
        <v>177</v>
      </c>
      <c r="EI31" s="111" t="s">
        <v>178</v>
      </c>
      <c r="EJ31" s="111" t="s">
        <v>179</v>
      </c>
      <c r="EK31" s="111" t="s">
        <v>180</v>
      </c>
      <c r="EM31" s="153" t="s">
        <v>169</v>
      </c>
      <c r="EN31" s="165">
        <f>EF29</f>
        <v>0.85</v>
      </c>
      <c r="EO31" s="154"/>
      <c r="EP31" s="154"/>
      <c r="EQ31" s="155">
        <f t="shared" si="44"/>
        <v>10</v>
      </c>
      <c r="ER31" s="154"/>
      <c r="ES31" s="154"/>
      <c r="ET31" s="156">
        <f t="shared" si="45"/>
        <v>22.485423999999998</v>
      </c>
    </row>
    <row r="32" spans="2:161" x14ac:dyDescent="0.2">
      <c r="B32" s="86"/>
      <c r="C32" s="86"/>
      <c r="D32" s="86"/>
      <c r="F32" s="86" t="s">
        <v>195</v>
      </c>
      <c r="G32" s="131">
        <f t="shared" si="33"/>
        <v>45474</v>
      </c>
      <c r="H32" s="131">
        <f t="shared" si="34"/>
        <v>45657</v>
      </c>
      <c r="J32" s="86" t="str" cm="1">
        <f t="array" ref="J32">LOOKUP(2,1/($G$17:$G$33&lt;=$L32)/($H$17:$H$33&gt;=$L32),$F$17:$F$33)</f>
        <v>1H24</v>
      </c>
      <c r="K32" s="86" t="str" cm="1">
        <f t="array" ref="K32">LOOKUP(2,1/($G$6:$G$14&lt;=$L32)/($H$6:$H$14&gt;=$L32),$F$6:$F$14)</f>
        <v>FY24</v>
      </c>
      <c r="L32" s="118">
        <v>45281</v>
      </c>
      <c r="M32" s="49">
        <v>23530718</v>
      </c>
      <c r="N32" s="49">
        <v>31709996</v>
      </c>
      <c r="O32" s="50">
        <v>8000000</v>
      </c>
      <c r="P32" s="119" cm="1">
        <f t="array" ref="P32">LOOKUP(2,1/($B$10:$B$14&lt;=$L32)/($C$10:$C$14&gt;=$L32),$D$10:$D$14)</f>
        <v>1.1000000000000001</v>
      </c>
      <c r="Q32" s="120" cm="1">
        <f t="array" ref="Q32">LOOKUP(2,1/($B$17:$B$21&lt;=$L32)/($C$17:$C$21&gt;=$L32),$D$17:$D$21)</f>
        <v>134.49039999999999</v>
      </c>
      <c r="R32" s="113" t="str">
        <f t="shared" si="35"/>
        <v/>
      </c>
      <c r="S32" s="113" t="str">
        <f t="shared" si="36"/>
        <v>2H24</v>
      </c>
      <c r="T32" s="113" t="str">
        <f t="shared" ca="1" si="37"/>
        <v/>
      </c>
      <c r="U32" s="113" t="str">
        <f t="shared" si="38"/>
        <v/>
      </c>
      <c r="V32" s="113" t="str">
        <f t="shared" si="4"/>
        <v>FY24</v>
      </c>
      <c r="W32" s="113" t="str">
        <f t="shared" ca="1" si="39"/>
        <v/>
      </c>
      <c r="X32" s="50"/>
      <c r="Y32" s="146">
        <v>1</v>
      </c>
      <c r="Z32" s="166">
        <v>4000000</v>
      </c>
      <c r="AA32" s="167">
        <f t="shared" ref="AA32:AA37" si="54">AVERAGEIFS($M:$M,$L:$L,"&gt;="&amp;Z$25,$L:$L,"&lt;="&amp;AB$25,$O:$O,"="&amp;Z32)*AB$30</f>
        <v>20667160.222222224</v>
      </c>
      <c r="AB32" s="168"/>
      <c r="AC32" s="168"/>
      <c r="AD32" s="168"/>
      <c r="AE32" s="167">
        <f t="shared" ref="AE32:AE38" si="55">COUNTIFS($L:$L,"&gt;="&amp;Z$25,$L:$L,"&lt;="&amp;AB$25,$O:$O,"="&amp;Z32)</f>
        <v>9</v>
      </c>
      <c r="AF32" s="167"/>
      <c r="AG32" s="167"/>
      <c r="AH32" s="167"/>
      <c r="AJ32" s="153" t="s">
        <v>149</v>
      </c>
      <c r="AK32" s="169">
        <f>AB29</f>
        <v>0.10299999999999999</v>
      </c>
      <c r="AL32" s="154"/>
      <c r="AM32" s="154"/>
      <c r="AN32" s="155">
        <f t="shared" si="40"/>
        <v>40</v>
      </c>
      <c r="AO32" s="154"/>
      <c r="AP32" s="154"/>
      <c r="AQ32" s="156">
        <f t="shared" si="41"/>
        <v>58.301478250000002</v>
      </c>
      <c r="AT32" s="50"/>
      <c r="AU32" s="146">
        <v>1</v>
      </c>
      <c r="AV32" s="166">
        <v>3000000</v>
      </c>
      <c r="AW32" s="146">
        <v>14795254.451882668</v>
      </c>
      <c r="AX32" s="168"/>
      <c r="AY32" s="167"/>
      <c r="BA32" s="153" t="s">
        <v>169</v>
      </c>
      <c r="BB32" s="165">
        <f>AV29</f>
        <v>1.1000000000000001</v>
      </c>
      <c r="BC32" s="154"/>
      <c r="BD32" s="155">
        <f t="shared" si="46"/>
        <v>20</v>
      </c>
      <c r="BE32" s="156">
        <f t="shared" si="47"/>
        <v>31.121410374912003</v>
      </c>
      <c r="BH32" s="50"/>
      <c r="BI32" s="146">
        <v>1</v>
      </c>
      <c r="BJ32" s="166">
        <v>4000000</v>
      </c>
      <c r="BK32" s="167">
        <f t="shared" ref="BK32:BK37" si="56">AVERAGEIFS($M:$M,$L:$L,"&gt;="&amp;BJ$25,$L:$L,"&lt;="&amp;BL$25,$O:$O,"="&amp;BJ32)</f>
        <v>20452522.571428571</v>
      </c>
      <c r="BL32" s="168"/>
      <c r="BM32" s="168"/>
      <c r="BN32" s="168"/>
      <c r="BO32" s="167">
        <f t="shared" ref="BO32:BO38" si="57">COUNTIFS($L:$L,"&gt;="&amp;BJ$25,$L:$L,"&lt;="&amp;BL$25,$O:$O,"="&amp;BJ32)</f>
        <v>7</v>
      </c>
      <c r="BQ32" s="153" t="s">
        <v>149</v>
      </c>
      <c r="BR32" s="169">
        <f>BL29</f>
        <v>0.10299999999999999</v>
      </c>
      <c r="BS32" s="154"/>
      <c r="BT32" s="154"/>
      <c r="BU32" s="155">
        <f t="shared" si="42"/>
        <v>40</v>
      </c>
      <c r="BV32" s="154"/>
      <c r="BW32" s="154"/>
      <c r="BX32" s="156">
        <f t="shared" si="43"/>
        <v>58.983918000000003</v>
      </c>
      <c r="CA32" s="50"/>
      <c r="CB32" s="146">
        <v>1</v>
      </c>
      <c r="CC32" s="166">
        <v>4000000</v>
      </c>
      <c r="CD32" s="167">
        <f t="shared" ref="CD32:CD37" si="58">AVERAGEIFS($M:$M,$L:$L,"&gt;="&amp;CC$25,$L:$L,"&lt;="&amp;CE$25,$O:$O,"="&amp;CC32)</f>
        <v>20452522.571428571</v>
      </c>
      <c r="CE32" s="168"/>
      <c r="CF32" s="168"/>
      <c r="CG32" s="168"/>
      <c r="CH32" s="167">
        <f t="shared" ref="CH32:CH38" si="59">COUNTIFS($L:$L,"&gt;="&amp;CC$25,$L:$L,"&lt;="&amp;CE$25,$O:$O,"="&amp;CC32)</f>
        <v>7</v>
      </c>
      <c r="CJ32" s="153" t="s">
        <v>169</v>
      </c>
      <c r="CK32" s="165">
        <f>CC29</f>
        <v>1.1000000000000001</v>
      </c>
      <c r="CL32" s="154"/>
      <c r="CM32" s="155">
        <f t="shared" si="48"/>
        <v>40</v>
      </c>
      <c r="CN32" s="156">
        <f t="shared" si="49"/>
        <v>58.983918000000003</v>
      </c>
      <c r="CQ32" s="50"/>
      <c r="CR32" s="146">
        <v>1</v>
      </c>
      <c r="CS32" s="166">
        <v>3000000</v>
      </c>
      <c r="CT32" s="168">
        <f t="shared" ref="CT32:CT38" si="60">AVERAGEIFS($M:$M,$L:$L,"&gt;="&amp;CS$25,$L:$L,"&lt;="&amp;CU$25,$O:$O,"="&amp;CS32)</f>
        <v>11622580.333333334</v>
      </c>
      <c r="CU32" s="168"/>
      <c r="CV32" s="168"/>
      <c r="CW32" s="168"/>
      <c r="CX32" s="167">
        <f t="shared" ref="CX32:CX38" si="61">COUNTIFS($L:$L,"&gt;="&amp;CS$25,$L:$L,"&lt;="&amp;CU$25,$O:$O,"="&amp;CS32)</f>
        <v>3</v>
      </c>
      <c r="DA32" s="153" t="s">
        <v>169</v>
      </c>
      <c r="DB32" s="165">
        <f>CS29</f>
        <v>1.1000000000000001</v>
      </c>
      <c r="DC32" s="154"/>
      <c r="DD32" s="154"/>
      <c r="DE32" s="155">
        <f t="shared" si="50"/>
        <v>20</v>
      </c>
      <c r="DF32" s="154"/>
      <c r="DG32" s="154"/>
      <c r="DH32" s="156">
        <f t="shared" si="51"/>
        <v>26.087561000000001</v>
      </c>
      <c r="DK32" s="50"/>
      <c r="DL32" s="146">
        <v>1</v>
      </c>
      <c r="DM32" s="166">
        <v>3000000</v>
      </c>
      <c r="DN32" s="168">
        <f t="shared" ref="DN32:DN37" si="62">AVERAGEIFS($M:$M,$L:$L,"&gt;="&amp;DM$25,$L:$L,"&lt;="&amp;DO$25,$O:$O,"="&amp;DM32)</f>
        <v>14279026.833333334</v>
      </c>
      <c r="DO32" s="168"/>
      <c r="DP32" s="168"/>
      <c r="DQ32" s="168"/>
      <c r="DR32" s="167">
        <f t="shared" ref="DR32:DR37" si="63">COUNTIFS($L:$L,"&gt;="&amp;DM$25,$L:$L,"&lt;="&amp;DO$25,$O:$O,"="&amp;DM32)</f>
        <v>6</v>
      </c>
      <c r="DT32" s="153" t="s">
        <v>169</v>
      </c>
      <c r="DU32" s="165">
        <f>DM29</f>
        <v>0.85</v>
      </c>
      <c r="DV32" s="154"/>
      <c r="DW32" s="154"/>
      <c r="DX32" s="155">
        <f t="shared" si="52"/>
        <v>15</v>
      </c>
      <c r="DY32" s="154"/>
      <c r="DZ32" s="154"/>
      <c r="EA32" s="156">
        <f t="shared" si="53"/>
        <v>27.412381</v>
      </c>
      <c r="ED32" s="50"/>
      <c r="EE32" s="146">
        <v>1</v>
      </c>
      <c r="EF32" s="166">
        <v>3000000</v>
      </c>
      <c r="EG32" s="168">
        <f t="shared" ref="EG32:EG38" si="64">AVERAGEIFS($M:$M,$L:$L,"&gt;="&amp;EF$25,$L:$L,"&lt;="&amp;EH$25,$O:$O,"="&amp;EF32)*EH$30</f>
        <v>13694197.411764706</v>
      </c>
      <c r="EH32" s="168"/>
      <c r="EI32" s="168"/>
      <c r="EJ32" s="168"/>
      <c r="EK32" s="167">
        <f t="shared" ref="EK32:EK38" si="65">COUNTIFS($L:$L,"&gt;="&amp;EF$25,$L:$L,"&lt;="&amp;EH$25,$O:$O,"="&amp;EF32)</f>
        <v>17</v>
      </c>
      <c r="EM32" s="153" t="s">
        <v>149</v>
      </c>
      <c r="EN32" s="169">
        <f>EH29</f>
        <v>9.2999999999999999E-2</v>
      </c>
      <c r="EO32" s="154"/>
      <c r="EP32" s="154"/>
      <c r="EQ32" s="155">
        <f t="shared" si="44"/>
        <v>15</v>
      </c>
      <c r="ER32" s="154"/>
      <c r="ES32" s="154"/>
      <c r="ET32" s="156">
        <f t="shared" si="45"/>
        <v>26.955270500000001</v>
      </c>
    </row>
    <row r="33" spans="6:150" x14ac:dyDescent="0.2">
      <c r="F33" s="86" t="s">
        <v>196</v>
      </c>
      <c r="G33" s="131">
        <f t="shared" si="33"/>
        <v>45658</v>
      </c>
      <c r="H33" s="131">
        <f t="shared" si="34"/>
        <v>45838</v>
      </c>
      <c r="J33" s="86" t="str" cm="1">
        <f t="array" ref="J33">LOOKUP(2,1/($G$17:$G$33&lt;=$L33)/($H$17:$H$33&gt;=$L33),$F$17:$F$33)</f>
        <v>1H24</v>
      </c>
      <c r="K33" s="86" t="str" cm="1">
        <f t="array" ref="K33">LOOKUP(2,1/($G$6:$G$14&lt;=$L33)/($H$6:$H$14&gt;=$L33),$F$6:$F$14)</f>
        <v>FY24</v>
      </c>
      <c r="L33" s="118">
        <v>45274</v>
      </c>
      <c r="M33" s="49">
        <v>41358095</v>
      </c>
      <c r="N33" s="49">
        <v>55734169</v>
      </c>
      <c r="O33" s="50">
        <v>30000000</v>
      </c>
      <c r="P33" s="119" cm="1">
        <f t="array" ref="P33">LOOKUP(2,1/($B$10:$B$14&lt;=$L33)/($C$10:$C$14&gt;=$L33),$D$10:$D$14)</f>
        <v>1.1000000000000001</v>
      </c>
      <c r="Q33" s="120" cm="1">
        <f t="array" ref="Q33">LOOKUP(2,1/($B$17:$B$21&lt;=$L33)/($C$17:$C$21&gt;=$L33),$D$17:$D$21)</f>
        <v>134.49039999999999</v>
      </c>
      <c r="R33" s="113" t="str">
        <f t="shared" si="35"/>
        <v/>
      </c>
      <c r="S33" s="113" t="str">
        <f t="shared" si="36"/>
        <v>1H24</v>
      </c>
      <c r="T33" s="113" t="str">
        <f t="shared" ca="1" si="37"/>
        <v>2H24</v>
      </c>
      <c r="U33" s="113" t="str">
        <f t="shared" si="38"/>
        <v/>
      </c>
      <c r="V33" s="113" t="str">
        <f t="shared" si="4"/>
        <v>FY24</v>
      </c>
      <c r="W33" s="113" t="str">
        <f t="shared" ca="1" si="39"/>
        <v/>
      </c>
      <c r="X33" s="50"/>
      <c r="Y33" s="146">
        <v>2</v>
      </c>
      <c r="Z33" s="166">
        <v>8000000</v>
      </c>
      <c r="AA33" s="167">
        <f t="shared" si="54"/>
        <v>25887099.916666668</v>
      </c>
      <c r="AE33" s="167">
        <f t="shared" si="55"/>
        <v>12</v>
      </c>
      <c r="AF33" s="167"/>
      <c r="AG33" s="167"/>
      <c r="AH33" s="167"/>
      <c r="AJ33" s="153" t="s">
        <v>172</v>
      </c>
      <c r="AK33" s="170">
        <f>Z30</f>
        <v>134.49039999999999</v>
      </c>
      <c r="AL33" s="154"/>
      <c r="AM33" s="154"/>
      <c r="AN33" s="155">
        <f t="shared" si="40"/>
        <v>60</v>
      </c>
      <c r="AO33" s="154"/>
      <c r="AP33" s="154"/>
      <c r="AQ33" s="156">
        <f t="shared" si="41"/>
        <v>80.25998366666667</v>
      </c>
      <c r="AT33" s="50"/>
      <c r="AU33" s="146">
        <v>2</v>
      </c>
      <c r="AV33" s="166">
        <v>8000000</v>
      </c>
      <c r="AW33" s="146">
        <v>19901707.782528002</v>
      </c>
      <c r="AY33" s="167"/>
      <c r="BA33" s="153" t="s">
        <v>149</v>
      </c>
      <c r="BB33" s="169">
        <f>AX29</f>
        <v>0.10299999999999999</v>
      </c>
      <c r="BC33" s="154"/>
      <c r="BD33" s="155">
        <f t="shared" si="46"/>
        <v>40</v>
      </c>
      <c r="BE33" s="156">
        <f t="shared" si="47"/>
        <v>46.781737736448008</v>
      </c>
      <c r="BH33" s="50"/>
      <c r="BI33" s="146">
        <v>2</v>
      </c>
      <c r="BJ33" s="166">
        <v>8000000</v>
      </c>
      <c r="BK33" s="167">
        <f t="shared" si="56"/>
        <v>25176484.142857142</v>
      </c>
      <c r="BO33" s="167">
        <f t="shared" si="57"/>
        <v>7</v>
      </c>
      <c r="BQ33" s="153" t="s">
        <v>172</v>
      </c>
      <c r="BR33" s="170">
        <f>BJ30</f>
        <v>134.49039999999999</v>
      </c>
      <c r="BS33" s="154"/>
      <c r="BT33" s="154"/>
      <c r="BU33" s="155">
        <f t="shared" si="42"/>
        <v>60</v>
      </c>
      <c r="BV33" s="154"/>
      <c r="BW33" s="154"/>
      <c r="BX33" s="156">
        <f t="shared" si="43"/>
        <v>80.823333500000004</v>
      </c>
      <c r="CA33" s="50"/>
      <c r="CB33" s="146">
        <v>2</v>
      </c>
      <c r="CC33" s="166">
        <v>8000000</v>
      </c>
      <c r="CD33" s="167">
        <f t="shared" si="58"/>
        <v>25176484.142857142</v>
      </c>
      <c r="CH33" s="167">
        <f t="shared" si="59"/>
        <v>7</v>
      </c>
      <c r="CJ33" s="153" t="s">
        <v>149</v>
      </c>
      <c r="CK33" s="169">
        <f>CE29</f>
        <v>0.10299999999999999</v>
      </c>
      <c r="CL33" s="154"/>
      <c r="CM33" s="155">
        <f t="shared" si="48"/>
        <v>60</v>
      </c>
      <c r="CN33" s="156">
        <f t="shared" si="49"/>
        <v>80.823333500000004</v>
      </c>
      <c r="CQ33" s="50"/>
      <c r="CR33" s="146">
        <v>2</v>
      </c>
      <c r="CS33" s="166">
        <v>8000000</v>
      </c>
      <c r="CT33" s="168">
        <f t="shared" si="60"/>
        <v>16624817.666666666</v>
      </c>
      <c r="CX33" s="167">
        <f t="shared" si="61"/>
        <v>3</v>
      </c>
      <c r="DA33" s="153" t="s">
        <v>149</v>
      </c>
      <c r="DB33" s="169">
        <f>CU29</f>
        <v>9.2999999999999999E-2</v>
      </c>
      <c r="DC33" s="154"/>
      <c r="DD33" s="154"/>
      <c r="DE33" s="155">
        <f t="shared" si="50"/>
        <v>30</v>
      </c>
      <c r="DF33" s="154"/>
      <c r="DG33" s="154"/>
      <c r="DH33" s="156">
        <f t="shared" si="51"/>
        <v>36.432706000000003</v>
      </c>
      <c r="DK33" s="50"/>
      <c r="DL33" s="146">
        <v>2</v>
      </c>
      <c r="DM33" s="166">
        <v>6000000</v>
      </c>
      <c r="DN33" s="168">
        <f t="shared" si="62"/>
        <v>17260313.333333332</v>
      </c>
      <c r="DR33" s="167">
        <f t="shared" si="63"/>
        <v>3</v>
      </c>
      <c r="DT33" s="153" t="s">
        <v>149</v>
      </c>
      <c r="DU33" s="169">
        <f>DO29</f>
        <v>9.2999999999999999E-2</v>
      </c>
      <c r="DV33" s="154"/>
      <c r="DW33" s="154"/>
      <c r="DX33" s="155">
        <f t="shared" si="52"/>
        <v>30</v>
      </c>
      <c r="DY33" s="154"/>
      <c r="DZ33" s="154"/>
      <c r="EA33" s="156">
        <f t="shared" si="53"/>
        <v>42.040756000000002</v>
      </c>
      <c r="ED33" s="50"/>
      <c r="EE33" s="146">
        <v>2</v>
      </c>
      <c r="EF33" s="166">
        <v>6000000</v>
      </c>
      <c r="EG33" s="168">
        <f t="shared" si="64"/>
        <v>17009155.846153848</v>
      </c>
      <c r="EK33" s="167">
        <f t="shared" si="65"/>
        <v>13</v>
      </c>
      <c r="EM33" s="153" t="s">
        <v>172</v>
      </c>
      <c r="EN33" s="170">
        <f>EF30</f>
        <v>76.767600000000002</v>
      </c>
      <c r="EO33" s="154"/>
      <c r="EP33" s="154"/>
      <c r="EQ33" s="155">
        <f t="shared" si="44"/>
        <v>25</v>
      </c>
      <c r="ER33" s="154"/>
      <c r="ES33" s="154"/>
      <c r="ET33" s="156">
        <f t="shared" si="45"/>
        <v>27.652623999999999</v>
      </c>
    </row>
    <row r="34" spans="6:150" x14ac:dyDescent="0.25">
      <c r="F34" s="86"/>
      <c r="G34" s="86"/>
      <c r="H34" s="86"/>
      <c r="J34" s="86" t="str" cm="1">
        <f t="array" ref="J34">LOOKUP(2,1/($G$17:$G$33&lt;=$L34)/($H$17:$H$33&gt;=$L34),$F$17:$F$33)</f>
        <v>1H24</v>
      </c>
      <c r="K34" s="86" t="str" cm="1">
        <f t="array" ref="K34">LOOKUP(2,1/($G$6:$G$14&lt;=$L34)/($H$6:$H$14&gt;=$L34),$F$6:$F$14)</f>
        <v>FY24</v>
      </c>
      <c r="L34" s="118">
        <v>45267</v>
      </c>
      <c r="M34" s="49">
        <v>34302017</v>
      </c>
      <c r="N34" s="49">
        <v>46225398</v>
      </c>
      <c r="O34" s="50">
        <v>20000000</v>
      </c>
      <c r="P34" s="119" cm="1">
        <f t="array" ref="P34">LOOKUP(2,1/($B$10:$B$14&lt;=$L34)/($C$10:$C$14&gt;=$L34),$D$10:$D$14)</f>
        <v>1.1000000000000001</v>
      </c>
      <c r="Q34" s="120" cm="1">
        <f t="array" ref="Q34">LOOKUP(2,1/($B$17:$B$21&lt;=$L34)/($C$17:$C$21&gt;=$L34),$D$17:$D$21)</f>
        <v>134.49039999999999</v>
      </c>
      <c r="R34" s="113" t="str">
        <f t="shared" si="35"/>
        <v/>
      </c>
      <c r="S34" s="113" t="str">
        <f t="shared" si="36"/>
        <v>1H24</v>
      </c>
      <c r="T34" s="113" t="str">
        <f t="shared" ca="1" si="37"/>
        <v/>
      </c>
      <c r="U34" s="113" t="str">
        <f t="shared" si="38"/>
        <v/>
      </c>
      <c r="V34" s="113" t="str">
        <f t="shared" si="4"/>
        <v>FY24</v>
      </c>
      <c r="W34" s="113" t="str">
        <f t="shared" ca="1" si="39"/>
        <v/>
      </c>
      <c r="X34" s="50"/>
      <c r="Y34" s="146">
        <v>3</v>
      </c>
      <c r="Z34" s="166">
        <v>20000000</v>
      </c>
      <c r="AA34" s="167">
        <f t="shared" si="54"/>
        <v>39946561.363636367</v>
      </c>
      <c r="AE34" s="167">
        <f t="shared" si="55"/>
        <v>11</v>
      </c>
      <c r="AF34" s="167"/>
      <c r="AG34" s="167"/>
      <c r="AH34" s="167"/>
      <c r="AJ34" s="171"/>
      <c r="AL34" s="154"/>
      <c r="AM34" s="154"/>
      <c r="AN34" s="155">
        <f t="shared" si="40"/>
        <v>80</v>
      </c>
      <c r="AO34" s="154"/>
      <c r="AP34" s="154"/>
      <c r="AQ34" s="156">
        <f t="shared" si="41"/>
        <v>116.33622200000001</v>
      </c>
      <c r="AT34" s="50"/>
      <c r="AU34" s="146">
        <v>3</v>
      </c>
      <c r="AV34" s="166">
        <v>12000000</v>
      </c>
      <c r="AW34" s="146">
        <v>25095285.017088003</v>
      </c>
      <c r="AY34" s="167"/>
      <c r="BA34" s="153" t="s">
        <v>172</v>
      </c>
      <c r="BB34" s="170">
        <f>AV30</f>
        <v>134.49039999999999</v>
      </c>
      <c r="BC34" s="154"/>
      <c r="BD34" s="155">
        <f t="shared" si="46"/>
        <v>60</v>
      </c>
      <c r="BE34" s="156">
        <f t="shared" si="47"/>
        <v>78.03362671104</v>
      </c>
      <c r="BH34" s="50"/>
      <c r="BI34" s="146">
        <v>3</v>
      </c>
      <c r="BJ34" s="166">
        <v>20000000</v>
      </c>
      <c r="BK34" s="167">
        <f t="shared" si="56"/>
        <v>39899441</v>
      </c>
      <c r="BO34" s="167">
        <f t="shared" si="57"/>
        <v>6</v>
      </c>
      <c r="BQ34" s="171"/>
      <c r="BS34" s="154"/>
      <c r="BT34" s="154"/>
      <c r="BU34" s="155">
        <f t="shared" si="42"/>
        <v>80</v>
      </c>
      <c r="BV34" s="154"/>
      <c r="BW34" s="154"/>
      <c r="BX34" s="156">
        <f t="shared" si="43"/>
        <v>116.72520400000001</v>
      </c>
      <c r="CA34" s="50"/>
      <c r="CB34" s="146">
        <v>3</v>
      </c>
      <c r="CC34" s="166">
        <v>20000000</v>
      </c>
      <c r="CD34" s="167">
        <f t="shared" si="58"/>
        <v>39899441</v>
      </c>
      <c r="CH34" s="167">
        <f t="shared" si="59"/>
        <v>6</v>
      </c>
      <c r="CJ34" s="153" t="s">
        <v>172</v>
      </c>
      <c r="CK34" s="170">
        <f>CC30</f>
        <v>134.49039999999999</v>
      </c>
      <c r="CL34" s="154"/>
      <c r="CM34" s="155">
        <f t="shared" si="48"/>
        <v>80</v>
      </c>
      <c r="CN34" s="156">
        <f t="shared" si="49"/>
        <v>116.72520400000001</v>
      </c>
      <c r="CQ34" s="50"/>
      <c r="CR34" s="146">
        <v>3</v>
      </c>
      <c r="CS34" s="166">
        <v>12000000</v>
      </c>
      <c r="CT34" s="168">
        <f t="shared" si="60"/>
        <v>17697271</v>
      </c>
      <c r="CX34" s="167">
        <f t="shared" si="61"/>
        <v>1</v>
      </c>
      <c r="DA34" s="153" t="s">
        <v>172</v>
      </c>
      <c r="DB34" s="170">
        <f>CS30</f>
        <v>134.49039999999999</v>
      </c>
      <c r="DC34" s="154"/>
      <c r="DD34" s="154"/>
      <c r="DE34" s="155">
        <f t="shared" si="50"/>
        <v>40</v>
      </c>
      <c r="DF34" s="154"/>
      <c r="DG34" s="154"/>
      <c r="DH34" s="156">
        <f t="shared" si="51"/>
        <v>46.219222000000002</v>
      </c>
      <c r="DK34" s="50"/>
      <c r="DL34" s="146">
        <v>3</v>
      </c>
      <c r="DM34" s="166">
        <v>10000000</v>
      </c>
      <c r="DN34" s="168">
        <f t="shared" si="62"/>
        <v>21685931</v>
      </c>
      <c r="DR34" s="167">
        <f t="shared" si="63"/>
        <v>1</v>
      </c>
      <c r="DT34" s="153" t="s">
        <v>172</v>
      </c>
      <c r="DU34" s="170">
        <f>DM30</f>
        <v>76.767600000000002</v>
      </c>
      <c r="DV34" s="154"/>
      <c r="DW34" s="154"/>
      <c r="DX34" s="155">
        <f t="shared" si="52"/>
        <v>40</v>
      </c>
      <c r="DY34" s="154"/>
      <c r="DZ34" s="154"/>
      <c r="EA34" s="156">
        <f t="shared" si="53"/>
        <v>52.311529</v>
      </c>
      <c r="ED34" s="50"/>
      <c r="EE34" s="146">
        <v>3</v>
      </c>
      <c r="EF34" s="166">
        <v>10000000</v>
      </c>
      <c r="EG34" s="168">
        <f t="shared" si="64"/>
        <v>22485424</v>
      </c>
      <c r="EK34" s="167">
        <f t="shared" si="65"/>
        <v>7</v>
      </c>
      <c r="EM34" s="171"/>
      <c r="EO34" s="154"/>
      <c r="EP34" s="154"/>
      <c r="EQ34" s="155">
        <f t="shared" si="44"/>
        <v>35</v>
      </c>
      <c r="ER34" s="154"/>
      <c r="ES34" s="154"/>
      <c r="ET34" s="156">
        <f t="shared" si="45"/>
        <v>46.986662000000003</v>
      </c>
    </row>
    <row r="35" spans="6:150" x14ac:dyDescent="0.2">
      <c r="F35" s="195" t="s">
        <v>197</v>
      </c>
      <c r="G35" s="117"/>
      <c r="H35" s="117"/>
      <c r="J35" s="86" t="str" cm="1">
        <f t="array" ref="J35">LOOKUP(2,1/($G$17:$G$33&lt;=$L35)/($H$17:$H$33&gt;=$L35),$F$17:$F$33)</f>
        <v>1H24</v>
      </c>
      <c r="K35" s="86" t="str" cm="1">
        <f t="array" ref="K35">LOOKUP(2,1/($G$6:$G$14&lt;=$L35)/($H$6:$H$14&gt;=$L35),$F$6:$F$14)</f>
        <v>FY24</v>
      </c>
      <c r="L35" s="118">
        <v>45260</v>
      </c>
      <c r="M35" s="49">
        <v>23402585</v>
      </c>
      <c r="N35" s="49">
        <v>31537323</v>
      </c>
      <c r="O35" s="50">
        <v>8000000</v>
      </c>
      <c r="P35" s="119" cm="1">
        <f t="array" ref="P35">LOOKUP(2,1/($B$10:$B$14&lt;=$L35)/($C$10:$C$14&gt;=$L35),$D$10:$D$14)</f>
        <v>1.1000000000000001</v>
      </c>
      <c r="Q35" s="120" cm="1">
        <f t="array" ref="Q35">LOOKUP(2,1/($B$17:$B$21&lt;=$L35)/($C$17:$C$21&gt;=$L35),$D$17:$D$21)</f>
        <v>134.49039999999999</v>
      </c>
      <c r="R35" s="113" t="str">
        <f t="shared" si="35"/>
        <v/>
      </c>
      <c r="S35" s="113" t="str">
        <f t="shared" si="36"/>
        <v>1H24</v>
      </c>
      <c r="T35" s="113" t="str">
        <f t="shared" ca="1" si="37"/>
        <v/>
      </c>
      <c r="U35" s="113" t="str">
        <f t="shared" si="38"/>
        <v/>
      </c>
      <c r="V35" s="113" t="str">
        <f t="shared" si="4"/>
        <v>FY24</v>
      </c>
      <c r="W35" s="113" t="str">
        <f t="shared" ca="1" si="39"/>
        <v/>
      </c>
      <c r="X35" s="50"/>
      <c r="Y35" s="146">
        <v>4</v>
      </c>
      <c r="Z35" s="166">
        <v>40000000</v>
      </c>
      <c r="AA35" s="167">
        <f t="shared" si="54"/>
        <v>58301478.25</v>
      </c>
      <c r="AE35" s="167">
        <f t="shared" si="55"/>
        <v>4</v>
      </c>
      <c r="AF35" s="167"/>
      <c r="AG35" s="167"/>
      <c r="AH35" s="167"/>
      <c r="AJ35" s="153" t="s">
        <v>91</v>
      </c>
      <c r="AK35" s="155" t="e">
        <f>Z28/1000000</f>
        <v>#N/A</v>
      </c>
      <c r="AL35" s="154"/>
      <c r="AM35" s="154"/>
      <c r="AN35" s="155">
        <f t="shared" si="40"/>
        <v>120</v>
      </c>
      <c r="AO35" s="154"/>
      <c r="AP35" s="154"/>
      <c r="AQ35" s="156">
        <f t="shared" si="41"/>
        <v>198.54899999999998</v>
      </c>
      <c r="AT35" s="50"/>
      <c r="AU35" s="146">
        <v>4</v>
      </c>
      <c r="AV35" s="166">
        <v>20000000</v>
      </c>
      <c r="AW35" s="146">
        <v>31121410.374912001</v>
      </c>
      <c r="AY35" s="167"/>
      <c r="BA35" s="172"/>
      <c r="BB35" s="2"/>
      <c r="BC35" s="154"/>
      <c r="BD35" s="155">
        <f t="shared" si="46"/>
        <v>80</v>
      </c>
      <c r="BE35" s="156">
        <f t="shared" si="47"/>
        <v>112.66929163776001</v>
      </c>
      <c r="BH35" s="50"/>
      <c r="BI35" s="146">
        <v>4</v>
      </c>
      <c r="BJ35" s="166">
        <v>40000000</v>
      </c>
      <c r="BK35" s="167">
        <f t="shared" si="56"/>
        <v>58983918</v>
      </c>
      <c r="BO35" s="167">
        <f t="shared" si="57"/>
        <v>3</v>
      </c>
      <c r="BQ35" s="153" t="s">
        <v>91</v>
      </c>
      <c r="BR35" s="155">
        <f>BJ28/1000000</f>
        <v>4</v>
      </c>
      <c r="BS35" s="154"/>
      <c r="BT35" s="154"/>
      <c r="BU35" s="155">
        <f t="shared" si="42"/>
        <v>120</v>
      </c>
      <c r="BV35" s="154"/>
      <c r="BW35" s="154"/>
      <c r="BX35" s="156">
        <f t="shared" si="43"/>
        <v>226.12630409125558</v>
      </c>
      <c r="CA35" s="50"/>
      <c r="CB35" s="146">
        <v>4</v>
      </c>
      <c r="CC35" s="166">
        <v>40000000</v>
      </c>
      <c r="CD35" s="167">
        <f t="shared" si="58"/>
        <v>58983918</v>
      </c>
      <c r="CH35" s="167">
        <f t="shared" si="59"/>
        <v>3</v>
      </c>
      <c r="CJ35" s="172"/>
      <c r="CK35" s="2"/>
      <c r="CL35" s="154"/>
      <c r="CM35" s="155">
        <f t="shared" si="48"/>
        <v>120</v>
      </c>
      <c r="CN35" s="156">
        <f t="shared" si="49"/>
        <v>226.126304091256</v>
      </c>
      <c r="CQ35" s="50"/>
      <c r="CR35" s="146">
        <v>4</v>
      </c>
      <c r="CS35" s="166">
        <v>20000000</v>
      </c>
      <c r="CT35" s="168">
        <f t="shared" si="60"/>
        <v>26087561</v>
      </c>
      <c r="CX35" s="167">
        <f t="shared" si="61"/>
        <v>1</v>
      </c>
      <c r="DA35" s="172"/>
      <c r="DB35" s="2"/>
      <c r="DC35" s="154"/>
      <c r="DD35" s="154"/>
      <c r="DE35" s="155">
        <f t="shared" si="50"/>
        <v>50</v>
      </c>
      <c r="DF35" s="154"/>
      <c r="DG35" s="154"/>
      <c r="DH35" s="156">
        <f t="shared" si="51"/>
        <v>56.921146999999998</v>
      </c>
      <c r="DK35" s="50"/>
      <c r="DL35" s="146">
        <v>4</v>
      </c>
      <c r="DM35" s="166">
        <v>15000000</v>
      </c>
      <c r="DN35" s="168">
        <f t="shared" si="62"/>
        <v>27412381</v>
      </c>
      <c r="DR35" s="167">
        <f t="shared" si="63"/>
        <v>1</v>
      </c>
      <c r="DT35" s="172"/>
      <c r="DU35" s="2"/>
      <c r="DV35" s="154"/>
      <c r="DW35" s="154"/>
      <c r="DX35" s="155">
        <f t="shared" si="52"/>
        <v>60</v>
      </c>
      <c r="DY35" s="154"/>
      <c r="DZ35" s="154"/>
      <c r="EA35" s="156">
        <f t="shared" si="53"/>
        <v>98.957000000000008</v>
      </c>
      <c r="ED35" s="50"/>
      <c r="EE35" s="146">
        <v>4</v>
      </c>
      <c r="EF35" s="166">
        <v>15000000</v>
      </c>
      <c r="EG35" s="168">
        <f t="shared" si="64"/>
        <v>26955270.5</v>
      </c>
      <c r="EK35" s="167">
        <f t="shared" si="65"/>
        <v>6</v>
      </c>
      <c r="EM35" s="153" t="s">
        <v>91</v>
      </c>
      <c r="EN35" s="155" t="e">
        <f>EF28/1000000</f>
        <v>#N/A</v>
      </c>
      <c r="EO35" s="154"/>
      <c r="EP35" s="154"/>
      <c r="EQ35" s="155">
        <f t="shared" si="44"/>
        <v>55</v>
      </c>
      <c r="ER35" s="154"/>
      <c r="ES35" s="154"/>
      <c r="ET35" s="156">
        <f t="shared" si="45"/>
        <v>80.521889000000002</v>
      </c>
    </row>
    <row r="36" spans="6:150" x14ac:dyDescent="0.25">
      <c r="F36" s="86">
        <v>0</v>
      </c>
      <c r="G36" s="129">
        <v>42552</v>
      </c>
      <c r="H36" s="129">
        <v>43890</v>
      </c>
      <c r="J36" s="86" t="str" cm="1">
        <f t="array" ref="J36">LOOKUP(2,1/($G$17:$G$33&lt;=$L36)/($H$17:$H$33&gt;=$L36),$F$17:$F$33)</f>
        <v>1H24</v>
      </c>
      <c r="K36" s="86" t="str" cm="1">
        <f t="array" ref="K36">LOOKUP(2,1/($G$6:$G$14&lt;=$L36)/($H$6:$H$14&gt;=$L36),$F$6:$F$14)</f>
        <v>FY24</v>
      </c>
      <c r="L36" s="118">
        <v>45253</v>
      </c>
      <c r="M36" s="49">
        <v>37695078</v>
      </c>
      <c r="N36" s="49">
        <v>50797887</v>
      </c>
      <c r="O36" s="50">
        <v>20000000</v>
      </c>
      <c r="P36" s="119" cm="1">
        <f t="array" ref="P36">LOOKUP(2,1/($B$10:$B$14&lt;=$L36)/($C$10:$C$14&gt;=$L36),$D$10:$D$14)</f>
        <v>1.1000000000000001</v>
      </c>
      <c r="Q36" s="120" cm="1">
        <f t="array" ref="Q36">LOOKUP(2,1/($B$17:$B$21&lt;=$L36)/($C$17:$C$21&gt;=$L36),$D$17:$D$21)</f>
        <v>134.49039999999999</v>
      </c>
      <c r="R36" s="113" t="str">
        <f t="shared" si="35"/>
        <v/>
      </c>
      <c r="S36" s="113" t="str">
        <f t="shared" si="36"/>
        <v>1H24</v>
      </c>
      <c r="T36" s="113" t="str">
        <f t="shared" ca="1" si="37"/>
        <v/>
      </c>
      <c r="U36" s="113" t="str">
        <f t="shared" si="38"/>
        <v/>
      </c>
      <c r="V36" s="113" t="str">
        <f t="shared" si="4"/>
        <v>FY24</v>
      </c>
      <c r="W36" s="113" t="str">
        <f t="shared" ca="1" si="39"/>
        <v/>
      </c>
      <c r="X36" s="50"/>
      <c r="Y36" s="146">
        <v>5</v>
      </c>
      <c r="Z36" s="166">
        <v>60000000</v>
      </c>
      <c r="AA36" s="167">
        <f t="shared" si="54"/>
        <v>80259983.666666672</v>
      </c>
      <c r="AB36" s="173"/>
      <c r="AC36" s="145">
        <v>84815999.999999985</v>
      </c>
      <c r="AD36" s="145">
        <v>85142000</v>
      </c>
      <c r="AE36" s="167">
        <f t="shared" si="55"/>
        <v>3</v>
      </c>
      <c r="AF36" s="167"/>
      <c r="AG36" s="167"/>
      <c r="AH36" s="167"/>
      <c r="AJ36" s="172" t="s">
        <v>147</v>
      </c>
      <c r="AK36" s="174">
        <f>Z25</f>
        <v>44587</v>
      </c>
      <c r="AL36" s="154"/>
      <c r="AM36" s="154"/>
      <c r="AN36" s="155">
        <f t="shared" si="40"/>
        <v>160</v>
      </c>
      <c r="AO36" s="154"/>
      <c r="AP36" s="154"/>
      <c r="AQ36" s="156">
        <f t="shared" si="41"/>
        <v>257.40779999999995</v>
      </c>
      <c r="AT36" s="50"/>
      <c r="AU36" s="146">
        <v>5</v>
      </c>
      <c r="AV36" s="166">
        <v>40000000</v>
      </c>
      <c r="AW36" s="146">
        <v>46781737.736448005</v>
      </c>
      <c r="AY36" s="167"/>
      <c r="BA36" s="172" t="s">
        <v>147</v>
      </c>
      <c r="BB36" s="174" t="str">
        <f>AV25</f>
        <v>EST</v>
      </c>
      <c r="BC36" s="154"/>
      <c r="BD36" s="155">
        <f t="shared" si="46"/>
        <v>100</v>
      </c>
      <c r="BE36" s="156">
        <f t="shared" si="47"/>
        <v>191.43159399936002</v>
      </c>
      <c r="BH36" s="50"/>
      <c r="BI36" s="146">
        <v>5</v>
      </c>
      <c r="BJ36" s="166">
        <v>60000000</v>
      </c>
      <c r="BK36" s="167">
        <f t="shared" si="56"/>
        <v>80823333.5</v>
      </c>
      <c r="BM36" s="145">
        <v>82576000</v>
      </c>
      <c r="BN36" s="145">
        <v>79744000.000000015</v>
      </c>
      <c r="BO36" s="167">
        <f t="shared" si="57"/>
        <v>2</v>
      </c>
      <c r="BQ36" s="171"/>
      <c r="BS36" s="154"/>
      <c r="BT36" s="154"/>
      <c r="BU36" s="155">
        <f t="shared" si="42"/>
        <v>160</v>
      </c>
      <c r="BV36" s="154"/>
      <c r="BW36" s="154"/>
      <c r="BX36" s="156">
        <f t="shared" si="43"/>
        <v>267.53439999999995</v>
      </c>
      <c r="CA36" s="50"/>
      <c r="CB36" s="146">
        <v>5</v>
      </c>
      <c r="CC36" s="166">
        <v>60000000</v>
      </c>
      <c r="CD36" s="167">
        <f t="shared" si="58"/>
        <v>80823333.5</v>
      </c>
      <c r="CE36" s="140"/>
      <c r="CF36" s="145">
        <v>84874000</v>
      </c>
      <c r="CG36" s="145">
        <v>83587000</v>
      </c>
      <c r="CH36" s="167">
        <f t="shared" si="59"/>
        <v>2</v>
      </c>
      <c r="CJ36" s="172" t="s">
        <v>147</v>
      </c>
      <c r="CK36" s="174">
        <f>CC25</f>
        <v>44652</v>
      </c>
      <c r="CL36" s="154"/>
      <c r="CM36" s="155">
        <f t="shared" si="48"/>
        <v>150</v>
      </c>
      <c r="CN36" s="156">
        <f t="shared" si="49"/>
        <v>277.9896</v>
      </c>
      <c r="CQ36" s="50"/>
      <c r="CR36" s="146">
        <v>5</v>
      </c>
      <c r="CS36" s="166">
        <v>30000000</v>
      </c>
      <c r="CT36" s="168">
        <f t="shared" si="60"/>
        <v>36432706</v>
      </c>
      <c r="CX36" s="167">
        <f t="shared" si="61"/>
        <v>1</v>
      </c>
      <c r="DA36" s="172" t="s">
        <v>147</v>
      </c>
      <c r="DB36" s="174">
        <f>CS25</f>
        <v>43209</v>
      </c>
      <c r="DC36" s="154"/>
      <c r="DD36" s="154"/>
      <c r="DE36" s="155">
        <f t="shared" si="50"/>
        <v>80</v>
      </c>
      <c r="DF36" s="154"/>
      <c r="DG36" s="154"/>
      <c r="DH36" s="156">
        <f t="shared" si="51"/>
        <v>101.3292</v>
      </c>
      <c r="DK36" s="50"/>
      <c r="DL36" s="146">
        <v>5</v>
      </c>
      <c r="DM36" s="166">
        <v>30000000</v>
      </c>
      <c r="DN36" s="168">
        <f t="shared" si="62"/>
        <v>42040756</v>
      </c>
      <c r="DR36" s="167">
        <f t="shared" si="63"/>
        <v>1</v>
      </c>
      <c r="DT36" s="172" t="s">
        <v>147</v>
      </c>
      <c r="DU36" s="174">
        <f>DM25</f>
        <v>43101</v>
      </c>
      <c r="DV36" s="154"/>
      <c r="DW36" s="154"/>
      <c r="DX36" s="155">
        <f t="shared" si="52"/>
        <v>80</v>
      </c>
      <c r="DY36" s="154"/>
      <c r="DZ36" s="154"/>
      <c r="EA36" s="156">
        <f t="shared" si="53"/>
        <v>128.35499999999999</v>
      </c>
      <c r="ED36" s="50"/>
      <c r="EE36" s="146">
        <v>5</v>
      </c>
      <c r="EF36" s="166">
        <v>25000000</v>
      </c>
      <c r="EG36" s="168">
        <f t="shared" si="64"/>
        <v>27652624</v>
      </c>
      <c r="EK36" s="167">
        <f t="shared" si="65"/>
        <v>1</v>
      </c>
      <c r="EM36" s="171"/>
      <c r="EO36" s="154"/>
      <c r="EP36" s="154"/>
      <c r="EQ36" s="155">
        <f t="shared" si="44"/>
        <v>80</v>
      </c>
      <c r="ER36" s="154"/>
      <c r="ES36" s="154"/>
      <c r="ET36" s="156">
        <f t="shared" si="45"/>
        <v>101.96599999999998</v>
      </c>
    </row>
    <row r="37" spans="6:150" x14ac:dyDescent="0.2">
      <c r="F37" s="86">
        <v>1</v>
      </c>
      <c r="G37" s="129">
        <v>43891</v>
      </c>
      <c r="H37" s="131">
        <f>EOMONTH(MAX($L:$L),0)</f>
        <v>45473</v>
      </c>
      <c r="J37" s="86" t="str" cm="1">
        <f t="array" ref="J37">LOOKUP(2,1/($G$17:$G$33&lt;=$L37)/($H$17:$H$33&gt;=$L37),$F$17:$F$33)</f>
        <v>1H24</v>
      </c>
      <c r="K37" s="86" t="str" cm="1">
        <f t="array" ref="K37">LOOKUP(2,1/($G$6:$G$14&lt;=$L37)/($H$6:$H$14&gt;=$L37),$F$6:$F$14)</f>
        <v>FY24</v>
      </c>
      <c r="L37" s="118">
        <v>45246</v>
      </c>
      <c r="M37" s="49">
        <v>25126546</v>
      </c>
      <c r="N37" s="49">
        <v>33860534</v>
      </c>
      <c r="O37" s="50">
        <v>8000000</v>
      </c>
      <c r="P37" s="119" cm="1">
        <f t="array" ref="P37">LOOKUP(2,1/($B$10:$B$14&lt;=$L37)/($C$10:$C$14&gt;=$L37),$D$10:$D$14)</f>
        <v>1.1000000000000001</v>
      </c>
      <c r="Q37" s="120" cm="1">
        <f t="array" ref="Q37">LOOKUP(2,1/($B$17:$B$21&lt;=$L37)/($C$17:$C$21&gt;=$L37),$D$17:$D$21)</f>
        <v>134.49039999999999</v>
      </c>
      <c r="R37" s="113" t="str">
        <f t="shared" si="35"/>
        <v/>
      </c>
      <c r="S37" s="113" t="str">
        <f t="shared" si="36"/>
        <v>1H24</v>
      </c>
      <c r="T37" s="113" t="str">
        <f t="shared" ca="1" si="37"/>
        <v/>
      </c>
      <c r="U37" s="113" t="str">
        <f t="shared" si="38"/>
        <v/>
      </c>
      <c r="V37" s="113" t="str">
        <f t="shared" si="4"/>
        <v>FY24</v>
      </c>
      <c r="W37" s="113" t="str">
        <f t="shared" ca="1" si="39"/>
        <v/>
      </c>
      <c r="X37" s="50"/>
      <c r="Y37" s="146">
        <v>6</v>
      </c>
      <c r="Z37" s="166">
        <v>80000000</v>
      </c>
      <c r="AA37" s="167">
        <f t="shared" si="54"/>
        <v>116336222</v>
      </c>
      <c r="AB37" s="173"/>
      <c r="AC37" s="145">
        <v>107454000</v>
      </c>
      <c r="AD37" s="145">
        <v>112416000.00000001</v>
      </c>
      <c r="AE37" s="167">
        <f t="shared" si="55"/>
        <v>2</v>
      </c>
      <c r="AF37" s="167"/>
      <c r="AG37" s="167"/>
      <c r="AH37" s="167"/>
      <c r="AJ37" s="172" t="s">
        <v>148</v>
      </c>
      <c r="AK37" s="174">
        <f>AB25</f>
        <v>44952</v>
      </c>
      <c r="AL37" s="154"/>
      <c r="AM37" s="154"/>
      <c r="AN37" s="155">
        <f t="shared" si="40"/>
        <v>200</v>
      </c>
      <c r="AO37" s="154"/>
      <c r="AP37" s="154"/>
      <c r="AQ37" s="156">
        <f t="shared" si="41"/>
        <v>316.26659999999998</v>
      </c>
      <c r="AT37" s="50"/>
      <c r="AU37" s="146">
        <v>6</v>
      </c>
      <c r="AV37" s="166">
        <v>60000000</v>
      </c>
      <c r="AW37" s="146">
        <v>78033626.711040005</v>
      </c>
      <c r="AY37" s="167"/>
      <c r="BA37" s="172" t="s">
        <v>148</v>
      </c>
      <c r="BB37" s="174" t="str">
        <f>AX25</f>
        <v>EST</v>
      </c>
      <c r="BC37" s="154"/>
      <c r="BD37" s="155">
        <f t="shared" si="46"/>
        <v>150</v>
      </c>
      <c r="BE37" s="156">
        <f t="shared" si="47"/>
        <v>245</v>
      </c>
      <c r="BH37" s="50"/>
      <c r="BI37" s="146">
        <v>6</v>
      </c>
      <c r="BJ37" s="166">
        <v>80000000</v>
      </c>
      <c r="BK37" s="167">
        <f t="shared" si="56"/>
        <v>116725204</v>
      </c>
      <c r="BM37" s="145">
        <v>104280000</v>
      </c>
      <c r="BN37" s="145">
        <v>94654000</v>
      </c>
      <c r="BO37" s="167">
        <f t="shared" si="57"/>
        <v>1</v>
      </c>
      <c r="BQ37" s="172" t="s">
        <v>147</v>
      </c>
      <c r="BR37" s="174">
        <f>BJ25</f>
        <v>44652</v>
      </c>
      <c r="BS37" s="154"/>
      <c r="BT37" s="154"/>
      <c r="BU37" s="155">
        <f t="shared" si="42"/>
        <v>200</v>
      </c>
      <c r="BV37" s="154"/>
      <c r="BW37" s="154"/>
      <c r="BX37" s="156">
        <f t="shared" si="43"/>
        <v>328.30560000000003</v>
      </c>
      <c r="CA37" s="50"/>
      <c r="CB37" s="146">
        <v>6</v>
      </c>
      <c r="CC37" s="166">
        <v>80000000</v>
      </c>
      <c r="CD37" s="167">
        <f t="shared" si="58"/>
        <v>116725204</v>
      </c>
      <c r="CE37" s="140"/>
      <c r="CF37" s="145">
        <v>107612000</v>
      </c>
      <c r="CG37" s="145">
        <v>103685000.00000001</v>
      </c>
      <c r="CH37" s="167">
        <f t="shared" si="59"/>
        <v>1</v>
      </c>
      <c r="CJ37" s="172" t="s">
        <v>148</v>
      </c>
      <c r="CK37" s="174">
        <f>CE25</f>
        <v>44834</v>
      </c>
      <c r="CL37" s="154"/>
      <c r="CM37" s="155">
        <f t="shared" si="48"/>
        <v>200</v>
      </c>
      <c r="CN37" s="156">
        <f t="shared" si="49"/>
        <v>341.65600000000001</v>
      </c>
      <c r="CQ37" s="50"/>
      <c r="CR37" s="146">
        <v>6</v>
      </c>
      <c r="CS37" s="166">
        <v>40000000</v>
      </c>
      <c r="CT37" s="168">
        <f t="shared" si="60"/>
        <v>46219222</v>
      </c>
      <c r="CX37" s="167">
        <f t="shared" si="61"/>
        <v>1</v>
      </c>
      <c r="DA37" s="172" t="s">
        <v>148</v>
      </c>
      <c r="DB37" s="174">
        <f>CU25</f>
        <v>43281</v>
      </c>
      <c r="DC37" s="154"/>
      <c r="DD37" s="154"/>
      <c r="DE37" s="155">
        <f t="shared" si="50"/>
        <v>100</v>
      </c>
      <c r="DF37" s="154"/>
      <c r="DG37" s="154"/>
      <c r="DH37" s="156">
        <f t="shared" si="51"/>
        <v>156.8065</v>
      </c>
      <c r="DK37" s="50"/>
      <c r="DL37" s="146">
        <v>6</v>
      </c>
      <c r="DM37" s="166">
        <v>40000000</v>
      </c>
      <c r="DN37" s="168">
        <f t="shared" si="62"/>
        <v>52311529</v>
      </c>
      <c r="DR37" s="167">
        <f t="shared" si="63"/>
        <v>1</v>
      </c>
      <c r="DT37" s="172" t="s">
        <v>148</v>
      </c>
      <c r="DU37" s="174">
        <f>DO25</f>
        <v>43202</v>
      </c>
      <c r="DV37" s="154"/>
      <c r="DW37" s="154"/>
      <c r="DX37" s="155">
        <f t="shared" si="52"/>
        <v>100</v>
      </c>
      <c r="DY37" s="154"/>
      <c r="DZ37" s="154"/>
      <c r="EA37" s="156">
        <f t="shared" si="53"/>
        <v>197.19125</v>
      </c>
      <c r="ED37" s="50"/>
      <c r="EE37" s="146">
        <v>6</v>
      </c>
      <c r="EF37" s="166">
        <v>35000000</v>
      </c>
      <c r="EG37" s="168">
        <f t="shared" si="64"/>
        <v>46986662</v>
      </c>
      <c r="EK37" s="167">
        <f t="shared" si="65"/>
        <v>1</v>
      </c>
      <c r="EM37" s="172" t="s">
        <v>147</v>
      </c>
      <c r="EN37" s="174">
        <f>EF25</f>
        <v>42838</v>
      </c>
      <c r="EO37" s="154"/>
      <c r="EP37" s="154"/>
      <c r="EQ37" s="155">
        <f t="shared" si="44"/>
        <v>100</v>
      </c>
      <c r="ER37" s="154"/>
      <c r="ES37" s="154"/>
      <c r="ET37" s="156">
        <f t="shared" si="45"/>
        <v>168.65280000000001</v>
      </c>
    </row>
    <row r="38" spans="6:150" x14ac:dyDescent="0.2">
      <c r="F38" s="86"/>
      <c r="G38" s="86"/>
      <c r="H38" s="86"/>
      <c r="J38" s="86" t="str" cm="1">
        <f t="array" ref="J38">LOOKUP(2,1/($G$17:$G$33&lt;=$L38)/($H$17:$H$33&gt;=$L38),$F$17:$F$33)</f>
        <v>1H24</v>
      </c>
      <c r="K38" s="86" t="str" cm="1">
        <f t="array" ref="K38">LOOKUP(2,1/($G$6:$G$14&lt;=$L38)/($H$6:$H$14&gt;=$L38),$F$6:$F$14)</f>
        <v>FY24</v>
      </c>
      <c r="L38" s="118">
        <v>45239</v>
      </c>
      <c r="M38" s="49">
        <v>24487517</v>
      </c>
      <c r="N38" s="49">
        <v>32999378</v>
      </c>
      <c r="O38" s="50">
        <v>8000000</v>
      </c>
      <c r="P38" s="119" cm="1">
        <f t="array" ref="P38">LOOKUP(2,1/($B$10:$B$14&lt;=$L38)/($C$10:$C$14&gt;=$L38),$D$10:$D$14)</f>
        <v>1.1000000000000001</v>
      </c>
      <c r="Q38" s="120" cm="1">
        <f t="array" ref="Q38">LOOKUP(2,1/($B$17:$B$21&lt;=$L38)/($C$17:$C$21&gt;=$L38),$D$17:$D$21)</f>
        <v>134.49039999999999</v>
      </c>
      <c r="R38" s="113" t="str">
        <f t="shared" si="35"/>
        <v/>
      </c>
      <c r="S38" s="113" t="str">
        <f t="shared" si="36"/>
        <v>1H24</v>
      </c>
      <c r="T38" s="113" t="str">
        <f t="shared" ca="1" si="37"/>
        <v/>
      </c>
      <c r="U38" s="113" t="str">
        <f t="shared" si="38"/>
        <v/>
      </c>
      <c r="V38" s="113" t="str">
        <f t="shared" si="4"/>
        <v>FY24</v>
      </c>
      <c r="W38" s="113" t="str">
        <f t="shared" ca="1" si="39"/>
        <v/>
      </c>
      <c r="X38" s="50"/>
      <c r="Y38" s="146">
        <v>7</v>
      </c>
      <c r="Z38" s="166">
        <v>120000000</v>
      </c>
      <c r="AA38" s="167"/>
      <c r="AB38" s="173">
        <f>IF($Z38&gt;=100000000,$AC$27*AC$30*AC38+$AD$27*AD$30*AD38,AC$30*AC38+AD$30*AD38)*AB$30</f>
        <v>198548999.99999997</v>
      </c>
      <c r="AC38" s="145">
        <v>152729999.99999997</v>
      </c>
      <c r="AD38" s="145">
        <v>174404000</v>
      </c>
      <c r="AE38" s="167">
        <f t="shared" si="55"/>
        <v>1</v>
      </c>
      <c r="AF38" s="167"/>
      <c r="AG38" s="167"/>
      <c r="AH38" s="167"/>
      <c r="AJ38" s="172" t="s">
        <v>0</v>
      </c>
      <c r="AK38" s="175">
        <f>AB30</f>
        <v>1</v>
      </c>
      <c r="AL38" s="154"/>
      <c r="AM38" s="154"/>
      <c r="AN38" s="155">
        <f t="shared" si="40"/>
        <v>250</v>
      </c>
      <c r="AO38" s="154"/>
      <c r="AP38" s="154"/>
      <c r="AQ38" s="156">
        <f t="shared" si="41"/>
        <v>389.84009999999995</v>
      </c>
      <c r="AT38" s="50"/>
      <c r="AU38" s="146">
        <v>7</v>
      </c>
      <c r="AV38" s="166">
        <v>80000000</v>
      </c>
      <c r="AW38" s="146">
        <v>112669291.63776001</v>
      </c>
      <c r="AX38" s="168"/>
      <c r="AY38" s="168"/>
      <c r="BA38" s="176"/>
      <c r="BB38" s="85"/>
      <c r="BC38" s="154"/>
      <c r="BD38" s="155">
        <f t="shared" si="46"/>
        <v>200</v>
      </c>
      <c r="BE38" s="156">
        <f>MAX(AW41:AX41)/1000000</f>
        <v>315</v>
      </c>
      <c r="BH38" s="50"/>
      <c r="BI38" s="146">
        <v>7</v>
      </c>
      <c r="BJ38" s="166">
        <v>120000000</v>
      </c>
      <c r="BK38" s="146">
        <v>226126304.09125558</v>
      </c>
      <c r="BM38" s="145">
        <v>147688000</v>
      </c>
      <c r="BN38" s="145">
        <v>114874000.00000003</v>
      </c>
      <c r="BO38" s="167">
        <f t="shared" si="57"/>
        <v>0</v>
      </c>
      <c r="BQ38" s="172" t="s">
        <v>148</v>
      </c>
      <c r="BR38" s="174">
        <f>BL25</f>
        <v>44864</v>
      </c>
      <c r="BS38" s="154"/>
      <c r="BT38" s="154"/>
      <c r="BU38" s="155">
        <f t="shared" si="42"/>
        <v>250</v>
      </c>
      <c r="BV38" s="154"/>
      <c r="BW38" s="154"/>
      <c r="BX38" s="156">
        <f t="shared" si="43"/>
        <v>404.26960000000003</v>
      </c>
      <c r="CA38" s="50"/>
      <c r="CB38" s="146">
        <v>7</v>
      </c>
      <c r="CC38" s="166">
        <v>120000000</v>
      </c>
      <c r="CD38" s="146">
        <v>226126304.09125599</v>
      </c>
      <c r="CE38" s="140"/>
      <c r="CF38" s="145">
        <v>153088000</v>
      </c>
      <c r="CG38" s="145">
        <v>140281000</v>
      </c>
      <c r="CH38" s="167">
        <f t="shared" si="59"/>
        <v>0</v>
      </c>
      <c r="CJ38" s="176"/>
      <c r="CK38" s="85"/>
      <c r="CL38" s="154"/>
      <c r="CM38" s="155">
        <f t="shared" si="48"/>
        <v>250</v>
      </c>
      <c r="CN38" s="156">
        <f t="shared" si="49"/>
        <v>421.23900000000003</v>
      </c>
      <c r="CQ38" s="50"/>
      <c r="CR38" s="146">
        <v>7</v>
      </c>
      <c r="CS38" s="166">
        <v>50000000</v>
      </c>
      <c r="CT38" s="168">
        <f t="shared" si="60"/>
        <v>56921147</v>
      </c>
      <c r="CU38" s="168"/>
      <c r="CV38" s="168"/>
      <c r="CW38" s="168"/>
      <c r="CX38" s="167">
        <f t="shared" si="61"/>
        <v>1</v>
      </c>
      <c r="DA38" s="172" t="s">
        <v>173</v>
      </c>
      <c r="DB38" s="177">
        <f>CU30</f>
        <v>0.21153846153846154</v>
      </c>
      <c r="DC38" s="154"/>
      <c r="DD38" s="154"/>
      <c r="DE38" s="155">
        <f t="shared" si="50"/>
        <v>150</v>
      </c>
      <c r="DF38" s="154"/>
      <c r="DG38" s="154"/>
      <c r="DH38" s="156">
        <f t="shared" si="51"/>
        <v>232.16900000000001</v>
      </c>
      <c r="DK38" s="50"/>
      <c r="DL38" s="146">
        <v>7</v>
      </c>
      <c r="DM38" s="145">
        <v>60000000</v>
      </c>
      <c r="DN38" s="145"/>
      <c r="DO38" s="173">
        <f>IF($DM38&gt;=100000000,$DP$27*DP$30*DP38+$DQ$27*DQ$30*DQ38,DP$30*DP38+DQ$30*DQ38)</f>
        <v>98957000.000000015</v>
      </c>
      <c r="DP38" s="145">
        <v>98957000.000000015</v>
      </c>
      <c r="DQ38" s="145">
        <v>85764000</v>
      </c>
      <c r="DR38" s="146"/>
      <c r="DT38" s="172" t="s">
        <v>173</v>
      </c>
      <c r="DU38" s="177">
        <f>DO30</f>
        <v>0.57692307692307687</v>
      </c>
      <c r="DV38" s="154"/>
      <c r="DW38" s="154"/>
      <c r="DX38" s="155">
        <f t="shared" si="52"/>
        <v>150</v>
      </c>
      <c r="DY38" s="154"/>
      <c r="DZ38" s="154"/>
      <c r="EA38" s="156">
        <f t="shared" si="53"/>
        <v>289.06</v>
      </c>
      <c r="ED38" s="50"/>
      <c r="EE38" s="146">
        <v>7</v>
      </c>
      <c r="EF38" s="166">
        <v>55000000</v>
      </c>
      <c r="EG38" s="168">
        <f t="shared" si="64"/>
        <v>80521889</v>
      </c>
      <c r="EK38" s="167">
        <f t="shared" si="65"/>
        <v>1</v>
      </c>
      <c r="EM38" s="172" t="s">
        <v>148</v>
      </c>
      <c r="EN38" s="174">
        <f>EH25</f>
        <v>43202</v>
      </c>
      <c r="EO38" s="154"/>
      <c r="EP38" s="154"/>
      <c r="EQ38" s="155">
        <f t="shared" si="44"/>
        <v>150</v>
      </c>
      <c r="ER38" s="154"/>
      <c r="ES38" s="154"/>
      <c r="ET38" s="156">
        <f t="shared" si="45"/>
        <v>246.14954999999998</v>
      </c>
    </row>
    <row r="39" spans="6:150" x14ac:dyDescent="0.2">
      <c r="F39" s="117" t="s">
        <v>198</v>
      </c>
      <c r="G39" s="117"/>
      <c r="H39" s="117"/>
      <c r="J39" s="86" t="str" cm="1">
        <f t="array" ref="J39">LOOKUP(2,1/($G$17:$G$33&lt;=$L39)/($H$17:$H$33&gt;=$L39),$F$17:$F$33)</f>
        <v>1H24</v>
      </c>
      <c r="K39" s="86" t="str" cm="1">
        <f t="array" ref="K39">LOOKUP(2,1/($G$6:$G$14&lt;=$L39)/($H$6:$H$14&gt;=$L39),$F$6:$F$14)</f>
        <v>FY24</v>
      </c>
      <c r="L39" s="118">
        <v>45232</v>
      </c>
      <c r="M39" s="49">
        <v>58296435</v>
      </c>
      <c r="N39" s="49">
        <v>78560276</v>
      </c>
      <c r="O39" s="50">
        <v>40000000</v>
      </c>
      <c r="P39" s="119" cm="1">
        <f t="array" ref="P39">LOOKUP(2,1/($B$10:$B$14&lt;=$L39)/($C$10:$C$14&gt;=$L39),$D$10:$D$14)</f>
        <v>1.1000000000000001</v>
      </c>
      <c r="Q39" s="120" cm="1">
        <f t="array" ref="Q39">LOOKUP(2,1/($B$17:$B$21&lt;=$L39)/($C$17:$C$21&gt;=$L39),$D$17:$D$21)</f>
        <v>134.49039999999999</v>
      </c>
      <c r="R39" s="113" t="str">
        <f t="shared" si="35"/>
        <v/>
      </c>
      <c r="S39" s="113" t="str">
        <f t="shared" si="36"/>
        <v>1H24</v>
      </c>
      <c r="T39" s="113" t="str">
        <f t="shared" ca="1" si="37"/>
        <v/>
      </c>
      <c r="U39" s="113" t="str">
        <f t="shared" si="38"/>
        <v/>
      </c>
      <c r="V39" s="113" t="str">
        <f t="shared" si="4"/>
        <v>FY24</v>
      </c>
      <c r="W39" s="113" t="str">
        <f t="shared" ca="1" si="39"/>
        <v/>
      </c>
      <c r="X39" s="50"/>
      <c r="Y39" s="146">
        <v>8</v>
      </c>
      <c r="Z39" s="145">
        <v>160000000</v>
      </c>
      <c r="AA39" s="145"/>
      <c r="AB39" s="173">
        <f>IF($Z39&gt;=100000000,$AC$27*AC$30*AC39+$AD$27*AD$30*AD39,AC$30*AC39+AD$30*AD39)*AB$30</f>
        <v>257407799.99999997</v>
      </c>
      <c r="AC39" s="145">
        <v>198005999.99999997</v>
      </c>
      <c r="AD39" s="145">
        <v>246312000</v>
      </c>
      <c r="AE39" s="146"/>
      <c r="AF39" s="146"/>
      <c r="AG39" s="146"/>
      <c r="AH39" s="146"/>
      <c r="AJ39" s="179" t="s">
        <v>162</v>
      </c>
      <c r="AK39" s="180">
        <f>AC27</f>
        <v>1.3</v>
      </c>
      <c r="AL39" s="181"/>
      <c r="AM39" s="181"/>
      <c r="AN39" s="181"/>
      <c r="AO39" s="181"/>
      <c r="AP39" s="181"/>
      <c r="AQ39" s="182"/>
      <c r="AT39" s="50"/>
      <c r="AU39" s="146">
        <v>8</v>
      </c>
      <c r="AV39" s="166">
        <v>100000000</v>
      </c>
      <c r="AW39" s="146">
        <v>191431593.99936002</v>
      </c>
      <c r="AX39" s="168"/>
      <c r="AY39" s="168"/>
      <c r="BA39" s="176"/>
      <c r="BB39" s="32"/>
      <c r="BC39" s="32"/>
      <c r="BD39" s="32"/>
      <c r="BE39" s="183"/>
      <c r="BH39" s="50"/>
      <c r="BI39" s="146">
        <v>8</v>
      </c>
      <c r="BJ39" s="145">
        <v>160000000</v>
      </c>
      <c r="BK39" s="145"/>
      <c r="BL39" s="173">
        <f>IF($BJ39&gt;=100000000,$BM$27*BM$30*BM39+$CG$8*BN$30*BN39,BM$30*BM39+BN$30*BN39)</f>
        <v>267534399.99999997</v>
      </c>
      <c r="BM39" s="145">
        <v>191096000</v>
      </c>
      <c r="BN39" s="145">
        <v>122294000.00000001</v>
      </c>
      <c r="BO39" s="146"/>
      <c r="BQ39" s="179" t="s">
        <v>0</v>
      </c>
      <c r="BR39" s="185">
        <f>BL30</f>
        <v>0</v>
      </c>
      <c r="BS39" s="181"/>
      <c r="BT39" s="181"/>
      <c r="BU39" s="181"/>
      <c r="BV39" s="181"/>
      <c r="BW39" s="181"/>
      <c r="BX39" s="182"/>
      <c r="CA39" s="50"/>
      <c r="CB39" s="146">
        <v>8</v>
      </c>
      <c r="CC39" s="145">
        <v>150000000</v>
      </c>
      <c r="CD39" s="145"/>
      <c r="CE39" s="173">
        <f>IF($CC39&gt;=100000000,$CF$8*CF$11*CF39+$CG$8*CG$11*CG39,CF$11*CF39+CG$11*CG39)</f>
        <v>277989600</v>
      </c>
      <c r="CF39" s="145">
        <v>198564000</v>
      </c>
      <c r="CG39" s="145">
        <v>172077000</v>
      </c>
      <c r="CH39" s="146"/>
      <c r="CJ39" s="176"/>
      <c r="CK39" s="32"/>
      <c r="CL39" s="32"/>
      <c r="CM39" s="32"/>
      <c r="CN39" s="183"/>
      <c r="CQ39" s="50"/>
      <c r="CR39" s="146">
        <v>8</v>
      </c>
      <c r="CS39" s="145">
        <v>80000000</v>
      </c>
      <c r="CT39" s="145"/>
      <c r="CU39" s="173">
        <f>IF($CS39&gt;=100000000,$CV$27*CV$30*CV39+$CW$27*CW$30*CW39,CV$30*CV39+CW$30*CW39)</f>
        <v>101329200</v>
      </c>
      <c r="CV39" s="145">
        <v>101329200</v>
      </c>
      <c r="CW39" s="145">
        <v>109018999.99999999</v>
      </c>
      <c r="CX39" s="146"/>
      <c r="DA39" s="176"/>
      <c r="DB39" s="32"/>
      <c r="DC39" s="32"/>
      <c r="DD39" s="32"/>
      <c r="DE39" s="32"/>
      <c r="DF39" s="32"/>
      <c r="DG39" s="32"/>
      <c r="DH39" s="183"/>
      <c r="DK39" s="50"/>
      <c r="DL39" s="146">
        <v>8</v>
      </c>
      <c r="DM39" s="145">
        <v>80000000</v>
      </c>
      <c r="DN39" s="145"/>
      <c r="DO39" s="173">
        <f>IF($DM39&gt;=100000000,$DP$27*DP$30*DP39+$DQ$27*DQ$30*DQ39,DP$30*DP39+DQ$30*DQ39)</f>
        <v>128354999.99999999</v>
      </c>
      <c r="DP39" s="145">
        <v>128354999.99999999</v>
      </c>
      <c r="DQ39" s="145">
        <v>126586000</v>
      </c>
      <c r="DR39" s="146"/>
      <c r="DT39" s="176"/>
      <c r="DU39" s="32"/>
      <c r="DV39" s="32"/>
      <c r="DW39" s="32"/>
      <c r="DX39" s="32"/>
      <c r="DY39" s="32"/>
      <c r="DZ39" s="32"/>
      <c r="EA39" s="183"/>
      <c r="ED39" s="50"/>
      <c r="EE39" s="146">
        <v>8</v>
      </c>
      <c r="EF39" s="145">
        <v>80000000</v>
      </c>
      <c r="EG39" s="145"/>
      <c r="EH39" s="173">
        <f>IF($EF39&gt;=100000000,$EI$27*EI$30*EI39+$EJ$27*EJ$30*EJ39,EI$30*EI39+EJ$30*EJ39)*EH$30</f>
        <v>101965999.99999999</v>
      </c>
      <c r="EI39" s="145">
        <v>101965999.99999999</v>
      </c>
      <c r="EJ39" s="145">
        <v>103580000.00000001</v>
      </c>
      <c r="EK39" s="146"/>
      <c r="EM39" s="179" t="s">
        <v>0</v>
      </c>
      <c r="EN39" s="185">
        <f>EH30</f>
        <v>1</v>
      </c>
      <c r="EO39" s="181"/>
      <c r="EP39" s="181"/>
      <c r="EQ39" s="181"/>
      <c r="ER39" s="181"/>
      <c r="ES39" s="181"/>
      <c r="ET39" s="182"/>
    </row>
    <row r="40" spans="6:150" x14ac:dyDescent="0.2">
      <c r="F40" s="86">
        <v>0</v>
      </c>
      <c r="G40" s="129">
        <v>42552</v>
      </c>
      <c r="H40" s="129">
        <v>44697</v>
      </c>
      <c r="J40" s="86" t="str" cm="1">
        <f t="array" ref="J40">LOOKUP(2,1/($G$17:$G$33&lt;=$L40)/($H$17:$H$33&gt;=$L40),$F$17:$F$33)</f>
        <v>1H24</v>
      </c>
      <c r="K40" s="86" t="str" cm="1">
        <f t="array" ref="K40">LOOKUP(2,1/($G$6:$G$14&lt;=$L40)/($H$6:$H$14&gt;=$L40),$F$6:$F$14)</f>
        <v>FY24</v>
      </c>
      <c r="L40" s="118">
        <v>45225</v>
      </c>
      <c r="M40" s="49">
        <v>41102714</v>
      </c>
      <c r="N40" s="49">
        <v>55390018</v>
      </c>
      <c r="O40" s="50">
        <v>20000000</v>
      </c>
      <c r="P40" s="119" cm="1">
        <f t="array" ref="P40">LOOKUP(2,1/($B$10:$B$14&lt;=$L40)/($C$10:$C$14&gt;=$L40),$D$10:$D$14)</f>
        <v>1.1000000000000001</v>
      </c>
      <c r="Q40" s="120" cm="1">
        <f t="array" ref="Q40">LOOKUP(2,1/($B$17:$B$21&lt;=$L40)/($C$17:$C$21&gt;=$L40),$D$17:$D$21)</f>
        <v>134.49039999999999</v>
      </c>
      <c r="R40" s="113" t="str">
        <f t="shared" si="35"/>
        <v/>
      </c>
      <c r="S40" s="113" t="str">
        <f t="shared" si="36"/>
        <v>1H24</v>
      </c>
      <c r="T40" s="113" t="str">
        <f t="shared" ca="1" si="37"/>
        <v/>
      </c>
      <c r="U40" s="113" t="str">
        <f t="shared" si="38"/>
        <v/>
      </c>
      <c r="V40" s="113" t="str">
        <f t="shared" si="4"/>
        <v>FY24</v>
      </c>
      <c r="W40" s="113" t="str">
        <f t="shared" ca="1" si="39"/>
        <v/>
      </c>
      <c r="X40" s="50"/>
      <c r="Y40" s="146">
        <v>9</v>
      </c>
      <c r="Z40" s="145">
        <v>200000000</v>
      </c>
      <c r="AA40" s="145"/>
      <c r="AB40" s="173">
        <f>IF($Z40&gt;=100000000,$AC$27*AC$30*AC40+$AD$27*AD$30*AD40,AC$30*AC40+AD$30*AD40)*AB$30</f>
        <v>316266600</v>
      </c>
      <c r="AC40" s="145">
        <v>243281999.99999997</v>
      </c>
      <c r="AD40" s="145">
        <v>328140000</v>
      </c>
      <c r="AE40" s="146"/>
      <c r="AF40" s="146"/>
      <c r="AG40" s="146"/>
      <c r="AH40" s="146"/>
      <c r="AJ40" s="2"/>
      <c r="AK40" s="2"/>
      <c r="AL40" s="2"/>
      <c r="AM40" s="2"/>
      <c r="AN40" s="2"/>
      <c r="AO40" s="2"/>
      <c r="AP40" s="2"/>
      <c r="AQ40" s="2"/>
      <c r="AT40" s="50"/>
      <c r="AU40" s="146">
        <v>9</v>
      </c>
      <c r="AV40" s="145">
        <v>150000000</v>
      </c>
      <c r="AW40" s="184"/>
      <c r="AX40" s="145">
        <v>245000000</v>
      </c>
      <c r="AY40" s="146"/>
      <c r="BA40" s="186"/>
      <c r="BB40" s="2"/>
      <c r="BC40" s="2"/>
      <c r="BD40" s="2"/>
      <c r="BE40" s="187"/>
      <c r="BH40" s="50"/>
      <c r="BI40" s="146">
        <v>9</v>
      </c>
      <c r="BJ40" s="145">
        <v>200000000</v>
      </c>
      <c r="BK40" s="145"/>
      <c r="BL40" s="173">
        <f>IF($BJ40&gt;=100000000,$BM$27*BM$30*BM40+$CG$8*BN$30*BN40,BM$30*BM40+BN$30*BN40)</f>
        <v>328305600</v>
      </c>
      <c r="BM40" s="145">
        <v>234504000</v>
      </c>
      <c r="BN40" s="145">
        <v>116914000.00000001</v>
      </c>
      <c r="BO40" s="146"/>
      <c r="BQ40" s="2"/>
      <c r="BR40" s="2"/>
      <c r="BS40" s="2"/>
      <c r="BT40" s="2"/>
      <c r="BU40" s="2"/>
      <c r="BV40" s="2"/>
      <c r="BW40" s="2"/>
      <c r="BX40" s="2"/>
      <c r="CA40" s="50"/>
      <c r="CB40" s="146">
        <v>9</v>
      </c>
      <c r="CC40" s="145">
        <v>200000000</v>
      </c>
      <c r="CD40" s="145"/>
      <c r="CE40" s="173">
        <f>IF($CC40&gt;=100000000,$CF$8*CF$11*CF40+$CG$8*CG$11*CG40,CF$11*CF40+CG$11*CG40)</f>
        <v>341656000</v>
      </c>
      <c r="CF40" s="145">
        <v>244040000</v>
      </c>
      <c r="CG40" s="145">
        <v>199073000</v>
      </c>
      <c r="CH40" s="146"/>
      <c r="CJ40" s="186"/>
      <c r="CK40" s="2"/>
      <c r="CL40" s="2"/>
      <c r="CM40" s="2"/>
      <c r="CN40" s="187"/>
      <c r="CQ40" s="50"/>
      <c r="CR40" s="146">
        <v>9</v>
      </c>
      <c r="CS40" s="145">
        <v>100000000</v>
      </c>
      <c r="CT40" s="145"/>
      <c r="CU40" s="173">
        <f>IF($CS40&gt;=100000000,$CV$27*CV$30*CV40+$CW$27*CW$30*CW40,CV$30*CV40+CW$30*CW40)</f>
        <v>156806500</v>
      </c>
      <c r="CV40" s="145">
        <v>125445200</v>
      </c>
      <c r="CW40" s="145">
        <v>155857000</v>
      </c>
      <c r="CX40" s="146"/>
      <c r="DA40" s="186"/>
      <c r="DB40" s="2"/>
      <c r="DC40" s="2"/>
      <c r="DD40" s="2"/>
      <c r="DE40" s="2"/>
      <c r="DF40" s="2"/>
      <c r="DG40" s="2"/>
      <c r="DH40" s="187"/>
      <c r="DK40" s="50"/>
      <c r="DL40" s="146">
        <v>9</v>
      </c>
      <c r="DM40" s="145">
        <v>100000000</v>
      </c>
      <c r="DN40" s="145"/>
      <c r="DO40" s="173">
        <f>IF($DM40&gt;=100000000,$DP$27*DP$30*DP40+$DQ$27*DQ$30*DQ40,DP$30*DP40+DQ$30*DQ40)</f>
        <v>197191250</v>
      </c>
      <c r="DP40" s="145">
        <v>157753000</v>
      </c>
      <c r="DQ40" s="145">
        <v>177328000</v>
      </c>
      <c r="DR40" s="146"/>
      <c r="DT40" s="186"/>
      <c r="DU40" s="2"/>
      <c r="DV40" s="2"/>
      <c r="DW40" s="2"/>
      <c r="DX40" s="2"/>
      <c r="DY40" s="2"/>
      <c r="DZ40" s="2"/>
      <c r="EA40" s="187"/>
      <c r="ED40" s="50"/>
      <c r="EE40" s="146">
        <v>9</v>
      </c>
      <c r="EF40" s="145">
        <v>100000000</v>
      </c>
      <c r="EG40" s="145"/>
      <c r="EH40" s="173">
        <f>IF($EF40&gt;=100000000,$EI$27*EI$30*EI40+$EJ$27*EJ$30*EJ40,EI$30*EI40+EJ$30*EJ40)*EH$30</f>
        <v>168652800</v>
      </c>
      <c r="EI40" s="145">
        <v>124927999.99999999</v>
      </c>
      <c r="EJ40" s="145">
        <v>128104000.00000001</v>
      </c>
      <c r="EK40" s="146"/>
      <c r="EM40" s="2"/>
      <c r="EN40" s="2"/>
      <c r="EO40" s="2"/>
      <c r="EP40" s="2"/>
      <c r="EQ40" s="2"/>
      <c r="ER40" s="2"/>
      <c r="ES40" s="2"/>
      <c r="ET40" s="2"/>
    </row>
    <row r="41" spans="6:150" x14ac:dyDescent="0.2">
      <c r="F41" s="86">
        <v>1</v>
      </c>
      <c r="G41" s="129">
        <v>44698</v>
      </c>
      <c r="H41" s="131">
        <f>EOMONTH(MAX($L:$L),0)</f>
        <v>45473</v>
      </c>
      <c r="J41" s="86" t="str" cm="1">
        <f t="array" ref="J41">LOOKUP(2,1/($G$17:$G$33&lt;=$L41)/($H$17:$H$33&gt;=$L41),$F$17:$F$33)</f>
        <v>1H24</v>
      </c>
      <c r="K41" s="86" t="str" cm="1">
        <f t="array" ref="K41">LOOKUP(2,1/($G$6:$G$14&lt;=$L41)/($H$6:$H$14&gt;=$L41),$F$6:$F$14)</f>
        <v>FY24</v>
      </c>
      <c r="L41" s="118">
        <v>45218</v>
      </c>
      <c r="M41" s="49">
        <v>28337262</v>
      </c>
      <c r="N41" s="49">
        <v>38187295</v>
      </c>
      <c r="O41" s="50">
        <v>12000000</v>
      </c>
      <c r="P41" s="119" cm="1">
        <f t="array" ref="P41">LOOKUP(2,1/($B$10:$B$14&lt;=$L41)/($C$10:$C$14&gt;=$L41),$D$10:$D$14)</f>
        <v>1.1000000000000001</v>
      </c>
      <c r="Q41" s="120" cm="1">
        <f t="array" ref="Q41">LOOKUP(2,1/($B$17:$B$21&lt;=$L41)/($C$17:$C$21&gt;=$L41),$D$17:$D$21)</f>
        <v>134.49039999999999</v>
      </c>
      <c r="R41" s="113" t="str">
        <f t="shared" si="35"/>
        <v/>
      </c>
      <c r="S41" s="113" t="str">
        <f t="shared" si="36"/>
        <v>1H24</v>
      </c>
      <c r="T41" s="113" t="str">
        <f t="shared" ca="1" si="37"/>
        <v/>
      </c>
      <c r="U41" s="113" t="str">
        <f t="shared" si="38"/>
        <v/>
      </c>
      <c r="V41" s="113" t="str">
        <f t="shared" si="4"/>
        <v>FY24</v>
      </c>
      <c r="W41" s="113" t="str">
        <f t="shared" ca="1" si="39"/>
        <v/>
      </c>
      <c r="X41" s="50"/>
      <c r="Y41" s="146">
        <v>10</v>
      </c>
      <c r="Z41" s="145">
        <v>250000000</v>
      </c>
      <c r="AA41" s="145"/>
      <c r="AB41" s="173">
        <f>IF($Z41&gt;=100000000,$AC$27*AC$30*AC41+$AD$27*AD$30*AD41,AC$30*AC41+AD$30*AD41)*AB$30</f>
        <v>389840099.99999994</v>
      </c>
      <c r="AC41" s="145">
        <v>299876999.99999994</v>
      </c>
      <c r="AD41" s="145">
        <v>444374999.99999994</v>
      </c>
      <c r="AE41" s="146"/>
      <c r="AF41" s="146"/>
      <c r="AG41" s="146"/>
      <c r="AH41" s="146"/>
      <c r="AJ41" s="188"/>
      <c r="AK41" s="188"/>
      <c r="AL41" s="188"/>
      <c r="AM41" s="188"/>
      <c r="AN41" s="188"/>
      <c r="AO41" s="188"/>
      <c r="AP41" s="188"/>
      <c r="AQ41" s="188"/>
      <c r="AT41" s="50"/>
      <c r="AU41" s="146">
        <v>10</v>
      </c>
      <c r="AV41" s="145">
        <v>200000000</v>
      </c>
      <c r="AW41" s="184"/>
      <c r="AX41" s="145">
        <v>315000000</v>
      </c>
      <c r="AY41" s="146"/>
      <c r="BA41" s="189"/>
      <c r="BB41" s="190"/>
      <c r="BC41" s="190"/>
      <c r="BD41" s="190"/>
      <c r="BE41" s="191"/>
      <c r="BH41" s="50"/>
      <c r="BI41" s="146">
        <v>10</v>
      </c>
      <c r="BJ41" s="145">
        <v>250000000</v>
      </c>
      <c r="BK41" s="145"/>
      <c r="BL41" s="173">
        <f>IF($BJ41&gt;=100000000,$BM$27*BM$30*BM41+$CG$8*BN$30*BN41,BM$30*BM41+BN$30*BN41)</f>
        <v>404269600</v>
      </c>
      <c r="BM41" s="145">
        <v>288764000</v>
      </c>
      <c r="BN41" s="145">
        <v>92189000</v>
      </c>
      <c r="BO41" s="146"/>
      <c r="BQ41" s="188"/>
      <c r="BR41" s="188"/>
      <c r="BS41" s="188"/>
      <c r="BT41" s="188"/>
      <c r="BU41" s="188"/>
      <c r="BV41" s="188"/>
      <c r="BW41" s="188"/>
      <c r="BX41" s="188"/>
      <c r="CA41" s="50"/>
      <c r="CB41" s="146">
        <v>10</v>
      </c>
      <c r="CC41" s="145">
        <v>250000000</v>
      </c>
      <c r="CD41" s="145"/>
      <c r="CE41" s="173">
        <f>IF($CC41&gt;=100000000,$CF$8*CF$11*CF41+$CG$8*CG$11*CG41,CF$11*CF41+CG$11*CG41)</f>
        <v>421239000.00000006</v>
      </c>
      <c r="CF41" s="145">
        <v>300885000.00000006</v>
      </c>
      <c r="CG41" s="145">
        <v>226068000</v>
      </c>
      <c r="CH41" s="146"/>
      <c r="CJ41" s="189"/>
      <c r="CK41" s="190"/>
      <c r="CL41" s="190"/>
      <c r="CM41" s="190"/>
      <c r="CN41" s="191"/>
      <c r="CQ41" s="50"/>
      <c r="CR41" s="146">
        <v>10</v>
      </c>
      <c r="CS41" s="145">
        <v>150000000</v>
      </c>
      <c r="CT41" s="145"/>
      <c r="CU41" s="173">
        <f>IF($CS41&gt;=100000000,$CV$27*CV$30*CV41+$CW$27*CW$30*CW41,CV$30*CV41+CW$30*CW41)</f>
        <v>232169000</v>
      </c>
      <c r="CV41" s="145">
        <v>185735200</v>
      </c>
      <c r="CW41" s="145">
        <v>313902000</v>
      </c>
      <c r="CX41" s="146"/>
      <c r="DA41" s="189"/>
      <c r="DB41" s="190"/>
      <c r="DC41" s="190"/>
      <c r="DD41" s="190"/>
      <c r="DE41" s="190"/>
      <c r="DF41" s="190"/>
      <c r="DG41" s="190"/>
      <c r="DH41" s="191"/>
      <c r="DK41" s="50"/>
      <c r="DL41" s="146">
        <v>10</v>
      </c>
      <c r="DM41" s="145">
        <v>150000000</v>
      </c>
      <c r="DN41" s="145"/>
      <c r="DO41" s="173">
        <f>IF($DM41&gt;=100000000,$DP$27*DP$30*DP41+$DQ$27*DQ$30*DQ41,DP$30*DP41+DQ$30*DQ41)</f>
        <v>289060000</v>
      </c>
      <c r="DP41" s="145">
        <v>231248000</v>
      </c>
      <c r="DQ41" s="145">
        <v>347582999.99999994</v>
      </c>
      <c r="DR41" s="146"/>
      <c r="DT41" s="189"/>
      <c r="DU41" s="190"/>
      <c r="DV41" s="190"/>
      <c r="DW41" s="190"/>
      <c r="DX41" s="190"/>
      <c r="DY41" s="190"/>
      <c r="DZ41" s="190"/>
      <c r="EA41" s="191"/>
      <c r="ED41" s="50"/>
      <c r="EE41" s="146">
        <v>10</v>
      </c>
      <c r="EF41" s="145">
        <v>150000000</v>
      </c>
      <c r="EG41" s="145"/>
      <c r="EH41" s="173">
        <f>IF($EF41&gt;=100000000,$EI$27*EI$30*EI41+$EJ$27*EJ$30*EJ41,EI$30*EI41+EJ$30*EJ41)*EH$30</f>
        <v>246149549.99999997</v>
      </c>
      <c r="EI41" s="145">
        <v>182332999.99999997</v>
      </c>
      <c r="EJ41" s="145">
        <v>191514000</v>
      </c>
      <c r="EK41" s="146"/>
      <c r="EM41" s="188"/>
      <c r="EN41" s="188"/>
      <c r="EO41" s="188"/>
      <c r="EP41" s="188"/>
      <c r="EQ41" s="188"/>
      <c r="ER41" s="188"/>
      <c r="ES41" s="188"/>
      <c r="ET41" s="188"/>
    </row>
    <row r="42" spans="6:150" x14ac:dyDescent="0.25">
      <c r="F42" s="86"/>
      <c r="G42" s="129"/>
      <c r="H42" s="129"/>
      <c r="J42" s="86" t="str" cm="1">
        <f t="array" ref="J42">LOOKUP(2,1/($G$17:$G$33&lt;=$L42)/($H$17:$H$33&gt;=$L42),$F$17:$F$33)</f>
        <v>1H24</v>
      </c>
      <c r="K42" s="86" t="str" cm="1">
        <f t="array" ref="K42">LOOKUP(2,1/($G$6:$G$14&lt;=$L42)/($H$6:$H$14&gt;=$L42),$F$6:$F$14)</f>
        <v>FY24</v>
      </c>
      <c r="L42" s="118">
        <v>45211</v>
      </c>
      <c r="M42" s="49">
        <v>19942564</v>
      </c>
      <c r="N42" s="49">
        <v>26874600</v>
      </c>
      <c r="O42" s="50">
        <v>4000000</v>
      </c>
      <c r="P42" s="119" cm="1">
        <f t="array" ref="P42">LOOKUP(2,1/($B$10:$B$14&lt;=$L42)/($C$10:$C$14&gt;=$L42),$D$10:$D$14)</f>
        <v>1.1000000000000001</v>
      </c>
      <c r="Q42" s="120" cm="1">
        <f t="array" ref="Q42">LOOKUP(2,1/($B$17:$B$21&lt;=$L42)/($C$17:$C$21&gt;=$L42),$D$17:$D$21)</f>
        <v>134.49039999999999</v>
      </c>
      <c r="R42" s="113" t="str">
        <f t="shared" si="35"/>
        <v/>
      </c>
      <c r="S42" s="113" t="str">
        <f t="shared" si="36"/>
        <v>1H24</v>
      </c>
      <c r="T42" s="113" t="str">
        <f t="shared" ca="1" si="37"/>
        <v/>
      </c>
      <c r="U42" s="113" t="str">
        <f t="shared" si="38"/>
        <v/>
      </c>
      <c r="V42" s="113" t="str">
        <f t="shared" si="4"/>
        <v>FY24</v>
      </c>
      <c r="W42" s="113" t="str">
        <f t="shared" ca="1" si="39"/>
        <v/>
      </c>
      <c r="X42" s="50"/>
      <c r="AI42" s="116"/>
      <c r="AJ42" s="106"/>
      <c r="AK42" s="107"/>
      <c r="AL42" s="107"/>
      <c r="AM42" s="107"/>
      <c r="AN42" s="108"/>
      <c r="AO42" s="107"/>
      <c r="AP42" s="107"/>
      <c r="AQ42" s="108"/>
      <c r="AT42" s="50"/>
      <c r="AU42" s="192"/>
      <c r="AZ42" s="105"/>
      <c r="BA42" s="105"/>
      <c r="BB42" s="105"/>
      <c r="BC42" s="105"/>
      <c r="BD42" s="105"/>
      <c r="BE42" s="105"/>
      <c r="BF42" s="105"/>
      <c r="BG42" s="105"/>
      <c r="BH42" s="50"/>
      <c r="CA42" s="50"/>
      <c r="CQ42" s="50"/>
      <c r="DK42" s="50"/>
      <c r="DL42" s="192"/>
      <c r="DS42" s="105"/>
      <c r="DT42" s="105"/>
      <c r="DU42" s="105"/>
      <c r="DV42" s="105"/>
      <c r="DW42" s="105"/>
      <c r="DX42" s="105"/>
      <c r="DY42" s="105"/>
      <c r="DZ42" s="105"/>
      <c r="EA42" s="105"/>
      <c r="EB42" s="105"/>
      <c r="EC42" s="105"/>
      <c r="ED42" s="50"/>
      <c r="EM42" s="105"/>
      <c r="EN42" s="105"/>
      <c r="EO42" s="105"/>
      <c r="EP42" s="105"/>
      <c r="EQ42" s="105"/>
      <c r="ER42" s="105"/>
      <c r="ES42" s="105"/>
      <c r="ET42" s="105"/>
    </row>
    <row r="43" spans="6:150" x14ac:dyDescent="0.25">
      <c r="F43" s="86"/>
      <c r="G43" s="86"/>
      <c r="H43" s="86"/>
      <c r="J43" s="86" t="str" cm="1">
        <f t="array" ref="J43">LOOKUP(2,1/($G$17:$G$33&lt;=$L43)/($H$17:$H$33&gt;=$L43),$F$17:$F$33)</f>
        <v>1H24</v>
      </c>
      <c r="K43" s="86" t="str" cm="1">
        <f t="array" ref="K43">LOOKUP(2,1/($G$6:$G$14&lt;=$L43)/($H$6:$H$14&gt;=$L43),$F$6:$F$14)</f>
        <v>FY24</v>
      </c>
      <c r="L43" s="118">
        <v>45204</v>
      </c>
      <c r="M43" s="49">
        <v>85385106</v>
      </c>
      <c r="N43" s="49">
        <v>115064969</v>
      </c>
      <c r="O43" s="50">
        <v>60000000</v>
      </c>
      <c r="P43" s="119" cm="1">
        <f t="array" ref="P43">LOOKUP(2,1/($B$10:$B$14&lt;=$L43)/($C$10:$C$14&gt;=$L43),$D$10:$D$14)</f>
        <v>1.1000000000000001</v>
      </c>
      <c r="Q43" s="120" cm="1">
        <f t="array" ref="Q43">LOOKUP(2,1/($B$17:$B$21&lt;=$L43)/($C$17:$C$21&gt;=$L43),$D$17:$D$21)</f>
        <v>134.49039999999999</v>
      </c>
      <c r="R43" s="113" t="str">
        <f t="shared" si="35"/>
        <v/>
      </c>
      <c r="S43" s="113" t="str">
        <f t="shared" si="36"/>
        <v>1H24</v>
      </c>
      <c r="T43" s="113" t="str">
        <f t="shared" ca="1" si="37"/>
        <v/>
      </c>
      <c r="U43" s="113" t="str">
        <f t="shared" si="38"/>
        <v/>
      </c>
      <c r="V43" s="113" t="str">
        <f t="shared" si="4"/>
        <v>FY24</v>
      </c>
      <c r="W43" s="113" t="str">
        <f t="shared" ca="1" si="39"/>
        <v/>
      </c>
      <c r="X43" s="50"/>
      <c r="Y43" s="121" t="s">
        <v>199</v>
      </c>
      <c r="Z43" s="122"/>
      <c r="AA43" s="122"/>
      <c r="AB43" s="122"/>
      <c r="AC43" s="122"/>
      <c r="AD43" s="122"/>
      <c r="AE43" s="122"/>
      <c r="AF43" s="122"/>
      <c r="AG43" s="122"/>
      <c r="AH43" s="122"/>
      <c r="AI43" s="122"/>
      <c r="AJ43" s="122"/>
      <c r="AK43" s="122"/>
      <c r="AL43" s="122"/>
      <c r="AM43" s="122"/>
      <c r="AN43" s="122"/>
      <c r="AO43" s="122"/>
      <c r="AP43" s="122"/>
      <c r="AQ43" s="122"/>
      <c r="AR43" s="122"/>
      <c r="AS43" s="122"/>
      <c r="AT43" s="50"/>
      <c r="AU43" s="121" t="s">
        <v>200</v>
      </c>
      <c r="AV43" s="122"/>
      <c r="AW43" s="122"/>
      <c r="AX43" s="122"/>
      <c r="AY43" s="122"/>
      <c r="AZ43" s="122"/>
      <c r="BA43" s="122"/>
      <c r="BB43" s="122"/>
      <c r="BC43" s="122"/>
      <c r="BD43" s="122"/>
      <c r="BE43" s="122"/>
      <c r="BF43" s="122"/>
      <c r="BG43" s="122"/>
      <c r="BH43" s="50"/>
      <c r="CA43" s="50"/>
      <c r="CQ43" s="50"/>
      <c r="CR43" s="125" t="s">
        <v>19</v>
      </c>
      <c r="CS43" s="126"/>
      <c r="CT43" s="126"/>
      <c r="CU43" s="126"/>
      <c r="CV43" s="126"/>
      <c r="CW43" s="126"/>
      <c r="CX43" s="126"/>
      <c r="CY43" s="126"/>
      <c r="CZ43" s="126"/>
      <c r="DA43" s="126"/>
      <c r="DB43" s="126"/>
      <c r="DC43" s="126"/>
      <c r="DD43" s="126"/>
      <c r="DE43" s="126"/>
      <c r="DF43" s="126"/>
      <c r="DG43" s="126"/>
      <c r="DH43" s="126"/>
      <c r="DI43" s="126"/>
      <c r="DJ43" s="126"/>
      <c r="DK43" s="50"/>
      <c r="DL43" s="125" t="s">
        <v>201</v>
      </c>
      <c r="DM43" s="126"/>
      <c r="DN43" s="126"/>
      <c r="DO43" s="126"/>
      <c r="DP43" s="126"/>
      <c r="DQ43" s="126"/>
      <c r="DR43" s="126"/>
      <c r="DS43" s="126"/>
      <c r="DT43" s="126"/>
      <c r="DU43" s="126"/>
      <c r="DV43" s="126"/>
      <c r="DW43" s="126"/>
      <c r="DX43" s="126"/>
      <c r="DY43" s="126"/>
      <c r="DZ43" s="126"/>
      <c r="EA43" s="126"/>
      <c r="EB43" s="126"/>
      <c r="EC43" s="126"/>
      <c r="ED43" s="50"/>
      <c r="EE43" s="127" t="s">
        <v>202</v>
      </c>
      <c r="EF43" s="128"/>
      <c r="EG43" s="128"/>
      <c r="EH43" s="128"/>
      <c r="EI43" s="128"/>
      <c r="EJ43" s="128"/>
      <c r="EK43" s="128"/>
      <c r="EL43" s="128"/>
      <c r="EM43" s="128"/>
      <c r="EN43" s="128"/>
      <c r="EO43" s="128"/>
      <c r="EP43" s="128"/>
      <c r="EQ43" s="128"/>
      <c r="ER43" s="128"/>
      <c r="ES43" s="128"/>
      <c r="ET43" s="128"/>
    </row>
    <row r="44" spans="6:150" x14ac:dyDescent="0.25">
      <c r="F44" s="86"/>
      <c r="G44" s="86"/>
      <c r="H44" s="86"/>
      <c r="J44" s="86" t="str" cm="1">
        <f t="array" ref="J44">LOOKUP(2,1/($G$17:$G$33&lt;=$L44)/($H$17:$H$33&gt;=$L44),$F$17:$F$33)</f>
        <v>1H24</v>
      </c>
      <c r="K44" s="86" t="str" cm="1">
        <f t="array" ref="K44">LOOKUP(2,1/($G$6:$G$14&lt;=$L44)/($H$6:$H$14&gt;=$L44),$F$6:$F$14)</f>
        <v>FY24</v>
      </c>
      <c r="L44" s="118">
        <v>45197</v>
      </c>
      <c r="M44" s="49">
        <v>56641299</v>
      </c>
      <c r="N44" s="49">
        <v>76329814</v>
      </c>
      <c r="O44" s="50">
        <v>40000000</v>
      </c>
      <c r="P44" s="119" cm="1">
        <f t="array" ref="P44">LOOKUP(2,1/($B$10:$B$14&lt;=$L44)/($C$10:$C$14&gt;=$L44),$D$10:$D$14)</f>
        <v>1.1000000000000001</v>
      </c>
      <c r="Q44" s="120" cm="1">
        <f t="array" ref="Q44">LOOKUP(2,1/($B$17:$B$21&lt;=$L44)/($C$17:$C$21&gt;=$L44),$D$17:$D$21)</f>
        <v>134.49039999999999</v>
      </c>
      <c r="R44" s="113" t="str">
        <f t="shared" si="35"/>
        <v/>
      </c>
      <c r="S44" s="113" t="str">
        <f t="shared" si="36"/>
        <v>1H24</v>
      </c>
      <c r="T44" s="113" t="str">
        <f t="shared" ca="1" si="37"/>
        <v/>
      </c>
      <c r="U44" s="113" t="str">
        <f t="shared" si="38"/>
        <v/>
      </c>
      <c r="V44" s="113" t="str">
        <f t="shared" si="4"/>
        <v>FY24</v>
      </c>
      <c r="W44" s="113" t="str">
        <f t="shared" ca="1" si="39"/>
        <v/>
      </c>
      <c r="X44" s="50"/>
      <c r="Y44" s="114" t="s">
        <v>147</v>
      </c>
      <c r="Z44" s="115">
        <v>44587</v>
      </c>
      <c r="AA44" s="114" t="s">
        <v>148</v>
      </c>
      <c r="AB44" s="115">
        <v>44952</v>
      </c>
      <c r="AC44" s="132"/>
      <c r="AD44" s="132"/>
      <c r="AE44" s="132"/>
      <c r="AF44" s="132"/>
      <c r="AG44" s="132"/>
      <c r="AH44" s="132"/>
      <c r="AI44" s="133"/>
      <c r="AJ44" s="133"/>
      <c r="AK44" s="133"/>
      <c r="AL44" s="133"/>
      <c r="AM44" s="133"/>
      <c r="AN44" s="133"/>
      <c r="AO44" s="133"/>
      <c r="AP44" s="133"/>
      <c r="AQ44" s="133"/>
      <c r="AR44" s="133"/>
      <c r="AS44" s="133"/>
      <c r="AT44" s="50"/>
      <c r="AU44" s="114" t="s">
        <v>147</v>
      </c>
      <c r="AV44" s="115">
        <v>44652</v>
      </c>
      <c r="AW44" s="114" t="s">
        <v>148</v>
      </c>
      <c r="AX44" s="115">
        <v>44868</v>
      </c>
      <c r="AY44" s="132"/>
      <c r="AZ44" s="133"/>
      <c r="BA44" s="133"/>
      <c r="BB44" s="133"/>
      <c r="BC44" s="133"/>
      <c r="BD44" s="133"/>
      <c r="BE44" s="133"/>
      <c r="BF44" s="133"/>
      <c r="BG44" s="133"/>
      <c r="BH44" s="50"/>
      <c r="BI44" s="123" t="s">
        <v>203</v>
      </c>
      <c r="BJ44" s="124"/>
      <c r="BK44" s="124"/>
      <c r="BL44" s="124"/>
      <c r="BM44" s="124"/>
      <c r="BN44" s="124"/>
      <c r="BO44" s="124"/>
      <c r="BP44" s="124"/>
      <c r="BQ44" s="124"/>
      <c r="BR44" s="124"/>
      <c r="BS44" s="124"/>
      <c r="BT44" s="124"/>
      <c r="BU44" s="124"/>
      <c r="BV44" s="124"/>
      <c r="BW44" s="124"/>
      <c r="BX44" s="124"/>
      <c r="BY44" s="124"/>
      <c r="BZ44" s="124"/>
      <c r="CA44" s="50"/>
      <c r="CQ44" s="50"/>
      <c r="CR44" s="114" t="s">
        <v>147</v>
      </c>
      <c r="CS44" s="115">
        <v>43282</v>
      </c>
      <c r="CT44" s="114" t="s">
        <v>148</v>
      </c>
      <c r="CU44" s="115">
        <v>43646</v>
      </c>
      <c r="CV44" s="132"/>
      <c r="CW44" s="132"/>
      <c r="CX44" s="132"/>
      <c r="CY44" s="133"/>
      <c r="CZ44" s="133"/>
      <c r="DA44" s="133"/>
      <c r="DB44" s="133"/>
      <c r="DC44" s="133"/>
      <c r="DD44" s="133"/>
      <c r="DE44" s="133"/>
      <c r="DF44" s="133"/>
      <c r="DG44" s="133"/>
      <c r="DH44" s="133"/>
      <c r="DI44" s="133"/>
      <c r="DJ44" s="133"/>
      <c r="DK44" s="50"/>
      <c r="DL44" s="114" t="s">
        <v>147</v>
      </c>
      <c r="DM44" s="115">
        <v>43203</v>
      </c>
      <c r="DN44" s="114" t="s">
        <v>148</v>
      </c>
      <c r="DO44" s="115">
        <v>43281</v>
      </c>
      <c r="DP44" s="132"/>
      <c r="DQ44" s="132"/>
      <c r="DR44" s="132"/>
      <c r="DS44" s="133"/>
      <c r="DT44" s="133"/>
      <c r="DU44" s="133"/>
      <c r="DV44" s="133"/>
      <c r="DW44" s="133"/>
      <c r="DX44" s="133"/>
      <c r="DY44" s="133"/>
      <c r="DZ44" s="133"/>
      <c r="EA44" s="133"/>
      <c r="EB44" s="133"/>
      <c r="EC44" s="133"/>
      <c r="ED44" s="50"/>
      <c r="EE44" s="114" t="s">
        <v>147</v>
      </c>
      <c r="EF44" s="115">
        <v>43209</v>
      </c>
      <c r="EG44" s="114" t="s">
        <v>148</v>
      </c>
      <c r="EH44" s="115">
        <v>43573</v>
      </c>
      <c r="EI44" s="132"/>
      <c r="EJ44" s="132"/>
      <c r="EK44" s="132"/>
      <c r="EL44" s="133"/>
      <c r="EM44" s="133"/>
      <c r="EN44" s="133"/>
      <c r="EO44" s="133"/>
      <c r="EP44" s="133"/>
      <c r="EQ44" s="133"/>
      <c r="ER44" s="133"/>
      <c r="ES44" s="133"/>
      <c r="ET44" s="133"/>
    </row>
    <row r="45" spans="6:150" x14ac:dyDescent="0.25">
      <c r="F45" s="86"/>
      <c r="G45" s="86"/>
      <c r="H45" s="86"/>
      <c r="J45" s="86" t="str" cm="1">
        <f t="array" ref="J45">LOOKUP(2,1/($G$17:$G$33&lt;=$L45)/($H$17:$H$33&gt;=$L45),$F$17:$F$33)</f>
        <v>1H24</v>
      </c>
      <c r="K45" s="86" t="str" cm="1">
        <f t="array" ref="K45">LOOKUP(2,1/($G$6:$G$14&lt;=$L45)/($H$6:$H$14&gt;=$L45),$F$6:$F$14)</f>
        <v>FY24</v>
      </c>
      <c r="L45" s="118">
        <v>45190</v>
      </c>
      <c r="M45" s="49">
        <v>41746813</v>
      </c>
      <c r="N45" s="49">
        <v>56258005</v>
      </c>
      <c r="O45" s="50">
        <v>20000000</v>
      </c>
      <c r="P45" s="119" cm="1">
        <f t="array" ref="P45">LOOKUP(2,1/($B$10:$B$14&lt;=$L45)/($C$10:$C$14&gt;=$L45),$D$10:$D$14)</f>
        <v>1.1000000000000001</v>
      </c>
      <c r="Q45" s="120" cm="1">
        <f t="array" ref="Q45">LOOKUP(2,1/($B$17:$B$21&lt;=$L45)/($C$17:$C$21&gt;=$L45),$D$17:$D$21)</f>
        <v>134.49039999999999</v>
      </c>
      <c r="R45" s="113" t="str">
        <f t="shared" si="35"/>
        <v/>
      </c>
      <c r="S45" s="113" t="str">
        <f t="shared" si="36"/>
        <v>1H24</v>
      </c>
      <c r="T45" s="113" t="str">
        <f t="shared" ca="1" si="37"/>
        <v/>
      </c>
      <c r="U45" s="113" t="str">
        <f t="shared" si="38"/>
        <v/>
      </c>
      <c r="V45" s="113" t="str">
        <f t="shared" si="4"/>
        <v>FY24</v>
      </c>
      <c r="W45" s="113" t="str">
        <f t="shared" ca="1" si="39"/>
        <v/>
      </c>
      <c r="X45" s="50"/>
      <c r="Y45" s="114" t="s">
        <v>159</v>
      </c>
      <c r="Z45" s="115" t="s">
        <v>160</v>
      </c>
      <c r="AA45" s="114" t="s">
        <v>161</v>
      </c>
      <c r="AB45" s="134" t="str" cm="1">
        <f t="array" ref="AB45">IF(OR(LOOKUP(2,1/($B$10:$B$14&lt;=AB44)/($C$10:$C$14&gt;=AB44),$D$10:$D$14)&lt;&gt;Z48,LOOKUP(2,1/($B$6:$B$7&lt;=AB44)/($C$6:$C$7&gt;=AB44),$D$6:$D$7)&lt;&gt;AB48),"FAIL","PASS")</f>
        <v>FAIL</v>
      </c>
      <c r="AC45" s="134" t="s">
        <v>162</v>
      </c>
      <c r="AD45" s="134" t="s">
        <v>162</v>
      </c>
      <c r="AE45" s="134"/>
      <c r="AF45" s="134"/>
      <c r="AG45" s="134"/>
      <c r="AH45" s="134"/>
      <c r="AI45" s="133"/>
      <c r="AJ45" s="133"/>
      <c r="AK45" s="133"/>
      <c r="AL45" s="133"/>
      <c r="AM45" s="133"/>
      <c r="AN45" s="133"/>
      <c r="AO45" s="133"/>
      <c r="AP45" s="133"/>
      <c r="AQ45" s="133"/>
      <c r="AR45" s="133"/>
      <c r="AS45" s="133"/>
      <c r="AT45" s="50"/>
      <c r="AU45" s="114" t="s">
        <v>159</v>
      </c>
      <c r="AV45" s="115" t="s">
        <v>193</v>
      </c>
      <c r="AW45" s="114" t="s">
        <v>161</v>
      </c>
      <c r="AX45" s="134" t="str" cm="1">
        <f t="array" ref="AX45">IF(OR(LOOKUP(2,1/($B$10:$B$14&lt;=AX44)/($C$10:$C$14&gt;=AX44),$D$10:$D$14)&lt;&gt;AV48,LOOKUP(2,1/($B$6:$B$7&lt;=AX44)/($C$6:$C$7&gt;=AX44),$D$6:$D$7)&lt;&gt;AX48),"FAIL","PASS")</f>
        <v>PASS</v>
      </c>
      <c r="AY45" s="132"/>
      <c r="AZ45" s="133"/>
      <c r="BA45" s="133"/>
      <c r="BB45" s="133"/>
      <c r="BC45" s="133"/>
      <c r="BD45" s="133"/>
      <c r="BE45" s="133"/>
      <c r="BF45" s="133"/>
      <c r="BG45" s="133"/>
      <c r="BH45" s="50"/>
      <c r="BI45" s="114" t="s">
        <v>147</v>
      </c>
      <c r="BJ45" s="115">
        <v>44652</v>
      </c>
      <c r="BK45" s="114" t="s">
        <v>148</v>
      </c>
      <c r="BL45" s="115">
        <v>44864</v>
      </c>
      <c r="BM45" s="132"/>
      <c r="BN45" s="132"/>
      <c r="BO45" s="132"/>
      <c r="BP45" s="133"/>
      <c r="BQ45" s="133"/>
      <c r="BR45" s="133"/>
      <c r="BS45" s="133"/>
      <c r="BT45" s="133"/>
      <c r="BU45" s="133"/>
      <c r="BV45" s="133"/>
      <c r="BW45" s="133"/>
      <c r="BX45" s="133"/>
      <c r="BY45" s="133"/>
      <c r="BZ45" s="133"/>
      <c r="CA45" s="50"/>
      <c r="CQ45" s="50"/>
      <c r="CR45" s="114" t="s">
        <v>159</v>
      </c>
      <c r="CS45" s="115" t="s">
        <v>19</v>
      </c>
      <c r="CT45" s="114" t="s">
        <v>161</v>
      </c>
      <c r="CU45" s="134" t="str" cm="1">
        <f t="array" ref="CU45">IF(OR(LOOKUP(2,1/($B$10:$B$14&lt;=CU44)/($C$10:$C$14&gt;=CU44),$D$10:$D$14)&lt;&gt;CS48,LOOKUP(2,1/($B$6:$B$7&lt;=CU44)/($C$6:$C$7&gt;=CU44),$D$6:$D$7)&lt;&gt;CU48),"FAIL","PASS")</f>
        <v>PASS</v>
      </c>
      <c r="CV45" s="134" t="s">
        <v>162</v>
      </c>
      <c r="CW45" s="134" t="s">
        <v>162</v>
      </c>
      <c r="CX45" s="134"/>
      <c r="CY45" s="133"/>
      <c r="CZ45" s="133"/>
      <c r="DA45" s="133"/>
      <c r="DB45" s="133"/>
      <c r="DC45" s="133"/>
      <c r="DD45" s="133"/>
      <c r="DE45" s="133"/>
      <c r="DF45" s="133"/>
      <c r="DG45" s="133"/>
      <c r="DH45" s="133"/>
      <c r="DI45" s="133"/>
      <c r="DJ45" s="133"/>
      <c r="DK45" s="50"/>
      <c r="DL45" s="114" t="s">
        <v>159</v>
      </c>
      <c r="DM45" s="115" t="s">
        <v>46</v>
      </c>
      <c r="DN45" s="114" t="s">
        <v>161</v>
      </c>
      <c r="DO45" s="134" t="str" cm="1">
        <f t="array" ref="DO45">IF(OR(LOOKUP(2,1/($B$10:$B$14&lt;=DO44)/($C$10:$C$14&gt;=DO44),$D$10:$D$14)&lt;&gt;DM48,LOOKUP(2,1/($B$6:$B$7&lt;=DO44)/($C$6:$C$7&gt;=DO44),$D$6:$D$7)&lt;&gt;DO48),"FAIL","PASS")</f>
        <v>FAIL</v>
      </c>
      <c r="DP45" s="134" t="s">
        <v>162</v>
      </c>
      <c r="DQ45" s="134" t="s">
        <v>162</v>
      </c>
      <c r="DR45" s="134"/>
      <c r="DS45" s="133"/>
      <c r="DT45" s="133"/>
      <c r="DU45" s="133"/>
      <c r="DV45" s="133"/>
      <c r="DW45" s="133"/>
      <c r="DX45" s="133"/>
      <c r="DY45" s="133"/>
      <c r="DZ45" s="133"/>
      <c r="EA45" s="133"/>
      <c r="EB45" s="133"/>
      <c r="EC45" s="133"/>
      <c r="ED45" s="50"/>
      <c r="EE45" s="114" t="s">
        <v>159</v>
      </c>
      <c r="EF45" s="115" t="s">
        <v>163</v>
      </c>
      <c r="EG45" s="114" t="s">
        <v>161</v>
      </c>
      <c r="EH45" s="134" t="str" cm="1">
        <f t="array" ref="EH45">IF(OR(LOOKUP(2,1/($B$10:$B$14&lt;=EH44)/($C$10:$C$14&gt;=EH44),$D$10:$D$14)&lt;&gt;EF48,LOOKUP(2,1/($B$6:$B$7&lt;=EH44)/($C$6:$C$7&gt;=EH44),$D$6:$D$7)&lt;&gt;EH48),"FAIL","PASS")</f>
        <v>PASS</v>
      </c>
      <c r="EI45" s="134" t="s">
        <v>162</v>
      </c>
      <c r="EJ45" s="134" t="s">
        <v>162</v>
      </c>
      <c r="EK45" s="134"/>
      <c r="EL45" s="133"/>
      <c r="EM45" s="133"/>
      <c r="EN45" s="133"/>
      <c r="EO45" s="133"/>
      <c r="EP45" s="133"/>
      <c r="EQ45" s="133"/>
      <c r="ER45" s="133"/>
      <c r="ES45" s="133"/>
      <c r="ET45" s="133"/>
    </row>
    <row r="46" spans="6:150" x14ac:dyDescent="0.25">
      <c r="F46" s="86"/>
      <c r="G46" s="86"/>
      <c r="H46" s="86"/>
      <c r="J46" s="86" t="str" cm="1">
        <f t="array" ref="J46">LOOKUP(2,1/($G$17:$G$33&lt;=$L46)/($H$17:$H$33&gt;=$L46),$F$17:$F$33)</f>
        <v>1H24</v>
      </c>
      <c r="K46" s="86" t="str" cm="1">
        <f t="array" ref="K46">LOOKUP(2,1/($G$6:$G$14&lt;=$L46)/($H$6:$H$14&gt;=$L46),$F$6:$F$14)</f>
        <v>FY24</v>
      </c>
      <c r="L46" s="118">
        <v>45183</v>
      </c>
      <c r="M46" s="49">
        <v>32237415</v>
      </c>
      <c r="N46" s="49">
        <v>43443141</v>
      </c>
      <c r="O46" s="50">
        <v>12000000</v>
      </c>
      <c r="P46" s="119" cm="1">
        <f t="array" ref="P46">LOOKUP(2,1/($B$10:$B$14&lt;=$L46)/($C$10:$C$14&gt;=$L46),$D$10:$D$14)</f>
        <v>1.1000000000000001</v>
      </c>
      <c r="Q46" s="120" cm="1">
        <f t="array" ref="Q46">LOOKUP(2,1/($B$17:$B$21&lt;=$L46)/($C$17:$C$21&gt;=$L46),$D$17:$D$21)</f>
        <v>134.49039999999999</v>
      </c>
      <c r="R46" s="113" t="str">
        <f t="shared" si="35"/>
        <v/>
      </c>
      <c r="S46" s="113" t="str">
        <f t="shared" si="36"/>
        <v>1H24</v>
      </c>
      <c r="T46" s="113" t="str">
        <f t="shared" ca="1" si="37"/>
        <v/>
      </c>
      <c r="U46" s="113" t="str">
        <f t="shared" si="38"/>
        <v/>
      </c>
      <c r="V46" s="113" t="str">
        <f t="shared" si="4"/>
        <v>FY24</v>
      </c>
      <c r="W46" s="113" t="str">
        <f t="shared" ca="1" si="39"/>
        <v/>
      </c>
      <c r="X46" s="50"/>
      <c r="Y46" s="114" t="s">
        <v>165</v>
      </c>
      <c r="Z46" s="134">
        <f>INDEX($G:$G,MATCH(Z45,$F:$F,0))</f>
        <v>45108</v>
      </c>
      <c r="AA46" s="114" t="s">
        <v>166</v>
      </c>
      <c r="AB46" s="134">
        <f>INDEX($H:$H,MATCH(Z45,$F:$F,0))</f>
        <v>45291</v>
      </c>
      <c r="AC46" s="135">
        <v>1.3</v>
      </c>
      <c r="AD46" s="135">
        <v>1</v>
      </c>
      <c r="AE46" s="134"/>
      <c r="AF46" s="134"/>
      <c r="AG46" s="134"/>
      <c r="AH46" s="134"/>
      <c r="AJ46" s="136" t="s">
        <v>167</v>
      </c>
      <c r="AK46" s="137"/>
      <c r="AL46" s="137"/>
      <c r="AM46" s="137"/>
      <c r="AN46" s="138"/>
      <c r="AO46" s="137"/>
      <c r="AP46" s="137"/>
      <c r="AQ46" s="139"/>
      <c r="AT46" s="50"/>
      <c r="AU46" s="114" t="s">
        <v>165</v>
      </c>
      <c r="AV46" s="134">
        <f>INDEX($G:$G,MATCH(AV45,$F:$F,0))</f>
        <v>44927</v>
      </c>
      <c r="AW46" s="114" t="s">
        <v>166</v>
      </c>
      <c r="AX46" s="134">
        <f>INDEX($H:$H,MATCH(AV45,$F:$F,0))</f>
        <v>45107</v>
      </c>
      <c r="AY46" s="134"/>
      <c r="BA46" s="136" t="s">
        <v>167</v>
      </c>
      <c r="BB46" s="137"/>
      <c r="BC46" s="137"/>
      <c r="BD46" s="138"/>
      <c r="BE46" s="139"/>
      <c r="BH46" s="50"/>
      <c r="BI46" s="114" t="s">
        <v>159</v>
      </c>
      <c r="BJ46" s="115" t="s">
        <v>23</v>
      </c>
      <c r="BK46" s="114" t="s">
        <v>161</v>
      </c>
      <c r="BL46" s="134" t="str" cm="1">
        <f t="array" ref="BL46">IF(OR(LOOKUP(2,1/($B$10:$B$14&lt;=BL45)/($C$10:$C$14&gt;=BL45),$D$10:$D$14)&lt;&gt;BJ49,LOOKUP(2,1/($B$6:$B$7&lt;=BL45)/($C$6:$C$7&gt;=BL45),$D$6:$D$7)&lt;&gt;BL49),"FAIL","PASS")</f>
        <v>PASS</v>
      </c>
      <c r="BM46" s="134" t="s">
        <v>162</v>
      </c>
      <c r="BN46" s="134" t="s">
        <v>162</v>
      </c>
      <c r="BO46" s="134"/>
      <c r="BP46" s="133"/>
      <c r="BQ46" s="133"/>
      <c r="BR46" s="133"/>
      <c r="BS46" s="133"/>
      <c r="BT46" s="133"/>
      <c r="BU46" s="133"/>
      <c r="BV46" s="133"/>
      <c r="BW46" s="133"/>
      <c r="BX46" s="133"/>
      <c r="BY46" s="133"/>
      <c r="BZ46" s="133"/>
      <c r="CA46" s="50"/>
      <c r="CQ46" s="50"/>
      <c r="CR46" s="114" t="s">
        <v>165</v>
      </c>
      <c r="CS46" s="134">
        <f>INDEX($G:$G,MATCH(CS45,$F:$F,0))</f>
        <v>43282</v>
      </c>
      <c r="CT46" s="114" t="s">
        <v>166</v>
      </c>
      <c r="CU46" s="134">
        <f>INDEX($H:$H,MATCH(CS45,$F:$F,0))</f>
        <v>43646</v>
      </c>
      <c r="CV46" s="135">
        <v>1.3</v>
      </c>
      <c r="CW46" s="135">
        <v>1</v>
      </c>
      <c r="CX46" s="134"/>
      <c r="DA46" s="136" t="s">
        <v>167</v>
      </c>
      <c r="DB46" s="137"/>
      <c r="DC46" s="137"/>
      <c r="DD46" s="137"/>
      <c r="DE46" s="138"/>
      <c r="DF46" s="137"/>
      <c r="DG46" s="137"/>
      <c r="DH46" s="139"/>
      <c r="DK46" s="50"/>
      <c r="DL46" s="114" t="s">
        <v>165</v>
      </c>
      <c r="DM46" s="134">
        <f>INDEX($G:$G,MATCH(DM45,$F:$F,0))</f>
        <v>43101</v>
      </c>
      <c r="DN46" s="114" t="s">
        <v>166</v>
      </c>
      <c r="DO46" s="134">
        <f>INDEX($H:$H,MATCH(DM45,$F:$F,0))</f>
        <v>43281</v>
      </c>
      <c r="DP46" s="135">
        <v>1.25</v>
      </c>
      <c r="DQ46" s="135">
        <v>1</v>
      </c>
      <c r="DR46" s="134"/>
      <c r="DT46" s="136" t="s">
        <v>167</v>
      </c>
      <c r="DU46" s="137"/>
      <c r="DV46" s="137"/>
      <c r="DW46" s="137"/>
      <c r="DX46" s="138"/>
      <c r="DY46" s="137"/>
      <c r="DZ46" s="137"/>
      <c r="EA46" s="139"/>
      <c r="ED46" s="50"/>
      <c r="EE46" s="114" t="s">
        <v>165</v>
      </c>
      <c r="EF46" s="115">
        <v>43209</v>
      </c>
      <c r="EG46" s="114" t="s">
        <v>166</v>
      </c>
      <c r="EH46" s="115">
        <v>43573</v>
      </c>
      <c r="EI46" s="135">
        <v>1.35</v>
      </c>
      <c r="EJ46" s="135">
        <v>1</v>
      </c>
      <c r="EK46" s="132"/>
      <c r="EM46" s="136" t="s">
        <v>167</v>
      </c>
      <c r="EN46" s="137"/>
      <c r="EO46" s="137"/>
      <c r="EP46" s="137"/>
      <c r="EQ46" s="138"/>
      <c r="ER46" s="137"/>
      <c r="ES46" s="137"/>
      <c r="ET46" s="139"/>
    </row>
    <row r="47" spans="6:150" x14ac:dyDescent="0.25">
      <c r="F47" s="86"/>
      <c r="G47" s="86"/>
      <c r="H47" s="86"/>
      <c r="J47" s="86" t="str" cm="1">
        <f t="array" ref="J47">LOOKUP(2,1/($G$17:$G$33&lt;=$L47)/($H$17:$H$33&gt;=$L47),$F$17:$F$33)</f>
        <v>1H24</v>
      </c>
      <c r="K47" s="86" t="str" cm="1">
        <f t="array" ref="K47">LOOKUP(2,1/($G$6:$G$14&lt;=$L47)/($H$6:$H$14&gt;=$L47),$F$6:$F$14)</f>
        <v>FY24</v>
      </c>
      <c r="L47" s="118">
        <v>45176</v>
      </c>
      <c r="M47" s="49">
        <v>20222166</v>
      </c>
      <c r="N47" s="49">
        <v>27251391</v>
      </c>
      <c r="O47" s="50">
        <v>4000000</v>
      </c>
      <c r="P47" s="119" cm="1">
        <f t="array" ref="P47">LOOKUP(2,1/($B$10:$B$14&lt;=$L47)/($C$10:$C$14&gt;=$L47),$D$10:$D$14)</f>
        <v>1.1000000000000001</v>
      </c>
      <c r="Q47" s="120" cm="1">
        <f t="array" ref="Q47">LOOKUP(2,1/($B$17:$B$21&lt;=$L47)/($C$17:$C$21&gt;=$L47),$D$17:$D$21)</f>
        <v>134.49039999999999</v>
      </c>
      <c r="R47" s="113" t="str">
        <f t="shared" si="35"/>
        <v/>
      </c>
      <c r="S47" s="113" t="str">
        <f t="shared" si="36"/>
        <v>1H24</v>
      </c>
      <c r="T47" s="113" t="str">
        <f t="shared" ca="1" si="37"/>
        <v/>
      </c>
      <c r="U47" s="113" t="str">
        <f t="shared" si="38"/>
        <v/>
      </c>
      <c r="V47" s="113" t="str">
        <f t="shared" si="4"/>
        <v>FY24</v>
      </c>
      <c r="W47" s="113" t="str">
        <f t="shared" ca="1" si="39"/>
        <v/>
      </c>
      <c r="X47" s="50"/>
      <c r="Y47" s="114" t="s">
        <v>91</v>
      </c>
      <c r="Z47" s="140" t="e">
        <f>INDEX($O:$O,MATCH(Z45,$U:$U,0))</f>
        <v>#N/A</v>
      </c>
      <c r="AA47" s="114" t="s">
        <v>76</v>
      </c>
      <c r="AB47" s="140" t="e">
        <f ca="1">INDEX($O:$O,MATCH(Z45,$W:$W,0))</f>
        <v>#N/A</v>
      </c>
      <c r="AC47" s="140"/>
      <c r="AD47" s="140"/>
      <c r="AE47" s="140"/>
      <c r="AF47" s="140"/>
      <c r="AG47" s="140"/>
      <c r="AH47" s="140"/>
      <c r="AJ47" s="141" t="s">
        <v>168</v>
      </c>
      <c r="AK47" s="141"/>
      <c r="AL47" s="142"/>
      <c r="AM47" s="142"/>
      <c r="AN47" s="143" t="s">
        <v>15</v>
      </c>
      <c r="AO47" s="142"/>
      <c r="AP47" s="142"/>
      <c r="AQ47" s="144" t="s">
        <v>139</v>
      </c>
      <c r="AT47" s="50"/>
      <c r="AU47" s="114" t="s">
        <v>91</v>
      </c>
      <c r="AV47" s="145">
        <v>20000000</v>
      </c>
      <c r="AW47" s="114" t="s">
        <v>76</v>
      </c>
      <c r="AX47" s="145">
        <v>20000000</v>
      </c>
      <c r="AY47" s="146"/>
      <c r="BA47" s="147" t="s">
        <v>165</v>
      </c>
      <c r="BB47" s="148">
        <f>AV46</f>
        <v>44927</v>
      </c>
      <c r="BC47" s="142"/>
      <c r="BD47" s="143" t="s">
        <v>15</v>
      </c>
      <c r="BE47" s="144" t="s">
        <v>139</v>
      </c>
      <c r="BH47" s="50"/>
      <c r="BI47" s="114" t="s">
        <v>165</v>
      </c>
      <c r="BJ47" s="134">
        <f>INDEX($G:$G,MATCH(BJ46,$F:$F,0))</f>
        <v>44743</v>
      </c>
      <c r="BK47" s="114" t="s">
        <v>166</v>
      </c>
      <c r="BL47" s="134">
        <f>INDEX($H:$H,MATCH(BJ46,$F:$F,0))</f>
        <v>45107</v>
      </c>
      <c r="BM47" s="135">
        <v>1.4</v>
      </c>
      <c r="BN47" s="135">
        <v>1</v>
      </c>
      <c r="BO47" s="134"/>
      <c r="BQ47" s="136" t="s">
        <v>167</v>
      </c>
      <c r="BR47" s="137"/>
      <c r="BS47" s="137"/>
      <c r="BT47" s="137"/>
      <c r="BU47" s="138"/>
      <c r="BV47" s="137"/>
      <c r="BW47" s="137"/>
      <c r="BX47" s="139"/>
      <c r="CA47" s="50"/>
      <c r="CQ47" s="50"/>
      <c r="CR47" s="114" t="s">
        <v>91</v>
      </c>
      <c r="CS47" s="140">
        <f>INDEX($O:$O,MATCH(CS45,$U:$U,0))</f>
        <v>12000000</v>
      </c>
      <c r="CT47" s="114" t="s">
        <v>76</v>
      </c>
      <c r="CU47" s="140">
        <f ca="1">INDEX($O:$O,MATCH(CS45,$W:$W,0))</f>
        <v>50000000</v>
      </c>
      <c r="CV47" s="140"/>
      <c r="CW47" s="140"/>
      <c r="CX47" s="140"/>
      <c r="DA47" s="141" t="s">
        <v>168</v>
      </c>
      <c r="DB47" s="141"/>
      <c r="DC47" s="142"/>
      <c r="DD47" s="142"/>
      <c r="DE47" s="143" t="s">
        <v>15</v>
      </c>
      <c r="DF47" s="142"/>
      <c r="DG47" s="142"/>
      <c r="DH47" s="144" t="s">
        <v>139</v>
      </c>
      <c r="DK47" s="50"/>
      <c r="DL47" s="114" t="s">
        <v>91</v>
      </c>
      <c r="DM47" s="140">
        <f>INDEX($O:$O,MATCH(DM45,$R:$R,0))</f>
        <v>35000000</v>
      </c>
      <c r="DN47" s="114" t="s">
        <v>76</v>
      </c>
      <c r="DO47" s="140">
        <f ca="1">INDEX($O:$O,MATCH(DM45,$T:$T,0))</f>
        <v>10000000</v>
      </c>
      <c r="DP47" s="140"/>
      <c r="DQ47" s="140"/>
      <c r="DR47" s="140"/>
      <c r="DT47" s="147" t="s">
        <v>165</v>
      </c>
      <c r="DU47" s="148">
        <f>DM46</f>
        <v>43101</v>
      </c>
      <c r="DV47" s="142"/>
      <c r="DW47" s="142"/>
      <c r="DX47" s="143" t="s">
        <v>15</v>
      </c>
      <c r="DY47" s="142"/>
      <c r="DZ47" s="142"/>
      <c r="EA47" s="144" t="s">
        <v>139</v>
      </c>
      <c r="ED47" s="50"/>
      <c r="EE47" s="114" t="s">
        <v>91</v>
      </c>
      <c r="EF47" s="145">
        <v>8000000</v>
      </c>
      <c r="EG47" s="114" t="s">
        <v>76</v>
      </c>
      <c r="EH47" s="145">
        <v>6000000</v>
      </c>
      <c r="EI47" s="140"/>
      <c r="EJ47" s="140"/>
      <c r="EK47" s="146"/>
      <c r="EM47" s="141" t="s">
        <v>168</v>
      </c>
      <c r="EN47" s="141"/>
      <c r="EO47" s="2"/>
      <c r="EP47" s="2"/>
      <c r="EQ47" s="149" t="s">
        <v>15</v>
      </c>
      <c r="ER47" s="2"/>
      <c r="ES47" s="2"/>
      <c r="ET47" s="150" t="s">
        <v>139</v>
      </c>
    </row>
    <row r="48" spans="6:150" x14ac:dyDescent="0.25">
      <c r="F48" s="86"/>
      <c r="G48" s="86"/>
      <c r="H48" s="86"/>
      <c r="J48" s="86" t="str" cm="1">
        <f t="array" ref="J48">LOOKUP(2,1/($G$17:$G$33&lt;=$L48)/($H$17:$H$33&gt;=$L48),$F$17:$F$33)</f>
        <v>1H24</v>
      </c>
      <c r="K48" s="86" t="str" cm="1">
        <f t="array" ref="K48">LOOKUP(2,1/($G$6:$G$14&lt;=$L48)/($H$6:$H$14&gt;=$L48),$F$6:$F$14)</f>
        <v>FY24</v>
      </c>
      <c r="L48" s="118">
        <v>45169</v>
      </c>
      <c r="M48" s="49">
        <v>59703343</v>
      </c>
      <c r="N48" s="49">
        <v>80456224</v>
      </c>
      <c r="O48" s="50">
        <v>40000000</v>
      </c>
      <c r="P48" s="119" cm="1">
        <f t="array" ref="P48">LOOKUP(2,1/($B$10:$B$14&lt;=$L48)/($C$10:$C$14&gt;=$L48),$D$10:$D$14)</f>
        <v>1.1000000000000001</v>
      </c>
      <c r="Q48" s="120" cm="1">
        <f t="array" ref="Q48">LOOKUP(2,1/($B$17:$B$21&lt;=$L48)/($C$17:$C$21&gt;=$L48),$D$17:$D$21)</f>
        <v>134.49039999999999</v>
      </c>
      <c r="R48" s="113" t="str">
        <f t="shared" si="35"/>
        <v/>
      </c>
      <c r="S48" s="113" t="str">
        <f t="shared" si="36"/>
        <v>1H24</v>
      </c>
      <c r="T48" s="113" t="str">
        <f t="shared" ca="1" si="37"/>
        <v/>
      </c>
      <c r="U48" s="113" t="str">
        <f t="shared" si="38"/>
        <v/>
      </c>
      <c r="V48" s="113" t="str">
        <f t="shared" si="4"/>
        <v>FY24</v>
      </c>
      <c r="W48" s="113" t="str">
        <f t="shared" ca="1" si="39"/>
        <v/>
      </c>
      <c r="X48" s="50"/>
      <c r="Y48" s="114" t="s">
        <v>169</v>
      </c>
      <c r="Z48" s="135">
        <v>1.2</v>
      </c>
      <c r="AA48" s="114" t="s">
        <v>149</v>
      </c>
      <c r="AB48" s="196">
        <v>0.123</v>
      </c>
      <c r="AC48" s="152" t="s">
        <v>170</v>
      </c>
      <c r="AD48" s="152" t="s">
        <v>171</v>
      </c>
      <c r="AE48" s="152"/>
      <c r="AF48" s="152"/>
      <c r="AG48" s="152"/>
      <c r="AH48" s="152"/>
      <c r="AJ48" s="153" t="s">
        <v>165</v>
      </c>
      <c r="AK48" s="148">
        <f>Z46</f>
        <v>45108</v>
      </c>
      <c r="AL48" s="154"/>
      <c r="AM48" s="154"/>
      <c r="AN48" s="155">
        <f t="shared" ref="AN48:AN57" si="66">Z51/1000000</f>
        <v>8</v>
      </c>
      <c r="AO48" s="154"/>
      <c r="AP48" s="154"/>
      <c r="AQ48" s="156">
        <f t="shared" ref="AQ48:AQ57" si="67">MAX(AA51:AB51)/1000000</f>
        <v>25.239922418749998</v>
      </c>
      <c r="AT48" s="50"/>
      <c r="AU48" s="114" t="s">
        <v>169</v>
      </c>
      <c r="AV48" s="119" cm="1">
        <f t="array" ref="AV48">LOOKUP(2,1/($B$10:$B$14&lt;=AV44)/($C$10:$C$14&gt;=AV44),$D$10:$D$14)</f>
        <v>1.1000000000000001</v>
      </c>
      <c r="AW48" s="114" t="s">
        <v>149</v>
      </c>
      <c r="AX48" s="152" cm="1">
        <f t="array" ref="AX48">LOOKUP(2,1/($B$6:$B$7&lt;=AV44)/($C$6:$C$7&gt;=AV44),$D$6:$D$7)</f>
        <v>0.10299999999999999</v>
      </c>
      <c r="AY48" s="157"/>
      <c r="BA48" s="153" t="s">
        <v>166</v>
      </c>
      <c r="BB48" s="158">
        <f>AX46</f>
        <v>45107</v>
      </c>
      <c r="BC48" s="154"/>
      <c r="BD48" s="155">
        <f>AV51/1000000</f>
        <v>4</v>
      </c>
      <c r="BE48" s="156">
        <f>MAX(AW51:AX51)/1000000</f>
        <v>19.429896442857142</v>
      </c>
      <c r="BH48" s="50"/>
      <c r="BI48" s="114" t="s">
        <v>91</v>
      </c>
      <c r="BJ48" s="140">
        <f>INDEX($O:$O,MATCH(BJ46,$U:$U,0))</f>
        <v>4000000</v>
      </c>
      <c r="BK48" s="114" t="s">
        <v>76</v>
      </c>
      <c r="BL48" s="140">
        <f ca="1">INDEX($O:$O,MATCH(BJ46,$W:$W,0))</f>
        <v>60000000</v>
      </c>
      <c r="BM48" s="140"/>
      <c r="BN48" s="140"/>
      <c r="BO48" s="140"/>
      <c r="BQ48" s="141" t="s">
        <v>168</v>
      </c>
      <c r="BR48" s="141"/>
      <c r="BS48" s="2"/>
      <c r="BT48" s="2"/>
      <c r="BU48" s="149" t="s">
        <v>15</v>
      </c>
      <c r="BV48" s="2"/>
      <c r="BW48" s="2"/>
      <c r="BX48" s="150" t="s">
        <v>139</v>
      </c>
      <c r="CA48" s="50"/>
      <c r="CQ48" s="50"/>
      <c r="CR48" s="114" t="s">
        <v>169</v>
      </c>
      <c r="CS48" s="119" cm="1">
        <f t="array" ref="CS48">LOOKUP(2,1/($B$10:$B$14&lt;=CS44)/($C$10:$C$14&gt;=CS44),$D$10:$D$14)</f>
        <v>1.1000000000000001</v>
      </c>
      <c r="CT48" s="114" t="s">
        <v>149</v>
      </c>
      <c r="CU48" s="152" cm="1">
        <f t="array" ref="CU48">LOOKUP(2,1/($B$6:$B$7&lt;=CS44)/($C$6:$C$7&gt;=CS44),$D$6:$D$7)</f>
        <v>9.2999999999999999E-2</v>
      </c>
      <c r="CV48" s="152" t="s">
        <v>170</v>
      </c>
      <c r="CW48" s="152" t="s">
        <v>171</v>
      </c>
      <c r="CX48" s="152"/>
      <c r="DA48" s="153" t="s">
        <v>165</v>
      </c>
      <c r="DB48" s="148">
        <f>CS46</f>
        <v>43282</v>
      </c>
      <c r="DC48" s="154"/>
      <c r="DD48" s="154"/>
      <c r="DE48" s="155">
        <f t="shared" ref="DE48:DE57" si="68">CS51/1000000</f>
        <v>3</v>
      </c>
      <c r="DF48" s="154"/>
      <c r="DG48" s="154"/>
      <c r="DH48" s="156">
        <f t="shared" ref="DH48:DH57" si="69">MAX(CT51:CU51)/1000000</f>
        <v>13.316022111111112</v>
      </c>
      <c r="DK48" s="50"/>
      <c r="DL48" s="114" t="s">
        <v>169</v>
      </c>
      <c r="DM48" s="119" cm="1">
        <f t="array" ref="DM48">LOOKUP(2,1/($B$10:$B$14&lt;=DM44)/($C$10:$C$14&gt;=DM44),$D$10:$D$14)</f>
        <v>0.85</v>
      </c>
      <c r="DN48" s="114" t="s">
        <v>149</v>
      </c>
      <c r="DO48" s="152" cm="1">
        <f t="array" ref="DO48">LOOKUP(2,1/($B$6:$B$7&lt;=DM44)/($C$6:$C$7&gt;=DM44),$D$6:$D$7)</f>
        <v>9.2999999999999999E-2</v>
      </c>
      <c r="DP48" s="152" t="s">
        <v>170</v>
      </c>
      <c r="DQ48" s="152" t="s">
        <v>171</v>
      </c>
      <c r="DR48" s="152"/>
      <c r="DT48" s="153" t="s">
        <v>166</v>
      </c>
      <c r="DU48" s="158">
        <f>DO46</f>
        <v>43281</v>
      </c>
      <c r="DV48" s="154"/>
      <c r="DW48" s="154"/>
      <c r="DX48" s="155">
        <f>DM51/1000000</f>
        <v>3</v>
      </c>
      <c r="DY48" s="154"/>
      <c r="DZ48" s="154"/>
      <c r="EA48" s="156">
        <f>MAX(DN51:DO51)/1000000</f>
        <v>11.622580333333334</v>
      </c>
      <c r="ED48" s="50"/>
      <c r="EE48" s="114" t="s">
        <v>169</v>
      </c>
      <c r="EF48" s="119" cm="1">
        <f t="array" ref="EF48">LOOKUP(2,1/($B$10:$B$14&lt;=EF44)/($C$10:$C$14&gt;=EF44),$D$10:$D$14)</f>
        <v>1.1000000000000001</v>
      </c>
      <c r="EG48" s="114" t="s">
        <v>149</v>
      </c>
      <c r="EH48" s="152" cm="1">
        <f t="array" ref="EH48">LOOKUP(2,1/($B$6:$B$7&lt;=EF44)/($C$6:$C$7&gt;=EF44),$D$6:$D$7)</f>
        <v>9.2999999999999999E-2</v>
      </c>
      <c r="EI48" s="152" t="s">
        <v>170</v>
      </c>
      <c r="EJ48" s="152" t="s">
        <v>171</v>
      </c>
      <c r="EK48" s="152"/>
      <c r="EM48" s="153" t="s">
        <v>165</v>
      </c>
      <c r="EN48" s="158">
        <f>EF46</f>
        <v>43209</v>
      </c>
      <c r="EO48" s="154"/>
      <c r="EP48" s="154"/>
      <c r="EQ48" s="155">
        <f t="shared" ref="EQ48:EQ57" si="70">EF51/1000000</f>
        <v>3</v>
      </c>
      <c r="ER48" s="154"/>
      <c r="ES48" s="154"/>
      <c r="ET48" s="156">
        <f t="shared" ref="ET48:ET57" si="71">MAX(EG51:EH51)/1000000</f>
        <v>13.0155745</v>
      </c>
    </row>
    <row r="49" spans="10:150" x14ac:dyDescent="0.25">
      <c r="J49" s="86" t="str" cm="1">
        <f t="array" ref="J49">LOOKUP(2,1/($G$17:$G$33&lt;=$L49)/($H$17:$H$33&gt;=$L49),$F$17:$F$33)</f>
        <v>1H24</v>
      </c>
      <c r="K49" s="86" t="str" cm="1">
        <f t="array" ref="K49">LOOKUP(2,1/($G$6:$G$14&lt;=$L49)/($H$6:$H$14&gt;=$L49),$F$6:$F$14)</f>
        <v>FY24</v>
      </c>
      <c r="L49" s="118">
        <v>45162</v>
      </c>
      <c r="M49" s="49">
        <v>42995307</v>
      </c>
      <c r="N49" s="49">
        <v>57940476</v>
      </c>
      <c r="O49" s="50">
        <v>20000000</v>
      </c>
      <c r="P49" s="119" cm="1">
        <f t="array" ref="P49">LOOKUP(2,1/($B$10:$B$14&lt;=$L49)/($C$10:$C$14&gt;=$L49),$D$10:$D$14)</f>
        <v>1.1000000000000001</v>
      </c>
      <c r="Q49" s="120" cm="1">
        <f t="array" ref="Q49">LOOKUP(2,1/($B$17:$B$21&lt;=$L49)/($C$17:$C$21&gt;=$L49),$D$17:$D$21)</f>
        <v>134.49039999999999</v>
      </c>
      <c r="R49" s="113" t="str">
        <f t="shared" si="35"/>
        <v/>
      </c>
      <c r="S49" s="113" t="str">
        <f t="shared" si="36"/>
        <v>1H24</v>
      </c>
      <c r="T49" s="113" t="str">
        <f t="shared" ca="1" si="37"/>
        <v/>
      </c>
      <c r="U49" s="113" t="str">
        <f t="shared" si="38"/>
        <v/>
      </c>
      <c r="V49" s="113" t="str">
        <f t="shared" si="4"/>
        <v>FY24</v>
      </c>
      <c r="W49" s="113" t="str">
        <f t="shared" ca="1" si="39"/>
        <v/>
      </c>
      <c r="X49" s="50"/>
      <c r="Y49" s="114" t="s">
        <v>172</v>
      </c>
      <c r="Z49" s="119" cm="1">
        <f t="array" ref="Z49">LOOKUP(2,1/($B$17:$B$21&lt;=Z44)/($C$17:$C$21&gt;=Z44),$D$17:$D$21)</f>
        <v>134.49039999999999</v>
      </c>
      <c r="AA49" s="114" t="s">
        <v>0</v>
      </c>
      <c r="AB49" s="161">
        <v>0.97499999999999998</v>
      </c>
      <c r="AC49" s="162">
        <v>1</v>
      </c>
      <c r="AD49" s="162">
        <f>1-AC49</f>
        <v>0</v>
      </c>
      <c r="AJ49" s="153" t="s">
        <v>166</v>
      </c>
      <c r="AK49" s="158">
        <f>AB46</f>
        <v>45291</v>
      </c>
      <c r="AL49" s="154"/>
      <c r="AM49" s="154"/>
      <c r="AN49" s="155">
        <f t="shared" si="66"/>
        <v>20</v>
      </c>
      <c r="AO49" s="154"/>
      <c r="AP49" s="154"/>
      <c r="AQ49" s="156">
        <f t="shared" si="67"/>
        <v>38.947897329545462</v>
      </c>
      <c r="AT49" s="50"/>
      <c r="AU49" s="114" t="s">
        <v>172</v>
      </c>
      <c r="AV49" s="119" cm="1">
        <f t="array" ref="AV49">LOOKUP(2,1/($B$17:$B$21&lt;=AV44)/($C$17:$C$21&gt;=AV44),$D$17:$D$21)</f>
        <v>134.49039999999999</v>
      </c>
      <c r="AW49" s="114" t="s">
        <v>0</v>
      </c>
      <c r="AX49" s="135">
        <v>0.95</v>
      </c>
      <c r="BA49" s="153" t="s">
        <v>91</v>
      </c>
      <c r="BB49" s="155">
        <f>AV47/1000000</f>
        <v>20</v>
      </c>
      <c r="BC49" s="154"/>
      <c r="BD49" s="155">
        <f t="shared" ref="BD49:BD57" si="72">AV52/1000000</f>
        <v>8</v>
      </c>
      <c r="BE49" s="156">
        <f t="shared" ref="BE49:BE56" si="73">MAX(AW52:AX52)/1000000</f>
        <v>24.134605362499997</v>
      </c>
      <c r="BH49" s="50"/>
      <c r="BI49" s="114" t="s">
        <v>169</v>
      </c>
      <c r="BJ49" s="119" cm="1">
        <f t="array" ref="BJ49">LOOKUP(2,1/($B$10:$B$14&lt;=BJ45)/($C$10:$C$14&gt;=BJ45),$D$10:$D$14)</f>
        <v>1.1000000000000001</v>
      </c>
      <c r="BK49" s="114" t="s">
        <v>149</v>
      </c>
      <c r="BL49" s="152" cm="1">
        <f t="array" ref="BL49">LOOKUP(2,1/($B$6:$B$7&lt;=BJ45)/($C$6:$C$7&gt;=BJ45),$D$6:$D$7)</f>
        <v>0.10299999999999999</v>
      </c>
      <c r="BM49" s="152" t="s">
        <v>170</v>
      </c>
      <c r="BN49" s="152" t="s">
        <v>171</v>
      </c>
      <c r="BO49" s="152"/>
      <c r="BQ49" s="153" t="s">
        <v>165</v>
      </c>
      <c r="BR49" s="158">
        <f>BJ47</f>
        <v>44743</v>
      </c>
      <c r="BS49" s="154"/>
      <c r="BT49" s="154"/>
      <c r="BU49" s="155">
        <f t="shared" ref="BU49:BU58" si="74">BJ52/1000000</f>
        <v>8</v>
      </c>
      <c r="BV49" s="154"/>
      <c r="BW49" s="154"/>
      <c r="BX49" s="156">
        <f t="shared" ref="BX49:BX58" si="75">MAX(BK52:BL52)/1000000</f>
        <v>25.176484142857142</v>
      </c>
      <c r="CA49" s="50"/>
      <c r="CQ49" s="50"/>
      <c r="CR49" s="114" t="s">
        <v>172</v>
      </c>
      <c r="CS49" s="119" cm="1">
        <f t="array" ref="CS49">LOOKUP(2,1/($B$17:$B$21&lt;=CS44)/($C$17:$C$21&gt;=CS44),$D$17:$D$21)</f>
        <v>134.49039999999999</v>
      </c>
      <c r="CT49" s="114" t="s">
        <v>173</v>
      </c>
      <c r="CU49" s="163">
        <f>INT((WEEKDAY(CS44-5)-CS44+CU44)/7)/INT((WEEKDAY(CS46-5)-CS46+CU46)/7)</f>
        <v>1</v>
      </c>
      <c r="CV49" s="162">
        <v>1</v>
      </c>
      <c r="CW49" s="162">
        <f>1-CV49</f>
        <v>0</v>
      </c>
      <c r="CX49" s="163"/>
      <c r="DA49" s="153" t="s">
        <v>166</v>
      </c>
      <c r="DB49" s="158">
        <f>CU46</f>
        <v>43646</v>
      </c>
      <c r="DC49" s="154"/>
      <c r="DD49" s="154"/>
      <c r="DE49" s="155">
        <f t="shared" si="68"/>
        <v>8</v>
      </c>
      <c r="DF49" s="154"/>
      <c r="DG49" s="154"/>
      <c r="DH49" s="156">
        <f t="shared" si="69"/>
        <v>17.245123875000001</v>
      </c>
      <c r="DK49" s="50"/>
      <c r="DL49" s="114" t="s">
        <v>172</v>
      </c>
      <c r="DM49" s="119" cm="1">
        <f t="array" ref="DM49">LOOKUP(2,1/($B$17:$B$21&lt;=DM44)/($C$17:$C$21&gt;=DM44),$D$17:$D$21)</f>
        <v>76.767600000000002</v>
      </c>
      <c r="DN49" s="114" t="s">
        <v>173</v>
      </c>
      <c r="DO49" s="163">
        <f>INT((WEEKDAY(DM44-5)-DM44+DO44)/7)/INT((WEEKDAY(DM46-5)-DM46+DO46)/7)</f>
        <v>0.42307692307692307</v>
      </c>
      <c r="DP49" s="162">
        <v>1</v>
      </c>
      <c r="DQ49" s="162">
        <f>1-DP49</f>
        <v>0</v>
      </c>
      <c r="DR49" s="163"/>
      <c r="DT49" s="153" t="s">
        <v>91</v>
      </c>
      <c r="DU49" s="155">
        <f>DM47/1000000</f>
        <v>35</v>
      </c>
      <c r="DV49" s="154"/>
      <c r="DW49" s="154"/>
      <c r="DX49" s="155">
        <f t="shared" ref="DX49:DX57" si="76">DM52/1000000</f>
        <v>8</v>
      </c>
      <c r="DY49" s="154"/>
      <c r="DZ49" s="154"/>
      <c r="EA49" s="156">
        <f t="shared" ref="EA49:EA57" si="77">MAX(DN52:DO52)/1000000</f>
        <v>16.624817666666665</v>
      </c>
      <c r="ED49" s="50"/>
      <c r="EE49" s="114" t="s">
        <v>172</v>
      </c>
      <c r="EF49" s="119" cm="1">
        <f t="array" ref="EF49">LOOKUP(2,1/($B$17:$B$21&lt;=EF44)/($C$17:$C$21&gt;=EF44),$D$17:$D$21)</f>
        <v>134.49039999999999</v>
      </c>
      <c r="EG49" s="114" t="s">
        <v>0</v>
      </c>
      <c r="EH49" s="135">
        <v>1</v>
      </c>
      <c r="EI49" s="162">
        <v>1</v>
      </c>
      <c r="EJ49" s="162">
        <f>1-EI49</f>
        <v>0</v>
      </c>
      <c r="EK49" s="164"/>
      <c r="EM49" s="153" t="s">
        <v>166</v>
      </c>
      <c r="EN49" s="158">
        <f>EH46</f>
        <v>43573</v>
      </c>
      <c r="EO49" s="154"/>
      <c r="EP49" s="154"/>
      <c r="EQ49" s="155">
        <f t="shared" si="70"/>
        <v>8</v>
      </c>
      <c r="ER49" s="154"/>
      <c r="ES49" s="154"/>
      <c r="ET49" s="156">
        <f t="shared" si="71"/>
        <v>17.310548444444443</v>
      </c>
    </row>
    <row r="50" spans="10:150" x14ac:dyDescent="0.25">
      <c r="J50" s="86" t="str" cm="1">
        <f t="array" ref="J50">LOOKUP(2,1/($G$17:$G$33&lt;=$L50)/($H$17:$H$33&gt;=$L50),$F$17:$F$33)</f>
        <v>1H24</v>
      </c>
      <c r="K50" s="86" t="str" cm="1">
        <f t="array" ref="K50">LOOKUP(2,1/($G$6:$G$14&lt;=$L50)/($H$6:$H$14&gt;=$L50),$F$6:$F$14)</f>
        <v>FY24</v>
      </c>
      <c r="L50" s="118">
        <v>45155</v>
      </c>
      <c r="M50" s="49">
        <v>30840203</v>
      </c>
      <c r="N50" s="49">
        <v>41560258</v>
      </c>
      <c r="O50" s="50">
        <v>12000000</v>
      </c>
      <c r="P50" s="119" cm="1">
        <f t="array" ref="P50">LOOKUP(2,1/($B$10:$B$14&lt;=$L50)/($C$10:$C$14&gt;=$L50),$D$10:$D$14)</f>
        <v>1.1000000000000001</v>
      </c>
      <c r="Q50" s="120" cm="1">
        <f t="array" ref="Q50">LOOKUP(2,1/($B$17:$B$21&lt;=$L50)/($C$17:$C$21&gt;=$L50),$D$17:$D$21)</f>
        <v>134.49039999999999</v>
      </c>
      <c r="R50" s="113" t="str">
        <f t="shared" si="35"/>
        <v/>
      </c>
      <c r="S50" s="113" t="str">
        <f t="shared" si="36"/>
        <v>1H24</v>
      </c>
      <c r="T50" s="113" t="str">
        <f t="shared" ca="1" si="37"/>
        <v/>
      </c>
      <c r="U50" s="113" t="str">
        <f t="shared" si="38"/>
        <v/>
      </c>
      <c r="V50" s="113" t="str">
        <f t="shared" si="4"/>
        <v>FY24</v>
      </c>
      <c r="W50" s="113" t="str">
        <f t="shared" ca="1" si="39"/>
        <v/>
      </c>
      <c r="X50" s="50"/>
      <c r="Y50" s="111" t="s">
        <v>174</v>
      </c>
      <c r="Z50" s="111" t="s">
        <v>175</v>
      </c>
      <c r="AA50" s="111" t="s">
        <v>176</v>
      </c>
      <c r="AB50" s="111" t="s">
        <v>177</v>
      </c>
      <c r="AC50" s="111" t="s">
        <v>178</v>
      </c>
      <c r="AD50" s="111" t="s">
        <v>179</v>
      </c>
      <c r="AE50" s="111" t="s">
        <v>180</v>
      </c>
      <c r="AF50" s="37"/>
      <c r="AG50" s="37"/>
      <c r="AH50" s="37"/>
      <c r="AJ50" s="153" t="s">
        <v>169</v>
      </c>
      <c r="AK50" s="165">
        <f>Z48</f>
        <v>1.2</v>
      </c>
      <c r="AL50" s="154"/>
      <c r="AM50" s="154"/>
      <c r="AN50" s="155">
        <f t="shared" si="66"/>
        <v>30</v>
      </c>
      <c r="AO50" s="154"/>
      <c r="AP50" s="154"/>
      <c r="AQ50" s="156">
        <f t="shared" si="67"/>
        <v>48.276707050000006</v>
      </c>
      <c r="AT50" s="50"/>
      <c r="AU50" s="111" t="s">
        <v>174</v>
      </c>
      <c r="AV50" s="111" t="s">
        <v>175</v>
      </c>
      <c r="AW50" s="111" t="s">
        <v>176</v>
      </c>
      <c r="AX50" s="111" t="s">
        <v>177</v>
      </c>
      <c r="AY50" s="111" t="s">
        <v>180</v>
      </c>
      <c r="BA50" s="153" t="s">
        <v>76</v>
      </c>
      <c r="BB50" s="155">
        <f>AX47/1000000</f>
        <v>20</v>
      </c>
      <c r="BC50" s="154"/>
      <c r="BD50" s="155">
        <f t="shared" si="72"/>
        <v>20</v>
      </c>
      <c r="BE50" s="156">
        <f t="shared" si="73"/>
        <v>37.904468949999995</v>
      </c>
      <c r="BH50" s="50"/>
      <c r="BI50" s="114" t="s">
        <v>172</v>
      </c>
      <c r="BJ50" s="119" cm="1">
        <f t="array" ref="BJ50">LOOKUP(2,1/($B$17:$B$21&lt;=BJ45)/($C$17:$C$21&gt;=BJ45),$D$17:$D$21)</f>
        <v>134.49039999999999</v>
      </c>
      <c r="BM50" s="162">
        <v>1</v>
      </c>
      <c r="BN50" s="162">
        <f>1-BM50</f>
        <v>0</v>
      </c>
      <c r="BQ50" s="153" t="s">
        <v>166</v>
      </c>
      <c r="BR50" s="158">
        <f>BL47</f>
        <v>45107</v>
      </c>
      <c r="BS50" s="154"/>
      <c r="BT50" s="154"/>
      <c r="BU50" s="155">
        <f t="shared" si="74"/>
        <v>20</v>
      </c>
      <c r="BV50" s="154"/>
      <c r="BW50" s="154"/>
      <c r="BX50" s="156">
        <f t="shared" si="75"/>
        <v>39.899441000000003</v>
      </c>
      <c r="CA50" s="50"/>
      <c r="CQ50" s="50"/>
      <c r="CR50" s="111" t="s">
        <v>174</v>
      </c>
      <c r="CS50" s="111" t="s">
        <v>175</v>
      </c>
      <c r="CT50" s="111" t="s">
        <v>176</v>
      </c>
      <c r="CU50" s="111" t="s">
        <v>177</v>
      </c>
      <c r="CV50" s="111" t="s">
        <v>178</v>
      </c>
      <c r="CW50" s="111" t="s">
        <v>179</v>
      </c>
      <c r="CX50" s="111" t="s">
        <v>180</v>
      </c>
      <c r="DA50" s="153" t="s">
        <v>169</v>
      </c>
      <c r="DB50" s="165">
        <f>CS48</f>
        <v>1.1000000000000001</v>
      </c>
      <c r="DC50" s="154"/>
      <c r="DD50" s="154"/>
      <c r="DE50" s="155">
        <f t="shared" si="68"/>
        <v>12</v>
      </c>
      <c r="DF50" s="154"/>
      <c r="DG50" s="154"/>
      <c r="DH50" s="156">
        <f t="shared" si="69"/>
        <v>22.052365999999999</v>
      </c>
      <c r="DK50" s="50"/>
      <c r="DL50" s="111" t="s">
        <v>174</v>
      </c>
      <c r="DM50" s="111" t="s">
        <v>175</v>
      </c>
      <c r="DN50" s="111" t="s">
        <v>176</v>
      </c>
      <c r="DO50" s="111" t="s">
        <v>177</v>
      </c>
      <c r="DP50" s="111" t="s">
        <v>178</v>
      </c>
      <c r="DQ50" s="111" t="s">
        <v>179</v>
      </c>
      <c r="DR50" s="111" t="s">
        <v>180</v>
      </c>
      <c r="DT50" s="153" t="s">
        <v>76</v>
      </c>
      <c r="DU50" s="155">
        <f ca="1">DO47/1000000</f>
        <v>10</v>
      </c>
      <c r="DV50" s="154"/>
      <c r="DW50" s="154"/>
      <c r="DX50" s="155">
        <f t="shared" si="76"/>
        <v>12</v>
      </c>
      <c r="DY50" s="154"/>
      <c r="DZ50" s="154"/>
      <c r="EA50" s="156">
        <f t="shared" si="77"/>
        <v>17.697271000000001</v>
      </c>
      <c r="ED50" s="50"/>
      <c r="EE50" s="111" t="s">
        <v>174</v>
      </c>
      <c r="EF50" s="111" t="s">
        <v>175</v>
      </c>
      <c r="EG50" s="111" t="s">
        <v>176</v>
      </c>
      <c r="EH50" s="111" t="s">
        <v>177</v>
      </c>
      <c r="EI50" s="111" t="s">
        <v>178</v>
      </c>
      <c r="EJ50" s="111" t="s">
        <v>179</v>
      </c>
      <c r="EK50" s="111" t="s">
        <v>180</v>
      </c>
      <c r="EM50" s="153" t="s">
        <v>169</v>
      </c>
      <c r="EN50" s="165">
        <f>EF48</f>
        <v>1.1000000000000001</v>
      </c>
      <c r="EO50" s="154"/>
      <c r="EP50" s="154"/>
      <c r="EQ50" s="155">
        <f t="shared" si="70"/>
        <v>12</v>
      </c>
      <c r="ER50" s="154"/>
      <c r="ES50" s="154"/>
      <c r="ET50" s="156">
        <f t="shared" si="71"/>
        <v>21.9148475</v>
      </c>
    </row>
    <row r="51" spans="10:150" x14ac:dyDescent="0.25">
      <c r="J51" s="86" t="str" cm="1">
        <f t="array" ref="J51">LOOKUP(2,1/($G$17:$G$33&lt;=$L51)/($H$17:$H$33&gt;=$L51),$F$17:$F$33)</f>
        <v>1H24</v>
      </c>
      <c r="K51" s="86" t="str" cm="1">
        <f t="array" ref="K51">LOOKUP(2,1/($G$6:$G$14&lt;=$L51)/($H$6:$H$14&gt;=$L51),$F$6:$F$14)</f>
        <v>FY24</v>
      </c>
      <c r="L51" s="118">
        <v>45148</v>
      </c>
      <c r="M51" s="49">
        <v>20677774</v>
      </c>
      <c r="N51" s="49">
        <v>27865369</v>
      </c>
      <c r="O51" s="50">
        <v>4000000</v>
      </c>
      <c r="P51" s="119" cm="1">
        <f t="array" ref="P51">LOOKUP(2,1/($B$10:$B$14&lt;=$L51)/($C$10:$C$14&gt;=$L51),$D$10:$D$14)</f>
        <v>1.1000000000000001</v>
      </c>
      <c r="Q51" s="120" cm="1">
        <f t="array" ref="Q51">LOOKUP(2,1/($B$17:$B$21&lt;=$L51)/($C$17:$C$21&gt;=$L51),$D$17:$D$21)</f>
        <v>134.49039999999999</v>
      </c>
      <c r="R51" s="113" t="str">
        <f t="shared" si="35"/>
        <v/>
      </c>
      <c r="S51" s="113" t="str">
        <f t="shared" si="36"/>
        <v>1H24</v>
      </c>
      <c r="T51" s="113" t="str">
        <f t="shared" ca="1" si="37"/>
        <v/>
      </c>
      <c r="U51" s="113" t="str">
        <f t="shared" si="38"/>
        <v/>
      </c>
      <c r="V51" s="113" t="str">
        <f t="shared" si="4"/>
        <v>FY24</v>
      </c>
      <c r="W51" s="113" t="str">
        <f t="shared" ca="1" si="39"/>
        <v/>
      </c>
      <c r="X51" s="50"/>
      <c r="Y51" s="146">
        <v>1</v>
      </c>
      <c r="Z51" s="166">
        <v>8000000</v>
      </c>
      <c r="AA51" s="167">
        <f>AVERAGEIFS($M:$M,$L:$L,"&gt;="&amp;Z$44,$L:$L,"&lt;="&amp;AB$44,$O:$O,"="&amp;Z51)*AB$49</f>
        <v>25239922.418749999</v>
      </c>
      <c r="AB51" s="168"/>
      <c r="AC51" s="168"/>
      <c r="AD51" s="168"/>
      <c r="AE51" s="167">
        <f>COUNTIFS($L:$L,"&gt;="&amp;Z$44,$L:$L,"&lt;="&amp;AB$44,$O:$O,"="&amp;Z51)</f>
        <v>12</v>
      </c>
      <c r="AF51" s="167"/>
      <c r="AG51" s="167"/>
      <c r="AH51" s="167"/>
      <c r="AJ51" s="153" t="s">
        <v>149</v>
      </c>
      <c r="AK51" s="169">
        <f>AB48</f>
        <v>0.123</v>
      </c>
      <c r="AL51" s="154"/>
      <c r="AM51" s="154"/>
      <c r="AN51" s="155">
        <f t="shared" si="66"/>
        <v>50</v>
      </c>
      <c r="AO51" s="154"/>
      <c r="AP51" s="154"/>
      <c r="AQ51" s="156">
        <f t="shared" si="67"/>
        <v>73.0252926</v>
      </c>
      <c r="AT51" s="50"/>
      <c r="AU51" s="146">
        <v>1</v>
      </c>
      <c r="AV51" s="166">
        <v>4000000</v>
      </c>
      <c r="AW51" s="167">
        <f t="shared" ref="AW51:AW56" si="78">AVERAGEIFS($M:$M,$L:$L,"&gt;="&amp;AV$44,$L:$L,"&lt;="&amp;AX$44,$O:$O,"="&amp;AV51)*AX$49</f>
        <v>19429896.442857143</v>
      </c>
      <c r="AX51" s="168"/>
      <c r="AY51" s="167">
        <f t="shared" ref="AY51:AY57" si="79">COUNTIFS($L:$L,"&gt;="&amp;AV$6,$L:$L,"&lt;="&amp;AX$6,$O:$O,"="&amp;$AV51)</f>
        <v>7</v>
      </c>
      <c r="BA51" s="153" t="s">
        <v>169</v>
      </c>
      <c r="BB51" s="165">
        <f>AV48</f>
        <v>1.1000000000000001</v>
      </c>
      <c r="BC51" s="154"/>
      <c r="BD51" s="155">
        <f t="shared" si="72"/>
        <v>40</v>
      </c>
      <c r="BE51" s="156">
        <f t="shared" si="73"/>
        <v>56.034722099999996</v>
      </c>
      <c r="BH51" s="50"/>
      <c r="BI51" s="111" t="s">
        <v>174</v>
      </c>
      <c r="BJ51" s="111" t="s">
        <v>175</v>
      </c>
      <c r="BK51" s="111" t="s">
        <v>176</v>
      </c>
      <c r="BL51" s="111" t="s">
        <v>177</v>
      </c>
      <c r="BM51" s="111" t="s">
        <v>178</v>
      </c>
      <c r="BN51" s="111" t="s">
        <v>179</v>
      </c>
      <c r="BO51" s="111" t="s">
        <v>180</v>
      </c>
      <c r="BQ51" s="153" t="s">
        <v>169</v>
      </c>
      <c r="BR51" s="165">
        <f>BJ49</f>
        <v>1.1000000000000001</v>
      </c>
      <c r="BS51" s="154"/>
      <c r="BT51" s="154"/>
      <c r="BU51" s="155">
        <f t="shared" si="74"/>
        <v>30</v>
      </c>
      <c r="BV51" s="154"/>
      <c r="BW51" s="154"/>
      <c r="BX51" s="156">
        <f t="shared" si="75"/>
        <v>47.423181</v>
      </c>
      <c r="CA51" s="50"/>
      <c r="CQ51" s="50"/>
      <c r="CR51" s="146">
        <v>1</v>
      </c>
      <c r="CS51" s="166">
        <v>3000000</v>
      </c>
      <c r="CT51" s="168">
        <f t="shared" ref="CT51:CT59" si="80">AVERAGEIFS($M:$M,$L:$L,"&gt;="&amp;CS$44,$L:$L,"&lt;="&amp;CU$44,$O:$O,"="&amp;CS51)</f>
        <v>13316022.111111112</v>
      </c>
      <c r="CU51" s="168"/>
      <c r="CV51" s="145">
        <v>11132000.000000002</v>
      </c>
      <c r="CW51" s="168"/>
      <c r="CX51" s="167">
        <f t="shared" ref="CX51:CX59" si="81">COUNTIFS($L:$L,"&gt;="&amp;CS$44,$L:$L,"&lt;="&amp;CU$44,$O:$O,"="&amp;CS51)</f>
        <v>9</v>
      </c>
      <c r="DA51" s="153" t="s">
        <v>149</v>
      </c>
      <c r="DB51" s="169">
        <f>CU48</f>
        <v>9.2999999999999999E-2</v>
      </c>
      <c r="DC51" s="154"/>
      <c r="DD51" s="154"/>
      <c r="DE51" s="155">
        <f t="shared" si="68"/>
        <v>20</v>
      </c>
      <c r="DF51" s="154"/>
      <c r="DG51" s="154"/>
      <c r="DH51" s="156">
        <f t="shared" si="69"/>
        <v>27.175835500000002</v>
      </c>
      <c r="DK51" s="50"/>
      <c r="DL51" s="146">
        <v>1</v>
      </c>
      <c r="DM51" s="166">
        <v>3000000</v>
      </c>
      <c r="DN51" s="168">
        <f t="shared" ref="DN51:DN57" si="82">AVERAGEIFS($M:$M,$L:$L,"&gt;="&amp;DM$44,$L:$L,"&lt;="&amp;DO$44,$O:$O,"="&amp;DM51)</f>
        <v>11622580.333333334</v>
      </c>
      <c r="DO51" s="168"/>
      <c r="DP51" s="168"/>
      <c r="DQ51" s="168"/>
      <c r="DR51" s="167">
        <f t="shared" ref="DR51:DR57" si="83">COUNTIFS($L:$L,"&gt;="&amp;DM$44,$L:$L,"&lt;="&amp;DO$44,$O:$O,"="&amp;DM51)</f>
        <v>3</v>
      </c>
      <c r="DT51" s="153" t="s">
        <v>169</v>
      </c>
      <c r="DU51" s="165">
        <f>DM48</f>
        <v>0.85</v>
      </c>
      <c r="DV51" s="154"/>
      <c r="DW51" s="154"/>
      <c r="DX51" s="155">
        <f t="shared" si="76"/>
        <v>20</v>
      </c>
      <c r="DY51" s="154"/>
      <c r="DZ51" s="154"/>
      <c r="EA51" s="156">
        <f t="shared" si="77"/>
        <v>26.087561000000001</v>
      </c>
      <c r="ED51" s="50"/>
      <c r="EE51" s="146">
        <v>1</v>
      </c>
      <c r="EF51" s="166">
        <v>3000000</v>
      </c>
      <c r="EG51" s="168">
        <f t="shared" ref="EG51:EG59" si="84">AVERAGEIFS($M:$M,$L:$L,"&gt;="&amp;EF$44,$L:$L,"&lt;="&amp;EH$44,$O:$O,"="&amp;EF51)*EH$49</f>
        <v>13015574.5</v>
      </c>
      <c r="EH51" s="168"/>
      <c r="EI51" s="168"/>
      <c r="EJ51" s="168"/>
      <c r="EK51" s="167">
        <f t="shared" ref="EK51:EK59" si="85">COUNTIFS($L:$L,"&gt;="&amp;EF$44,$L:$L,"&lt;="&amp;EH$44,$O:$O,"="&amp;EF51)</f>
        <v>10</v>
      </c>
      <c r="EM51" s="153" t="s">
        <v>149</v>
      </c>
      <c r="EN51" s="169">
        <f>EH48</f>
        <v>9.2999999999999999E-2</v>
      </c>
      <c r="EO51" s="154"/>
      <c r="EP51" s="154"/>
      <c r="EQ51" s="155">
        <f t="shared" si="70"/>
        <v>20</v>
      </c>
      <c r="ER51" s="154"/>
      <c r="ES51" s="154"/>
      <c r="ET51" s="156">
        <f t="shared" si="71"/>
        <v>28.293594571428571</v>
      </c>
    </row>
    <row r="52" spans="10:150" x14ac:dyDescent="0.25">
      <c r="J52" s="86" t="str" cm="1">
        <f t="array" ref="J52">LOOKUP(2,1/($G$17:$G$33&lt;=$L52)/($H$17:$H$33&gt;=$L52),$F$17:$F$33)</f>
        <v>1H24</v>
      </c>
      <c r="K52" s="86" t="str" cm="1">
        <f t="array" ref="K52">LOOKUP(2,1/($G$6:$G$14&lt;=$L52)/($H$6:$H$14&gt;=$L52),$F$6:$F$14)</f>
        <v>FY24</v>
      </c>
      <c r="L52" s="118">
        <v>45141</v>
      </c>
      <c r="M52" s="49">
        <v>156823488</v>
      </c>
      <c r="N52" s="49">
        <v>211335333</v>
      </c>
      <c r="O52" s="50">
        <v>100000000</v>
      </c>
      <c r="P52" s="119" cm="1">
        <f t="array" ref="P52">LOOKUP(2,1/($B$10:$B$14&lt;=$L52)/($C$10:$C$14&gt;=$L52),$D$10:$D$14)</f>
        <v>1.1000000000000001</v>
      </c>
      <c r="Q52" s="120" cm="1">
        <f t="array" ref="Q52">LOOKUP(2,1/($B$17:$B$21&lt;=$L52)/($C$17:$C$21&gt;=$L52),$D$17:$D$21)</f>
        <v>134.49039999999999</v>
      </c>
      <c r="R52" s="113" t="str">
        <f t="shared" si="35"/>
        <v/>
      </c>
      <c r="S52" s="113" t="str">
        <f t="shared" si="36"/>
        <v>1H24</v>
      </c>
      <c r="T52" s="113" t="str">
        <f t="shared" ca="1" si="37"/>
        <v/>
      </c>
      <c r="U52" s="113" t="str">
        <f t="shared" si="38"/>
        <v/>
      </c>
      <c r="V52" s="113" t="str">
        <f t="shared" si="4"/>
        <v>FY24</v>
      </c>
      <c r="W52" s="113" t="str">
        <f t="shared" ca="1" si="39"/>
        <v/>
      </c>
      <c r="X52" s="50"/>
      <c r="Y52" s="146">
        <v>2</v>
      </c>
      <c r="Z52" s="166">
        <v>20000000</v>
      </c>
      <c r="AA52" s="167">
        <f>AVERAGEIFS($M:$M,$L:$L,"&gt;="&amp;Z$44,$L:$L,"&lt;="&amp;AB$44,$O:$O,"="&amp;Z52)*AB$49</f>
        <v>38947897.329545461</v>
      </c>
      <c r="AE52" s="167">
        <f t="shared" ref="AE52:AE57" si="86">COUNTIFS($L:$L,"&gt;="&amp;Z$44,$L:$L,"&lt;="&amp;AB$44,$O:$O,"="&amp;Z52)</f>
        <v>11</v>
      </c>
      <c r="AF52" s="167"/>
      <c r="AG52" s="167"/>
      <c r="AH52" s="167"/>
      <c r="AJ52" s="153" t="s">
        <v>172</v>
      </c>
      <c r="AK52" s="170">
        <f>Z49</f>
        <v>134.49039999999999</v>
      </c>
      <c r="AL52" s="154"/>
      <c r="AM52" s="154"/>
      <c r="AN52" s="155">
        <f t="shared" si="66"/>
        <v>100</v>
      </c>
      <c r="AO52" s="154"/>
      <c r="AP52" s="154"/>
      <c r="AQ52" s="156">
        <f t="shared" si="67"/>
        <v>164.89160999999999</v>
      </c>
      <c r="AT52" s="50"/>
      <c r="AU52" s="146">
        <v>2</v>
      </c>
      <c r="AV52" s="166">
        <v>8000000</v>
      </c>
      <c r="AW52" s="167">
        <f t="shared" si="78"/>
        <v>24134605.362499997</v>
      </c>
      <c r="AX52" s="168"/>
      <c r="AY52" s="167">
        <f t="shared" si="79"/>
        <v>8</v>
      </c>
      <c r="BA52" s="153" t="s">
        <v>149</v>
      </c>
      <c r="BB52" s="169">
        <f>AX48</f>
        <v>0.10299999999999999</v>
      </c>
      <c r="BC52" s="154"/>
      <c r="BD52" s="155">
        <f t="shared" si="72"/>
        <v>60</v>
      </c>
      <c r="BE52" s="156">
        <f t="shared" si="73"/>
        <v>76.782166825000004</v>
      </c>
      <c r="BH52" s="50"/>
      <c r="BI52" s="146">
        <v>1</v>
      </c>
      <c r="BJ52" s="166">
        <v>8000000</v>
      </c>
      <c r="BK52" s="167">
        <f>AVERAGEIFS($M:$M,$L:$L,"&gt;="&amp;BJ$45,$L:$L,"&lt;="&amp;BL$45,$O:$O,"="&amp;BJ52)</f>
        <v>25176484.142857142</v>
      </c>
      <c r="BL52" s="168"/>
      <c r="BM52" s="168"/>
      <c r="BN52" s="168"/>
      <c r="BO52" s="167">
        <f>COUNTIFS($L:$L,"&gt;="&amp;BJ$45,$L:$L,"&lt;="&amp;BL$45,$O:$O,"="&amp;BJ52)</f>
        <v>7</v>
      </c>
      <c r="BQ52" s="153" t="s">
        <v>149</v>
      </c>
      <c r="BR52" s="169">
        <f>BL49</f>
        <v>0.10299999999999999</v>
      </c>
      <c r="BS52" s="154"/>
      <c r="BT52" s="154"/>
      <c r="BU52" s="155">
        <f t="shared" si="74"/>
        <v>50</v>
      </c>
      <c r="BV52" s="154"/>
      <c r="BW52" s="154"/>
      <c r="BX52" s="156">
        <f t="shared" si="75"/>
        <v>77.692655999999999</v>
      </c>
      <c r="CA52" s="50"/>
      <c r="CQ52" s="50"/>
      <c r="CR52" s="146">
        <v>2</v>
      </c>
      <c r="CS52" s="166">
        <v>8000000</v>
      </c>
      <c r="CT52" s="168">
        <f t="shared" si="80"/>
        <v>17245123.875</v>
      </c>
      <c r="CV52" s="145">
        <v>16152999.999999998</v>
      </c>
      <c r="CX52" s="167">
        <f t="shared" si="81"/>
        <v>8</v>
      </c>
      <c r="DA52" s="153" t="s">
        <v>172</v>
      </c>
      <c r="DB52" s="170">
        <f>CS49</f>
        <v>134.49039999999999</v>
      </c>
      <c r="DC52" s="154"/>
      <c r="DD52" s="154"/>
      <c r="DE52" s="155">
        <f t="shared" si="68"/>
        <v>30</v>
      </c>
      <c r="DF52" s="154"/>
      <c r="DG52" s="154"/>
      <c r="DH52" s="156">
        <f t="shared" si="69"/>
        <v>34.287915857142856</v>
      </c>
      <c r="DK52" s="50"/>
      <c r="DL52" s="146">
        <v>2</v>
      </c>
      <c r="DM52" s="166">
        <v>8000000</v>
      </c>
      <c r="DN52" s="168">
        <f t="shared" si="82"/>
        <v>16624817.666666666</v>
      </c>
      <c r="DR52" s="167">
        <f t="shared" si="83"/>
        <v>3</v>
      </c>
      <c r="DT52" s="153" t="s">
        <v>149</v>
      </c>
      <c r="DU52" s="169">
        <f>DO48</f>
        <v>9.2999999999999999E-2</v>
      </c>
      <c r="DV52" s="154"/>
      <c r="DW52" s="154"/>
      <c r="DX52" s="155">
        <f t="shared" si="76"/>
        <v>30</v>
      </c>
      <c r="DY52" s="154"/>
      <c r="DZ52" s="154"/>
      <c r="EA52" s="156">
        <f t="shared" si="77"/>
        <v>36.432706000000003</v>
      </c>
      <c r="ED52" s="50"/>
      <c r="EE52" s="146">
        <v>2</v>
      </c>
      <c r="EF52" s="166">
        <v>8000000</v>
      </c>
      <c r="EG52" s="168">
        <f t="shared" si="84"/>
        <v>17310548.444444444</v>
      </c>
      <c r="EK52" s="167">
        <f t="shared" si="85"/>
        <v>9</v>
      </c>
      <c r="EM52" s="153" t="s">
        <v>172</v>
      </c>
      <c r="EN52" s="170">
        <f>EF49</f>
        <v>134.49039999999999</v>
      </c>
      <c r="EO52" s="154"/>
      <c r="EP52" s="154"/>
      <c r="EQ52" s="155">
        <f t="shared" si="70"/>
        <v>30</v>
      </c>
      <c r="ER52" s="154"/>
      <c r="ES52" s="154"/>
      <c r="ET52" s="156">
        <f t="shared" si="71"/>
        <v>35.724773333333339</v>
      </c>
    </row>
    <row r="53" spans="10:150" x14ac:dyDescent="0.25">
      <c r="J53" s="86" t="str" cm="1">
        <f t="array" ref="J53">LOOKUP(2,1/($G$17:$G$33&lt;=$L53)/($H$17:$H$33&gt;=$L53),$F$17:$F$33)</f>
        <v>1H24</v>
      </c>
      <c r="K53" s="86" t="str" cm="1">
        <f t="array" ref="K53">LOOKUP(2,1/($G$6:$G$14&lt;=$L53)/($H$6:$H$14&gt;=$L53),$F$6:$F$14)</f>
        <v>FY24</v>
      </c>
      <c r="L53" s="118">
        <v>45134</v>
      </c>
      <c r="M53" s="49">
        <v>84639629</v>
      </c>
      <c r="N53" s="49">
        <v>114060364</v>
      </c>
      <c r="O53" s="50">
        <v>60000000</v>
      </c>
      <c r="P53" s="119" cm="1">
        <f t="array" ref="P53">LOOKUP(2,1/($B$10:$B$14&lt;=$L53)/($C$10:$C$14&gt;=$L53),$D$10:$D$14)</f>
        <v>1.1000000000000001</v>
      </c>
      <c r="Q53" s="120" cm="1">
        <f t="array" ref="Q53">LOOKUP(2,1/($B$17:$B$21&lt;=$L53)/($C$17:$C$21&gt;=$L53),$D$17:$D$21)</f>
        <v>134.49039999999999</v>
      </c>
      <c r="R53" s="113" t="str">
        <f t="shared" si="35"/>
        <v/>
      </c>
      <c r="S53" s="113" t="str">
        <f t="shared" si="36"/>
        <v>1H24</v>
      </c>
      <c r="T53" s="113" t="str">
        <f t="shared" ca="1" si="37"/>
        <v/>
      </c>
      <c r="U53" s="113" t="str">
        <f t="shared" si="38"/>
        <v/>
      </c>
      <c r="V53" s="113" t="str">
        <f t="shared" si="4"/>
        <v>FY24</v>
      </c>
      <c r="W53" s="113" t="str">
        <f t="shared" ca="1" si="39"/>
        <v/>
      </c>
      <c r="X53" s="50"/>
      <c r="Y53" s="146">
        <v>3</v>
      </c>
      <c r="Z53" s="166">
        <v>30000000</v>
      </c>
      <c r="AA53" s="167">
        <f>AVERAGEIFS($M:$M,$L:$L,"&gt;="&amp;Z$44,$L:$L,"&lt;="&amp;AB$44,$O:$O,"="&amp;Z53)*AB$49</f>
        <v>48276707.050000004</v>
      </c>
      <c r="AE53" s="167">
        <f t="shared" si="86"/>
        <v>3</v>
      </c>
      <c r="AF53" s="167"/>
      <c r="AG53" s="167"/>
      <c r="AH53" s="167"/>
      <c r="AJ53" s="171"/>
      <c r="AL53" s="154"/>
      <c r="AM53" s="154"/>
      <c r="AN53" s="155">
        <f t="shared" si="66"/>
        <v>160</v>
      </c>
      <c r="AO53" s="154"/>
      <c r="AP53" s="154"/>
      <c r="AQ53" s="156">
        <f t="shared" si="67"/>
        <v>250.97260499999996</v>
      </c>
      <c r="AT53" s="50"/>
      <c r="AU53" s="146">
        <v>3</v>
      </c>
      <c r="AV53" s="166">
        <v>20000000</v>
      </c>
      <c r="AW53" s="167">
        <f t="shared" si="78"/>
        <v>37904468.949999996</v>
      </c>
      <c r="AX53" s="168"/>
      <c r="AY53" s="167">
        <f t="shared" si="79"/>
        <v>6</v>
      </c>
      <c r="BA53" s="153" t="s">
        <v>172</v>
      </c>
      <c r="BB53" s="170">
        <f>AV49</f>
        <v>134.49039999999999</v>
      </c>
      <c r="BC53" s="154"/>
      <c r="BD53" s="155">
        <f t="shared" si="72"/>
        <v>80</v>
      </c>
      <c r="BE53" s="156">
        <f t="shared" si="73"/>
        <v>110.88894379999999</v>
      </c>
      <c r="BH53" s="50"/>
      <c r="BI53" s="146">
        <v>2</v>
      </c>
      <c r="BJ53" s="166">
        <v>20000000</v>
      </c>
      <c r="BK53" s="167">
        <f>AVERAGEIFS($M:$M,$L:$L,"&gt;="&amp;BJ$45,$L:$L,"&lt;="&amp;BL$45,$O:$O,"="&amp;BJ53)</f>
        <v>39899441</v>
      </c>
      <c r="BO53" s="167">
        <f>COUNTIFS($L:$L,"&gt;="&amp;BJ$45,$L:$L,"&lt;="&amp;BL$45,$O:$O,"="&amp;BJ53)</f>
        <v>6</v>
      </c>
      <c r="BQ53" s="153" t="s">
        <v>172</v>
      </c>
      <c r="BR53" s="170">
        <f>BJ50</f>
        <v>134.49039999999999</v>
      </c>
      <c r="BS53" s="154"/>
      <c r="BT53" s="154"/>
      <c r="BU53" s="155">
        <f t="shared" si="74"/>
        <v>100</v>
      </c>
      <c r="BV53" s="154"/>
      <c r="BW53" s="154"/>
      <c r="BX53" s="156">
        <f t="shared" si="75"/>
        <v>183.084473</v>
      </c>
      <c r="CA53" s="50"/>
      <c r="CQ53" s="50"/>
      <c r="CR53" s="146">
        <v>3</v>
      </c>
      <c r="CS53" s="166">
        <v>12000000</v>
      </c>
      <c r="CT53" s="168">
        <f t="shared" si="80"/>
        <v>22052366</v>
      </c>
      <c r="CV53" s="145">
        <v>20169800.000000004</v>
      </c>
      <c r="CX53" s="167">
        <f t="shared" si="81"/>
        <v>8</v>
      </c>
      <c r="DA53" s="171"/>
      <c r="DC53" s="154"/>
      <c r="DD53" s="154"/>
      <c r="DE53" s="155">
        <f t="shared" si="68"/>
        <v>40</v>
      </c>
      <c r="DF53" s="154"/>
      <c r="DG53" s="154"/>
      <c r="DH53" s="156">
        <f t="shared" si="69"/>
        <v>41.08902775</v>
      </c>
      <c r="DK53" s="50"/>
      <c r="DL53" s="146">
        <v>3</v>
      </c>
      <c r="DM53" s="166">
        <v>12000000</v>
      </c>
      <c r="DN53" s="168">
        <f t="shared" si="82"/>
        <v>17697271</v>
      </c>
      <c r="DR53" s="167">
        <f t="shared" si="83"/>
        <v>1</v>
      </c>
      <c r="DT53" s="153" t="s">
        <v>172</v>
      </c>
      <c r="DU53" s="170">
        <f>DM49</f>
        <v>76.767600000000002</v>
      </c>
      <c r="DV53" s="154"/>
      <c r="DW53" s="154"/>
      <c r="DX53" s="155">
        <f t="shared" si="76"/>
        <v>40</v>
      </c>
      <c r="DY53" s="154"/>
      <c r="DZ53" s="154"/>
      <c r="EA53" s="156">
        <f t="shared" si="77"/>
        <v>46.219222000000002</v>
      </c>
      <c r="ED53" s="50"/>
      <c r="EE53" s="146">
        <v>3</v>
      </c>
      <c r="EF53" s="166">
        <v>12000000</v>
      </c>
      <c r="EG53" s="168">
        <f t="shared" si="84"/>
        <v>21914847.5</v>
      </c>
      <c r="EK53" s="167">
        <f t="shared" si="85"/>
        <v>8</v>
      </c>
      <c r="EM53" s="171"/>
      <c r="EO53" s="154"/>
      <c r="EP53" s="154"/>
      <c r="EQ53" s="155">
        <f t="shared" si="70"/>
        <v>40</v>
      </c>
      <c r="ER53" s="154"/>
      <c r="ES53" s="154"/>
      <c r="ET53" s="156">
        <f t="shared" si="71"/>
        <v>43.154467500000003</v>
      </c>
    </row>
    <row r="54" spans="10:150" x14ac:dyDescent="0.25">
      <c r="J54" s="86" t="str" cm="1">
        <f t="array" ref="J54">LOOKUP(2,1/($G$17:$G$33&lt;=$L54)/($H$17:$H$33&gt;=$L54),$F$17:$F$33)</f>
        <v>1H24</v>
      </c>
      <c r="K54" s="86" t="str" cm="1">
        <f t="array" ref="K54">LOOKUP(2,1/($G$6:$G$14&lt;=$L54)/($H$6:$H$14&gt;=$L54),$F$6:$F$14)</f>
        <v>FY24</v>
      </c>
      <c r="L54" s="118">
        <v>45127</v>
      </c>
      <c r="M54" s="49">
        <v>60836962</v>
      </c>
      <c r="N54" s="49">
        <v>81983890</v>
      </c>
      <c r="O54" s="50">
        <v>40000000</v>
      </c>
      <c r="P54" s="119" cm="1">
        <f t="array" ref="P54">LOOKUP(2,1/($B$10:$B$14&lt;=$L54)/($C$10:$C$14&gt;=$L54),$D$10:$D$14)</f>
        <v>1.1000000000000001</v>
      </c>
      <c r="Q54" s="120" cm="1">
        <f t="array" ref="Q54">LOOKUP(2,1/($B$17:$B$21&lt;=$L54)/($C$17:$C$21&gt;=$L54),$D$17:$D$21)</f>
        <v>134.49039999999999</v>
      </c>
      <c r="R54" s="113" t="str">
        <f t="shared" si="35"/>
        <v/>
      </c>
      <c r="S54" s="113" t="str">
        <f t="shared" si="36"/>
        <v>1H24</v>
      </c>
      <c r="T54" s="113" t="str">
        <f t="shared" ca="1" si="37"/>
        <v/>
      </c>
      <c r="U54" s="113" t="str">
        <f t="shared" si="38"/>
        <v/>
      </c>
      <c r="V54" s="113" t="str">
        <f t="shared" si="4"/>
        <v>FY24</v>
      </c>
      <c r="W54" s="113" t="str">
        <f t="shared" ca="1" si="39"/>
        <v/>
      </c>
      <c r="X54" s="50"/>
      <c r="Y54" s="146">
        <v>4</v>
      </c>
      <c r="Z54" s="166">
        <v>50000000</v>
      </c>
      <c r="AA54" s="167">
        <f>AVERAGEIFS($M:$M,$L:$L,"&gt;="&amp;Z$44,$L:$L,"&lt;="&amp;AB$44,$O:$O,"="&amp;Z54)*AB$49</f>
        <v>73025292.599999994</v>
      </c>
      <c r="AE54" s="167">
        <f t="shared" si="86"/>
        <v>3</v>
      </c>
      <c r="AF54" s="167"/>
      <c r="AG54" s="167"/>
      <c r="AH54" s="167"/>
      <c r="AJ54" s="153" t="s">
        <v>91</v>
      </c>
      <c r="AK54" s="155" t="e">
        <f>Z47/1000000</f>
        <v>#N/A</v>
      </c>
      <c r="AL54" s="154"/>
      <c r="AM54" s="154"/>
      <c r="AN54" s="155">
        <f t="shared" si="66"/>
        <v>200</v>
      </c>
      <c r="AO54" s="154"/>
      <c r="AP54" s="154"/>
      <c r="AQ54" s="156">
        <f t="shared" si="67"/>
        <v>308.35993500000001</v>
      </c>
      <c r="AT54" s="50"/>
      <c r="AU54" s="146">
        <v>4</v>
      </c>
      <c r="AV54" s="166">
        <v>40000000</v>
      </c>
      <c r="AW54" s="167">
        <f t="shared" si="78"/>
        <v>56034722.099999994</v>
      </c>
      <c r="AX54" s="168"/>
      <c r="AY54" s="167">
        <f t="shared" si="79"/>
        <v>3</v>
      </c>
      <c r="BA54" s="172"/>
      <c r="BB54" s="2"/>
      <c r="BC54" s="154"/>
      <c r="BD54" s="155">
        <f t="shared" si="72"/>
        <v>120</v>
      </c>
      <c r="BE54" s="156">
        <f t="shared" si="73"/>
        <v>214.81998888669318</v>
      </c>
      <c r="BH54" s="50"/>
      <c r="BI54" s="146">
        <v>3</v>
      </c>
      <c r="BJ54" s="166">
        <v>30000000</v>
      </c>
      <c r="BK54" s="167">
        <f>AVERAGEIFS($M:$M,$L:$L,"&gt;="&amp;BJ$45,$L:$L,"&lt;="&amp;BL$45,$O:$O,"="&amp;BJ54)</f>
        <v>47423181</v>
      </c>
      <c r="BO54" s="167">
        <f>COUNTIFS($L:$L,"&gt;="&amp;BJ$45,$L:$L,"&lt;="&amp;BL$45,$O:$O,"="&amp;BJ54)</f>
        <v>1</v>
      </c>
      <c r="BQ54" s="171"/>
      <c r="BS54" s="154"/>
      <c r="BT54" s="154"/>
      <c r="BU54" s="155">
        <f t="shared" si="74"/>
        <v>160</v>
      </c>
      <c r="BV54" s="154"/>
      <c r="BW54" s="154"/>
      <c r="BX54" s="156">
        <f t="shared" si="75"/>
        <v>300</v>
      </c>
      <c r="CA54" s="50"/>
      <c r="CQ54" s="50"/>
      <c r="CR54" s="146">
        <v>4</v>
      </c>
      <c r="CS54" s="166">
        <v>20000000</v>
      </c>
      <c r="CT54" s="168">
        <f t="shared" si="80"/>
        <v>27175835.5</v>
      </c>
      <c r="CV54" s="145">
        <v>28203400.000000004</v>
      </c>
      <c r="CX54" s="167">
        <f t="shared" si="81"/>
        <v>8</v>
      </c>
      <c r="DA54" s="153" t="s">
        <v>91</v>
      </c>
      <c r="DB54" s="155">
        <f>CS47/1000000</f>
        <v>12</v>
      </c>
      <c r="DC54" s="154"/>
      <c r="DD54" s="154"/>
      <c r="DE54" s="155">
        <f t="shared" si="68"/>
        <v>50</v>
      </c>
      <c r="DF54" s="154"/>
      <c r="DG54" s="154"/>
      <c r="DH54" s="156">
        <f t="shared" si="69"/>
        <v>55.701940999999998</v>
      </c>
      <c r="DK54" s="50"/>
      <c r="DL54" s="146">
        <v>4</v>
      </c>
      <c r="DM54" s="166">
        <v>20000000</v>
      </c>
      <c r="DN54" s="168">
        <f t="shared" si="82"/>
        <v>26087561</v>
      </c>
      <c r="DR54" s="167">
        <f t="shared" si="83"/>
        <v>1</v>
      </c>
      <c r="DT54" s="172"/>
      <c r="DU54" s="2"/>
      <c r="DV54" s="154"/>
      <c r="DW54" s="154"/>
      <c r="DX54" s="155">
        <f t="shared" si="76"/>
        <v>50</v>
      </c>
      <c r="DY54" s="154"/>
      <c r="DZ54" s="154"/>
      <c r="EA54" s="156">
        <f t="shared" si="77"/>
        <v>56.921146999999998</v>
      </c>
      <c r="ED54" s="50"/>
      <c r="EE54" s="146">
        <v>4</v>
      </c>
      <c r="EF54" s="166">
        <v>20000000</v>
      </c>
      <c r="EG54" s="168">
        <f t="shared" si="84"/>
        <v>28293594.571428571</v>
      </c>
      <c r="EK54" s="167">
        <f t="shared" si="85"/>
        <v>7</v>
      </c>
      <c r="EM54" s="153" t="s">
        <v>91</v>
      </c>
      <c r="EN54" s="155">
        <f>EF47/1000000</f>
        <v>8</v>
      </c>
      <c r="EO54" s="154"/>
      <c r="EP54" s="154"/>
      <c r="EQ54" s="155">
        <f t="shared" si="70"/>
        <v>50</v>
      </c>
      <c r="ER54" s="154"/>
      <c r="ES54" s="154"/>
      <c r="ET54" s="156">
        <f t="shared" si="71"/>
        <v>56.108342999999998</v>
      </c>
    </row>
    <row r="55" spans="10:150" x14ac:dyDescent="0.25">
      <c r="J55" s="86" t="str" cm="1">
        <f t="array" ref="J55">LOOKUP(2,1/($G$17:$G$33&lt;=$L55)/($H$17:$H$33&gt;=$L55),$F$17:$F$33)</f>
        <v>1H24</v>
      </c>
      <c r="K55" s="86" t="str" cm="1">
        <f t="array" ref="K55">LOOKUP(2,1/($G$6:$G$14&lt;=$L55)/($H$6:$H$14&gt;=$L55),$F$6:$F$14)</f>
        <v>FY24</v>
      </c>
      <c r="L55" s="118">
        <v>45120</v>
      </c>
      <c r="M55" s="49">
        <v>40570239</v>
      </c>
      <c r="N55" s="49">
        <v>54672453</v>
      </c>
      <c r="O55" s="50">
        <v>20000000</v>
      </c>
      <c r="P55" s="119" cm="1">
        <f t="array" ref="P55">LOOKUP(2,1/($B$10:$B$14&lt;=$L55)/($C$10:$C$14&gt;=$L55),$D$10:$D$14)</f>
        <v>1.1000000000000001</v>
      </c>
      <c r="Q55" s="120" cm="1">
        <f t="array" ref="Q55">LOOKUP(2,1/($B$17:$B$21&lt;=$L55)/($C$17:$C$21&gt;=$L55),$D$17:$D$21)</f>
        <v>134.49039999999999</v>
      </c>
      <c r="R55" s="113" t="str">
        <f t="shared" si="35"/>
        <v/>
      </c>
      <c r="S55" s="113" t="str">
        <f t="shared" si="36"/>
        <v>1H24</v>
      </c>
      <c r="T55" s="113" t="str">
        <f t="shared" ca="1" si="37"/>
        <v/>
      </c>
      <c r="U55" s="113" t="str">
        <f t="shared" si="38"/>
        <v/>
      </c>
      <c r="V55" s="113" t="str">
        <f t="shared" si="4"/>
        <v>FY24</v>
      </c>
      <c r="W55" s="113" t="str">
        <f t="shared" ca="1" si="39"/>
        <v/>
      </c>
      <c r="X55" s="50"/>
      <c r="Y55" s="146">
        <v>5</v>
      </c>
      <c r="Z55" s="166">
        <v>100000000</v>
      </c>
      <c r="AA55" s="167"/>
      <c r="AB55" s="173">
        <f t="shared" ref="AB55:AB60" si="87">IF($Z55&gt;=100000000,$AC$46*AC$49*AC55+$AD$46*AD$49*AD55,AC$49*AC55+AD$49*AD55)*AB$49</f>
        <v>164891610</v>
      </c>
      <c r="AC55" s="145">
        <v>130091999.99999999</v>
      </c>
      <c r="AD55" s="145">
        <v>142170000</v>
      </c>
      <c r="AE55" s="167">
        <f t="shared" si="86"/>
        <v>2</v>
      </c>
      <c r="AF55" s="167"/>
      <c r="AG55" s="167"/>
      <c r="AH55" s="167"/>
      <c r="AJ55" s="172" t="s">
        <v>147</v>
      </c>
      <c r="AK55" s="174">
        <f>Z44</f>
        <v>44587</v>
      </c>
      <c r="AL55" s="154"/>
      <c r="AM55" s="154"/>
      <c r="AN55" s="155">
        <f t="shared" si="66"/>
        <v>250</v>
      </c>
      <c r="AO55" s="154"/>
      <c r="AP55" s="154"/>
      <c r="AQ55" s="156">
        <f t="shared" si="67"/>
        <v>380.09409749999992</v>
      </c>
      <c r="AT55" s="50"/>
      <c r="AU55" s="146">
        <v>5</v>
      </c>
      <c r="AV55" s="166">
        <v>60000000</v>
      </c>
      <c r="AW55" s="167">
        <f t="shared" si="78"/>
        <v>76782166.825000003</v>
      </c>
      <c r="AX55" s="168"/>
      <c r="AY55" s="167">
        <f t="shared" si="79"/>
        <v>2</v>
      </c>
      <c r="BA55" s="172" t="s">
        <v>147</v>
      </c>
      <c r="BB55" s="174">
        <f>AV44</f>
        <v>44652</v>
      </c>
      <c r="BC55" s="154"/>
      <c r="BD55" s="155">
        <f t="shared" si="72"/>
        <v>150</v>
      </c>
      <c r="BE55" s="156">
        <f t="shared" si="73"/>
        <v>275</v>
      </c>
      <c r="BH55" s="50"/>
      <c r="BI55" s="146">
        <v>4</v>
      </c>
      <c r="BJ55" s="166">
        <v>50000000</v>
      </c>
      <c r="BK55" s="167">
        <f>AVERAGEIFS($M:$M,$L:$L,"&gt;="&amp;BJ$45,$L:$L,"&lt;="&amp;BL$45,$O:$O,"="&amp;BJ55)</f>
        <v>77692656</v>
      </c>
      <c r="BO55" s="167">
        <f>COUNTIFS($L:$L,"&gt;="&amp;BJ$45,$L:$L,"&lt;="&amp;BL$45,$O:$O,"="&amp;BJ55)</f>
        <v>1</v>
      </c>
      <c r="BQ55" s="153" t="s">
        <v>91</v>
      </c>
      <c r="BR55" s="155">
        <f>BJ48/1000000</f>
        <v>4</v>
      </c>
      <c r="BS55" s="154"/>
      <c r="BT55" s="154"/>
      <c r="BU55" s="155">
        <f t="shared" si="74"/>
        <v>200</v>
      </c>
      <c r="BV55" s="154"/>
      <c r="BW55" s="154"/>
      <c r="BX55" s="156">
        <f t="shared" si="75"/>
        <v>440</v>
      </c>
      <c r="CA55" s="50"/>
      <c r="CQ55" s="50"/>
      <c r="CR55" s="146">
        <v>5</v>
      </c>
      <c r="CS55" s="166">
        <v>30000000</v>
      </c>
      <c r="CT55" s="168">
        <f t="shared" si="80"/>
        <v>34287915.857142858</v>
      </c>
      <c r="CV55" s="145">
        <v>38245400</v>
      </c>
      <c r="CX55" s="167">
        <f t="shared" si="81"/>
        <v>7</v>
      </c>
      <c r="DA55" s="172" t="s">
        <v>147</v>
      </c>
      <c r="DB55" s="174">
        <f>CS44</f>
        <v>43282</v>
      </c>
      <c r="DC55" s="154"/>
      <c r="DD55" s="154"/>
      <c r="DE55" s="155">
        <f t="shared" si="68"/>
        <v>80</v>
      </c>
      <c r="DF55" s="154"/>
      <c r="DG55" s="154"/>
      <c r="DH55" s="156">
        <f t="shared" si="69"/>
        <v>100.9860455</v>
      </c>
      <c r="DK55" s="50"/>
      <c r="DL55" s="146">
        <v>5</v>
      </c>
      <c r="DM55" s="166">
        <v>30000000</v>
      </c>
      <c r="DN55" s="168">
        <f t="shared" si="82"/>
        <v>36432706</v>
      </c>
      <c r="DR55" s="167">
        <f t="shared" si="83"/>
        <v>1</v>
      </c>
      <c r="DT55" s="172" t="s">
        <v>147</v>
      </c>
      <c r="DU55" s="174">
        <f>DM44</f>
        <v>43203</v>
      </c>
      <c r="DV55" s="154"/>
      <c r="DW55" s="154"/>
      <c r="DX55" s="155">
        <f t="shared" si="76"/>
        <v>80</v>
      </c>
      <c r="DY55" s="154"/>
      <c r="DZ55" s="154"/>
      <c r="EA55" s="156">
        <f t="shared" si="77"/>
        <v>101.3292</v>
      </c>
      <c r="ED55" s="50"/>
      <c r="EE55" s="146">
        <v>5</v>
      </c>
      <c r="EF55" s="166">
        <v>30000000</v>
      </c>
      <c r="EG55" s="168">
        <f t="shared" si="84"/>
        <v>35724773.333333336</v>
      </c>
      <c r="EK55" s="167">
        <f t="shared" si="85"/>
        <v>6</v>
      </c>
      <c r="EM55" s="171"/>
      <c r="EO55" s="154"/>
      <c r="EP55" s="154"/>
      <c r="EQ55" s="155">
        <f t="shared" si="70"/>
        <v>80</v>
      </c>
      <c r="ER55" s="154"/>
      <c r="ES55" s="154"/>
      <c r="ET55" s="156">
        <f t="shared" si="71"/>
        <v>101.3292</v>
      </c>
    </row>
    <row r="56" spans="10:150" x14ac:dyDescent="0.25">
      <c r="J56" s="86" t="str" cm="1">
        <f t="array" ref="J56">LOOKUP(2,1/($G$17:$G$33&lt;=$L56)/($H$17:$H$33&gt;=$L56),$F$17:$F$33)</f>
        <v>1H24</v>
      </c>
      <c r="K56" s="86" t="str" cm="1">
        <f t="array" ref="K56">LOOKUP(2,1/($G$6:$G$14&lt;=$L56)/($H$6:$H$14&gt;=$L56),$F$6:$F$14)</f>
        <v>FY24</v>
      </c>
      <c r="L56" s="118">
        <v>45113</v>
      </c>
      <c r="M56" s="49">
        <v>31154789</v>
      </c>
      <c r="N56" s="49">
        <v>41984194</v>
      </c>
      <c r="O56" s="50">
        <v>12000000</v>
      </c>
      <c r="P56" s="119" cm="1">
        <f t="array" ref="P56">LOOKUP(2,1/($B$10:$B$14&lt;=$L56)/($C$10:$C$14&gt;=$L56),$D$10:$D$14)</f>
        <v>1.1000000000000001</v>
      </c>
      <c r="Q56" s="120" cm="1">
        <f t="array" ref="Q56">LOOKUP(2,1/($B$17:$B$21&lt;=$L56)/($C$17:$C$21&gt;=$L56),$D$17:$D$21)</f>
        <v>134.49039999999999</v>
      </c>
      <c r="R56" s="113" t="str">
        <f t="shared" si="35"/>
        <v>1H24</v>
      </c>
      <c r="S56" s="113" t="str">
        <f t="shared" si="36"/>
        <v>1H24</v>
      </c>
      <c r="T56" s="113" t="str">
        <f t="shared" ca="1" si="37"/>
        <v/>
      </c>
      <c r="U56" s="113" t="str">
        <f t="shared" si="38"/>
        <v>FY24</v>
      </c>
      <c r="V56" s="113" t="str">
        <f t="shared" si="4"/>
        <v>FY24</v>
      </c>
      <c r="W56" s="113" t="str">
        <f t="shared" ca="1" si="39"/>
        <v/>
      </c>
      <c r="X56" s="50"/>
      <c r="Y56" s="146">
        <v>6</v>
      </c>
      <c r="Z56" s="166">
        <v>160000000</v>
      </c>
      <c r="AA56" s="167"/>
      <c r="AB56" s="173">
        <f t="shared" si="87"/>
        <v>250972604.99999997</v>
      </c>
      <c r="AC56" s="145">
        <v>198005999.99999997</v>
      </c>
      <c r="AD56" s="145">
        <v>246312000</v>
      </c>
      <c r="AE56" s="167">
        <f t="shared" si="86"/>
        <v>1</v>
      </c>
      <c r="AF56" s="167"/>
      <c r="AG56" s="167"/>
      <c r="AH56" s="167"/>
      <c r="AJ56" s="172" t="s">
        <v>148</v>
      </c>
      <c r="AK56" s="174">
        <f>AB44</f>
        <v>44952</v>
      </c>
      <c r="AL56" s="154"/>
      <c r="AM56" s="154"/>
      <c r="AN56" s="155">
        <f t="shared" si="66"/>
        <v>300</v>
      </c>
      <c r="AO56" s="154"/>
      <c r="AP56" s="154"/>
      <c r="AQ56" s="156">
        <f t="shared" si="67"/>
        <v>451.82826</v>
      </c>
      <c r="AT56" s="50"/>
      <c r="AU56" s="146">
        <v>6</v>
      </c>
      <c r="AV56" s="166">
        <v>80000000</v>
      </c>
      <c r="AW56" s="167">
        <f t="shared" si="78"/>
        <v>110888943.8</v>
      </c>
      <c r="AX56" s="168"/>
      <c r="AY56" s="167">
        <f t="shared" si="79"/>
        <v>1</v>
      </c>
      <c r="BA56" s="172" t="s">
        <v>148</v>
      </c>
      <c r="BB56" s="174">
        <f>AX44</f>
        <v>44868</v>
      </c>
      <c r="BC56" s="154"/>
      <c r="BD56" s="155">
        <f t="shared" si="72"/>
        <v>200</v>
      </c>
      <c r="BE56" s="156">
        <f t="shared" si="73"/>
        <v>370</v>
      </c>
      <c r="BH56" s="50"/>
      <c r="BI56" s="146">
        <v>5</v>
      </c>
      <c r="BJ56" s="166">
        <v>100000000</v>
      </c>
      <c r="BK56" s="167">
        <f>AVERAGEIFS($M:$M,$L:$L,"&gt;="&amp;BJ$45,$L:$L,"&lt;="&amp;BL$45,$O:$O,"="&amp;BJ56)</f>
        <v>183084473</v>
      </c>
      <c r="BM56" s="145">
        <v>84874000</v>
      </c>
      <c r="BN56" s="145">
        <v>83587000</v>
      </c>
      <c r="BO56" s="167">
        <f>COUNTIFS($L:$L,"&gt;="&amp;BJ$45,$L:$L,"&lt;="&amp;BL$45,$O:$O,"="&amp;BJ56)</f>
        <v>1</v>
      </c>
      <c r="BQ56" s="171"/>
      <c r="BS56" s="154"/>
      <c r="BT56" s="154"/>
      <c r="BU56" s="155">
        <f t="shared" si="74"/>
        <v>250</v>
      </c>
      <c r="BV56" s="154"/>
      <c r="BW56" s="154"/>
      <c r="BX56" s="156">
        <f t="shared" si="75"/>
        <v>590</v>
      </c>
      <c r="CA56" s="50"/>
      <c r="CQ56" s="50"/>
      <c r="CR56" s="146">
        <v>6</v>
      </c>
      <c r="CS56" s="166">
        <v>40000000</v>
      </c>
      <c r="CT56" s="168">
        <f t="shared" si="80"/>
        <v>41089027.75</v>
      </c>
      <c r="CV56" s="145">
        <v>48287400</v>
      </c>
      <c r="CX56" s="167">
        <f t="shared" si="81"/>
        <v>4</v>
      </c>
      <c r="DA56" s="172" t="s">
        <v>148</v>
      </c>
      <c r="DB56" s="174">
        <f>CU44</f>
        <v>43646</v>
      </c>
      <c r="DC56" s="154"/>
      <c r="DD56" s="154"/>
      <c r="DE56" s="155">
        <f t="shared" si="68"/>
        <v>100</v>
      </c>
      <c r="DF56" s="154"/>
      <c r="DG56" s="154"/>
      <c r="DH56" s="156">
        <f t="shared" si="69"/>
        <v>171.764914</v>
      </c>
      <c r="DK56" s="50"/>
      <c r="DL56" s="146">
        <v>6</v>
      </c>
      <c r="DM56" s="166">
        <v>40000000</v>
      </c>
      <c r="DN56" s="168">
        <f t="shared" si="82"/>
        <v>46219222</v>
      </c>
      <c r="DR56" s="167">
        <f t="shared" si="83"/>
        <v>1</v>
      </c>
      <c r="DT56" s="172" t="s">
        <v>148</v>
      </c>
      <c r="DU56" s="174">
        <f>DO44</f>
        <v>43281</v>
      </c>
      <c r="DV56" s="154"/>
      <c r="DW56" s="154"/>
      <c r="DX56" s="155">
        <f t="shared" si="76"/>
        <v>100</v>
      </c>
      <c r="DY56" s="154"/>
      <c r="DZ56" s="154"/>
      <c r="EA56" s="156">
        <f t="shared" si="77"/>
        <v>156.8065</v>
      </c>
      <c r="ED56" s="50"/>
      <c r="EE56" s="146">
        <v>6</v>
      </c>
      <c r="EF56" s="166">
        <v>40000000</v>
      </c>
      <c r="EG56" s="168">
        <f t="shared" si="84"/>
        <v>43154467.5</v>
      </c>
      <c r="EK56" s="167">
        <f t="shared" si="85"/>
        <v>4</v>
      </c>
      <c r="EM56" s="172" t="s">
        <v>147</v>
      </c>
      <c r="EN56" s="174">
        <f>EF44</f>
        <v>43209</v>
      </c>
      <c r="EO56" s="154"/>
      <c r="EP56" s="154"/>
      <c r="EQ56" s="155">
        <f t="shared" si="70"/>
        <v>100</v>
      </c>
      <c r="ER56" s="154"/>
      <c r="ES56" s="154"/>
      <c r="ET56" s="156">
        <f t="shared" si="71"/>
        <v>171.764914</v>
      </c>
    </row>
    <row r="57" spans="10:150" x14ac:dyDescent="0.25">
      <c r="J57" s="86" t="str" cm="1">
        <f t="array" ref="J57">LOOKUP(2,1/($G$17:$G$33&lt;=$L57)/($H$17:$H$33&gt;=$L57),$F$17:$F$33)</f>
        <v>2H23</v>
      </c>
      <c r="K57" s="86" t="str" cm="1">
        <f t="array" ref="K57">LOOKUP(2,1/($G$6:$G$14&lt;=$L57)/($H$6:$H$14&gt;=$L57),$F$6:$F$14)</f>
        <v>FY23</v>
      </c>
      <c r="L57" s="118">
        <v>45106</v>
      </c>
      <c r="M57" s="49">
        <v>19524423</v>
      </c>
      <c r="N57" s="49">
        <v>26311113</v>
      </c>
      <c r="O57" s="50">
        <v>4000000</v>
      </c>
      <c r="P57" s="119" cm="1">
        <f t="array" ref="P57">LOOKUP(2,1/($B$10:$B$14&lt;=$L57)/($C$10:$C$14&gt;=$L57),$D$10:$D$14)</f>
        <v>1.1000000000000001</v>
      </c>
      <c r="Q57" s="120" cm="1">
        <f t="array" ref="Q57">LOOKUP(2,1/($B$17:$B$21&lt;=$L57)/($C$17:$C$21&gt;=$L57),$D$17:$D$21)</f>
        <v>134.49039999999999</v>
      </c>
      <c r="R57" s="113" t="str">
        <f t="shared" si="35"/>
        <v/>
      </c>
      <c r="S57" s="113" t="str">
        <f t="shared" si="36"/>
        <v>1H24</v>
      </c>
      <c r="T57" s="113" t="str">
        <f t="shared" ca="1" si="37"/>
        <v/>
      </c>
      <c r="U57" s="113" t="str">
        <f t="shared" si="38"/>
        <v/>
      </c>
      <c r="V57" s="113" t="str">
        <f t="shared" si="4"/>
        <v>FY24</v>
      </c>
      <c r="W57" s="113" t="str">
        <f t="shared" ca="1" si="39"/>
        <v/>
      </c>
      <c r="X57" s="50"/>
      <c r="Y57" s="146">
        <v>7</v>
      </c>
      <c r="Z57" s="145">
        <v>200000000</v>
      </c>
      <c r="AA57" s="145"/>
      <c r="AB57" s="173">
        <f t="shared" si="87"/>
        <v>308359935</v>
      </c>
      <c r="AC57" s="145">
        <v>243281999.99999997</v>
      </c>
      <c r="AD57" s="145">
        <v>328140000</v>
      </c>
      <c r="AE57" s="167">
        <f t="shared" si="86"/>
        <v>0</v>
      </c>
      <c r="AF57" s="167"/>
      <c r="AG57" s="167"/>
      <c r="AH57" s="167"/>
      <c r="AJ57" s="172" t="s">
        <v>0</v>
      </c>
      <c r="AK57" s="175">
        <f>AB49</f>
        <v>0.97499999999999998</v>
      </c>
      <c r="AL57" s="154"/>
      <c r="AM57" s="154"/>
      <c r="AN57" s="155">
        <f t="shared" si="66"/>
        <v>350</v>
      </c>
      <c r="AO57" s="154"/>
      <c r="AP57" s="154"/>
      <c r="AQ57" s="156">
        <f t="shared" si="67"/>
        <v>523.56242250000003</v>
      </c>
      <c r="AT57" s="50"/>
      <c r="AU57" s="146">
        <v>7</v>
      </c>
      <c r="AV57" s="166">
        <v>120000000</v>
      </c>
      <c r="AW57" s="146">
        <v>214819988.88669318</v>
      </c>
      <c r="AX57" s="168"/>
      <c r="AY57" s="167">
        <f t="shared" si="79"/>
        <v>0</v>
      </c>
      <c r="BA57" s="176"/>
      <c r="BB57" s="85"/>
      <c r="BC57" s="154"/>
      <c r="BD57" s="155">
        <f t="shared" si="72"/>
        <v>250</v>
      </c>
      <c r="BE57" s="156">
        <f>MAX(AW60:AX60)/1000000</f>
        <v>480</v>
      </c>
      <c r="BH57" s="50"/>
      <c r="BI57" s="146">
        <v>6</v>
      </c>
      <c r="BJ57" s="145">
        <v>160000000</v>
      </c>
      <c r="BK57" s="145"/>
      <c r="BL57" s="145">
        <v>300000000</v>
      </c>
      <c r="BM57" s="145">
        <v>107612000</v>
      </c>
      <c r="BN57" s="145">
        <v>103685000.00000001</v>
      </c>
      <c r="BO57" s="146"/>
      <c r="BQ57" s="172" t="s">
        <v>147</v>
      </c>
      <c r="BR57" s="174">
        <f>BJ45</f>
        <v>44652</v>
      </c>
      <c r="BS57" s="154"/>
      <c r="BT57" s="154"/>
      <c r="BU57" s="155">
        <f t="shared" si="74"/>
        <v>300</v>
      </c>
      <c r="BV57" s="154"/>
      <c r="BW57" s="154"/>
      <c r="BX57" s="156">
        <f t="shared" si="75"/>
        <v>800</v>
      </c>
      <c r="CA57" s="50"/>
      <c r="CQ57" s="50"/>
      <c r="CR57" s="146">
        <v>7</v>
      </c>
      <c r="CS57" s="166">
        <v>50000000</v>
      </c>
      <c r="CT57" s="168">
        <f t="shared" si="80"/>
        <v>55701941</v>
      </c>
      <c r="CU57" s="168"/>
      <c r="CV57" s="145">
        <v>58329400</v>
      </c>
      <c r="CW57" s="168"/>
      <c r="CX57" s="167">
        <f t="shared" si="81"/>
        <v>2</v>
      </c>
      <c r="DA57" s="172" t="s">
        <v>0</v>
      </c>
      <c r="DB57" s="175">
        <f>CU49</f>
        <v>1</v>
      </c>
      <c r="DC57" s="154"/>
      <c r="DD57" s="154"/>
      <c r="DE57" s="155">
        <f t="shared" si="68"/>
        <v>150</v>
      </c>
      <c r="DF57" s="154"/>
      <c r="DG57" s="154"/>
      <c r="DH57" s="156">
        <f t="shared" si="69"/>
        <v>206.37422000000001</v>
      </c>
      <c r="DK57" s="50"/>
      <c r="DL57" s="146">
        <v>7</v>
      </c>
      <c r="DM57" s="166">
        <v>50000000</v>
      </c>
      <c r="DN57" s="168">
        <f t="shared" si="82"/>
        <v>56921147</v>
      </c>
      <c r="DR57" s="167">
        <f t="shared" si="83"/>
        <v>1</v>
      </c>
      <c r="DT57" s="172" t="s">
        <v>173</v>
      </c>
      <c r="DU57" s="177">
        <f>DO49</f>
        <v>0.42307692307692307</v>
      </c>
      <c r="DV57" s="154"/>
      <c r="DW57" s="154"/>
      <c r="DX57" s="155">
        <f t="shared" si="76"/>
        <v>150</v>
      </c>
      <c r="DY57" s="154"/>
      <c r="DZ57" s="154"/>
      <c r="EA57" s="156">
        <f t="shared" si="77"/>
        <v>232.16900000000001</v>
      </c>
      <c r="ED57" s="50"/>
      <c r="EE57" s="146">
        <v>7</v>
      </c>
      <c r="EF57" s="166">
        <v>50000000</v>
      </c>
      <c r="EG57" s="168">
        <f t="shared" si="84"/>
        <v>56108343</v>
      </c>
      <c r="EK57" s="167">
        <f t="shared" si="85"/>
        <v>3</v>
      </c>
      <c r="EM57" s="172" t="s">
        <v>148</v>
      </c>
      <c r="EN57" s="174">
        <f>EH44</f>
        <v>43573</v>
      </c>
      <c r="EO57" s="154"/>
      <c r="EP57" s="154"/>
      <c r="EQ57" s="155">
        <f t="shared" si="70"/>
        <v>150</v>
      </c>
      <c r="ER57" s="154"/>
      <c r="ES57" s="154"/>
      <c r="ET57" s="156">
        <f t="shared" si="71"/>
        <v>250.74252000000004</v>
      </c>
    </row>
    <row r="58" spans="10:150" x14ac:dyDescent="0.25">
      <c r="J58" s="86" t="str" cm="1">
        <f t="array" ref="J58">LOOKUP(2,1/($G$17:$G$33&lt;=$L58)/($H$17:$H$33&gt;=$L58),$F$17:$F$33)</f>
        <v>2H23</v>
      </c>
      <c r="K58" s="86" t="str" cm="1">
        <f t="array" ref="K58">LOOKUP(2,1/($G$6:$G$14&lt;=$L58)/($H$6:$H$14&gt;=$L58),$F$6:$F$14)</f>
        <v>FY23</v>
      </c>
      <c r="L58" s="118">
        <v>45099</v>
      </c>
      <c r="M58" s="49">
        <v>169147583</v>
      </c>
      <c r="N58" s="49">
        <v>227943283</v>
      </c>
      <c r="O58" s="50">
        <v>100000000</v>
      </c>
      <c r="P58" s="119" cm="1">
        <f t="array" ref="P58">LOOKUP(2,1/($B$10:$B$14&lt;=$L58)/($C$10:$C$14&gt;=$L58),$D$10:$D$14)</f>
        <v>1.1000000000000001</v>
      </c>
      <c r="Q58" s="120" cm="1">
        <f t="array" ref="Q58">LOOKUP(2,1/($B$17:$B$21&lt;=$L58)/($C$17:$C$21&gt;=$L58),$D$17:$D$21)</f>
        <v>134.49039999999999</v>
      </c>
      <c r="R58" s="113" t="str">
        <f t="shared" si="35"/>
        <v/>
      </c>
      <c r="S58" s="113" t="str">
        <f t="shared" si="36"/>
        <v>2H23</v>
      </c>
      <c r="T58" s="113" t="str">
        <f t="shared" ca="1" si="37"/>
        <v>1H24</v>
      </c>
      <c r="U58" s="113" t="str">
        <f t="shared" si="38"/>
        <v/>
      </c>
      <c r="V58" s="113" t="str">
        <f t="shared" si="4"/>
        <v>FY23</v>
      </c>
      <c r="W58" s="113" t="str">
        <f t="shared" ca="1" si="39"/>
        <v>FY24</v>
      </c>
      <c r="Y58" s="146">
        <v>8</v>
      </c>
      <c r="Z58" s="145">
        <v>250000000</v>
      </c>
      <c r="AA58" s="145"/>
      <c r="AB58" s="173">
        <f t="shared" si="87"/>
        <v>380094097.49999994</v>
      </c>
      <c r="AC58" s="145">
        <v>299876999.99999994</v>
      </c>
      <c r="AD58" s="145">
        <v>444374999.99999994</v>
      </c>
      <c r="AE58" s="146"/>
      <c r="AF58" s="146"/>
      <c r="AG58" s="146"/>
      <c r="AH58" s="146"/>
      <c r="AJ58" s="179" t="s">
        <v>162</v>
      </c>
      <c r="AK58" s="180">
        <f>AC46</f>
        <v>1.3</v>
      </c>
      <c r="AL58" s="181"/>
      <c r="AM58" s="181"/>
      <c r="AN58" s="181"/>
      <c r="AO58" s="181"/>
      <c r="AP58" s="181"/>
      <c r="AQ58" s="182"/>
      <c r="AU58" s="146">
        <v>8</v>
      </c>
      <c r="AV58" s="145">
        <v>150000000</v>
      </c>
      <c r="AW58" s="145"/>
      <c r="AX58" s="145">
        <v>275000000</v>
      </c>
      <c r="AY58" s="146"/>
      <c r="BA58" s="176"/>
      <c r="BB58" s="32"/>
      <c r="BC58" s="32"/>
      <c r="BD58" s="32"/>
      <c r="BE58" s="183"/>
      <c r="BI58" s="146">
        <v>7</v>
      </c>
      <c r="BJ58" s="145">
        <v>200000000</v>
      </c>
      <c r="BK58" s="145"/>
      <c r="BL58" s="145">
        <v>440000000</v>
      </c>
      <c r="BM58" s="145">
        <v>153088000</v>
      </c>
      <c r="BN58" s="145">
        <v>140281000</v>
      </c>
      <c r="BO58" s="146"/>
      <c r="BQ58" s="172" t="s">
        <v>148</v>
      </c>
      <c r="BR58" s="174">
        <f>BL45</f>
        <v>44864</v>
      </c>
      <c r="BS58" s="154"/>
      <c r="BT58" s="154"/>
      <c r="BU58" s="155">
        <f t="shared" si="74"/>
        <v>350</v>
      </c>
      <c r="BV58" s="154"/>
      <c r="BW58" s="154"/>
      <c r="BX58" s="156">
        <f t="shared" si="75"/>
        <v>1000</v>
      </c>
      <c r="CR58" s="146">
        <v>8</v>
      </c>
      <c r="CS58" s="166">
        <v>80000000</v>
      </c>
      <c r="CT58" s="168">
        <f t="shared" si="80"/>
        <v>100986045.5</v>
      </c>
      <c r="CU58" s="168"/>
      <c r="CV58" s="145">
        <v>88455400</v>
      </c>
      <c r="CW58" s="145"/>
      <c r="CX58" s="167">
        <f t="shared" si="81"/>
        <v>2</v>
      </c>
      <c r="DA58" s="179" t="s">
        <v>162</v>
      </c>
      <c r="DB58" s="180">
        <f>CV46</f>
        <v>1.3</v>
      </c>
      <c r="DC58" s="181"/>
      <c r="DD58" s="181"/>
      <c r="DE58" s="181"/>
      <c r="DF58" s="181"/>
      <c r="DG58" s="181"/>
      <c r="DH58" s="182"/>
      <c r="DL58" s="146">
        <v>8</v>
      </c>
      <c r="DM58" s="145">
        <v>80000000</v>
      </c>
      <c r="DN58" s="145"/>
      <c r="DO58" s="173">
        <f>IF($DM58&gt;=100000000,$DP$46*DP$49*DP58+$DQ$46*DQ$49*DQ58,DP$49*DP58+DQ$49*DQ58)</f>
        <v>101329200</v>
      </c>
      <c r="DP58" s="145">
        <v>101329200</v>
      </c>
      <c r="DQ58" s="145">
        <v>109018999.99999999</v>
      </c>
      <c r="DR58" s="146"/>
      <c r="DT58" s="176"/>
      <c r="DU58" s="32"/>
      <c r="DV58" s="32"/>
      <c r="DW58" s="32"/>
      <c r="DX58" s="32"/>
      <c r="DY58" s="32"/>
      <c r="DZ58" s="32"/>
      <c r="EA58" s="183"/>
      <c r="EE58" s="146">
        <v>8</v>
      </c>
      <c r="EF58" s="166">
        <v>80000000</v>
      </c>
      <c r="EG58" s="168">
        <f t="shared" si="84"/>
        <v>100986045.5</v>
      </c>
      <c r="EH58" s="173">
        <f>IF($EF58&gt;=100000000,$EI$46*EI$49*EI58+$EJ$46*EJ$49*EJ58,EI$49*EI58+EJ$49*EJ58)*EH$49</f>
        <v>101329200</v>
      </c>
      <c r="EI58" s="145">
        <v>101329200</v>
      </c>
      <c r="EJ58" s="145">
        <v>109018999.99999999</v>
      </c>
      <c r="EK58" s="167">
        <f t="shared" si="85"/>
        <v>2</v>
      </c>
      <c r="EM58" s="179" t="s">
        <v>0</v>
      </c>
      <c r="EN58" s="185">
        <f>EH49</f>
        <v>1</v>
      </c>
      <c r="EO58" s="181"/>
      <c r="EP58" s="181"/>
      <c r="EQ58" s="181"/>
      <c r="ER58" s="181"/>
      <c r="ES58" s="181"/>
      <c r="ET58" s="182"/>
    </row>
    <row r="59" spans="10:150" x14ac:dyDescent="0.25">
      <c r="J59" s="86" t="str" cm="1">
        <f t="array" ref="J59">LOOKUP(2,1/($G$17:$G$33&lt;=$L59)/($H$17:$H$33&gt;=$L59),$F$17:$F$33)</f>
        <v>2H23</v>
      </c>
      <c r="K59" s="86" t="str" cm="1">
        <f t="array" ref="K59">LOOKUP(2,1/($G$6:$G$14&lt;=$L59)/($H$6:$H$14&gt;=$L59),$F$6:$F$14)</f>
        <v>FY23</v>
      </c>
      <c r="L59" s="118">
        <v>45092</v>
      </c>
      <c r="M59" s="49">
        <v>87731429</v>
      </c>
      <c r="N59" s="49">
        <v>118226874</v>
      </c>
      <c r="O59" s="50">
        <v>60000000</v>
      </c>
      <c r="P59" s="119" cm="1">
        <f t="array" ref="P59">LOOKUP(2,1/($B$10:$B$14&lt;=$L59)/($C$10:$C$14&gt;=$L59),$D$10:$D$14)</f>
        <v>1.1000000000000001</v>
      </c>
      <c r="Q59" s="120" cm="1">
        <f t="array" ref="Q59">LOOKUP(2,1/($B$17:$B$21&lt;=$L59)/($C$17:$C$21&gt;=$L59),$D$17:$D$21)</f>
        <v>134.49039999999999</v>
      </c>
      <c r="R59" s="113" t="str">
        <f t="shared" si="35"/>
        <v/>
      </c>
      <c r="S59" s="113" t="str">
        <f t="shared" si="36"/>
        <v>2H23</v>
      </c>
      <c r="T59" s="113" t="str">
        <f t="shared" ca="1" si="37"/>
        <v/>
      </c>
      <c r="U59" s="113" t="str">
        <f t="shared" si="38"/>
        <v/>
      </c>
      <c r="V59" s="113" t="str">
        <f t="shared" si="4"/>
        <v>FY23</v>
      </c>
      <c r="W59" s="113" t="str">
        <f t="shared" ca="1" si="39"/>
        <v/>
      </c>
      <c r="Y59" s="146">
        <v>9</v>
      </c>
      <c r="Z59" s="145">
        <v>300000000</v>
      </c>
      <c r="AA59" s="145"/>
      <c r="AB59" s="173">
        <f t="shared" si="87"/>
        <v>451828260</v>
      </c>
      <c r="AC59" s="145">
        <v>356472000</v>
      </c>
      <c r="AD59" s="145">
        <v>576110000</v>
      </c>
      <c r="AE59" s="146"/>
      <c r="AF59" s="146"/>
      <c r="AG59" s="146"/>
      <c r="AH59" s="146"/>
      <c r="AJ59" s="2"/>
      <c r="AK59" s="2"/>
      <c r="AL59" s="2"/>
      <c r="AM59" s="2"/>
      <c r="AN59" s="2"/>
      <c r="AO59" s="2"/>
      <c r="AP59" s="2"/>
      <c r="AQ59" s="2"/>
      <c r="AU59" s="146">
        <v>9</v>
      </c>
      <c r="AV59" s="145">
        <v>200000000</v>
      </c>
      <c r="AW59" s="145"/>
      <c r="AX59" s="145">
        <v>370000000</v>
      </c>
      <c r="AY59" s="146"/>
      <c r="BA59" s="186"/>
      <c r="BB59" s="2"/>
      <c r="BC59" s="2"/>
      <c r="BD59" s="2"/>
      <c r="BE59" s="187"/>
      <c r="BI59" s="146">
        <v>8</v>
      </c>
      <c r="BJ59" s="145">
        <v>250000000</v>
      </c>
      <c r="BK59" s="145"/>
      <c r="BL59" s="145">
        <v>590000000</v>
      </c>
      <c r="BM59" s="145">
        <v>198564000</v>
      </c>
      <c r="BN59" s="145">
        <v>172077000</v>
      </c>
      <c r="BO59" s="146"/>
      <c r="BQ59" s="179" t="s">
        <v>0</v>
      </c>
      <c r="BR59" s="185">
        <f>BL50</f>
        <v>0</v>
      </c>
      <c r="BS59" s="181"/>
      <c r="BT59" s="181"/>
      <c r="BU59" s="181"/>
      <c r="BV59" s="181"/>
      <c r="BW59" s="181"/>
      <c r="BX59" s="182"/>
      <c r="CR59" s="146">
        <v>9</v>
      </c>
      <c r="CS59" s="166">
        <v>100000000</v>
      </c>
      <c r="CT59" s="168">
        <f t="shared" si="80"/>
        <v>171764914</v>
      </c>
      <c r="CU59" s="168"/>
      <c r="CV59" s="145">
        <v>108539400</v>
      </c>
      <c r="CW59" s="145"/>
      <c r="CX59" s="167">
        <f t="shared" si="81"/>
        <v>2</v>
      </c>
      <c r="DA59" s="2"/>
      <c r="DB59" s="2"/>
      <c r="DC59" s="2"/>
      <c r="DD59" s="2"/>
      <c r="DE59" s="2"/>
      <c r="DF59" s="2"/>
      <c r="DG59" s="2"/>
      <c r="DH59" s="2"/>
      <c r="DL59" s="146">
        <v>9</v>
      </c>
      <c r="DM59" s="145">
        <v>100000000</v>
      </c>
      <c r="DN59" s="145"/>
      <c r="DO59" s="173">
        <f>IF($DM59&gt;=100000000,$DP$46*DP$49*DP59+$DQ$46*DQ$49*DQ59,DP$49*DP59+DQ$49*DQ59)</f>
        <v>156806500</v>
      </c>
      <c r="DP59" s="145">
        <v>125445200</v>
      </c>
      <c r="DQ59" s="145">
        <v>155857000</v>
      </c>
      <c r="DR59" s="146"/>
      <c r="DT59" s="186"/>
      <c r="DU59" s="2"/>
      <c r="DV59" s="2"/>
      <c r="DW59" s="2"/>
      <c r="DX59" s="2"/>
      <c r="DY59" s="2"/>
      <c r="DZ59" s="2"/>
      <c r="EA59" s="187"/>
      <c r="EE59" s="146">
        <v>9</v>
      </c>
      <c r="EF59" s="166">
        <v>100000000</v>
      </c>
      <c r="EG59" s="168">
        <f t="shared" si="84"/>
        <v>171764914</v>
      </c>
      <c r="EH59" s="173">
        <f>IF($EF59&gt;=100000000,$EI$46*EI$49*EI59+$EJ$46*EJ$49*EJ59,EI$49*EI59+EJ$49*EJ59)*EH$49</f>
        <v>169351020</v>
      </c>
      <c r="EI59" s="145">
        <v>125445200</v>
      </c>
      <c r="EJ59" s="145">
        <v>155857000</v>
      </c>
      <c r="EK59" s="167">
        <f t="shared" si="85"/>
        <v>2</v>
      </c>
      <c r="EM59" s="2"/>
      <c r="EN59" s="2"/>
      <c r="EO59" s="2"/>
      <c r="EP59" s="2"/>
      <c r="EQ59" s="2"/>
      <c r="ER59" s="2"/>
      <c r="ES59" s="2"/>
      <c r="ET59" s="2"/>
    </row>
    <row r="60" spans="10:150" x14ac:dyDescent="0.25">
      <c r="J60" s="86" t="str" cm="1">
        <f t="array" ref="J60">LOOKUP(2,1/($G$17:$G$33&lt;=$L60)/($H$17:$H$33&gt;=$L60),$F$17:$F$33)</f>
        <v>2H23</v>
      </c>
      <c r="K60" s="86" t="str" cm="1">
        <f t="array" ref="K60">LOOKUP(2,1/($G$6:$G$14&lt;=$L60)/($H$6:$H$14&gt;=$L60),$F$6:$F$14)</f>
        <v>FY23</v>
      </c>
      <c r="L60" s="118">
        <v>45085</v>
      </c>
      <c r="M60" s="49">
        <v>56400733</v>
      </c>
      <c r="N60" s="49">
        <v>76005627</v>
      </c>
      <c r="O60" s="50">
        <v>40000000</v>
      </c>
      <c r="P60" s="119" cm="1">
        <f t="array" ref="P60">LOOKUP(2,1/($B$10:$B$14&lt;=$L60)/($C$10:$C$14&gt;=$L60),$D$10:$D$14)</f>
        <v>1.1000000000000001</v>
      </c>
      <c r="Q60" s="120" cm="1">
        <f t="array" ref="Q60">LOOKUP(2,1/($B$17:$B$21&lt;=$L60)/($C$17:$C$21&gt;=$L60),$D$17:$D$21)</f>
        <v>134.49039999999999</v>
      </c>
      <c r="R60" s="113" t="str">
        <f t="shared" si="35"/>
        <v/>
      </c>
      <c r="S60" s="113" t="str">
        <f t="shared" si="36"/>
        <v>2H23</v>
      </c>
      <c r="T60" s="113" t="str">
        <f t="shared" ca="1" si="37"/>
        <v/>
      </c>
      <c r="U60" s="113" t="str">
        <f t="shared" si="38"/>
        <v/>
      </c>
      <c r="V60" s="113" t="str">
        <f t="shared" si="4"/>
        <v>FY23</v>
      </c>
      <c r="W60" s="113" t="str">
        <f t="shared" ca="1" si="39"/>
        <v/>
      </c>
      <c r="X60" s="50"/>
      <c r="Y60" s="146">
        <v>10</v>
      </c>
      <c r="Z60" s="145">
        <v>350000000</v>
      </c>
      <c r="AA60" s="145"/>
      <c r="AB60" s="173">
        <f t="shared" si="87"/>
        <v>523562422.5</v>
      </c>
      <c r="AC60" s="145">
        <v>413066999.99999994</v>
      </c>
      <c r="AD60" s="145">
        <v>723345000</v>
      </c>
      <c r="AE60" s="146"/>
      <c r="AF60" s="146"/>
      <c r="AG60" s="146"/>
      <c r="AH60" s="146"/>
      <c r="AJ60" s="188"/>
      <c r="AK60" s="188"/>
      <c r="AL60" s="188"/>
      <c r="AM60" s="188"/>
      <c r="AN60" s="188"/>
      <c r="AO60" s="188"/>
      <c r="AP60" s="188"/>
      <c r="AQ60" s="188"/>
      <c r="AT60" s="50"/>
      <c r="AU60" s="146">
        <v>10</v>
      </c>
      <c r="AV60" s="145">
        <v>250000000</v>
      </c>
      <c r="AW60" s="145"/>
      <c r="AX60" s="145">
        <v>480000000</v>
      </c>
      <c r="AY60" s="146"/>
      <c r="BA60" s="189"/>
      <c r="BB60" s="190"/>
      <c r="BC60" s="190"/>
      <c r="BD60" s="190"/>
      <c r="BE60" s="191"/>
      <c r="BH60" s="50"/>
      <c r="BI60" s="146">
        <v>9</v>
      </c>
      <c r="BJ60" s="145">
        <v>300000000</v>
      </c>
      <c r="BK60" s="145"/>
      <c r="BL60" s="145">
        <v>800000000</v>
      </c>
      <c r="BM60" s="145">
        <v>244040000</v>
      </c>
      <c r="BN60" s="145">
        <v>199073000</v>
      </c>
      <c r="BO60" s="146"/>
      <c r="BQ60" s="2"/>
      <c r="BR60" s="2"/>
      <c r="BS60" s="2"/>
      <c r="BT60" s="2"/>
      <c r="BU60" s="2"/>
      <c r="BV60" s="2"/>
      <c r="BW60" s="2"/>
      <c r="BX60" s="2"/>
      <c r="CA60" s="50"/>
      <c r="CQ60" s="50"/>
      <c r="CR60" s="146">
        <v>10</v>
      </c>
      <c r="CS60" s="145">
        <v>150000000</v>
      </c>
      <c r="CT60" s="145"/>
      <c r="CU60" s="173">
        <f>IF($CS60&gt;=100000000,$CV$46*CV$49*CV60+$CW$46*CW$49*CW60,CV$49*CV60+CW$49*CW60)</f>
        <v>206374220</v>
      </c>
      <c r="CV60" s="145">
        <v>158749400</v>
      </c>
      <c r="CW60" s="145"/>
      <c r="CX60" s="146"/>
      <c r="DA60" s="188"/>
      <c r="DB60" s="188"/>
      <c r="DC60" s="188"/>
      <c r="DD60" s="188"/>
      <c r="DE60" s="188"/>
      <c r="DF60" s="188"/>
      <c r="DG60" s="188"/>
      <c r="DH60" s="188"/>
      <c r="DK60" s="50"/>
      <c r="DL60" s="146">
        <v>10</v>
      </c>
      <c r="DM60" s="145">
        <v>150000000</v>
      </c>
      <c r="DN60" s="145"/>
      <c r="DO60" s="173">
        <f>IF($DM60&gt;=100000000,$DP$46*DP$49*DP60+$DQ$46*DQ$49*DQ60,DP$49*DP60+DQ$49*DQ60)</f>
        <v>232169000</v>
      </c>
      <c r="DP60" s="145">
        <v>185735200</v>
      </c>
      <c r="DQ60" s="145">
        <v>313902000</v>
      </c>
      <c r="DR60" s="146"/>
      <c r="DT60" s="189"/>
      <c r="DU60" s="190"/>
      <c r="DV60" s="190"/>
      <c r="DW60" s="190"/>
      <c r="DX60" s="190"/>
      <c r="DY60" s="190"/>
      <c r="DZ60" s="190"/>
      <c r="EA60" s="191"/>
      <c r="ED60" s="50"/>
      <c r="EE60" s="146">
        <v>10</v>
      </c>
      <c r="EF60" s="145">
        <v>150000000</v>
      </c>
      <c r="EG60" s="145"/>
      <c r="EH60" s="173">
        <f>IF($EF60&gt;=100000000,$EI$46*EI$49*EI60+$EJ$46*EJ$49*EJ60,EI$49*EI60+EJ$49*EJ60)*EH$49</f>
        <v>250742520.00000003</v>
      </c>
      <c r="EI60" s="145">
        <v>185735200</v>
      </c>
      <c r="EJ60" s="145">
        <v>313902000</v>
      </c>
      <c r="EK60" s="146"/>
      <c r="EM60" s="188"/>
      <c r="EN60" s="188"/>
      <c r="EO60" s="188"/>
      <c r="EP60" s="188"/>
      <c r="EQ60" s="188"/>
      <c r="ER60" s="188"/>
      <c r="ES60" s="188"/>
      <c r="ET60" s="188"/>
    </row>
    <row r="61" spans="10:150" x14ac:dyDescent="0.25">
      <c r="J61" s="86" t="str" cm="1">
        <f t="array" ref="J61">LOOKUP(2,1/($G$17:$G$33&lt;=$L61)/($H$17:$H$33&gt;=$L61),$F$17:$F$33)</f>
        <v>2H23</v>
      </c>
      <c r="K61" s="86" t="str" cm="1">
        <f t="array" ref="K61">LOOKUP(2,1/($G$6:$G$14&lt;=$L61)/($H$6:$H$14&gt;=$L61),$F$6:$F$14)</f>
        <v>FY23</v>
      </c>
      <c r="L61" s="118">
        <v>45078</v>
      </c>
      <c r="M61" s="49">
        <v>40719507</v>
      </c>
      <c r="N61" s="49">
        <v>54873607</v>
      </c>
      <c r="O61" s="50">
        <v>20000000</v>
      </c>
      <c r="P61" s="119" cm="1">
        <f t="array" ref="P61">LOOKUP(2,1/($B$10:$B$14&lt;=$L61)/($C$10:$C$14&gt;=$L61),$D$10:$D$14)</f>
        <v>1.1000000000000001</v>
      </c>
      <c r="Q61" s="120" cm="1">
        <f t="array" ref="Q61">LOOKUP(2,1/($B$17:$B$21&lt;=$L61)/($C$17:$C$21&gt;=$L61),$D$17:$D$21)</f>
        <v>134.49039999999999</v>
      </c>
      <c r="R61" s="113" t="str">
        <f t="shared" si="35"/>
        <v/>
      </c>
      <c r="S61" s="113" t="str">
        <f t="shared" si="36"/>
        <v>2H23</v>
      </c>
      <c r="T61" s="113" t="str">
        <f t="shared" ca="1" si="37"/>
        <v/>
      </c>
      <c r="U61" s="113" t="str">
        <f t="shared" si="38"/>
        <v/>
      </c>
      <c r="V61" s="113" t="str">
        <f t="shared" si="4"/>
        <v>FY23</v>
      </c>
      <c r="W61" s="113" t="str">
        <f t="shared" ca="1" si="39"/>
        <v/>
      </c>
      <c r="X61" s="50"/>
      <c r="AI61" s="116"/>
      <c r="AJ61" s="106"/>
      <c r="AK61" s="107"/>
      <c r="AL61" s="107"/>
      <c r="AM61" s="107"/>
      <c r="AN61" s="108"/>
      <c r="AO61" s="107"/>
      <c r="AP61" s="107"/>
      <c r="AQ61" s="108"/>
      <c r="AT61" s="50"/>
      <c r="AU61" s="192"/>
      <c r="AZ61" s="105"/>
      <c r="BA61" s="105"/>
      <c r="BB61" s="105"/>
      <c r="BC61" s="105"/>
      <c r="BD61" s="105"/>
      <c r="BE61" s="105"/>
      <c r="BF61" s="105"/>
      <c r="BG61" s="105"/>
      <c r="BH61" s="50"/>
      <c r="BI61" s="146">
        <v>10</v>
      </c>
      <c r="BJ61" s="145">
        <v>350000000</v>
      </c>
      <c r="BK61" s="145"/>
      <c r="BL61" s="145">
        <v>1000000000</v>
      </c>
      <c r="BM61" s="145">
        <v>300885000.00000006</v>
      </c>
      <c r="BN61" s="145">
        <v>226068000</v>
      </c>
      <c r="BO61" s="146"/>
      <c r="BQ61" s="188"/>
      <c r="BR61" s="188"/>
      <c r="BS61" s="188"/>
      <c r="BT61" s="188"/>
      <c r="BU61" s="188"/>
      <c r="BV61" s="188"/>
      <c r="BW61" s="188"/>
      <c r="BX61" s="188"/>
      <c r="CA61" s="50"/>
      <c r="CQ61" s="50"/>
      <c r="DA61" s="106"/>
      <c r="DB61" s="107"/>
      <c r="DC61" s="107"/>
      <c r="DD61" s="107"/>
      <c r="DE61" s="108"/>
      <c r="DF61" s="107"/>
      <c r="DG61" s="107"/>
      <c r="DH61" s="108"/>
      <c r="DK61" s="50"/>
      <c r="DL61" s="192"/>
      <c r="DS61" s="105"/>
      <c r="DT61" s="105"/>
      <c r="DU61" s="105"/>
      <c r="DV61" s="105"/>
      <c r="DW61" s="105"/>
      <c r="DX61" s="105"/>
      <c r="DY61" s="105"/>
      <c r="DZ61" s="105"/>
      <c r="EA61" s="105"/>
      <c r="EB61" s="105"/>
      <c r="EC61" s="105"/>
      <c r="ED61" s="50"/>
      <c r="EM61" s="105"/>
      <c r="EN61" s="105"/>
      <c r="EO61" s="105"/>
      <c r="EP61" s="105"/>
      <c r="EQ61" s="105"/>
      <c r="ER61" s="105"/>
      <c r="ES61" s="105"/>
      <c r="ET61" s="105"/>
    </row>
    <row r="62" spans="10:150" x14ac:dyDescent="0.25">
      <c r="J62" s="86" t="str" cm="1">
        <f t="array" ref="J62">LOOKUP(2,1/($G$17:$G$33&lt;=$L62)/($H$17:$H$33&gt;=$L62),$F$17:$F$33)</f>
        <v>2H23</v>
      </c>
      <c r="K62" s="86" t="str" cm="1">
        <f t="array" ref="K62">LOOKUP(2,1/($G$6:$G$14&lt;=$L62)/($H$6:$H$14&gt;=$L62),$F$6:$F$14)</f>
        <v>FY23</v>
      </c>
      <c r="L62" s="118">
        <v>45071</v>
      </c>
      <c r="M62" s="49">
        <v>30887849</v>
      </c>
      <c r="N62" s="49">
        <v>41624465</v>
      </c>
      <c r="O62" s="50">
        <v>12000000</v>
      </c>
      <c r="P62" s="119" cm="1">
        <f t="array" ref="P62">LOOKUP(2,1/($B$10:$B$14&lt;=$L62)/($C$10:$C$14&gt;=$L62),$D$10:$D$14)</f>
        <v>1.1000000000000001</v>
      </c>
      <c r="Q62" s="120" cm="1">
        <f t="array" ref="Q62">LOOKUP(2,1/($B$17:$B$21&lt;=$L62)/($C$17:$C$21&gt;=$L62),$D$17:$D$21)</f>
        <v>134.49039999999999</v>
      </c>
      <c r="R62" s="113" t="str">
        <f t="shared" si="35"/>
        <v/>
      </c>
      <c r="S62" s="113" t="str">
        <f t="shared" si="36"/>
        <v>2H23</v>
      </c>
      <c r="T62" s="113" t="str">
        <f t="shared" ca="1" si="37"/>
        <v/>
      </c>
      <c r="U62" s="113" t="str">
        <f t="shared" si="38"/>
        <v/>
      </c>
      <c r="V62" s="113" t="str">
        <f t="shared" si="4"/>
        <v>FY23</v>
      </c>
      <c r="W62" s="113" t="str">
        <f t="shared" ca="1" si="39"/>
        <v/>
      </c>
      <c r="X62" s="50"/>
      <c r="Y62" s="121" t="s">
        <v>204</v>
      </c>
      <c r="Z62" s="122"/>
      <c r="AA62" s="122"/>
      <c r="AB62" s="122"/>
      <c r="AC62" s="122"/>
      <c r="AD62" s="122"/>
      <c r="AE62" s="122"/>
      <c r="AF62" s="122"/>
      <c r="AG62" s="122"/>
      <c r="AH62" s="122"/>
      <c r="AI62" s="122"/>
      <c r="AJ62" s="122"/>
      <c r="AK62" s="122"/>
      <c r="AL62" s="122"/>
      <c r="AM62" s="122"/>
      <c r="AN62" s="122"/>
      <c r="AO62" s="122"/>
      <c r="AP62" s="122"/>
      <c r="AQ62" s="122"/>
      <c r="AR62" s="122"/>
      <c r="AS62" s="122"/>
      <c r="AT62" s="50"/>
      <c r="BH62" s="50"/>
      <c r="CA62" s="50"/>
      <c r="CQ62" s="50"/>
      <c r="CR62" s="125" t="s">
        <v>258</v>
      </c>
      <c r="CS62" s="126"/>
      <c r="CT62" s="126"/>
      <c r="CU62" s="126"/>
      <c r="CV62" s="126"/>
      <c r="CW62" s="126"/>
      <c r="CX62" s="126"/>
      <c r="CY62" s="126"/>
      <c r="CZ62" s="126"/>
      <c r="DA62" s="126"/>
      <c r="DB62" s="126"/>
      <c r="DC62" s="126"/>
      <c r="DD62" s="126"/>
      <c r="DE62" s="126"/>
      <c r="DF62" s="126"/>
      <c r="DG62" s="126"/>
      <c r="DH62" s="126"/>
      <c r="DI62" s="126"/>
      <c r="DJ62" s="126"/>
      <c r="DK62" s="50"/>
      <c r="DL62" s="125" t="s">
        <v>47</v>
      </c>
      <c r="DM62" s="126"/>
      <c r="DN62" s="126"/>
      <c r="DO62" s="126"/>
      <c r="DP62" s="126"/>
      <c r="DQ62" s="126"/>
      <c r="DR62" s="126"/>
      <c r="DS62" s="126"/>
      <c r="DT62" s="126"/>
      <c r="DU62" s="126"/>
      <c r="DV62" s="126"/>
      <c r="DW62" s="126"/>
      <c r="DX62" s="126"/>
      <c r="DY62" s="126"/>
      <c r="DZ62" s="126"/>
      <c r="EA62" s="126"/>
      <c r="EB62" s="126"/>
      <c r="EC62" s="126"/>
      <c r="ED62" s="50"/>
    </row>
    <row r="63" spans="10:150" x14ac:dyDescent="0.25">
      <c r="J63" s="86" t="str" cm="1">
        <f t="array" ref="J63">LOOKUP(2,1/($G$17:$G$33&lt;=$L63)/($H$17:$H$33&gt;=$L63),$F$17:$F$33)</f>
        <v>2H23</v>
      </c>
      <c r="K63" s="86" t="str" cm="1">
        <f t="array" ref="K63">LOOKUP(2,1/($G$6:$G$14&lt;=$L63)/($H$6:$H$14&gt;=$L63),$F$6:$F$14)</f>
        <v>FY23</v>
      </c>
      <c r="L63" s="118">
        <v>45064</v>
      </c>
      <c r="M63" s="49">
        <v>19409982</v>
      </c>
      <c r="N63" s="49">
        <v>23550132</v>
      </c>
      <c r="O63" s="50">
        <v>4000000</v>
      </c>
      <c r="P63" s="119" cm="1">
        <f t="array" ref="P63">LOOKUP(2,1/($B$10:$B$14&lt;=$L63)/($C$10:$C$14&gt;=$L63),$D$10:$D$14)</f>
        <v>1.1000000000000001</v>
      </c>
      <c r="Q63" s="120" cm="1">
        <f t="array" ref="Q63">LOOKUP(2,1/($B$17:$B$21&lt;=$L63)/($C$17:$C$21&gt;=$L63),$D$17:$D$21)</f>
        <v>134.49039999999999</v>
      </c>
      <c r="R63" s="113" t="str">
        <f t="shared" si="35"/>
        <v/>
      </c>
      <c r="S63" s="113" t="str">
        <f t="shared" si="36"/>
        <v>2H23</v>
      </c>
      <c r="T63" s="113" t="str">
        <f t="shared" ca="1" si="37"/>
        <v/>
      </c>
      <c r="U63" s="113" t="str">
        <f t="shared" si="38"/>
        <v/>
      </c>
      <c r="V63" s="113" t="str">
        <f t="shared" si="4"/>
        <v>FY23</v>
      </c>
      <c r="W63" s="113" t="str">
        <f t="shared" ca="1" si="39"/>
        <v/>
      </c>
      <c r="X63" s="50"/>
      <c r="Y63" s="114" t="s">
        <v>147</v>
      </c>
      <c r="Z63" s="115">
        <v>44743</v>
      </c>
      <c r="AA63" s="114" t="s">
        <v>148</v>
      </c>
      <c r="AB63" s="115">
        <v>45129</v>
      </c>
      <c r="AC63" s="132"/>
      <c r="AD63" s="132"/>
      <c r="AE63" s="132"/>
      <c r="AF63" s="132"/>
      <c r="AG63" s="132"/>
      <c r="AH63" s="132"/>
      <c r="AI63" s="133"/>
      <c r="AJ63" s="133"/>
      <c r="AK63" s="133"/>
      <c r="AL63" s="133"/>
      <c r="AM63" s="133"/>
      <c r="AN63" s="133"/>
      <c r="AO63" s="133"/>
      <c r="AP63" s="133"/>
      <c r="AQ63" s="133"/>
      <c r="AR63" s="133"/>
      <c r="AS63" s="133"/>
      <c r="AT63" s="50"/>
      <c r="AU63" s="197" t="s">
        <v>205</v>
      </c>
      <c r="AV63" s="198"/>
      <c r="AW63" s="198"/>
      <c r="AX63" s="198"/>
      <c r="AY63" s="198"/>
      <c r="AZ63" s="198"/>
      <c r="BA63" s="198"/>
      <c r="BB63" s="198"/>
      <c r="BC63" s="198"/>
      <c r="BD63" s="198"/>
      <c r="BE63" s="198"/>
      <c r="BF63" s="198"/>
      <c r="BG63" s="198"/>
      <c r="BH63" s="50"/>
      <c r="BI63" s="123" t="s">
        <v>206</v>
      </c>
      <c r="BJ63" s="124"/>
      <c r="BK63" s="124"/>
      <c r="BL63" s="124"/>
      <c r="BM63" s="124"/>
      <c r="BN63" s="124"/>
      <c r="BO63" s="124"/>
      <c r="BP63" s="124"/>
      <c r="BQ63" s="124"/>
      <c r="BR63" s="124"/>
      <c r="BS63" s="124"/>
      <c r="BT63" s="124"/>
      <c r="BU63" s="124"/>
      <c r="BV63" s="124"/>
      <c r="BW63" s="124"/>
      <c r="BX63" s="124"/>
      <c r="BY63" s="124"/>
      <c r="BZ63" s="124"/>
      <c r="CA63" s="50"/>
      <c r="CQ63" s="50"/>
      <c r="CR63" s="114" t="s">
        <v>147</v>
      </c>
      <c r="CS63" s="115">
        <v>43647</v>
      </c>
      <c r="CT63" s="114" t="s">
        <v>148</v>
      </c>
      <c r="CU63" s="115">
        <v>44012</v>
      </c>
      <c r="CV63" s="132"/>
      <c r="CW63" s="132"/>
      <c r="CX63" s="132"/>
      <c r="CY63" s="133"/>
      <c r="CZ63" s="133"/>
      <c r="DA63" s="133"/>
      <c r="DB63" s="133"/>
      <c r="DC63" s="133"/>
      <c r="DD63" s="133"/>
      <c r="DE63" s="133"/>
      <c r="DF63" s="133"/>
      <c r="DG63" s="133"/>
      <c r="DH63" s="133"/>
      <c r="DI63" s="133"/>
      <c r="DJ63" s="133"/>
      <c r="DK63" s="50"/>
      <c r="DL63" s="114" t="s">
        <v>147</v>
      </c>
      <c r="DM63" s="115">
        <v>43282</v>
      </c>
      <c r="DN63" s="114" t="s">
        <v>148</v>
      </c>
      <c r="DO63" s="115">
        <v>43465</v>
      </c>
      <c r="DP63" s="132"/>
      <c r="DQ63" s="132"/>
      <c r="DR63" s="132"/>
      <c r="DS63" s="133"/>
      <c r="DT63" s="133"/>
      <c r="DU63" s="133"/>
      <c r="DV63" s="133"/>
      <c r="DW63" s="133"/>
      <c r="DX63" s="133"/>
      <c r="DY63" s="133"/>
      <c r="DZ63" s="133"/>
      <c r="EA63" s="133"/>
      <c r="EB63" s="133"/>
      <c r="EC63" s="133"/>
      <c r="ED63" s="50"/>
    </row>
    <row r="64" spans="10:150" x14ac:dyDescent="0.25">
      <c r="J64" s="86" t="str" cm="1">
        <f t="array" ref="J64">LOOKUP(2,1/($G$17:$G$33&lt;=$L64)/($H$17:$H$33&gt;=$L64),$F$17:$F$33)</f>
        <v>2H23</v>
      </c>
      <c r="K64" s="86" t="str" cm="1">
        <f t="array" ref="K64">LOOKUP(2,1/($G$6:$G$14&lt;=$L64)/($H$6:$H$14&gt;=$L64),$F$6:$F$14)</f>
        <v>FY23</v>
      </c>
      <c r="L64" s="118">
        <v>45057</v>
      </c>
      <c r="M64" s="49">
        <v>19348701</v>
      </c>
      <c r="N64" s="49">
        <v>23475779</v>
      </c>
      <c r="O64" s="50">
        <v>4000000</v>
      </c>
      <c r="P64" s="119" cm="1">
        <f t="array" ref="P64">LOOKUP(2,1/($B$10:$B$14&lt;=$L64)/($C$10:$C$14&gt;=$L64),$D$10:$D$14)</f>
        <v>1.1000000000000001</v>
      </c>
      <c r="Q64" s="120" cm="1">
        <f t="array" ref="Q64">LOOKUP(2,1/($B$17:$B$21&lt;=$L64)/($C$17:$C$21&gt;=$L64),$D$17:$D$21)</f>
        <v>134.49039999999999</v>
      </c>
      <c r="R64" s="113" t="str">
        <f t="shared" si="35"/>
        <v/>
      </c>
      <c r="S64" s="113" t="str">
        <f t="shared" si="36"/>
        <v>2H23</v>
      </c>
      <c r="T64" s="113" t="str">
        <f t="shared" ca="1" si="37"/>
        <v/>
      </c>
      <c r="U64" s="113" t="str">
        <f t="shared" si="38"/>
        <v/>
      </c>
      <c r="V64" s="113" t="str">
        <f t="shared" si="4"/>
        <v>FY23</v>
      </c>
      <c r="W64" s="113" t="str">
        <f t="shared" ca="1" si="39"/>
        <v/>
      </c>
      <c r="X64" s="50"/>
      <c r="Y64" s="114" t="s">
        <v>159</v>
      </c>
      <c r="Z64" s="115" t="s">
        <v>160</v>
      </c>
      <c r="AA64" s="114" t="s">
        <v>161</v>
      </c>
      <c r="AB64" s="134" t="str" cm="1">
        <f t="array" ref="AB64">IF(OR(LOOKUP(2,1/($B$10:$B$14&lt;=AB63)/($C$10:$C$14&gt;=AB63),$D$10:$D$14)&lt;&gt;Z67,LOOKUP(2,1/($B$6:$B$7&lt;=AB63)/($C$6:$C$7&gt;=AB63),$D$6:$D$7)&lt;&gt;AB67),"FAIL","PASS")</f>
        <v>FAIL</v>
      </c>
      <c r="AC64" s="134" t="s">
        <v>162</v>
      </c>
      <c r="AD64" s="134" t="s">
        <v>162</v>
      </c>
      <c r="AE64" s="134"/>
      <c r="AF64" s="134"/>
      <c r="AG64" s="134"/>
      <c r="AH64" s="134"/>
      <c r="AI64" s="133"/>
      <c r="AJ64" s="133"/>
      <c r="AK64" s="133"/>
      <c r="AL64" s="133"/>
      <c r="AM64" s="133"/>
      <c r="AN64" s="133"/>
      <c r="AO64" s="133"/>
      <c r="AP64" s="133"/>
      <c r="AQ64" s="133"/>
      <c r="AR64" s="133"/>
      <c r="AS64" s="133"/>
      <c r="AT64" s="50"/>
      <c r="AU64" s="114" t="s">
        <v>147</v>
      </c>
      <c r="AV64" s="115">
        <v>44652</v>
      </c>
      <c r="AW64" s="114" t="s">
        <v>148</v>
      </c>
      <c r="AX64" s="115">
        <v>44868</v>
      </c>
      <c r="AY64" s="132"/>
      <c r="AZ64" s="133"/>
      <c r="BA64" s="133"/>
      <c r="BB64" s="133"/>
      <c r="BC64" s="133"/>
      <c r="BD64" s="133"/>
      <c r="BE64" s="133"/>
      <c r="BF64" s="133"/>
      <c r="BG64" s="133"/>
      <c r="BH64" s="50"/>
      <c r="BI64" s="114" t="s">
        <v>147</v>
      </c>
      <c r="BJ64" s="115">
        <v>44652</v>
      </c>
      <c r="BK64" s="114" t="s">
        <v>148</v>
      </c>
      <c r="BL64" s="115">
        <v>44864</v>
      </c>
      <c r="BM64" s="115"/>
      <c r="BN64" s="115"/>
      <c r="BO64" s="132"/>
      <c r="BP64" s="133"/>
      <c r="BQ64" s="133"/>
      <c r="BR64" s="133"/>
      <c r="BS64" s="133"/>
      <c r="BT64" s="133"/>
      <c r="BU64" s="133"/>
      <c r="BV64" s="133"/>
      <c r="BW64" s="133"/>
      <c r="BX64" s="133"/>
      <c r="BY64" s="133"/>
      <c r="BZ64" s="133"/>
      <c r="CA64" s="50"/>
      <c r="CQ64" s="50"/>
      <c r="CR64" s="114" t="s">
        <v>159</v>
      </c>
      <c r="CS64" s="115" t="s">
        <v>20</v>
      </c>
      <c r="CT64" s="114" t="s">
        <v>161</v>
      </c>
      <c r="CU64" s="134" t="str" cm="1">
        <f t="array" ref="CU64">IF(OR(LOOKUP(2,1/($B$10:$B$14&lt;=CU63)/($C$10:$C$14&gt;=CU63),$D$10:$D$14)&lt;&gt;CS67,LOOKUP(2,1/($B$6:$B$7&lt;=CU63)/($C$6:$C$7&gt;=CU63),$D$6:$D$7)&lt;&gt;CU67),"FAIL","PASS")</f>
        <v>FAIL</v>
      </c>
      <c r="CV64" s="134" t="s">
        <v>162</v>
      </c>
      <c r="CW64" s="134" t="s">
        <v>162</v>
      </c>
      <c r="CX64" s="134"/>
      <c r="CY64" s="133"/>
      <c r="CZ64" s="133"/>
      <c r="DA64" s="133"/>
      <c r="DB64" s="133"/>
      <c r="DC64" s="133"/>
      <c r="DD64" s="133"/>
      <c r="DE64" s="133"/>
      <c r="DF64" s="133"/>
      <c r="DG64" s="133"/>
      <c r="DH64" s="133"/>
      <c r="DI64" s="133"/>
      <c r="DJ64" s="133"/>
      <c r="DK64" s="50"/>
      <c r="DL64" s="114" t="s">
        <v>159</v>
      </c>
      <c r="DM64" s="115" t="s">
        <v>47</v>
      </c>
      <c r="DN64" s="114" t="s">
        <v>161</v>
      </c>
      <c r="DO64" s="134" t="str" cm="1">
        <f t="array" ref="DO64">IF(OR(LOOKUP(2,1/($B$10:$B$14&lt;=DO63)/($C$10:$C$14&gt;=DO63),$D$10:$D$14)&lt;&gt;DM67,LOOKUP(2,1/($B$6:$B$7&lt;=DO63)/($C$6:$C$7&gt;=DO63),$D$6:$D$7)&lt;&gt;DO67),"FAIL","PASS")</f>
        <v>PASS</v>
      </c>
      <c r="DP64" s="134" t="s">
        <v>162</v>
      </c>
      <c r="DQ64" s="134" t="s">
        <v>162</v>
      </c>
      <c r="DR64" s="134"/>
      <c r="DS64" s="133"/>
      <c r="DT64" s="133"/>
      <c r="DU64" s="133"/>
      <c r="DV64" s="133"/>
      <c r="DW64" s="133"/>
      <c r="DX64" s="133"/>
      <c r="DY64" s="133"/>
      <c r="DZ64" s="133"/>
      <c r="EA64" s="133"/>
      <c r="EB64" s="133"/>
      <c r="EC64" s="133"/>
      <c r="ED64" s="50"/>
    </row>
    <row r="65" spans="10:131" x14ac:dyDescent="0.25">
      <c r="J65" s="86" t="str" cm="1">
        <f t="array" ref="J65">LOOKUP(2,1/($G$17:$G$33&lt;=$L65)/($H$17:$H$33&gt;=$L65),$F$17:$F$33)</f>
        <v>2H23</v>
      </c>
      <c r="K65" s="86" t="str" cm="1">
        <f t="array" ref="K65">LOOKUP(2,1/($G$6:$G$14&lt;=$L65)/($H$6:$H$14&gt;=$L65),$F$6:$F$14)</f>
        <v>FY23</v>
      </c>
      <c r="L65" s="118">
        <v>45050</v>
      </c>
      <c r="M65" s="49">
        <v>41813564</v>
      </c>
      <c r="N65" s="49">
        <v>50732398</v>
      </c>
      <c r="O65" s="50">
        <v>20000000</v>
      </c>
      <c r="P65" s="119" cm="1">
        <f t="array" ref="P65">LOOKUP(2,1/($B$10:$B$14&lt;=$L65)/($C$10:$C$14&gt;=$L65),$D$10:$D$14)</f>
        <v>1.1000000000000001</v>
      </c>
      <c r="Q65" s="120" cm="1">
        <f t="array" ref="Q65">LOOKUP(2,1/($B$17:$B$21&lt;=$L65)/($C$17:$C$21&gt;=$L65),$D$17:$D$21)</f>
        <v>134.49039999999999</v>
      </c>
      <c r="R65" s="113" t="str">
        <f t="shared" si="35"/>
        <v/>
      </c>
      <c r="S65" s="113" t="str">
        <f t="shared" si="36"/>
        <v>2H23</v>
      </c>
      <c r="T65" s="113" t="str">
        <f t="shared" ca="1" si="37"/>
        <v/>
      </c>
      <c r="U65" s="113" t="str">
        <f t="shared" si="38"/>
        <v/>
      </c>
      <c r="V65" s="113" t="str">
        <f t="shared" si="4"/>
        <v>FY23</v>
      </c>
      <c r="W65" s="113" t="str">
        <f t="shared" ca="1" si="39"/>
        <v/>
      </c>
      <c r="X65" s="50"/>
      <c r="Y65" s="114" t="s">
        <v>165</v>
      </c>
      <c r="Z65" s="134">
        <f>INDEX($G:$G,MATCH(Z64,$F:$F,0))</f>
        <v>45108</v>
      </c>
      <c r="AA65" s="114" t="s">
        <v>166</v>
      </c>
      <c r="AB65" s="134">
        <f>INDEX($H:$H,MATCH(Z64,$F:$F,0))</f>
        <v>45291</v>
      </c>
      <c r="AC65" s="135">
        <v>1.3</v>
      </c>
      <c r="AD65" s="135">
        <v>1</v>
      </c>
      <c r="AE65" s="134"/>
      <c r="AF65" s="134"/>
      <c r="AG65" s="134"/>
      <c r="AH65" s="134"/>
      <c r="AJ65" s="136" t="s">
        <v>167</v>
      </c>
      <c r="AK65" s="137"/>
      <c r="AL65" s="137"/>
      <c r="AM65" s="137"/>
      <c r="AN65" s="138"/>
      <c r="AO65" s="137"/>
      <c r="AP65" s="137"/>
      <c r="AQ65" s="139"/>
      <c r="AT65" s="50"/>
      <c r="AU65" s="114" t="s">
        <v>159</v>
      </c>
      <c r="AV65" s="115" t="s">
        <v>193</v>
      </c>
      <c r="AW65" s="114" t="s">
        <v>161</v>
      </c>
      <c r="AX65" s="134" t="str" cm="1">
        <f t="array" ref="AX65">IF(OR(LOOKUP(2,1/($B$10:$B$14&lt;=AX64)/($C$10:$C$14&gt;=AX64),$D$10:$D$14)&lt;&gt;AV68,LOOKUP(2,1/($B$6:$B$7&lt;=AX64)/($C$6:$C$7&gt;=AX64),$D$6:$D$7)&lt;&gt;AX68),"FAIL","PASS")</f>
        <v>PASS</v>
      </c>
      <c r="AY65" s="134"/>
      <c r="AZ65" s="133"/>
      <c r="BA65" s="133"/>
      <c r="BB65" s="133"/>
      <c r="BC65" s="133"/>
      <c r="BD65" s="133"/>
      <c r="BE65" s="133"/>
      <c r="BF65" s="133"/>
      <c r="BG65" s="133"/>
      <c r="BH65" s="50"/>
      <c r="BI65" s="114" t="s">
        <v>159</v>
      </c>
      <c r="BJ65" s="115" t="s">
        <v>23</v>
      </c>
      <c r="BK65" s="114" t="s">
        <v>161</v>
      </c>
      <c r="BL65" s="134" t="str" cm="1">
        <f t="array" ref="BL65">IF(OR(LOOKUP(2,1/($B$10:$B$14&lt;=BL64)/($C$10:$C$14&gt;=BL64),$D$10:$D$14)&lt;&gt;BJ68,LOOKUP(2,1/($B$6:$B$7&lt;=BL64)/($C$6:$C$7&gt;=BL64),$D$6:$D$7)&lt;&gt;BL68),"FAIL","PASS")</f>
        <v>PASS</v>
      </c>
      <c r="BM65" s="134"/>
      <c r="BN65" s="134"/>
      <c r="BO65" s="134"/>
      <c r="BP65" s="133"/>
      <c r="BQ65" s="133"/>
      <c r="BR65" s="133"/>
      <c r="BS65" s="133"/>
      <c r="BT65" s="133"/>
      <c r="BU65" s="133"/>
      <c r="BV65" s="133"/>
      <c r="BW65" s="133"/>
      <c r="BX65" s="133"/>
      <c r="BY65" s="133"/>
      <c r="BZ65" s="133"/>
      <c r="CA65" s="50"/>
      <c r="CQ65" s="50"/>
      <c r="CR65" s="114" t="s">
        <v>165</v>
      </c>
      <c r="CS65" s="134">
        <f>INDEX($G:$G,MATCH(CS64,$F:$F,0))</f>
        <v>43647</v>
      </c>
      <c r="CT65" s="114" t="s">
        <v>166</v>
      </c>
      <c r="CU65" s="134">
        <f>INDEX($H:$H,MATCH(CS64,$F:$F,0))</f>
        <v>44012</v>
      </c>
      <c r="CV65" s="135">
        <v>1.3</v>
      </c>
      <c r="CW65" s="135">
        <v>1</v>
      </c>
      <c r="CX65" s="134"/>
      <c r="DA65" s="136" t="s">
        <v>167</v>
      </c>
      <c r="DB65" s="137"/>
      <c r="DC65" s="137"/>
      <c r="DD65" s="137"/>
      <c r="DE65" s="138"/>
      <c r="DF65" s="137"/>
      <c r="DG65" s="137"/>
      <c r="DH65" s="139"/>
      <c r="DK65" s="50"/>
      <c r="DL65" s="114" t="s">
        <v>165</v>
      </c>
      <c r="DM65" s="134">
        <f>INDEX($G:$G,MATCH(DM64,$F:$F,0))</f>
        <v>43282</v>
      </c>
      <c r="DN65" s="114" t="s">
        <v>166</v>
      </c>
      <c r="DO65" s="134">
        <f>INDEX($H:$H,MATCH(DM64,$F:$F,0))</f>
        <v>43465</v>
      </c>
      <c r="DP65" s="135">
        <v>1.25</v>
      </c>
      <c r="DQ65" s="135">
        <v>1</v>
      </c>
      <c r="DR65" s="134"/>
      <c r="DT65" s="136" t="s">
        <v>167</v>
      </c>
      <c r="DU65" s="137"/>
      <c r="DV65" s="137"/>
      <c r="DW65" s="137"/>
      <c r="DX65" s="138"/>
      <c r="DY65" s="137"/>
      <c r="DZ65" s="137"/>
      <c r="EA65" s="139"/>
    </row>
    <row r="66" spans="10:131" x14ac:dyDescent="0.25">
      <c r="J66" s="86" t="str" cm="1">
        <f t="array" ref="J66">LOOKUP(2,1/($G$17:$G$33&lt;=$L66)/($H$17:$H$33&gt;=$L66),$F$17:$F$33)</f>
        <v>2H23</v>
      </c>
      <c r="K66" s="86" t="str" cm="1">
        <f t="array" ref="K66">LOOKUP(2,1/($G$6:$G$14&lt;=$L66)/($H$6:$H$14&gt;=$L66),$F$6:$F$14)</f>
        <v>FY23</v>
      </c>
      <c r="L66" s="118">
        <v>45043</v>
      </c>
      <c r="M66" s="49">
        <v>27045895</v>
      </c>
      <c r="N66" s="49">
        <v>32814785</v>
      </c>
      <c r="O66" s="50">
        <v>8000000</v>
      </c>
      <c r="P66" s="119" cm="1">
        <f t="array" ref="P66">LOOKUP(2,1/($B$10:$B$14&lt;=$L66)/($C$10:$C$14&gt;=$L66),$D$10:$D$14)</f>
        <v>1.1000000000000001</v>
      </c>
      <c r="Q66" s="120" cm="1">
        <f t="array" ref="Q66">LOOKUP(2,1/($B$17:$B$21&lt;=$L66)/($C$17:$C$21&gt;=$L66),$D$17:$D$21)</f>
        <v>134.49039999999999</v>
      </c>
      <c r="R66" s="113" t="str">
        <f t="shared" si="35"/>
        <v/>
      </c>
      <c r="S66" s="113" t="str">
        <f t="shared" si="36"/>
        <v>2H23</v>
      </c>
      <c r="T66" s="113" t="str">
        <f t="shared" ca="1" si="37"/>
        <v/>
      </c>
      <c r="U66" s="113" t="str">
        <f t="shared" si="38"/>
        <v/>
      </c>
      <c r="V66" s="113" t="str">
        <f t="shared" si="4"/>
        <v>FY23</v>
      </c>
      <c r="W66" s="113" t="str">
        <f t="shared" ca="1" si="39"/>
        <v/>
      </c>
      <c r="X66" s="50"/>
      <c r="Y66" s="114" t="s">
        <v>91</v>
      </c>
      <c r="Z66" s="140" t="e">
        <f>INDEX($O:$O,MATCH(Z64,$U:$U,0))</f>
        <v>#N/A</v>
      </c>
      <c r="AA66" s="114" t="s">
        <v>76</v>
      </c>
      <c r="AB66" s="140" t="e">
        <f ca="1">INDEX($O:$O,MATCH(Z64,$W:$W,0))</f>
        <v>#N/A</v>
      </c>
      <c r="AC66" s="140"/>
      <c r="AD66" s="140"/>
      <c r="AE66" s="140"/>
      <c r="AF66" s="140"/>
      <c r="AG66" s="140"/>
      <c r="AH66" s="140"/>
      <c r="AJ66" s="141" t="s">
        <v>168</v>
      </c>
      <c r="AK66" s="141"/>
      <c r="AL66" s="142"/>
      <c r="AM66" s="142"/>
      <c r="AN66" s="143" t="s">
        <v>15</v>
      </c>
      <c r="AO66" s="142"/>
      <c r="AP66" s="142"/>
      <c r="AQ66" s="144" t="s">
        <v>139</v>
      </c>
      <c r="AT66" s="50"/>
      <c r="AU66" s="114" t="s">
        <v>165</v>
      </c>
      <c r="AV66" s="134">
        <f>INDEX($G:$G,MATCH(AV65,$F:$F,0))</f>
        <v>44927</v>
      </c>
      <c r="AW66" s="114" t="s">
        <v>166</v>
      </c>
      <c r="AX66" s="134">
        <f>INDEX($H:$H,MATCH(AV65,$F:$F,0))</f>
        <v>45107</v>
      </c>
      <c r="AY66" s="134"/>
      <c r="BA66" s="136" t="s">
        <v>167</v>
      </c>
      <c r="BB66" s="137"/>
      <c r="BC66" s="137"/>
      <c r="BD66" s="138"/>
      <c r="BE66" s="139"/>
      <c r="BH66" s="50"/>
      <c r="BI66" s="114" t="s">
        <v>165</v>
      </c>
      <c r="BJ66" s="134">
        <f>INDEX($G:$G,MATCH(BJ65,$F:$F,0))</f>
        <v>44743</v>
      </c>
      <c r="BK66" s="114" t="s">
        <v>166</v>
      </c>
      <c r="BL66" s="134">
        <f>INDEX($H:$H,MATCH(BJ65,$F:$F,0))</f>
        <v>45107</v>
      </c>
      <c r="BM66" s="134"/>
      <c r="BN66" s="134"/>
      <c r="BO66" s="134"/>
      <c r="BQ66" s="136" t="s">
        <v>167</v>
      </c>
      <c r="BR66" s="137"/>
      <c r="BS66" s="137"/>
      <c r="BT66" s="137"/>
      <c r="BU66" s="138"/>
      <c r="BV66" s="137"/>
      <c r="BW66" s="137"/>
      <c r="BX66" s="139"/>
      <c r="CA66" s="50"/>
      <c r="CQ66" s="50"/>
      <c r="CR66" s="114" t="s">
        <v>91</v>
      </c>
      <c r="CS66" s="140">
        <f>INDEX($O:$O,MATCH(CS64,$U:$U,0))</f>
        <v>60000000</v>
      </c>
      <c r="CT66" s="114" t="s">
        <v>76</v>
      </c>
      <c r="CU66" s="140">
        <f ca="1">INDEX($O:$O,MATCH(CS64,$W:$W,0))</f>
        <v>8000000</v>
      </c>
      <c r="CV66" s="140"/>
      <c r="CW66" s="140"/>
      <c r="CX66" s="140"/>
      <c r="DA66" s="141" t="s">
        <v>168</v>
      </c>
      <c r="DB66" s="141"/>
      <c r="DC66" s="142"/>
      <c r="DD66" s="142"/>
      <c r="DE66" s="143" t="s">
        <v>15</v>
      </c>
      <c r="DF66" s="142"/>
      <c r="DG66" s="142"/>
      <c r="DH66" s="144" t="s">
        <v>139</v>
      </c>
      <c r="DK66" s="50"/>
      <c r="DL66" s="114" t="s">
        <v>91</v>
      </c>
      <c r="DM66" s="140">
        <f>INDEX($O:$O,MATCH(DM64,$R:$R,0))</f>
        <v>12000000</v>
      </c>
      <c r="DN66" s="114" t="s">
        <v>76</v>
      </c>
      <c r="DO66" s="140">
        <f ca="1">INDEX($O:$O,MATCH(DM64,$T:$T,0))</f>
        <v>50000000</v>
      </c>
      <c r="DP66" s="140"/>
      <c r="DQ66" s="140"/>
      <c r="DR66" s="140"/>
      <c r="DT66" s="147" t="s">
        <v>165</v>
      </c>
      <c r="DU66" s="148">
        <f>DM65</f>
        <v>43282</v>
      </c>
      <c r="DV66" s="142"/>
      <c r="DW66" s="142"/>
      <c r="DX66" s="143" t="s">
        <v>15</v>
      </c>
      <c r="DY66" s="142"/>
      <c r="DZ66" s="142"/>
      <c r="EA66" s="144" t="s">
        <v>139</v>
      </c>
    </row>
    <row r="67" spans="10:131" x14ac:dyDescent="0.25">
      <c r="J67" s="86" t="str" cm="1">
        <f t="array" ref="J67">LOOKUP(2,1/($G$17:$G$33&lt;=$L67)/($H$17:$H$33&gt;=$L67),$F$17:$F$33)</f>
        <v>2H23</v>
      </c>
      <c r="K67" s="86" t="str" cm="1">
        <f t="array" ref="K67">LOOKUP(2,1/($G$6:$G$14&lt;=$L67)/($H$6:$H$14&gt;=$L67),$F$6:$F$14)</f>
        <v>FY23</v>
      </c>
      <c r="L67" s="118">
        <v>45036</v>
      </c>
      <c r="M67" s="49">
        <v>21741041</v>
      </c>
      <c r="N67" s="49">
        <v>26378405</v>
      </c>
      <c r="O67" s="50">
        <v>4000000</v>
      </c>
      <c r="P67" s="119" cm="1">
        <f t="array" ref="P67">LOOKUP(2,1/($B$10:$B$14&lt;=$L67)/($C$10:$C$14&gt;=$L67),$D$10:$D$14)</f>
        <v>1.1000000000000001</v>
      </c>
      <c r="Q67" s="120" cm="1">
        <f t="array" ref="Q67">LOOKUP(2,1/($B$17:$B$21&lt;=$L67)/($C$17:$C$21&gt;=$L67),$D$17:$D$21)</f>
        <v>134.49039999999999</v>
      </c>
      <c r="R67" s="113" t="str">
        <f t="shared" si="35"/>
        <v/>
      </c>
      <c r="S67" s="113" t="str">
        <f t="shared" si="36"/>
        <v>2H23</v>
      </c>
      <c r="T67" s="113" t="str">
        <f t="shared" ca="1" si="37"/>
        <v/>
      </c>
      <c r="U67" s="113" t="str">
        <f t="shared" si="38"/>
        <v/>
      </c>
      <c r="V67" s="113" t="str">
        <f t="shared" si="4"/>
        <v>FY23</v>
      </c>
      <c r="W67" s="113" t="str">
        <f t="shared" ca="1" si="39"/>
        <v/>
      </c>
      <c r="X67" s="50"/>
      <c r="Y67" s="114" t="s">
        <v>169</v>
      </c>
      <c r="Z67" s="135">
        <v>1.2</v>
      </c>
      <c r="AA67" s="114" t="s">
        <v>149</v>
      </c>
      <c r="AB67" s="196">
        <v>0.123</v>
      </c>
      <c r="AC67" s="152" t="s">
        <v>170</v>
      </c>
      <c r="AD67" s="152" t="s">
        <v>171</v>
      </c>
      <c r="AE67" s="152"/>
      <c r="AF67" s="152"/>
      <c r="AG67" s="152"/>
      <c r="AH67" s="152"/>
      <c r="AJ67" s="153" t="s">
        <v>165</v>
      </c>
      <c r="AK67" s="148">
        <f>Z65</f>
        <v>45108</v>
      </c>
      <c r="AL67" s="154"/>
      <c r="AM67" s="154"/>
      <c r="AN67" s="155">
        <f t="shared" ref="AN67:AN76" si="88">Z70/1000000</f>
        <v>4</v>
      </c>
      <c r="AO67" s="154"/>
      <c r="AP67" s="154"/>
      <c r="AQ67" s="156">
        <f t="shared" ref="AQ67:AQ76" si="89">MAX(AA70:AB70)/1000000</f>
        <v>19.9740924</v>
      </c>
      <c r="AT67" s="50"/>
      <c r="AU67" s="114" t="s">
        <v>91</v>
      </c>
      <c r="AV67" s="145">
        <v>40000000</v>
      </c>
      <c r="AW67" s="114" t="s">
        <v>76</v>
      </c>
      <c r="AX67" s="145">
        <v>40000000</v>
      </c>
      <c r="AY67" s="146"/>
      <c r="BA67" s="147" t="s">
        <v>165</v>
      </c>
      <c r="BB67" s="148">
        <f>AV66</f>
        <v>44927</v>
      </c>
      <c r="BC67" s="142"/>
      <c r="BD67" s="143" t="s">
        <v>15</v>
      </c>
      <c r="BE67" s="144" t="s">
        <v>139</v>
      </c>
      <c r="BH67" s="50"/>
      <c r="BI67" s="114" t="s">
        <v>91</v>
      </c>
      <c r="BJ67" s="140">
        <f>INDEX($O:$O,MATCH(BJ65,$U:$U,0))</f>
        <v>4000000</v>
      </c>
      <c r="BK67" s="114" t="s">
        <v>76</v>
      </c>
      <c r="BL67" s="140">
        <f ca="1">INDEX($O:$O,MATCH(BJ65,$W:$W,0))</f>
        <v>60000000</v>
      </c>
      <c r="BM67" s="140"/>
      <c r="BN67" s="140"/>
      <c r="BO67" s="140"/>
      <c r="BQ67" s="141" t="s">
        <v>168</v>
      </c>
      <c r="BR67" s="141"/>
      <c r="BS67" s="2"/>
      <c r="BT67" s="2"/>
      <c r="BU67" s="149" t="s">
        <v>15</v>
      </c>
      <c r="BV67" s="2"/>
      <c r="BW67" s="2"/>
      <c r="BX67" s="150" t="s">
        <v>139</v>
      </c>
      <c r="CA67" s="50"/>
      <c r="CQ67" s="50"/>
      <c r="CR67" s="114" t="s">
        <v>169</v>
      </c>
      <c r="CS67" s="119" cm="1">
        <f t="array" ref="CS67">LOOKUP(2,1/($B$10:$B$14&lt;=CS63)/($C$10:$C$14&gt;=CS63),$D$10:$D$14)</f>
        <v>1.1000000000000001</v>
      </c>
      <c r="CT67" s="114" t="s">
        <v>149</v>
      </c>
      <c r="CU67" s="162">
        <f>9.3%*13/52+10.3%*39/52</f>
        <v>0.10050000000000001</v>
      </c>
      <c r="CV67" s="152" t="s">
        <v>170</v>
      </c>
      <c r="CW67" s="152" t="s">
        <v>171</v>
      </c>
      <c r="CX67" s="164"/>
      <c r="DA67" s="153" t="s">
        <v>165</v>
      </c>
      <c r="DB67" s="148">
        <f>CS65</f>
        <v>43647</v>
      </c>
      <c r="DC67" s="154"/>
      <c r="DD67" s="154"/>
      <c r="DE67" s="155">
        <f t="shared" ref="DE67:DE76" si="90">CS70/1000000</f>
        <v>3</v>
      </c>
      <c r="DF67" s="154"/>
      <c r="DG67" s="154"/>
      <c r="DH67" s="156">
        <f t="shared" ref="DH67:DH76" si="91">MAX(CT70:CU70)/1000000</f>
        <v>15.636908</v>
      </c>
      <c r="DK67" s="50"/>
      <c r="DL67" s="114" t="s">
        <v>169</v>
      </c>
      <c r="DM67" s="119" cm="1">
        <f t="array" ref="DM67">LOOKUP(2,1/($B$10:$B$14&lt;=DM63)/($C$10:$C$14&gt;=DM63),$D$10:$D$14)</f>
        <v>1.1000000000000001</v>
      </c>
      <c r="DN67" s="114" t="s">
        <v>149</v>
      </c>
      <c r="DO67" s="152" cm="1">
        <f t="array" ref="DO67">LOOKUP(2,1/($B$6:$B$7&lt;=DM63)/($C$6:$C$7&gt;=DM63),$D$6:$D$7)</f>
        <v>9.2999999999999999E-2</v>
      </c>
      <c r="DP67" s="152" t="s">
        <v>170</v>
      </c>
      <c r="DQ67" s="152" t="s">
        <v>171</v>
      </c>
      <c r="DR67" s="152"/>
      <c r="DT67" s="153" t="s">
        <v>166</v>
      </c>
      <c r="DU67" s="158">
        <f>DO65</f>
        <v>43465</v>
      </c>
      <c r="DV67" s="154"/>
      <c r="DW67" s="154"/>
      <c r="DX67" s="155">
        <f>DM70/1000000</f>
        <v>3</v>
      </c>
      <c r="DY67" s="154"/>
      <c r="DZ67" s="154"/>
      <c r="EA67" s="156">
        <f>MAX(DN70:DO70)/1000000</f>
        <v>13.580182750000001</v>
      </c>
    </row>
    <row r="68" spans="10:131" x14ac:dyDescent="0.25">
      <c r="J68" s="86" t="str" cm="1">
        <f t="array" ref="J68">LOOKUP(2,1/($G$17:$G$33&lt;=$L68)/($H$17:$H$33&gt;=$L68),$F$17:$F$33)</f>
        <v>2H23</v>
      </c>
      <c r="K68" s="86" t="str" cm="1">
        <f t="array" ref="K68">LOOKUP(2,1/($G$6:$G$14&lt;=$L68)/($H$6:$H$14&gt;=$L68),$F$6:$F$14)</f>
        <v>FY23</v>
      </c>
      <c r="L68" s="118">
        <v>45029</v>
      </c>
      <c r="M68" s="49">
        <v>49471698</v>
      </c>
      <c r="N68" s="49">
        <v>60024011</v>
      </c>
      <c r="O68" s="50">
        <v>30000000</v>
      </c>
      <c r="P68" s="119" cm="1">
        <f t="array" ref="P68">LOOKUP(2,1/($B$10:$B$14&lt;=$L68)/($C$10:$C$14&gt;=$L68),$D$10:$D$14)</f>
        <v>1.1000000000000001</v>
      </c>
      <c r="Q68" s="120" cm="1">
        <f t="array" ref="Q68">LOOKUP(2,1/($B$17:$B$21&lt;=$L68)/($C$17:$C$21&gt;=$L68),$D$17:$D$21)</f>
        <v>134.49039999999999</v>
      </c>
      <c r="R68" s="113" t="str">
        <f t="shared" si="35"/>
        <v/>
      </c>
      <c r="S68" s="113" t="str">
        <f t="shared" si="36"/>
        <v>2H23</v>
      </c>
      <c r="T68" s="113" t="str">
        <f t="shared" ca="1" si="37"/>
        <v/>
      </c>
      <c r="U68" s="113" t="str">
        <f t="shared" si="38"/>
        <v/>
      </c>
      <c r="V68" s="113" t="str">
        <f t="shared" si="4"/>
        <v>FY23</v>
      </c>
      <c r="W68" s="113" t="str">
        <f t="shared" ca="1" si="39"/>
        <v/>
      </c>
      <c r="X68" s="50"/>
      <c r="Y68" s="114" t="s">
        <v>172</v>
      </c>
      <c r="Z68" s="119" cm="1">
        <f t="array" ref="Z68">LOOKUP(2,1/($B$17:$B$21&lt;=Z63)/($C$17:$C$21&gt;=Z63),$D$17:$D$21)</f>
        <v>134.49039999999999</v>
      </c>
      <c r="AA68" s="114" t="s">
        <v>0</v>
      </c>
      <c r="AB68" s="161">
        <v>0.97499999999999998</v>
      </c>
      <c r="AC68" s="162">
        <v>1</v>
      </c>
      <c r="AD68" s="162">
        <f>1-AC68</f>
        <v>0</v>
      </c>
      <c r="AJ68" s="153" t="s">
        <v>166</v>
      </c>
      <c r="AK68" s="158">
        <f>AB65</f>
        <v>45291</v>
      </c>
      <c r="AL68" s="154"/>
      <c r="AM68" s="154"/>
      <c r="AN68" s="155">
        <f t="shared" si="88"/>
        <v>8</v>
      </c>
      <c r="AO68" s="154"/>
      <c r="AP68" s="154"/>
      <c r="AQ68" s="156">
        <f t="shared" si="89"/>
        <v>25.305907331250001</v>
      </c>
      <c r="AT68" s="50"/>
      <c r="AU68" s="114" t="s">
        <v>169</v>
      </c>
      <c r="AV68" s="119" cm="1">
        <f t="array" ref="AV68">LOOKUP(2,1/($B$10:$B$14&lt;=AV64)/($C$10:$C$14&gt;=AV64),$D$10:$D$14)</f>
        <v>1.1000000000000001</v>
      </c>
      <c r="AW68" s="114" t="s">
        <v>149</v>
      </c>
      <c r="AX68" s="152" cm="1">
        <f t="array" ref="AX68">LOOKUP(2,1/($B$6:$B$7&lt;=AV64)/($C$6:$C$7&gt;=AV64),$D$6:$D$7)</f>
        <v>0.10299999999999999</v>
      </c>
      <c r="AY68" s="152"/>
      <c r="BA68" s="153" t="s">
        <v>166</v>
      </c>
      <c r="BB68" s="158">
        <f>AX66</f>
        <v>45107</v>
      </c>
      <c r="BC68" s="154"/>
      <c r="BD68" s="155">
        <f>AV71/1000000</f>
        <v>8</v>
      </c>
      <c r="BE68" s="156">
        <f>MAX(AW71:AX71)/1000000</f>
        <v>25.404847749999998</v>
      </c>
      <c r="BH68" s="50"/>
      <c r="BI68" s="114" t="s">
        <v>169</v>
      </c>
      <c r="BJ68" s="119" cm="1">
        <f t="array" ref="BJ68">LOOKUP(2,1/($B$10:$B$14&lt;=BJ64)/($C$10:$C$14&gt;=BJ64),$D$10:$D$14)</f>
        <v>1.1000000000000001</v>
      </c>
      <c r="BK68" s="114" t="s">
        <v>149</v>
      </c>
      <c r="BL68" s="152" cm="1">
        <f t="array" ref="BL68">LOOKUP(2,1/($B$6:$B$7&lt;=BJ64)/($C$6:$C$7&gt;=BJ64),$D$6:$D$7)</f>
        <v>0.10299999999999999</v>
      </c>
      <c r="BM68" s="152"/>
      <c r="BN68" s="152"/>
      <c r="BO68" s="152"/>
      <c r="BQ68" s="153" t="s">
        <v>165</v>
      </c>
      <c r="BR68" s="158">
        <f>BJ66</f>
        <v>44743</v>
      </c>
      <c r="BS68" s="154"/>
      <c r="BT68" s="154"/>
      <c r="BU68" s="155">
        <f t="shared" ref="BU68:BU77" si="92">BJ71/1000000</f>
        <v>8</v>
      </c>
      <c r="BV68" s="154"/>
      <c r="BW68" s="154"/>
      <c r="BX68" s="156">
        <f t="shared" ref="BX68:BX77" si="93">MAX(BK71:BL71)/1000000</f>
        <v>25.176484142857142</v>
      </c>
      <c r="CA68" s="50"/>
      <c r="CQ68" s="50"/>
      <c r="CR68" s="114" t="s">
        <v>172</v>
      </c>
      <c r="CS68" s="119" cm="1">
        <f t="array" ref="CS68">LOOKUP(2,1/($B$17:$B$21&lt;=CS63)/($C$17:$C$21&gt;=CS63),$D$17:$D$21)</f>
        <v>134.49039999999999</v>
      </c>
      <c r="CT68" s="114" t="s">
        <v>173</v>
      </c>
      <c r="CU68" s="163">
        <f>INT((WEEKDAY(CS63-5)-CS63+CU63)/7)/INT((WEEKDAY(CS65-5)-CS65+CU65)/7)</f>
        <v>1</v>
      </c>
      <c r="CV68" s="162">
        <v>1</v>
      </c>
      <c r="CW68" s="162">
        <f>1-CV68</f>
        <v>0</v>
      </c>
      <c r="CX68" s="163"/>
      <c r="DA68" s="153" t="s">
        <v>166</v>
      </c>
      <c r="DB68" s="158">
        <f>CU65</f>
        <v>44012</v>
      </c>
      <c r="DC68" s="154"/>
      <c r="DD68" s="154"/>
      <c r="DE68" s="155">
        <f t="shared" si="90"/>
        <v>8</v>
      </c>
      <c r="DF68" s="154"/>
      <c r="DG68" s="154"/>
      <c r="DH68" s="156">
        <f t="shared" si="91"/>
        <v>21.206804399999999</v>
      </c>
      <c r="DK68" s="50"/>
      <c r="DL68" s="114" t="s">
        <v>172</v>
      </c>
      <c r="DM68" s="119" cm="1">
        <f t="array" ref="DM68">LOOKUP(2,1/($B$17:$B$21&lt;=DM63)/($C$17:$C$21&gt;=DM63),$D$17:$D$21)</f>
        <v>134.49039999999999</v>
      </c>
      <c r="DN68" s="114" t="s">
        <v>173</v>
      </c>
      <c r="DO68" s="163">
        <f>INT((WEEKDAY(DM63-5)-DM63+DO63)/7)/INT((WEEKDAY(DM65-5)-DM65+DO65)/7)</f>
        <v>1</v>
      </c>
      <c r="DP68" s="162">
        <v>1</v>
      </c>
      <c r="DQ68" s="162">
        <f>1-DP68</f>
        <v>0</v>
      </c>
      <c r="DR68" s="163"/>
      <c r="DT68" s="153" t="s">
        <v>91</v>
      </c>
      <c r="DU68" s="155">
        <f>DM66/1000000</f>
        <v>12</v>
      </c>
      <c r="DV68" s="154"/>
      <c r="DW68" s="154"/>
      <c r="DX68" s="155">
        <f t="shared" ref="DX68:DX76" si="94">DM71/1000000</f>
        <v>8</v>
      </c>
      <c r="DY68" s="154"/>
      <c r="DZ68" s="154"/>
      <c r="EA68" s="156">
        <f t="shared" ref="EA68:EA76" si="95">MAX(DN71:DO71)/1000000</f>
        <v>17.850580000000001</v>
      </c>
    </row>
    <row r="69" spans="10:131" x14ac:dyDescent="0.25">
      <c r="J69" s="86" t="str" cm="1">
        <f t="array" ref="J69">LOOKUP(2,1/($G$17:$G$33&lt;=$L69)/($H$17:$H$33&gt;=$L69),$F$17:$F$33)</f>
        <v>2H23</v>
      </c>
      <c r="K69" s="86" t="str" cm="1">
        <f t="array" ref="K69">LOOKUP(2,1/($G$6:$G$14&lt;=$L69)/($H$6:$H$14&gt;=$L69),$F$6:$F$14)</f>
        <v>FY23</v>
      </c>
      <c r="L69" s="118">
        <v>45022</v>
      </c>
      <c r="M69" s="49">
        <v>41047026</v>
      </c>
      <c r="N69" s="49">
        <v>49802357</v>
      </c>
      <c r="O69" s="50">
        <v>20000000</v>
      </c>
      <c r="P69" s="119" cm="1">
        <f t="array" ref="P69">LOOKUP(2,1/($B$10:$B$14&lt;=$L69)/($C$10:$C$14&gt;=$L69),$D$10:$D$14)</f>
        <v>1.1000000000000001</v>
      </c>
      <c r="Q69" s="120" cm="1">
        <f t="array" ref="Q69">LOOKUP(2,1/($B$17:$B$21&lt;=$L69)/($C$17:$C$21&gt;=$L69),$D$17:$D$21)</f>
        <v>134.49039999999999</v>
      </c>
      <c r="R69" s="113" t="str">
        <f t="shared" si="35"/>
        <v/>
      </c>
      <c r="S69" s="113" t="str">
        <f t="shared" si="36"/>
        <v>2H23</v>
      </c>
      <c r="T69" s="113" t="str">
        <f t="shared" ca="1" si="37"/>
        <v/>
      </c>
      <c r="U69" s="113" t="str">
        <f t="shared" si="38"/>
        <v/>
      </c>
      <c r="V69" s="113" t="str">
        <f t="shared" si="4"/>
        <v>FY23</v>
      </c>
      <c r="W69" s="113" t="str">
        <f t="shared" ca="1" si="39"/>
        <v/>
      </c>
      <c r="X69" s="50"/>
      <c r="Y69" s="111" t="s">
        <v>174</v>
      </c>
      <c r="Z69" s="111" t="s">
        <v>175</v>
      </c>
      <c r="AA69" s="111" t="s">
        <v>176</v>
      </c>
      <c r="AB69" s="111" t="s">
        <v>177</v>
      </c>
      <c r="AC69" s="111" t="s">
        <v>178</v>
      </c>
      <c r="AD69" s="111" t="s">
        <v>179</v>
      </c>
      <c r="AE69" s="111" t="s">
        <v>180</v>
      </c>
      <c r="AF69" s="37"/>
      <c r="AG69" s="37"/>
      <c r="AH69" s="37"/>
      <c r="AJ69" s="153" t="s">
        <v>169</v>
      </c>
      <c r="AK69" s="165">
        <f>Z67</f>
        <v>1.2</v>
      </c>
      <c r="AL69" s="154"/>
      <c r="AM69" s="154"/>
      <c r="AN69" s="155">
        <f t="shared" si="88"/>
        <v>12</v>
      </c>
      <c r="AO69" s="154"/>
      <c r="AP69" s="154"/>
      <c r="AQ69" s="156">
        <f t="shared" si="89"/>
        <v>30.245786024999997</v>
      </c>
      <c r="AT69" s="50"/>
      <c r="AU69" s="114" t="s">
        <v>172</v>
      </c>
      <c r="AV69" s="119" cm="1">
        <f t="array" ref="AV69">LOOKUP(2,1/($B$17:$B$21&lt;=AV64)/($C$17:$C$21&gt;=AV64),$D$17:$D$21)</f>
        <v>134.49039999999999</v>
      </c>
      <c r="AW69" s="114" t="s">
        <v>0</v>
      </c>
      <c r="AX69" s="135">
        <v>1</v>
      </c>
      <c r="BA69" s="153" t="s">
        <v>91</v>
      </c>
      <c r="BB69" s="155">
        <f>AV67/1000000</f>
        <v>40</v>
      </c>
      <c r="BC69" s="154"/>
      <c r="BD69" s="155">
        <f t="shared" ref="BD69:BD77" si="96">AV72/1000000</f>
        <v>20</v>
      </c>
      <c r="BE69" s="156">
        <f t="shared" ref="BE69:BE77" si="97">MAX(AW72:AX72)/1000000</f>
        <v>39.899441000000003</v>
      </c>
      <c r="BH69" s="50"/>
      <c r="BI69" s="114" t="s">
        <v>172</v>
      </c>
      <c r="BJ69" s="119" cm="1">
        <f t="array" ref="BJ69">LOOKUP(2,1/($B$17:$B$21&lt;=BJ64)/($C$17:$C$21&gt;=BJ64),$D$17:$D$21)</f>
        <v>134.49039999999999</v>
      </c>
      <c r="BQ69" s="153" t="s">
        <v>166</v>
      </c>
      <c r="BR69" s="158">
        <f>BL66</f>
        <v>45107</v>
      </c>
      <c r="BS69" s="154"/>
      <c r="BT69" s="154"/>
      <c r="BU69" s="155">
        <f t="shared" si="92"/>
        <v>20</v>
      </c>
      <c r="BV69" s="154"/>
      <c r="BW69" s="154"/>
      <c r="BX69" s="156">
        <f t="shared" si="93"/>
        <v>39.899441000000003</v>
      </c>
      <c r="CA69" s="50"/>
      <c r="CQ69" s="50"/>
      <c r="CR69" s="111" t="s">
        <v>174</v>
      </c>
      <c r="CS69" s="111" t="s">
        <v>175</v>
      </c>
      <c r="CT69" s="111" t="s">
        <v>176</v>
      </c>
      <c r="CU69" s="111" t="s">
        <v>177</v>
      </c>
      <c r="CV69" s="111" t="s">
        <v>178</v>
      </c>
      <c r="CW69" s="111" t="s">
        <v>179</v>
      </c>
      <c r="CX69" s="111" t="s">
        <v>180</v>
      </c>
      <c r="DA69" s="153" t="s">
        <v>169</v>
      </c>
      <c r="DB69" s="165">
        <f>CS67</f>
        <v>1.1000000000000001</v>
      </c>
      <c r="DC69" s="154"/>
      <c r="DD69" s="154"/>
      <c r="DE69" s="155">
        <f t="shared" si="90"/>
        <v>12</v>
      </c>
      <c r="DF69" s="154"/>
      <c r="DG69" s="154"/>
      <c r="DH69" s="156">
        <f t="shared" si="91"/>
        <v>25.046573571428571</v>
      </c>
      <c r="DK69" s="50"/>
      <c r="DL69" s="111" t="s">
        <v>174</v>
      </c>
      <c r="DM69" s="111" t="s">
        <v>175</v>
      </c>
      <c r="DN69" s="111" t="s">
        <v>176</v>
      </c>
      <c r="DO69" s="111" t="s">
        <v>177</v>
      </c>
      <c r="DP69" s="111" t="s">
        <v>178</v>
      </c>
      <c r="DQ69" s="111" t="s">
        <v>179</v>
      </c>
      <c r="DR69" s="111" t="s">
        <v>180</v>
      </c>
      <c r="DT69" s="153" t="s">
        <v>76</v>
      </c>
      <c r="DU69" s="155">
        <f ca="1">DO66/1000000</f>
        <v>50</v>
      </c>
      <c r="DV69" s="154"/>
      <c r="DW69" s="154"/>
      <c r="DX69" s="155">
        <f t="shared" si="94"/>
        <v>12</v>
      </c>
      <c r="DY69" s="154"/>
      <c r="DZ69" s="154"/>
      <c r="EA69" s="156">
        <f t="shared" si="95"/>
        <v>22.48637875</v>
      </c>
    </row>
    <row r="70" spans="10:131" x14ac:dyDescent="0.25">
      <c r="J70" s="86" t="str" cm="1">
        <f t="array" ref="J70">LOOKUP(2,1/($G$17:$G$33&lt;=$L70)/($H$17:$H$33&gt;=$L70),$F$17:$F$33)</f>
        <v>2H23</v>
      </c>
      <c r="K70" s="86" t="str" cm="1">
        <f t="array" ref="K70">LOOKUP(2,1/($G$6:$G$14&lt;=$L70)/($H$6:$H$14&gt;=$L70),$F$6:$F$14)</f>
        <v>FY23</v>
      </c>
      <c r="L70" s="118">
        <v>45015</v>
      </c>
      <c r="M70" s="49">
        <v>25590153</v>
      </c>
      <c r="N70" s="49">
        <v>31048533</v>
      </c>
      <c r="O70" s="50">
        <v>8000000</v>
      </c>
      <c r="P70" s="119" cm="1">
        <f t="array" ref="P70">LOOKUP(2,1/($B$10:$B$14&lt;=$L70)/($C$10:$C$14&gt;=$L70),$D$10:$D$14)</f>
        <v>1.1000000000000001</v>
      </c>
      <c r="Q70" s="120" cm="1">
        <f t="array" ref="Q70">LOOKUP(2,1/($B$17:$B$21&lt;=$L70)/($C$17:$C$21&gt;=$L70),$D$17:$D$21)</f>
        <v>134.49039999999999</v>
      </c>
      <c r="R70" s="113" t="str">
        <f t="shared" si="35"/>
        <v/>
      </c>
      <c r="S70" s="113" t="str">
        <f t="shared" si="36"/>
        <v>2H23</v>
      </c>
      <c r="T70" s="113" t="str">
        <f t="shared" ca="1" si="37"/>
        <v/>
      </c>
      <c r="U70" s="113" t="str">
        <f t="shared" si="38"/>
        <v/>
      </c>
      <c r="V70" s="113" t="str">
        <f t="shared" si="4"/>
        <v>FY23</v>
      </c>
      <c r="W70" s="113" t="str">
        <f t="shared" ref="W70:W133" ca="1" si="98">IF(AND(V70&lt;&gt;V69,ISNUMBER(MATCH($V69,$F$6:$F$14,0))),OFFSET($F$5,MATCH($K70,$F$6:$F$14,0)+1,0),"")</f>
        <v/>
      </c>
      <c r="X70" s="50"/>
      <c r="Y70" s="146">
        <v>1</v>
      </c>
      <c r="Z70" s="166">
        <v>4000000</v>
      </c>
      <c r="AA70" s="167">
        <f t="shared" ref="AA70:AA79" si="99">AVERAGEIFS($M:$M,$L:$L,"&gt;="&amp;Z$63,$L:$L,"&lt;="&amp;AB$63,$O:$O,"="&amp;Z70)*AB$68</f>
        <v>19974092.399999999</v>
      </c>
      <c r="AB70" s="168"/>
      <c r="AC70" s="168"/>
      <c r="AD70" s="168"/>
      <c r="AE70" s="167">
        <f>COUNTIFS($L:$L,"&gt;="&amp;Z$63,$L:$L,"&lt;="&amp;AB$63,$O:$O,"="&amp;Z70)</f>
        <v>13</v>
      </c>
      <c r="AF70" s="167"/>
      <c r="AG70" s="167"/>
      <c r="AH70" s="167"/>
      <c r="AJ70" s="153" t="s">
        <v>149</v>
      </c>
      <c r="AK70" s="169">
        <f>AB67</f>
        <v>0.123</v>
      </c>
      <c r="AL70" s="154"/>
      <c r="AM70" s="154"/>
      <c r="AN70" s="155">
        <f t="shared" si="88"/>
        <v>20</v>
      </c>
      <c r="AO70" s="154"/>
      <c r="AP70" s="154"/>
      <c r="AQ70" s="156">
        <f t="shared" si="89"/>
        <v>39.681094404545455</v>
      </c>
      <c r="AT70" s="50"/>
      <c r="AU70" s="111" t="s">
        <v>174</v>
      </c>
      <c r="AV70" s="111" t="s">
        <v>175</v>
      </c>
      <c r="AW70" s="111" t="s">
        <v>176</v>
      </c>
      <c r="AX70" s="111" t="s">
        <v>177</v>
      </c>
      <c r="AY70" s="111" t="s">
        <v>180</v>
      </c>
      <c r="BA70" s="153" t="s">
        <v>76</v>
      </c>
      <c r="BB70" s="155">
        <f>AX67/1000000</f>
        <v>40</v>
      </c>
      <c r="BC70" s="154"/>
      <c r="BD70" s="155">
        <f t="shared" si="96"/>
        <v>30</v>
      </c>
      <c r="BE70" s="156">
        <f t="shared" si="97"/>
        <v>47.423181</v>
      </c>
      <c r="BH70" s="50"/>
      <c r="BI70" s="111" t="s">
        <v>174</v>
      </c>
      <c r="BJ70" s="111" t="s">
        <v>175</v>
      </c>
      <c r="BK70" s="111" t="s">
        <v>176</v>
      </c>
      <c r="BL70" s="111" t="s">
        <v>177</v>
      </c>
      <c r="BM70" s="111"/>
      <c r="BN70" s="111"/>
      <c r="BO70" s="111" t="s">
        <v>180</v>
      </c>
      <c r="BQ70" s="153" t="s">
        <v>169</v>
      </c>
      <c r="BR70" s="165">
        <f>BJ68</f>
        <v>1.1000000000000001</v>
      </c>
      <c r="BS70" s="154"/>
      <c r="BT70" s="154"/>
      <c r="BU70" s="155">
        <f t="shared" si="92"/>
        <v>30</v>
      </c>
      <c r="BV70" s="154"/>
      <c r="BW70" s="154"/>
      <c r="BX70" s="156">
        <f t="shared" si="93"/>
        <v>47.423181</v>
      </c>
      <c r="CA70" s="50"/>
      <c r="CQ70" s="50"/>
      <c r="CR70" s="146">
        <v>1</v>
      </c>
      <c r="CS70" s="166">
        <v>3000000</v>
      </c>
      <c r="CT70" s="168">
        <f t="shared" ref="CT70:CT76" si="100">AVERAGEIFS($M:$M,$L:$L,"&gt;="&amp;CS$63,$L:$L,"&lt;="&amp;CU$63,$O:$O,"="&amp;CS70)</f>
        <v>15636908</v>
      </c>
      <c r="CU70" s="168"/>
      <c r="CV70" s="145">
        <v>17585500</v>
      </c>
      <c r="CW70" s="168"/>
      <c r="CX70" s="167">
        <f t="shared" ref="CX70:CX78" si="101">COUNTIFS($L:$L,"&gt;="&amp;CS$63,$L:$L,"&lt;="&amp;CU$63,$O:$O,"="&amp;CS70)</f>
        <v>10</v>
      </c>
      <c r="DA70" s="153" t="s">
        <v>149</v>
      </c>
      <c r="DB70" s="169">
        <f>CU67</f>
        <v>0.10050000000000001</v>
      </c>
      <c r="DC70" s="154"/>
      <c r="DD70" s="154"/>
      <c r="DE70" s="155">
        <f t="shared" si="90"/>
        <v>20</v>
      </c>
      <c r="DF70" s="154"/>
      <c r="DG70" s="154"/>
      <c r="DH70" s="156">
        <f t="shared" si="91"/>
        <v>32.838674166666671</v>
      </c>
      <c r="DK70" s="50"/>
      <c r="DL70" s="146">
        <v>1</v>
      </c>
      <c r="DM70" s="166">
        <v>3000000</v>
      </c>
      <c r="DN70" s="168">
        <f t="shared" ref="DN70:DN78" si="102">AVERAGEIFS($M:$M,$L:$L,"&gt;="&amp;DM$63,$L:$L,"&lt;="&amp;DO$63,$O:$O,"="&amp;DM70)</f>
        <v>13580182.75</v>
      </c>
      <c r="DO70" s="168"/>
      <c r="DP70" s="168"/>
      <c r="DQ70" s="168"/>
      <c r="DR70" s="167">
        <f t="shared" ref="DR70:DR78" si="103">COUNTIFS($L:$L,"&gt;="&amp;DM$63,$L:$L,"&lt;="&amp;DO$63,$O:$O,"="&amp;DM70)</f>
        <v>4</v>
      </c>
      <c r="DT70" s="153" t="s">
        <v>169</v>
      </c>
      <c r="DU70" s="165">
        <f>DM67</f>
        <v>1.1000000000000001</v>
      </c>
      <c r="DV70" s="154"/>
      <c r="DW70" s="154"/>
      <c r="DX70" s="155">
        <f t="shared" si="94"/>
        <v>20</v>
      </c>
      <c r="DY70" s="154"/>
      <c r="DZ70" s="154"/>
      <c r="EA70" s="156">
        <f t="shared" si="95"/>
        <v>28.59690475</v>
      </c>
    </row>
    <row r="71" spans="10:131" x14ac:dyDescent="0.25">
      <c r="J71" s="86" t="str" cm="1">
        <f t="array" ref="J71">LOOKUP(2,1/($G$17:$G$33&lt;=$L71)/($H$17:$H$33&gt;=$L71),$F$17:$F$33)</f>
        <v>2H23</v>
      </c>
      <c r="K71" s="86" t="str" cm="1">
        <f t="array" ref="K71">LOOKUP(2,1/($G$6:$G$14&lt;=$L71)/($H$6:$H$14&gt;=$L71),$F$6:$F$14)</f>
        <v>FY23</v>
      </c>
      <c r="L71" s="118">
        <v>45008</v>
      </c>
      <c r="M71" s="49">
        <v>25902577</v>
      </c>
      <c r="N71" s="49">
        <v>31427596</v>
      </c>
      <c r="O71" s="50">
        <v>8000000</v>
      </c>
      <c r="P71" s="119" cm="1">
        <f t="array" ref="P71">LOOKUP(2,1/($B$10:$B$14&lt;=$L71)/($C$10:$C$14&gt;=$L71),$D$10:$D$14)</f>
        <v>1.1000000000000001</v>
      </c>
      <c r="Q71" s="120" cm="1">
        <f t="array" ref="Q71">LOOKUP(2,1/($B$17:$B$21&lt;=$L71)/($C$17:$C$21&gt;=$L71),$D$17:$D$21)</f>
        <v>134.49039999999999</v>
      </c>
      <c r="R71" s="113" t="str">
        <f t="shared" si="35"/>
        <v/>
      </c>
      <c r="S71" s="113" t="str">
        <f t="shared" si="36"/>
        <v>2H23</v>
      </c>
      <c r="T71" s="113" t="str">
        <f t="shared" ca="1" si="37"/>
        <v/>
      </c>
      <c r="U71" s="113" t="str">
        <f t="shared" si="38"/>
        <v/>
      </c>
      <c r="V71" s="113" t="str">
        <f t="shared" si="4"/>
        <v>FY23</v>
      </c>
      <c r="W71" s="113" t="str">
        <f t="shared" ca="1" si="98"/>
        <v/>
      </c>
      <c r="X71" s="50"/>
      <c r="Y71" s="146">
        <v>2</v>
      </c>
      <c r="Z71" s="166">
        <v>8000000</v>
      </c>
      <c r="AA71" s="167">
        <f t="shared" si="99"/>
        <v>25305907.331250001</v>
      </c>
      <c r="AE71" s="167">
        <f t="shared" ref="AE71:AE76" si="104">COUNTIFS($L:$L,"&gt;="&amp;Z$63,$L:$L,"&lt;="&amp;AB$63,$O:$O,"="&amp;Z71)</f>
        <v>12</v>
      </c>
      <c r="AF71" s="167"/>
      <c r="AG71" s="167"/>
      <c r="AH71" s="167"/>
      <c r="AJ71" s="153" t="s">
        <v>172</v>
      </c>
      <c r="AK71" s="170">
        <f>Z68</f>
        <v>134.49039999999999</v>
      </c>
      <c r="AL71" s="154"/>
      <c r="AM71" s="154"/>
      <c r="AN71" s="155">
        <f t="shared" si="88"/>
        <v>30</v>
      </c>
      <c r="AO71" s="154"/>
      <c r="AP71" s="154"/>
      <c r="AQ71" s="156">
        <f t="shared" si="89"/>
        <v>48.266256674999994</v>
      </c>
      <c r="AT71" s="50"/>
      <c r="AU71" s="146">
        <v>1</v>
      </c>
      <c r="AV71" s="166">
        <v>8000000</v>
      </c>
      <c r="AW71" s="167">
        <f t="shared" ref="AW71:AW76" si="105">AVERAGEIFS($M:$M,$L:$L,"&gt;="&amp;AV$64,$L:$L,"&lt;="&amp;AX$64,$O:$O,"="&amp;AV71)*AX$69</f>
        <v>25404847.75</v>
      </c>
      <c r="AX71" s="168"/>
      <c r="AY71" s="167">
        <f t="shared" ref="AY71:AY76" si="106">COUNTIFS($L:$L,"&gt;="&amp;AV$64,$L:$L,"&lt;="&amp;AX$64,$O:$O,"="&amp;$AV71)</f>
        <v>8</v>
      </c>
      <c r="BA71" s="153" t="s">
        <v>169</v>
      </c>
      <c r="BB71" s="165">
        <f>AV68</f>
        <v>1.1000000000000001</v>
      </c>
      <c r="BC71" s="154"/>
      <c r="BD71" s="155">
        <f t="shared" si="96"/>
        <v>50</v>
      </c>
      <c r="BE71" s="156">
        <f t="shared" si="97"/>
        <v>77.692655999999999</v>
      </c>
      <c r="BH71" s="50"/>
      <c r="BI71" s="146">
        <v>1</v>
      </c>
      <c r="BJ71" s="166">
        <v>8000000</v>
      </c>
      <c r="BK71" s="167">
        <f t="shared" ref="BK71:BK76" si="107">AVERAGEIFS($M:$M,$L:$L,"&gt;="&amp;BJ$64,$L:$L,"&lt;="&amp;BL$64,$O:$O,"="&amp;BJ71)</f>
        <v>25176484.142857142</v>
      </c>
      <c r="BL71" s="168"/>
      <c r="BM71" s="168"/>
      <c r="BN71" s="168"/>
      <c r="BO71" s="167">
        <f t="shared" ref="BO71:BO76" si="108">COUNTIFS($L:$L,"&gt;="&amp;BJ$64,$L:$L,"&lt;="&amp;BL$64,$O:$O,"="&amp;BJ71)</f>
        <v>7</v>
      </c>
      <c r="BQ71" s="153" t="s">
        <v>149</v>
      </c>
      <c r="BR71" s="169">
        <f>BL68</f>
        <v>0.10299999999999999</v>
      </c>
      <c r="BS71" s="154"/>
      <c r="BT71" s="154"/>
      <c r="BU71" s="155">
        <f t="shared" si="92"/>
        <v>50</v>
      </c>
      <c r="BV71" s="154"/>
      <c r="BW71" s="154"/>
      <c r="BX71" s="156">
        <f t="shared" si="93"/>
        <v>77.692655999999999</v>
      </c>
      <c r="CA71" s="50"/>
      <c r="CQ71" s="50"/>
      <c r="CR71" s="146">
        <v>2</v>
      </c>
      <c r="CS71" s="166">
        <v>8000000</v>
      </c>
      <c r="CT71" s="168">
        <f t="shared" si="100"/>
        <v>21206804.399999999</v>
      </c>
      <c r="CV71" s="145">
        <v>21543000</v>
      </c>
      <c r="CX71" s="167">
        <f t="shared" si="101"/>
        <v>10</v>
      </c>
      <c r="DA71" s="153" t="s">
        <v>172</v>
      </c>
      <c r="DB71" s="170">
        <f>CS68</f>
        <v>134.49039999999999</v>
      </c>
      <c r="DC71" s="154"/>
      <c r="DD71" s="154"/>
      <c r="DE71" s="155">
        <f t="shared" si="90"/>
        <v>40</v>
      </c>
      <c r="DF71" s="154"/>
      <c r="DG71" s="154"/>
      <c r="DH71" s="156">
        <f t="shared" si="91"/>
        <v>45.382776749999998</v>
      </c>
      <c r="DK71" s="50"/>
      <c r="DL71" s="146">
        <v>2</v>
      </c>
      <c r="DM71" s="166">
        <v>8000000</v>
      </c>
      <c r="DN71" s="168">
        <f t="shared" si="102"/>
        <v>17850580</v>
      </c>
      <c r="DR71" s="167">
        <f t="shared" si="103"/>
        <v>3</v>
      </c>
      <c r="DT71" s="153" t="s">
        <v>149</v>
      </c>
      <c r="DU71" s="169">
        <f>DO67</f>
        <v>9.2999999999999999E-2</v>
      </c>
      <c r="DV71" s="154"/>
      <c r="DW71" s="154"/>
      <c r="DX71" s="155">
        <f t="shared" si="94"/>
        <v>30</v>
      </c>
      <c r="DY71" s="154"/>
      <c r="DZ71" s="154"/>
      <c r="EA71" s="156">
        <f t="shared" si="95"/>
        <v>34.90822575</v>
      </c>
    </row>
    <row r="72" spans="10:131" x14ac:dyDescent="0.25">
      <c r="J72" s="86" t="str" cm="1">
        <f t="array" ref="J72">LOOKUP(2,1/($G$17:$G$33&lt;=$L72)/($H$17:$H$33&gt;=$L72),$F$17:$F$33)</f>
        <v>2H23</v>
      </c>
      <c r="K72" s="86" t="str" cm="1">
        <f t="array" ref="K72">LOOKUP(2,1/($G$6:$G$14&lt;=$L72)/($H$6:$H$14&gt;=$L72),$F$6:$F$14)</f>
        <v>FY23</v>
      </c>
      <c r="L72" s="118">
        <v>45001</v>
      </c>
      <c r="M72" s="49">
        <v>22050698</v>
      </c>
      <c r="N72" s="49">
        <v>26754111</v>
      </c>
      <c r="O72" s="50">
        <v>4000000</v>
      </c>
      <c r="P72" s="119" cm="1">
        <f t="array" ref="P72">LOOKUP(2,1/($B$10:$B$14&lt;=$L72)/($C$10:$C$14&gt;=$L72),$D$10:$D$14)</f>
        <v>1.1000000000000001</v>
      </c>
      <c r="Q72" s="120" cm="1">
        <f t="array" ref="Q72">LOOKUP(2,1/($B$17:$B$21&lt;=$L72)/($C$17:$C$21&gt;=$L72),$D$17:$D$21)</f>
        <v>134.49039999999999</v>
      </c>
      <c r="R72" s="113" t="str">
        <f t="shared" si="35"/>
        <v/>
      </c>
      <c r="S72" s="113" t="str">
        <f t="shared" si="36"/>
        <v>2H23</v>
      </c>
      <c r="T72" s="113" t="str">
        <f t="shared" ca="1" si="37"/>
        <v/>
      </c>
      <c r="U72" s="113" t="str">
        <f t="shared" si="38"/>
        <v/>
      </c>
      <c r="V72" s="113" t="str">
        <f t="shared" si="4"/>
        <v>FY23</v>
      </c>
      <c r="W72" s="113" t="str">
        <f t="shared" ca="1" si="98"/>
        <v/>
      </c>
      <c r="X72" s="50"/>
      <c r="Y72" s="146">
        <v>3</v>
      </c>
      <c r="Z72" s="166">
        <v>12000000</v>
      </c>
      <c r="AA72" s="167">
        <f t="shared" si="99"/>
        <v>30245786.024999999</v>
      </c>
      <c r="AE72" s="167">
        <f t="shared" si="104"/>
        <v>2</v>
      </c>
      <c r="AF72" s="167"/>
      <c r="AG72" s="167"/>
      <c r="AH72" s="167"/>
      <c r="AJ72" s="171"/>
      <c r="AL72" s="154"/>
      <c r="AM72" s="154"/>
      <c r="AN72" s="155">
        <f t="shared" si="88"/>
        <v>40</v>
      </c>
      <c r="AO72" s="154"/>
      <c r="AP72" s="154"/>
      <c r="AQ72" s="156">
        <f t="shared" si="89"/>
        <v>58.329017174999997</v>
      </c>
      <c r="AT72" s="50"/>
      <c r="AU72" s="146">
        <v>2</v>
      </c>
      <c r="AV72" s="166">
        <v>20000000</v>
      </c>
      <c r="AW72" s="167">
        <f t="shared" si="105"/>
        <v>39899441</v>
      </c>
      <c r="AY72" s="167">
        <f t="shared" si="106"/>
        <v>6</v>
      </c>
      <c r="BA72" s="153" t="s">
        <v>149</v>
      </c>
      <c r="BB72" s="169">
        <f>AX68</f>
        <v>0.10299999999999999</v>
      </c>
      <c r="BC72" s="154"/>
      <c r="BD72" s="155">
        <f t="shared" si="96"/>
        <v>100</v>
      </c>
      <c r="BE72" s="156">
        <f t="shared" si="97"/>
        <v>183.084473</v>
      </c>
      <c r="BH72" s="50"/>
      <c r="BI72" s="146">
        <v>2</v>
      </c>
      <c r="BJ72" s="166">
        <v>20000000</v>
      </c>
      <c r="BK72" s="167">
        <f t="shared" si="107"/>
        <v>39899441</v>
      </c>
      <c r="BO72" s="167">
        <f t="shared" si="108"/>
        <v>6</v>
      </c>
      <c r="BQ72" s="153" t="s">
        <v>172</v>
      </c>
      <c r="BR72" s="170">
        <f>BJ69</f>
        <v>134.49039999999999</v>
      </c>
      <c r="BS72" s="154"/>
      <c r="BT72" s="154"/>
      <c r="BU72" s="155">
        <f t="shared" si="92"/>
        <v>100</v>
      </c>
      <c r="BV72" s="154"/>
      <c r="BW72" s="154"/>
      <c r="BX72" s="156">
        <f t="shared" si="93"/>
        <v>183.084473</v>
      </c>
      <c r="CA72" s="50"/>
      <c r="CQ72" s="50"/>
      <c r="CR72" s="146">
        <v>3</v>
      </c>
      <c r="CS72" s="166">
        <v>12000000</v>
      </c>
      <c r="CT72" s="168">
        <f t="shared" si="100"/>
        <v>25046573.571428571</v>
      </c>
      <c r="CV72" s="145">
        <v>24709000</v>
      </c>
      <c r="CX72" s="167">
        <f t="shared" si="101"/>
        <v>7</v>
      </c>
      <c r="DA72" s="171"/>
      <c r="DC72" s="154"/>
      <c r="DD72" s="154"/>
      <c r="DE72" s="155">
        <f t="shared" si="90"/>
        <v>60</v>
      </c>
      <c r="DF72" s="154"/>
      <c r="DG72" s="154"/>
      <c r="DH72" s="156">
        <f t="shared" si="91"/>
        <v>59.722622999999999</v>
      </c>
      <c r="DK72" s="50"/>
      <c r="DL72" s="146">
        <v>3</v>
      </c>
      <c r="DM72" s="166">
        <v>12000000</v>
      </c>
      <c r="DN72" s="168">
        <f t="shared" si="102"/>
        <v>22486378.75</v>
      </c>
      <c r="DR72" s="167">
        <f t="shared" si="103"/>
        <v>4</v>
      </c>
      <c r="DT72" s="153" t="s">
        <v>172</v>
      </c>
      <c r="DU72" s="170">
        <f>DM68</f>
        <v>134.49039999999999</v>
      </c>
      <c r="DV72" s="154"/>
      <c r="DW72" s="154"/>
      <c r="DX72" s="155">
        <f t="shared" si="94"/>
        <v>40</v>
      </c>
      <c r="DY72" s="154"/>
      <c r="DZ72" s="154"/>
      <c r="EA72" s="156">
        <f t="shared" si="95"/>
        <v>40.708264499999999</v>
      </c>
    </row>
    <row r="73" spans="10:131" x14ac:dyDescent="0.25">
      <c r="J73" s="86" t="str" cm="1">
        <f t="array" ref="J73">LOOKUP(2,1/($G$17:$G$33&lt;=$L73)/($H$17:$H$33&gt;=$L73),$F$17:$F$33)</f>
        <v>2H23</v>
      </c>
      <c r="K73" s="86" t="str" cm="1">
        <f t="array" ref="K73">LOOKUP(2,1/($G$6:$G$14&lt;=$L73)/($H$6:$H$14&gt;=$L73),$F$6:$F$14)</f>
        <v>FY23</v>
      </c>
      <c r="L73" s="118">
        <v>44994</v>
      </c>
      <c r="M73" s="49">
        <v>20922155</v>
      </c>
      <c r="N73" s="49">
        <v>25384851</v>
      </c>
      <c r="O73" s="50">
        <v>4000000</v>
      </c>
      <c r="P73" s="119" cm="1">
        <f t="array" ref="P73">LOOKUP(2,1/($B$10:$B$14&lt;=$L73)/($C$10:$C$14&gt;=$L73),$D$10:$D$14)</f>
        <v>1.1000000000000001</v>
      </c>
      <c r="Q73" s="120" cm="1">
        <f t="array" ref="Q73">LOOKUP(2,1/($B$17:$B$21&lt;=$L73)/($C$17:$C$21&gt;=$L73),$D$17:$D$21)</f>
        <v>134.49039999999999</v>
      </c>
      <c r="R73" s="113" t="str">
        <f t="shared" si="35"/>
        <v/>
      </c>
      <c r="S73" s="113" t="str">
        <f t="shared" si="36"/>
        <v>2H23</v>
      </c>
      <c r="T73" s="113" t="str">
        <f t="shared" ca="1" si="37"/>
        <v/>
      </c>
      <c r="U73" s="113" t="str">
        <f t="shared" si="38"/>
        <v/>
      </c>
      <c r="V73" s="113" t="str">
        <f t="shared" si="4"/>
        <v>FY23</v>
      </c>
      <c r="W73" s="113" t="str">
        <f t="shared" ca="1" si="98"/>
        <v/>
      </c>
      <c r="X73" s="50"/>
      <c r="Y73" s="146">
        <v>4</v>
      </c>
      <c r="Z73" s="166">
        <v>20000000</v>
      </c>
      <c r="AA73" s="167">
        <f t="shared" si="99"/>
        <v>39681094.404545456</v>
      </c>
      <c r="AE73" s="167">
        <f t="shared" si="104"/>
        <v>11</v>
      </c>
      <c r="AF73" s="167"/>
      <c r="AG73" s="167"/>
      <c r="AH73" s="167"/>
      <c r="AJ73" s="153" t="s">
        <v>91</v>
      </c>
      <c r="AK73" s="155" t="e">
        <f>Z66/1000000</f>
        <v>#N/A</v>
      </c>
      <c r="AL73" s="154"/>
      <c r="AM73" s="154"/>
      <c r="AN73" s="155">
        <f t="shared" si="88"/>
        <v>50</v>
      </c>
      <c r="AO73" s="154"/>
      <c r="AP73" s="154"/>
      <c r="AQ73" s="156">
        <f t="shared" si="89"/>
        <v>73.0252926</v>
      </c>
      <c r="AT73" s="50"/>
      <c r="AU73" s="146">
        <v>3</v>
      </c>
      <c r="AV73" s="166">
        <v>30000000</v>
      </c>
      <c r="AW73" s="167">
        <f t="shared" si="105"/>
        <v>47423181</v>
      </c>
      <c r="AY73" s="167">
        <f t="shared" si="106"/>
        <v>1</v>
      </c>
      <c r="BA73" s="153" t="s">
        <v>172</v>
      </c>
      <c r="BB73" s="170">
        <f>AV69</f>
        <v>134.49039999999999</v>
      </c>
      <c r="BC73" s="154"/>
      <c r="BD73" s="155">
        <f t="shared" si="96"/>
        <v>160</v>
      </c>
      <c r="BE73" s="156">
        <f t="shared" si="97"/>
        <v>284.83741400000002</v>
      </c>
      <c r="BH73" s="50"/>
      <c r="BI73" s="146">
        <v>3</v>
      </c>
      <c r="BJ73" s="166">
        <v>30000000</v>
      </c>
      <c r="BK73" s="167">
        <f t="shared" si="107"/>
        <v>47423181</v>
      </c>
      <c r="BO73" s="167">
        <f t="shared" si="108"/>
        <v>1</v>
      </c>
      <c r="BQ73" s="171"/>
      <c r="BS73" s="154"/>
      <c r="BT73" s="154"/>
      <c r="BU73" s="155">
        <f t="shared" si="92"/>
        <v>160</v>
      </c>
      <c r="BV73" s="154"/>
      <c r="BW73" s="154"/>
      <c r="BX73" s="156">
        <f t="shared" si="93"/>
        <v>284.83741400000002</v>
      </c>
      <c r="CA73" s="50"/>
      <c r="CQ73" s="50"/>
      <c r="CR73" s="146">
        <v>4</v>
      </c>
      <c r="CS73" s="166">
        <v>20000000</v>
      </c>
      <c r="CT73" s="168">
        <f t="shared" si="100"/>
        <v>32838674.166666668</v>
      </c>
      <c r="CV73" s="145">
        <v>31041000</v>
      </c>
      <c r="CX73" s="167">
        <f t="shared" si="101"/>
        <v>6</v>
      </c>
      <c r="DA73" s="153" t="s">
        <v>91</v>
      </c>
      <c r="DB73" s="155">
        <f>CS66/1000000</f>
        <v>60</v>
      </c>
      <c r="DC73" s="154"/>
      <c r="DD73" s="154"/>
      <c r="DE73" s="155">
        <f t="shared" si="90"/>
        <v>80</v>
      </c>
      <c r="DF73" s="154"/>
      <c r="DG73" s="154"/>
      <c r="DH73" s="156">
        <f t="shared" si="91"/>
        <v>79.647915666666677</v>
      </c>
      <c r="DK73" s="50"/>
      <c r="DL73" s="146">
        <v>4</v>
      </c>
      <c r="DM73" s="166">
        <v>20000000</v>
      </c>
      <c r="DN73" s="168">
        <f t="shared" si="102"/>
        <v>28596904.75</v>
      </c>
      <c r="DR73" s="167">
        <f t="shared" si="103"/>
        <v>4</v>
      </c>
      <c r="DT73" s="172"/>
      <c r="DU73" s="2"/>
      <c r="DV73" s="154"/>
      <c r="DW73" s="154"/>
      <c r="DX73" s="155">
        <f t="shared" si="94"/>
        <v>50</v>
      </c>
      <c r="DY73" s="154"/>
      <c r="DZ73" s="154"/>
      <c r="EA73" s="156">
        <f t="shared" si="95"/>
        <v>47.637120000000003</v>
      </c>
    </row>
    <row r="74" spans="10:131" x14ac:dyDescent="0.25">
      <c r="J74" s="86" t="str" cm="1">
        <f t="array" ref="J74">LOOKUP(2,1/($G$17:$G$33&lt;=$L74)/($H$17:$H$33&gt;=$L74),$F$17:$F$33)</f>
        <v>2H23</v>
      </c>
      <c r="K74" s="86" t="str" cm="1">
        <f t="array" ref="K74">LOOKUP(2,1/($G$6:$G$14&lt;=$L74)/($H$6:$H$14&gt;=$L74),$F$6:$F$14)</f>
        <v>FY23</v>
      </c>
      <c r="L74" s="118">
        <v>44987</v>
      </c>
      <c r="M74" s="49">
        <v>60656023</v>
      </c>
      <c r="N74" s="49">
        <v>73593953</v>
      </c>
      <c r="O74" s="50">
        <v>40000000</v>
      </c>
      <c r="P74" s="119" cm="1">
        <f t="array" ref="P74">LOOKUP(2,1/($B$10:$B$14&lt;=$L74)/($C$10:$C$14&gt;=$L74),$D$10:$D$14)</f>
        <v>1.1000000000000001</v>
      </c>
      <c r="Q74" s="120" cm="1">
        <f t="array" ref="Q74">LOOKUP(2,1/($B$17:$B$21&lt;=$L74)/($C$17:$C$21&gt;=$L74),$D$17:$D$21)</f>
        <v>134.49039999999999</v>
      </c>
      <c r="R74" s="113" t="str">
        <f t="shared" si="35"/>
        <v/>
      </c>
      <c r="S74" s="113" t="str">
        <f t="shared" si="36"/>
        <v>2H23</v>
      </c>
      <c r="T74" s="113" t="str">
        <f t="shared" ca="1" si="37"/>
        <v/>
      </c>
      <c r="U74" s="113" t="str">
        <f t="shared" si="38"/>
        <v/>
      </c>
      <c r="V74" s="113" t="str">
        <f t="shared" si="4"/>
        <v>FY23</v>
      </c>
      <c r="W74" s="113" t="str">
        <f t="shared" ca="1" si="98"/>
        <v/>
      </c>
      <c r="X74" s="50"/>
      <c r="Y74" s="146">
        <v>5</v>
      </c>
      <c r="Z74" s="166">
        <v>30000000</v>
      </c>
      <c r="AA74" s="167">
        <f t="shared" si="99"/>
        <v>48266256.674999997</v>
      </c>
      <c r="AB74" s="173"/>
      <c r="AC74" s="145">
        <v>84815999.999999985</v>
      </c>
      <c r="AD74" s="145">
        <v>85142000</v>
      </c>
      <c r="AE74" s="167">
        <f t="shared" si="104"/>
        <v>4</v>
      </c>
      <c r="AF74" s="167"/>
      <c r="AG74" s="167"/>
      <c r="AH74" s="167"/>
      <c r="AJ74" s="172" t="s">
        <v>147</v>
      </c>
      <c r="AK74" s="174">
        <f>Z63</f>
        <v>44743</v>
      </c>
      <c r="AL74" s="154"/>
      <c r="AM74" s="154"/>
      <c r="AN74" s="155">
        <f t="shared" si="88"/>
        <v>60</v>
      </c>
      <c r="AO74" s="154"/>
      <c r="AP74" s="154"/>
      <c r="AQ74" s="156">
        <f t="shared" si="89"/>
        <v>85.538143274999996</v>
      </c>
      <c r="AT74" s="50"/>
      <c r="AU74" s="146">
        <v>4</v>
      </c>
      <c r="AV74" s="166">
        <v>50000000</v>
      </c>
      <c r="AW74" s="167">
        <f t="shared" si="105"/>
        <v>77692656</v>
      </c>
      <c r="AY74" s="167">
        <f t="shared" si="106"/>
        <v>1</v>
      </c>
      <c r="BA74" s="172"/>
      <c r="BB74" s="2"/>
      <c r="BC74" s="154"/>
      <c r="BD74" s="155">
        <f t="shared" si="96"/>
        <v>200</v>
      </c>
      <c r="BE74" s="156">
        <f t="shared" si="97"/>
        <v>400</v>
      </c>
      <c r="BH74" s="50"/>
      <c r="BI74" s="146">
        <v>4</v>
      </c>
      <c r="BJ74" s="166">
        <v>50000000</v>
      </c>
      <c r="BK74" s="167">
        <f t="shared" si="107"/>
        <v>77692656</v>
      </c>
      <c r="BO74" s="167">
        <f t="shared" si="108"/>
        <v>1</v>
      </c>
      <c r="BQ74" s="153" t="s">
        <v>91</v>
      </c>
      <c r="BR74" s="155">
        <f>BJ67/1000000</f>
        <v>4</v>
      </c>
      <c r="BS74" s="154"/>
      <c r="BT74" s="154"/>
      <c r="BU74" s="155">
        <f t="shared" si="92"/>
        <v>200</v>
      </c>
      <c r="BV74" s="154"/>
      <c r="BW74" s="154"/>
      <c r="BX74" s="156">
        <f t="shared" si="93"/>
        <v>400</v>
      </c>
      <c r="CA74" s="50"/>
      <c r="CQ74" s="50"/>
      <c r="CR74" s="146">
        <v>5</v>
      </c>
      <c r="CS74" s="166">
        <v>40000000</v>
      </c>
      <c r="CT74" s="168">
        <f t="shared" si="100"/>
        <v>45382776.75</v>
      </c>
      <c r="CV74" s="145">
        <v>46871000</v>
      </c>
      <c r="CX74" s="167">
        <f t="shared" si="101"/>
        <v>4</v>
      </c>
      <c r="DA74" s="172" t="s">
        <v>147</v>
      </c>
      <c r="DB74" s="174">
        <f>CS63</f>
        <v>43647</v>
      </c>
      <c r="DC74" s="154"/>
      <c r="DD74" s="154"/>
      <c r="DE74" s="155">
        <f t="shared" si="90"/>
        <v>100</v>
      </c>
      <c r="DF74" s="154"/>
      <c r="DG74" s="154"/>
      <c r="DH74" s="156">
        <f t="shared" si="91"/>
        <v>122.66929999999998</v>
      </c>
      <c r="DK74" s="50"/>
      <c r="DL74" s="146">
        <v>5</v>
      </c>
      <c r="DM74" s="166">
        <v>30000000</v>
      </c>
      <c r="DN74" s="168">
        <f t="shared" si="102"/>
        <v>34908225.75</v>
      </c>
      <c r="DR74" s="167">
        <f t="shared" si="103"/>
        <v>4</v>
      </c>
      <c r="DT74" s="172" t="s">
        <v>147</v>
      </c>
      <c r="DU74" s="174">
        <f>DM63</f>
        <v>43282</v>
      </c>
      <c r="DV74" s="154"/>
      <c r="DW74" s="154"/>
      <c r="DX74" s="155">
        <f t="shared" si="94"/>
        <v>80</v>
      </c>
      <c r="DY74" s="154"/>
      <c r="DZ74" s="154"/>
      <c r="EA74" s="156">
        <f t="shared" si="95"/>
        <v>89.658851999999996</v>
      </c>
    </row>
    <row r="75" spans="10:131" x14ac:dyDescent="0.25">
      <c r="J75" s="86" t="str" cm="1">
        <f t="array" ref="J75">LOOKUP(2,1/($G$17:$G$33&lt;=$L75)/($H$17:$H$33&gt;=$L75),$F$17:$F$33)</f>
        <v>2H23</v>
      </c>
      <c r="K75" s="86" t="str" cm="1">
        <f t="array" ref="K75">LOOKUP(2,1/($G$6:$G$14&lt;=$L75)/($H$6:$H$14&gt;=$L75),$F$6:$F$14)</f>
        <v>FY23</v>
      </c>
      <c r="L75" s="118">
        <v>44980</v>
      </c>
      <c r="M75" s="49">
        <v>43788940</v>
      </c>
      <c r="N75" s="49">
        <v>53129121</v>
      </c>
      <c r="O75" s="50">
        <v>20000000</v>
      </c>
      <c r="P75" s="119" cm="1">
        <f t="array" ref="P75">LOOKUP(2,1/($B$10:$B$14&lt;=$L75)/($C$10:$C$14&gt;=$L75),$D$10:$D$14)</f>
        <v>1.1000000000000001</v>
      </c>
      <c r="Q75" s="120" cm="1">
        <f t="array" ref="Q75">LOOKUP(2,1/($B$17:$B$21&lt;=$L75)/($C$17:$C$21&gt;=$L75),$D$17:$D$21)</f>
        <v>134.49039999999999</v>
      </c>
      <c r="R75" s="113" t="str">
        <f t="shared" si="35"/>
        <v/>
      </c>
      <c r="S75" s="113" t="str">
        <f t="shared" si="36"/>
        <v>2H23</v>
      </c>
      <c r="T75" s="113" t="str">
        <f t="shared" ca="1" si="37"/>
        <v/>
      </c>
      <c r="U75" s="113" t="str">
        <f t="shared" si="38"/>
        <v/>
      </c>
      <c r="V75" s="113" t="str">
        <f t="shared" si="4"/>
        <v>FY23</v>
      </c>
      <c r="W75" s="113" t="str">
        <f t="shared" ca="1" si="98"/>
        <v/>
      </c>
      <c r="X75" s="50"/>
      <c r="Y75" s="146">
        <v>6</v>
      </c>
      <c r="Z75" s="166">
        <v>40000000</v>
      </c>
      <c r="AA75" s="167">
        <f t="shared" si="99"/>
        <v>58329017.174999997</v>
      </c>
      <c r="AB75" s="173"/>
      <c r="AC75" s="145">
        <v>107454000</v>
      </c>
      <c r="AD75" s="145">
        <v>112416000.00000001</v>
      </c>
      <c r="AE75" s="167">
        <f t="shared" si="104"/>
        <v>5</v>
      </c>
      <c r="AF75" s="167"/>
      <c r="AG75" s="167"/>
      <c r="AH75" s="167"/>
      <c r="AJ75" s="172" t="s">
        <v>148</v>
      </c>
      <c r="AK75" s="174">
        <f>AB63</f>
        <v>45129</v>
      </c>
      <c r="AL75" s="154"/>
      <c r="AM75" s="154"/>
      <c r="AN75" s="155">
        <f t="shared" si="88"/>
        <v>80</v>
      </c>
      <c r="AO75" s="154"/>
      <c r="AP75" s="154"/>
      <c r="AQ75" s="156" t="e">
        <f t="shared" si="89"/>
        <v>#DIV/0!</v>
      </c>
      <c r="AT75" s="50"/>
      <c r="AU75" s="146">
        <v>5</v>
      </c>
      <c r="AV75" s="166">
        <v>100000000</v>
      </c>
      <c r="AW75" s="167">
        <f t="shared" si="105"/>
        <v>183084473</v>
      </c>
      <c r="AY75" s="167">
        <f t="shared" si="106"/>
        <v>1</v>
      </c>
      <c r="BA75" s="172" t="s">
        <v>147</v>
      </c>
      <c r="BB75" s="174">
        <f>AV64</f>
        <v>44652</v>
      </c>
      <c r="BC75" s="154"/>
      <c r="BD75" s="155">
        <f t="shared" si="96"/>
        <v>250</v>
      </c>
      <c r="BE75" s="156">
        <f t="shared" si="97"/>
        <v>520</v>
      </c>
      <c r="BH75" s="50"/>
      <c r="BI75" s="146">
        <v>5</v>
      </c>
      <c r="BJ75" s="166">
        <v>100000000</v>
      </c>
      <c r="BK75" s="167">
        <f t="shared" si="107"/>
        <v>183084473</v>
      </c>
      <c r="BO75" s="167">
        <f t="shared" si="108"/>
        <v>1</v>
      </c>
      <c r="BQ75" s="171"/>
      <c r="BS75" s="154"/>
      <c r="BT75" s="154"/>
      <c r="BU75" s="155">
        <f t="shared" si="92"/>
        <v>250</v>
      </c>
      <c r="BV75" s="154"/>
      <c r="BW75" s="154"/>
      <c r="BX75" s="156">
        <f t="shared" si="93"/>
        <v>510</v>
      </c>
      <c r="CA75" s="50"/>
      <c r="CQ75" s="50"/>
      <c r="CR75" s="146">
        <v>6</v>
      </c>
      <c r="CS75" s="166">
        <v>60000000</v>
      </c>
      <c r="CT75" s="168">
        <f t="shared" si="100"/>
        <v>59722623</v>
      </c>
      <c r="CV75" s="145">
        <v>62701000</v>
      </c>
      <c r="CW75" s="145"/>
      <c r="CX75" s="167">
        <f t="shared" si="101"/>
        <v>4</v>
      </c>
      <c r="DA75" s="172" t="s">
        <v>148</v>
      </c>
      <c r="DB75" s="174">
        <f>CU63</f>
        <v>44012</v>
      </c>
      <c r="DC75" s="154"/>
      <c r="DD75" s="154"/>
      <c r="DE75" s="155">
        <f t="shared" si="90"/>
        <v>150</v>
      </c>
      <c r="DF75" s="154"/>
      <c r="DG75" s="154"/>
      <c r="DH75" s="156">
        <f t="shared" si="91"/>
        <v>174.11680000000001</v>
      </c>
      <c r="DK75" s="50"/>
      <c r="DL75" s="146">
        <v>6</v>
      </c>
      <c r="DM75" s="166">
        <v>40000000</v>
      </c>
      <c r="DN75" s="168">
        <f t="shared" si="102"/>
        <v>40708264.5</v>
      </c>
      <c r="DR75" s="167">
        <f t="shared" si="103"/>
        <v>2</v>
      </c>
      <c r="DT75" s="172" t="s">
        <v>148</v>
      </c>
      <c r="DU75" s="174">
        <f>DO63</f>
        <v>43465</v>
      </c>
      <c r="DV75" s="154"/>
      <c r="DW75" s="154"/>
      <c r="DX75" s="155">
        <f t="shared" si="94"/>
        <v>100</v>
      </c>
      <c r="DY75" s="154"/>
      <c r="DZ75" s="154"/>
      <c r="EA75" s="156">
        <f t="shared" si="95"/>
        <v>169.38423599999999</v>
      </c>
    </row>
    <row r="76" spans="10:131" x14ac:dyDescent="0.25">
      <c r="J76" s="86" t="str" cm="1">
        <f t="array" ref="J76">LOOKUP(2,1/($G$17:$G$33&lt;=$L76)/($H$17:$H$33&gt;=$L76),$F$17:$F$33)</f>
        <v>2H23</v>
      </c>
      <c r="K76" s="86" t="str" cm="1">
        <f t="array" ref="K76">LOOKUP(2,1/($G$6:$G$14&lt;=$L76)/($H$6:$H$14&gt;=$L76),$F$6:$F$14)</f>
        <v>FY23</v>
      </c>
      <c r="L76" s="118">
        <v>44973</v>
      </c>
      <c r="M76" s="49">
        <v>27295177</v>
      </c>
      <c r="N76" s="49">
        <v>33117238</v>
      </c>
      <c r="O76" s="50">
        <v>8000000</v>
      </c>
      <c r="P76" s="119" cm="1">
        <f t="array" ref="P76">LOOKUP(2,1/($B$10:$B$14&lt;=$L76)/($C$10:$C$14&gt;=$L76),$D$10:$D$14)</f>
        <v>1.1000000000000001</v>
      </c>
      <c r="Q76" s="120" cm="1">
        <f t="array" ref="Q76">LOOKUP(2,1/($B$17:$B$21&lt;=$L76)/($C$17:$C$21&gt;=$L76),$D$17:$D$21)</f>
        <v>134.49039999999999</v>
      </c>
      <c r="R76" s="113" t="str">
        <f t="shared" si="35"/>
        <v/>
      </c>
      <c r="S76" s="113" t="str">
        <f t="shared" si="36"/>
        <v>2H23</v>
      </c>
      <c r="T76" s="113" t="str">
        <f t="shared" ca="1" si="37"/>
        <v/>
      </c>
      <c r="U76" s="113" t="str">
        <f t="shared" si="38"/>
        <v/>
      </c>
      <c r="V76" s="113" t="str">
        <f t="shared" si="4"/>
        <v>FY23</v>
      </c>
      <c r="W76" s="113" t="str">
        <f t="shared" ca="1" si="98"/>
        <v/>
      </c>
      <c r="X76" s="50"/>
      <c r="Y76" s="146">
        <v>7</v>
      </c>
      <c r="Z76" s="166">
        <v>50000000</v>
      </c>
      <c r="AA76" s="167">
        <f t="shared" si="99"/>
        <v>73025292.599999994</v>
      </c>
      <c r="AB76" s="173"/>
      <c r="AC76" s="145">
        <v>152729999.99999997</v>
      </c>
      <c r="AD76" s="145">
        <v>174404000</v>
      </c>
      <c r="AE76" s="167">
        <f t="shared" si="104"/>
        <v>3</v>
      </c>
      <c r="AF76" s="167"/>
      <c r="AG76" s="167"/>
      <c r="AH76" s="167"/>
      <c r="AJ76" s="172" t="s">
        <v>0</v>
      </c>
      <c r="AK76" s="175">
        <f>AB68</f>
        <v>0.97499999999999998</v>
      </c>
      <c r="AL76" s="154"/>
      <c r="AM76" s="154"/>
      <c r="AN76" s="155">
        <f t="shared" si="88"/>
        <v>100</v>
      </c>
      <c r="AO76" s="154"/>
      <c r="AP76" s="154"/>
      <c r="AQ76" s="156">
        <f t="shared" si="89"/>
        <v>380.09409749999992</v>
      </c>
      <c r="AT76" s="50"/>
      <c r="AU76" s="146">
        <v>6</v>
      </c>
      <c r="AV76" s="166">
        <v>160000000</v>
      </c>
      <c r="AW76" s="167">
        <f t="shared" si="105"/>
        <v>284837414</v>
      </c>
      <c r="AY76" s="167">
        <f t="shared" si="106"/>
        <v>1</v>
      </c>
      <c r="BA76" s="172" t="s">
        <v>148</v>
      </c>
      <c r="BB76" s="174">
        <f>AX64</f>
        <v>44868</v>
      </c>
      <c r="BC76" s="154"/>
      <c r="BD76" s="155">
        <f t="shared" si="96"/>
        <v>300</v>
      </c>
      <c r="BE76" s="156">
        <f t="shared" si="97"/>
        <v>640</v>
      </c>
      <c r="BH76" s="50"/>
      <c r="BI76" s="146">
        <v>6</v>
      </c>
      <c r="BJ76" s="166">
        <v>160000000</v>
      </c>
      <c r="BK76" s="167">
        <f t="shared" si="107"/>
        <v>284837414</v>
      </c>
      <c r="BO76" s="167">
        <f t="shared" si="108"/>
        <v>1</v>
      </c>
      <c r="BQ76" s="172" t="s">
        <v>147</v>
      </c>
      <c r="BR76" s="174">
        <f>BJ64</f>
        <v>44652</v>
      </c>
      <c r="BS76" s="154"/>
      <c r="BT76" s="154"/>
      <c r="BU76" s="155">
        <f t="shared" si="92"/>
        <v>300</v>
      </c>
      <c r="BV76" s="154"/>
      <c r="BW76" s="154"/>
      <c r="BX76" s="156">
        <f t="shared" si="93"/>
        <v>640</v>
      </c>
      <c r="CA76" s="50"/>
      <c r="CQ76" s="50"/>
      <c r="CR76" s="146">
        <v>7</v>
      </c>
      <c r="CS76" s="166">
        <v>80000000</v>
      </c>
      <c r="CT76" s="168">
        <f t="shared" si="100"/>
        <v>79647915.666666672</v>
      </c>
      <c r="CV76" s="145">
        <v>78531000</v>
      </c>
      <c r="CW76" s="145"/>
      <c r="CX76" s="167">
        <f t="shared" si="101"/>
        <v>3</v>
      </c>
      <c r="DA76" s="172" t="s">
        <v>0</v>
      </c>
      <c r="DB76" s="175">
        <f>CU68</f>
        <v>1</v>
      </c>
      <c r="DC76" s="154"/>
      <c r="DD76" s="154"/>
      <c r="DE76" s="155">
        <f t="shared" si="90"/>
        <v>200</v>
      </c>
      <c r="DF76" s="154"/>
      <c r="DG76" s="154"/>
      <c r="DH76" s="156">
        <f t="shared" si="91"/>
        <v>225.5643</v>
      </c>
      <c r="DK76" s="50"/>
      <c r="DL76" s="146">
        <v>7</v>
      </c>
      <c r="DM76" s="166">
        <v>50000000</v>
      </c>
      <c r="DN76" s="168">
        <f t="shared" si="102"/>
        <v>47637120</v>
      </c>
      <c r="DR76" s="167">
        <f t="shared" si="103"/>
        <v>1</v>
      </c>
      <c r="DT76" s="172" t="s">
        <v>173</v>
      </c>
      <c r="DU76" s="177">
        <f>DO68</f>
        <v>1</v>
      </c>
      <c r="DV76" s="154"/>
      <c r="DW76" s="154"/>
      <c r="DX76" s="155">
        <f t="shared" si="94"/>
        <v>150</v>
      </c>
      <c r="DY76" s="154"/>
      <c r="DZ76" s="154"/>
      <c r="EA76" s="156">
        <f t="shared" si="95"/>
        <v>251.81112499999998</v>
      </c>
    </row>
    <row r="77" spans="10:131" x14ac:dyDescent="0.25">
      <c r="J77" s="86" t="str" cm="1">
        <f t="array" ref="J77">LOOKUP(2,1/($G$17:$G$33&lt;=$L77)/($H$17:$H$33&gt;=$L77),$F$17:$F$33)</f>
        <v>2H23</v>
      </c>
      <c r="K77" s="86" t="str" cm="1">
        <f t="array" ref="K77">LOOKUP(2,1/($G$6:$G$14&lt;=$L77)/($H$6:$H$14&gt;=$L77),$F$6:$F$14)</f>
        <v>FY23</v>
      </c>
      <c r="L77" s="118">
        <v>44966</v>
      </c>
      <c r="M77" s="49">
        <v>20069480</v>
      </c>
      <c r="N77" s="49">
        <v>24350301</v>
      </c>
      <c r="O77" s="50">
        <v>4000000</v>
      </c>
      <c r="P77" s="119" cm="1">
        <f t="array" ref="P77">LOOKUP(2,1/($B$10:$B$14&lt;=$L77)/($C$10:$C$14&gt;=$L77),$D$10:$D$14)</f>
        <v>1.1000000000000001</v>
      </c>
      <c r="Q77" s="120" cm="1">
        <f t="array" ref="Q77">LOOKUP(2,1/($B$17:$B$21&lt;=$L77)/($C$17:$C$21&gt;=$L77),$D$17:$D$21)</f>
        <v>134.49039999999999</v>
      </c>
      <c r="R77" s="113" t="str">
        <f t="shared" si="35"/>
        <v/>
      </c>
      <c r="S77" s="113" t="str">
        <f t="shared" si="36"/>
        <v>2H23</v>
      </c>
      <c r="T77" s="113" t="str">
        <f t="shared" ca="1" si="37"/>
        <v/>
      </c>
      <c r="U77" s="113" t="str">
        <f t="shared" si="38"/>
        <v/>
      </c>
      <c r="V77" s="113" t="str">
        <f t="shared" si="4"/>
        <v>FY23</v>
      </c>
      <c r="W77" s="113" t="str">
        <f t="shared" ca="1" si="98"/>
        <v/>
      </c>
      <c r="X77" s="50"/>
      <c r="Y77" s="146">
        <v>8</v>
      </c>
      <c r="Z77" s="166">
        <v>60000000</v>
      </c>
      <c r="AA77" s="167">
        <f t="shared" si="99"/>
        <v>85538143.274999991</v>
      </c>
      <c r="AB77" s="173"/>
      <c r="AC77" s="145">
        <v>198005999.99999997</v>
      </c>
      <c r="AD77" s="145">
        <v>246312000</v>
      </c>
      <c r="AE77" s="146"/>
      <c r="AF77" s="146"/>
      <c r="AG77" s="146"/>
      <c r="AH77" s="146"/>
      <c r="AJ77" s="179" t="s">
        <v>162</v>
      </c>
      <c r="AK77" s="180">
        <f>AC65</f>
        <v>1.3</v>
      </c>
      <c r="AL77" s="181"/>
      <c r="AM77" s="181"/>
      <c r="AN77" s="181"/>
      <c r="AO77" s="181"/>
      <c r="AP77" s="181"/>
      <c r="AQ77" s="182"/>
      <c r="AT77" s="50"/>
      <c r="AU77" s="146">
        <v>7</v>
      </c>
      <c r="AV77" s="145">
        <v>200000000</v>
      </c>
      <c r="AW77" s="145"/>
      <c r="AX77" s="145">
        <v>400000000</v>
      </c>
      <c r="AY77" s="146"/>
      <c r="BA77" s="176"/>
      <c r="BB77" s="85"/>
      <c r="BC77" s="154"/>
      <c r="BD77" s="155">
        <f t="shared" si="96"/>
        <v>350</v>
      </c>
      <c r="BE77" s="156">
        <f t="shared" si="97"/>
        <v>770</v>
      </c>
      <c r="BH77" s="50"/>
      <c r="BI77" s="146">
        <v>7</v>
      </c>
      <c r="BJ77" s="145">
        <v>200000000</v>
      </c>
      <c r="BK77" s="145"/>
      <c r="BL77" s="146">
        <v>400000000</v>
      </c>
      <c r="BM77" s="146"/>
      <c r="BN77" s="146"/>
      <c r="BO77" s="146"/>
      <c r="BQ77" s="172" t="s">
        <v>148</v>
      </c>
      <c r="BR77" s="174">
        <f>BL64</f>
        <v>44864</v>
      </c>
      <c r="BS77" s="154"/>
      <c r="BT77" s="154"/>
      <c r="BU77" s="155">
        <f t="shared" si="92"/>
        <v>350</v>
      </c>
      <c r="BV77" s="154"/>
      <c r="BW77" s="154"/>
      <c r="BX77" s="156">
        <f t="shared" si="93"/>
        <v>800</v>
      </c>
      <c r="CA77" s="50"/>
      <c r="CQ77" s="50"/>
      <c r="CR77" s="146">
        <v>8</v>
      </c>
      <c r="CS77" s="166">
        <v>100000000</v>
      </c>
      <c r="CT77" s="168"/>
      <c r="CU77" s="173">
        <f>IF($CS77&gt;=100000000,$CV$65*CV$68*CV77+$CW$65*CW$68*CW77,CV$68*CV77+CW$68*CW77)</f>
        <v>122669299.99999999</v>
      </c>
      <c r="CV77" s="145">
        <v>94360999.999999985</v>
      </c>
      <c r="CW77" s="145"/>
      <c r="CX77" s="167">
        <f t="shared" si="101"/>
        <v>1</v>
      </c>
      <c r="DA77" s="179" t="s">
        <v>162</v>
      </c>
      <c r="DB77" s="180">
        <f>CV65</f>
        <v>1.3</v>
      </c>
      <c r="DC77" s="181"/>
      <c r="DD77" s="181"/>
      <c r="DE77" s="181"/>
      <c r="DF77" s="181"/>
      <c r="DG77" s="181"/>
      <c r="DH77" s="182"/>
      <c r="DK77" s="50"/>
      <c r="DL77" s="146">
        <v>8</v>
      </c>
      <c r="DM77" s="166">
        <v>80000000</v>
      </c>
      <c r="DN77" s="168">
        <f t="shared" si="102"/>
        <v>89658852</v>
      </c>
      <c r="DP77" s="145">
        <v>108838900.00000001</v>
      </c>
      <c r="DQ77" s="145">
        <v>112756999.99999999</v>
      </c>
      <c r="DR77" s="167">
        <f t="shared" si="103"/>
        <v>1</v>
      </c>
      <c r="DT77" s="176"/>
      <c r="DU77" s="32"/>
      <c r="DV77" s="32"/>
      <c r="DW77" s="32"/>
      <c r="DX77" s="32"/>
      <c r="DY77" s="32"/>
      <c r="DZ77" s="32"/>
      <c r="EA77" s="183"/>
    </row>
    <row r="78" spans="10:131" x14ac:dyDescent="0.25">
      <c r="J78" s="86" t="str" cm="1">
        <f t="array" ref="J78">LOOKUP(2,1/($G$17:$G$33&lt;=$L78)/($H$17:$H$33&gt;=$L78),$F$17:$F$33)</f>
        <v>2H23</v>
      </c>
      <c r="K78" s="86" t="str" cm="1">
        <f t="array" ref="K78">LOOKUP(2,1/($G$6:$G$14&lt;=$L78)/($H$6:$H$14&gt;=$L78),$F$6:$F$14)</f>
        <v>FY23</v>
      </c>
      <c r="L78" s="118">
        <v>44959</v>
      </c>
      <c r="M78" s="49">
        <v>59808874</v>
      </c>
      <c r="N78" s="49">
        <v>72566106</v>
      </c>
      <c r="O78" s="50">
        <v>40000000</v>
      </c>
      <c r="P78" s="119" cm="1">
        <f t="array" ref="P78">LOOKUP(2,1/($B$10:$B$14&lt;=$L78)/($C$10:$C$14&gt;=$L78),$D$10:$D$14)</f>
        <v>1.1000000000000001</v>
      </c>
      <c r="Q78" s="120" cm="1">
        <f t="array" ref="Q78">LOOKUP(2,1/($B$17:$B$21&lt;=$L78)/($C$17:$C$21&gt;=$L78),$D$17:$D$21)</f>
        <v>134.49039999999999</v>
      </c>
      <c r="R78" s="113" t="str">
        <f t="shared" si="35"/>
        <v/>
      </c>
      <c r="S78" s="113" t="str">
        <f t="shared" si="36"/>
        <v>2H23</v>
      </c>
      <c r="T78" s="113" t="str">
        <f t="shared" ca="1" si="37"/>
        <v/>
      </c>
      <c r="U78" s="113" t="str">
        <f t="shared" si="38"/>
        <v/>
      </c>
      <c r="V78" s="113" t="str">
        <f t="shared" si="4"/>
        <v>FY23</v>
      </c>
      <c r="W78" s="113" t="str">
        <f t="shared" ca="1" si="98"/>
        <v/>
      </c>
      <c r="X78" s="50"/>
      <c r="Y78" s="146">
        <v>9</v>
      </c>
      <c r="Z78" s="166">
        <v>80000000</v>
      </c>
      <c r="AA78" s="167" t="e">
        <f t="shared" si="99"/>
        <v>#DIV/0!</v>
      </c>
      <c r="AB78" s="173"/>
      <c r="AC78" s="145">
        <v>243281999.99999997</v>
      </c>
      <c r="AD78" s="145">
        <v>328140000</v>
      </c>
      <c r="AE78" s="146"/>
      <c r="AF78" s="146"/>
      <c r="AG78" s="146"/>
      <c r="AH78" s="146"/>
      <c r="AJ78" s="2"/>
      <c r="AK78" s="2"/>
      <c r="AL78" s="2"/>
      <c r="AM78" s="2"/>
      <c r="AN78" s="2"/>
      <c r="AO78" s="2"/>
      <c r="AP78" s="2"/>
      <c r="AQ78" s="2"/>
      <c r="AT78" s="50"/>
      <c r="AU78" s="146">
        <v>8</v>
      </c>
      <c r="AV78" s="145">
        <v>250000000</v>
      </c>
      <c r="AW78" s="145"/>
      <c r="AX78" s="145">
        <v>520000000</v>
      </c>
      <c r="AY78" s="146"/>
      <c r="BA78" s="176"/>
      <c r="BB78" s="32"/>
      <c r="BC78" s="32"/>
      <c r="BD78" s="32"/>
      <c r="BE78" s="183"/>
      <c r="BH78" s="50"/>
      <c r="BI78" s="146">
        <v>8</v>
      </c>
      <c r="BJ78" s="145">
        <v>250000000</v>
      </c>
      <c r="BK78" s="145"/>
      <c r="BL78" s="146">
        <v>510000000</v>
      </c>
      <c r="BM78" s="146"/>
      <c r="BN78" s="146"/>
      <c r="BO78" s="146"/>
      <c r="BQ78" s="179" t="s">
        <v>0</v>
      </c>
      <c r="BR78" s="185">
        <f>BL69</f>
        <v>0</v>
      </c>
      <c r="BS78" s="181"/>
      <c r="BT78" s="181"/>
      <c r="BU78" s="181"/>
      <c r="BV78" s="181"/>
      <c r="BW78" s="181"/>
      <c r="BX78" s="182"/>
      <c r="CA78" s="50"/>
      <c r="CQ78" s="50"/>
      <c r="CR78" s="146">
        <v>9</v>
      </c>
      <c r="CS78" s="166">
        <v>150000000</v>
      </c>
      <c r="CT78" s="168"/>
      <c r="CU78" s="173">
        <f>IF($CS78&gt;=100000000,$CV$65*CV$68*CV78+$CW$65*CW$68*CW78,CV$68*CV78+CW$68*CW78)</f>
        <v>174116800</v>
      </c>
      <c r="CV78" s="145">
        <v>133936000</v>
      </c>
      <c r="CW78" s="145"/>
      <c r="CX78" s="167">
        <f t="shared" si="101"/>
        <v>1</v>
      </c>
      <c r="DA78" s="2"/>
      <c r="DB78" s="2"/>
      <c r="DC78" s="2"/>
      <c r="DD78" s="2"/>
      <c r="DE78" s="2"/>
      <c r="DF78" s="2"/>
      <c r="DG78" s="2"/>
      <c r="DH78" s="2"/>
      <c r="DK78" s="50"/>
      <c r="DL78" s="146">
        <v>9</v>
      </c>
      <c r="DM78" s="166">
        <v>100000000</v>
      </c>
      <c r="DN78" s="168">
        <f t="shared" si="102"/>
        <v>169384236</v>
      </c>
      <c r="DP78" s="145">
        <v>135298899.99999997</v>
      </c>
      <c r="DQ78" s="145">
        <v>162217000</v>
      </c>
      <c r="DR78" s="167">
        <f t="shared" si="103"/>
        <v>1</v>
      </c>
      <c r="DT78" s="186"/>
      <c r="DU78" s="2"/>
      <c r="DV78" s="2"/>
      <c r="DW78" s="2"/>
      <c r="DX78" s="2"/>
      <c r="DY78" s="2"/>
      <c r="DZ78" s="2"/>
      <c r="EA78" s="187"/>
    </row>
    <row r="79" spans="10:131" x14ac:dyDescent="0.25">
      <c r="J79" s="86" t="str" cm="1">
        <f t="array" ref="J79">LOOKUP(2,1/($G$17:$G$33&lt;=$L79)/($H$17:$H$33&gt;=$L79),$F$17:$F$33)</f>
        <v>2H23</v>
      </c>
      <c r="K79" s="86" t="str" cm="1">
        <f t="array" ref="K79">LOOKUP(2,1/($G$6:$G$14&lt;=$L79)/($H$6:$H$14&gt;=$L79),$F$6:$F$14)</f>
        <v>FY23</v>
      </c>
      <c r="L79" s="118">
        <v>44952</v>
      </c>
      <c r="M79" s="49">
        <v>41976723</v>
      </c>
      <c r="N79" s="49">
        <v>50930357</v>
      </c>
      <c r="O79" s="50">
        <v>20000000</v>
      </c>
      <c r="P79" s="119" cm="1">
        <f t="array" ref="P79">LOOKUP(2,1/($B$10:$B$14&lt;=$L79)/($C$10:$C$14&gt;=$L79),$D$10:$D$14)</f>
        <v>1.1000000000000001</v>
      </c>
      <c r="Q79" s="120" cm="1">
        <f t="array" ref="Q79">LOOKUP(2,1/($B$17:$B$21&lt;=$L79)/($C$17:$C$21&gt;=$L79),$D$17:$D$21)</f>
        <v>134.49039999999999</v>
      </c>
      <c r="R79" s="113" t="str">
        <f t="shared" si="35"/>
        <v/>
      </c>
      <c r="S79" s="113" t="str">
        <f t="shared" si="36"/>
        <v>2H23</v>
      </c>
      <c r="T79" s="113" t="str">
        <f t="shared" ca="1" si="37"/>
        <v/>
      </c>
      <c r="U79" s="113" t="str">
        <f t="shared" si="38"/>
        <v/>
      </c>
      <c r="V79" s="113" t="str">
        <f t="shared" si="4"/>
        <v>FY23</v>
      </c>
      <c r="W79" s="113" t="str">
        <f t="shared" ca="1" si="98"/>
        <v/>
      </c>
      <c r="X79" s="50"/>
      <c r="Y79" s="146">
        <v>10</v>
      </c>
      <c r="Z79" s="166">
        <v>100000000</v>
      </c>
      <c r="AA79" s="167">
        <f t="shared" si="99"/>
        <v>159180742.5</v>
      </c>
      <c r="AB79" s="173">
        <f>IF($Z79&gt;=100000000,$AC$65*AC$68*AC79+$AD$65*AD$68*AD79,AC$68*AC79+AD$68*AD79)*AB$68</f>
        <v>380094097.49999994</v>
      </c>
      <c r="AC79" s="145">
        <v>299876999.99999994</v>
      </c>
      <c r="AD79" s="145">
        <v>444374999.99999994</v>
      </c>
      <c r="AE79" s="146"/>
      <c r="AF79" s="146"/>
      <c r="AG79" s="146"/>
      <c r="AH79" s="146"/>
      <c r="AJ79" s="188"/>
      <c r="AK79" s="188"/>
      <c r="AL79" s="188"/>
      <c r="AM79" s="188"/>
      <c r="AN79" s="188"/>
      <c r="AO79" s="188"/>
      <c r="AP79" s="188"/>
      <c r="AQ79" s="188"/>
      <c r="AT79" s="50"/>
      <c r="AU79" s="146">
        <v>9</v>
      </c>
      <c r="AV79" s="145">
        <v>300000000</v>
      </c>
      <c r="AW79" s="145"/>
      <c r="AX79" s="145">
        <v>640000000</v>
      </c>
      <c r="AY79" s="146"/>
      <c r="BA79" s="186"/>
      <c r="BB79" s="2"/>
      <c r="BC79" s="2"/>
      <c r="BD79" s="2"/>
      <c r="BE79" s="187"/>
      <c r="BH79" s="50"/>
      <c r="BI79" s="146">
        <v>9</v>
      </c>
      <c r="BJ79" s="145">
        <v>300000000</v>
      </c>
      <c r="BK79" s="145"/>
      <c r="BL79" s="146">
        <v>640000000</v>
      </c>
      <c r="BM79" s="146"/>
      <c r="BN79" s="146"/>
      <c r="BO79" s="146"/>
      <c r="BQ79" s="2"/>
      <c r="BR79" s="2"/>
      <c r="BS79" s="2"/>
      <c r="BT79" s="2"/>
      <c r="BU79" s="2"/>
      <c r="BV79" s="2"/>
      <c r="BW79" s="2"/>
      <c r="BX79" s="2"/>
      <c r="CA79" s="50"/>
      <c r="CQ79" s="50"/>
      <c r="CR79" s="146">
        <v>10</v>
      </c>
      <c r="CS79" s="145">
        <v>200000000</v>
      </c>
      <c r="CT79" s="145"/>
      <c r="CU79" s="173">
        <f>IF($CS79&gt;=100000000,$CV$65*CV$68*CV79+$CW$65*CW$68*CW79,CV$68*CV79+CW$68*CW79)</f>
        <v>225564300</v>
      </c>
      <c r="CV79" s="145">
        <v>173511000</v>
      </c>
      <c r="CW79" s="145"/>
      <c r="CX79" s="146"/>
      <c r="DA79" s="188"/>
      <c r="DB79" s="188"/>
      <c r="DC79" s="188"/>
      <c r="DD79" s="188"/>
      <c r="DE79" s="188"/>
      <c r="DF79" s="188"/>
      <c r="DG79" s="188"/>
      <c r="DH79" s="188"/>
      <c r="DK79" s="50"/>
      <c r="DL79" s="146">
        <v>10</v>
      </c>
      <c r="DM79" s="145">
        <v>150000000</v>
      </c>
      <c r="DN79" s="145"/>
      <c r="DO79" s="173">
        <f>IF($DM79&gt;=100000000,$DP$65*DP$68*DP79+$DQ$65*DQ$68*DQ79,DP$68*DP79+DQ$68*DQ79)</f>
        <v>251811124.99999997</v>
      </c>
      <c r="DP79" s="145">
        <v>201448899.99999997</v>
      </c>
      <c r="DQ79" s="145">
        <v>329967000</v>
      </c>
      <c r="DR79" s="146"/>
      <c r="DT79" s="189"/>
      <c r="DU79" s="190"/>
      <c r="DV79" s="190"/>
      <c r="DW79" s="190"/>
      <c r="DX79" s="190"/>
      <c r="DY79" s="190"/>
      <c r="DZ79" s="190"/>
      <c r="EA79" s="191"/>
    </row>
    <row r="80" spans="10:131" x14ac:dyDescent="0.25">
      <c r="J80" s="86" t="str" cm="1">
        <f t="array" ref="J80">LOOKUP(2,1/($G$17:$G$33&lt;=$L80)/($H$17:$H$33&gt;=$L80),$F$17:$F$33)</f>
        <v>2H23</v>
      </c>
      <c r="K80" s="86" t="str" cm="1">
        <f t="array" ref="K80">LOOKUP(2,1/($G$6:$G$14&lt;=$L80)/($H$6:$H$14&gt;=$L80),$F$6:$F$14)</f>
        <v>FY23</v>
      </c>
      <c r="L80" s="118">
        <v>44945</v>
      </c>
      <c r="M80" s="49">
        <v>28696274</v>
      </c>
      <c r="N80" s="49">
        <v>34817189</v>
      </c>
      <c r="O80" s="50">
        <v>8000000</v>
      </c>
      <c r="P80" s="119" cm="1">
        <f t="array" ref="P80">LOOKUP(2,1/($B$10:$B$14&lt;=$L80)/($C$10:$C$14&gt;=$L80),$D$10:$D$14)</f>
        <v>1.1000000000000001</v>
      </c>
      <c r="Q80" s="120" cm="1">
        <f t="array" ref="Q80">LOOKUP(2,1/($B$17:$B$21&lt;=$L80)/($C$17:$C$21&gt;=$L80),$D$17:$D$21)</f>
        <v>134.49039999999999</v>
      </c>
      <c r="R80" s="113" t="str">
        <f t="shared" si="35"/>
        <v/>
      </c>
      <c r="S80" s="113" t="str">
        <f t="shared" si="36"/>
        <v>2H23</v>
      </c>
      <c r="T80" s="113" t="str">
        <f t="shared" ca="1" si="37"/>
        <v/>
      </c>
      <c r="U80" s="113" t="str">
        <f t="shared" si="38"/>
        <v/>
      </c>
      <c r="V80" s="113" t="str">
        <f t="shared" si="4"/>
        <v>FY23</v>
      </c>
      <c r="W80" s="113" t="str">
        <f t="shared" ca="1" si="98"/>
        <v/>
      </c>
      <c r="X80" s="50"/>
      <c r="AI80" s="116"/>
      <c r="AJ80" s="106"/>
      <c r="AK80" s="107"/>
      <c r="AL80" s="107"/>
      <c r="AM80" s="107"/>
      <c r="AN80" s="108"/>
      <c r="AO80" s="107"/>
      <c r="AP80" s="107"/>
      <c r="AQ80" s="108"/>
      <c r="AT80" s="50"/>
      <c r="AU80" s="146">
        <v>10</v>
      </c>
      <c r="AV80" s="145">
        <v>350000000</v>
      </c>
      <c r="AW80" s="145"/>
      <c r="AX80" s="145">
        <v>770000000</v>
      </c>
      <c r="AY80" s="146"/>
      <c r="BA80" s="189"/>
      <c r="BB80" s="190"/>
      <c r="BC80" s="190"/>
      <c r="BD80" s="190"/>
      <c r="BE80" s="191"/>
      <c r="BH80" s="50"/>
      <c r="BI80" s="146">
        <v>10</v>
      </c>
      <c r="BJ80" s="145">
        <v>350000000</v>
      </c>
      <c r="BK80" s="145"/>
      <c r="BL80" s="146">
        <v>800000000</v>
      </c>
      <c r="BM80" s="146"/>
      <c r="BN80" s="146"/>
      <c r="BO80" s="146"/>
      <c r="BQ80" s="188"/>
      <c r="BR80" s="188"/>
      <c r="BS80" s="188"/>
      <c r="BT80" s="188"/>
      <c r="BU80" s="188"/>
      <c r="BV80" s="188"/>
      <c r="BW80" s="188"/>
      <c r="BX80" s="188"/>
      <c r="CA80" s="50"/>
      <c r="CQ80" s="50"/>
      <c r="DA80" s="106"/>
      <c r="DB80" s="107"/>
      <c r="DC80" s="107"/>
      <c r="DD80" s="107"/>
      <c r="DE80" s="108"/>
      <c r="DF80" s="107"/>
      <c r="DG80" s="107"/>
      <c r="DH80" s="108"/>
      <c r="DK80" s="50"/>
    </row>
    <row r="81" spans="10:131" x14ac:dyDescent="0.25">
      <c r="J81" s="86" t="str" cm="1">
        <f t="array" ref="J81">LOOKUP(2,1/($G$17:$G$33&lt;=$L81)/($H$17:$H$33&gt;=$L81),$F$17:$F$33)</f>
        <v>2H23</v>
      </c>
      <c r="K81" s="86" t="str" cm="1">
        <f t="array" ref="K81">LOOKUP(2,1/($G$6:$G$14&lt;=$L81)/($H$6:$H$14&gt;=$L81),$F$6:$F$14)</f>
        <v>FY23</v>
      </c>
      <c r="L81" s="118">
        <v>44938</v>
      </c>
      <c r="M81" s="49">
        <v>22177022</v>
      </c>
      <c r="N81" s="49">
        <v>26907381</v>
      </c>
      <c r="O81" s="50">
        <v>4000000</v>
      </c>
      <c r="P81" s="119" cm="1">
        <f t="array" ref="P81">LOOKUP(2,1/($B$10:$B$14&lt;=$L81)/($C$10:$C$14&gt;=$L81),$D$10:$D$14)</f>
        <v>1.1000000000000001</v>
      </c>
      <c r="Q81" s="120" cm="1">
        <f t="array" ref="Q81">LOOKUP(2,1/($B$17:$B$21&lt;=$L81)/($C$17:$C$21&gt;=$L81),$D$17:$D$21)</f>
        <v>134.49039999999999</v>
      </c>
      <c r="R81" s="113" t="str">
        <f t="shared" si="35"/>
        <v/>
      </c>
      <c r="S81" s="113" t="str">
        <f t="shared" si="36"/>
        <v>2H23</v>
      </c>
      <c r="T81" s="113" t="str">
        <f t="shared" ca="1" si="37"/>
        <v/>
      </c>
      <c r="U81" s="113" t="str">
        <f t="shared" si="38"/>
        <v/>
      </c>
      <c r="V81" s="113" t="str">
        <f t="shared" si="4"/>
        <v>FY23</v>
      </c>
      <c r="W81" s="113" t="str">
        <f t="shared" ca="1" si="98"/>
        <v/>
      </c>
      <c r="X81" s="50"/>
      <c r="Y81" s="193" t="s">
        <v>208</v>
      </c>
      <c r="Z81" s="194"/>
      <c r="AA81" s="194"/>
      <c r="AB81" s="194"/>
      <c r="AC81" s="194"/>
      <c r="AD81" s="194"/>
      <c r="AE81" s="194"/>
      <c r="AF81" s="194"/>
      <c r="AG81" s="194"/>
      <c r="AH81" s="194"/>
      <c r="AI81" s="194"/>
      <c r="AJ81" s="194"/>
      <c r="AK81" s="194"/>
      <c r="AL81" s="194"/>
      <c r="AM81" s="194"/>
      <c r="AN81" s="194"/>
      <c r="AO81" s="194"/>
      <c r="AP81" s="194"/>
      <c r="AQ81" s="194"/>
      <c r="AR81" s="194"/>
      <c r="AS81" s="194"/>
      <c r="AT81" s="50"/>
      <c r="BH81" s="50"/>
      <c r="CA81" s="50"/>
      <c r="CQ81" s="50"/>
      <c r="CR81" s="125" t="s">
        <v>259</v>
      </c>
      <c r="CS81" s="126"/>
      <c r="CT81" s="126"/>
      <c r="CU81" s="126"/>
      <c r="CV81" s="126"/>
      <c r="CW81" s="126"/>
      <c r="CX81" s="126"/>
      <c r="CY81" s="126"/>
      <c r="CZ81" s="126"/>
      <c r="DA81" s="126"/>
      <c r="DB81" s="126"/>
      <c r="DC81" s="126"/>
      <c r="DD81" s="126"/>
      <c r="DE81" s="126"/>
      <c r="DF81" s="126"/>
      <c r="DG81" s="126"/>
      <c r="DH81" s="126"/>
      <c r="DI81" s="126"/>
      <c r="DJ81" s="126"/>
      <c r="DK81" s="50"/>
      <c r="DL81" s="125" t="s">
        <v>48</v>
      </c>
      <c r="DM81" s="126"/>
      <c r="DN81" s="126"/>
      <c r="DO81" s="126"/>
      <c r="DP81" s="126"/>
      <c r="DQ81" s="126"/>
      <c r="DR81" s="126"/>
      <c r="DS81" s="126"/>
      <c r="DT81" s="126"/>
      <c r="DU81" s="126"/>
      <c r="DV81" s="126"/>
      <c r="DW81" s="126"/>
      <c r="DX81" s="126"/>
      <c r="DY81" s="126"/>
      <c r="DZ81" s="126"/>
      <c r="EA81" s="126"/>
    </row>
    <row r="82" spans="10:131" x14ac:dyDescent="0.25">
      <c r="J82" s="86" t="str" cm="1">
        <f t="array" ref="J82">LOOKUP(2,1/($G$17:$G$33&lt;=$L82)/($H$17:$H$33&gt;=$L82),$F$17:$F$33)</f>
        <v>2H23</v>
      </c>
      <c r="K82" s="86" t="str" cm="1">
        <f t="array" ref="K82">LOOKUP(2,1/($G$6:$G$14&lt;=$L82)/($H$6:$H$14&gt;=$L82),$F$6:$F$14)</f>
        <v>FY23</v>
      </c>
      <c r="L82" s="118">
        <v>44931</v>
      </c>
      <c r="M82" s="49">
        <v>20659762</v>
      </c>
      <c r="N82" s="49">
        <v>25066489</v>
      </c>
      <c r="O82" s="50">
        <v>4000000</v>
      </c>
      <c r="P82" s="119" cm="1">
        <f t="array" ref="P82">LOOKUP(2,1/($B$10:$B$14&lt;=$L82)/($C$10:$C$14&gt;=$L82),$D$10:$D$14)</f>
        <v>1.1000000000000001</v>
      </c>
      <c r="Q82" s="120" cm="1">
        <f t="array" ref="Q82">LOOKUP(2,1/($B$17:$B$21&lt;=$L82)/($C$17:$C$21&gt;=$L82),$D$17:$D$21)</f>
        <v>134.49039999999999</v>
      </c>
      <c r="R82" s="113" t="str">
        <f t="shared" si="35"/>
        <v>2H23</v>
      </c>
      <c r="S82" s="113" t="str">
        <f t="shared" si="36"/>
        <v>2H23</v>
      </c>
      <c r="T82" s="113" t="str">
        <f t="shared" ca="1" si="37"/>
        <v/>
      </c>
      <c r="U82" s="113" t="str">
        <f t="shared" si="38"/>
        <v/>
      </c>
      <c r="V82" s="113" t="str">
        <f t="shared" si="4"/>
        <v>FY23</v>
      </c>
      <c r="W82" s="113" t="str">
        <f t="shared" ca="1" si="98"/>
        <v/>
      </c>
      <c r="X82" s="50"/>
      <c r="Y82" s="114" t="s">
        <v>147</v>
      </c>
      <c r="Z82" s="115">
        <v>44652</v>
      </c>
      <c r="AA82" s="114" t="s">
        <v>148</v>
      </c>
      <c r="AB82" s="115">
        <v>44868</v>
      </c>
      <c r="AC82" s="132"/>
      <c r="AD82" s="132"/>
      <c r="AE82" s="132"/>
      <c r="AF82" s="132"/>
      <c r="AG82" s="132"/>
      <c r="AH82" s="132"/>
      <c r="AI82" s="133"/>
      <c r="AJ82" s="133"/>
      <c r="AK82" s="133"/>
      <c r="AL82" s="133"/>
      <c r="AM82" s="133"/>
      <c r="AN82" s="133"/>
      <c r="AO82" s="133"/>
      <c r="AP82" s="133"/>
      <c r="AQ82" s="133"/>
      <c r="AR82" s="133"/>
      <c r="AS82" s="133"/>
      <c r="AT82" s="50"/>
      <c r="AU82" s="193" t="s">
        <v>210</v>
      </c>
      <c r="AV82" s="194"/>
      <c r="AW82" s="194"/>
      <c r="AX82" s="194"/>
      <c r="AY82" s="194"/>
      <c r="AZ82" s="194"/>
      <c r="BA82" s="194"/>
      <c r="BB82" s="194"/>
      <c r="BC82" s="194"/>
      <c r="BD82" s="194"/>
      <c r="BE82" s="194"/>
      <c r="BF82" s="194"/>
      <c r="BG82" s="194"/>
      <c r="BH82" s="50"/>
      <c r="BI82" s="123" t="s">
        <v>211</v>
      </c>
      <c r="BJ82" s="124"/>
      <c r="BK82" s="124"/>
      <c r="BL82" s="124"/>
      <c r="BM82" s="124"/>
      <c r="BN82" s="124"/>
      <c r="BO82" s="124"/>
      <c r="BP82" s="124"/>
      <c r="BQ82" s="124"/>
      <c r="BR82" s="124"/>
      <c r="BS82" s="124"/>
      <c r="BT82" s="124"/>
      <c r="BU82" s="124"/>
      <c r="BV82" s="124"/>
      <c r="BW82" s="124"/>
      <c r="BX82" s="124"/>
      <c r="BY82" s="124"/>
      <c r="BZ82" s="124"/>
      <c r="CA82" s="50"/>
      <c r="CQ82" s="50"/>
      <c r="CR82" s="114" t="s">
        <v>147</v>
      </c>
      <c r="CS82" s="115">
        <v>43647</v>
      </c>
      <c r="CT82" s="114" t="s">
        <v>148</v>
      </c>
      <c r="CU82" s="115">
        <v>44012</v>
      </c>
      <c r="CV82" s="132"/>
      <c r="CW82" s="132"/>
      <c r="CX82" s="132"/>
      <c r="CY82" s="133"/>
      <c r="CZ82" s="133"/>
      <c r="DA82" s="133"/>
      <c r="DB82" s="133"/>
      <c r="DC82" s="133"/>
      <c r="DD82" s="133"/>
      <c r="DE82" s="133"/>
      <c r="DF82" s="133"/>
      <c r="DG82" s="133"/>
      <c r="DH82" s="133"/>
      <c r="DI82" s="133"/>
      <c r="DJ82" s="133"/>
      <c r="DK82" s="50"/>
      <c r="DL82" s="114" t="s">
        <v>147</v>
      </c>
      <c r="DM82" s="115">
        <v>43466</v>
      </c>
      <c r="DN82" s="114" t="s">
        <v>148</v>
      </c>
      <c r="DO82" s="115">
        <v>43646</v>
      </c>
      <c r="DP82" s="132"/>
      <c r="DQ82" s="132"/>
      <c r="DR82" s="132"/>
      <c r="DS82" s="133"/>
      <c r="DT82" s="133"/>
      <c r="DU82" s="133"/>
      <c r="DV82" s="133"/>
      <c r="DW82" s="133"/>
      <c r="DX82" s="133"/>
      <c r="DY82" s="133"/>
      <c r="DZ82" s="133"/>
      <c r="EA82" s="133"/>
    </row>
    <row r="83" spans="10:131" x14ac:dyDescent="0.25">
      <c r="J83" s="86" t="str" cm="1">
        <f t="array" ref="J83">LOOKUP(2,1/($G$17:$G$33&lt;=$L83)/($H$17:$H$33&gt;=$L83),$F$17:$F$33)</f>
        <v>1H23</v>
      </c>
      <c r="K83" s="86" t="str" cm="1">
        <f t="array" ref="K83">LOOKUP(2,1/($G$6:$G$14&lt;=$L83)/($H$6:$H$14&gt;=$L83),$F$6:$F$14)</f>
        <v>FY23</v>
      </c>
      <c r="L83" s="118">
        <v>44924</v>
      </c>
      <c r="M83" s="49">
        <v>137554844</v>
      </c>
      <c r="N83" s="49">
        <v>166895293</v>
      </c>
      <c r="O83" s="50">
        <v>100000000</v>
      </c>
      <c r="P83" s="119" cm="1">
        <f t="array" ref="P83">LOOKUP(2,1/($B$10:$B$14&lt;=$L83)/($C$10:$C$14&gt;=$L83),$D$10:$D$14)</f>
        <v>1.1000000000000001</v>
      </c>
      <c r="Q83" s="120" cm="1">
        <f t="array" ref="Q83">LOOKUP(2,1/($B$17:$B$21&lt;=$L83)/($C$17:$C$21&gt;=$L83),$D$17:$D$21)</f>
        <v>134.49039999999999</v>
      </c>
      <c r="R83" s="113" t="str">
        <f t="shared" si="35"/>
        <v/>
      </c>
      <c r="S83" s="113" t="str">
        <f t="shared" si="36"/>
        <v>1H23</v>
      </c>
      <c r="T83" s="113" t="str">
        <f t="shared" ca="1" si="37"/>
        <v>2H23</v>
      </c>
      <c r="U83" s="113" t="str">
        <f t="shared" si="38"/>
        <v/>
      </c>
      <c r="V83" s="113" t="str">
        <f t="shared" si="4"/>
        <v>FY23</v>
      </c>
      <c r="W83" s="113" t="str">
        <f t="shared" ca="1" si="98"/>
        <v/>
      </c>
      <c r="X83" s="50"/>
      <c r="Y83" s="114" t="s">
        <v>159</v>
      </c>
      <c r="Z83" s="115" t="s">
        <v>23</v>
      </c>
      <c r="AA83" s="114" t="s">
        <v>161</v>
      </c>
      <c r="AB83" s="115" t="s">
        <v>163</v>
      </c>
      <c r="AC83" s="134" t="s">
        <v>162</v>
      </c>
      <c r="AD83" s="134" t="s">
        <v>162</v>
      </c>
      <c r="AE83" s="134"/>
      <c r="AF83" s="134"/>
      <c r="AG83" s="134"/>
      <c r="AH83" s="134"/>
      <c r="AI83" s="133"/>
      <c r="AJ83" s="133"/>
      <c r="AK83" s="133"/>
      <c r="AL83" s="133"/>
      <c r="AM83" s="133"/>
      <c r="AN83" s="133"/>
      <c r="AO83" s="133"/>
      <c r="AP83" s="133"/>
      <c r="AQ83" s="133"/>
      <c r="AR83" s="133"/>
      <c r="AS83" s="133"/>
      <c r="AT83" s="50"/>
      <c r="AU83" s="114" t="s">
        <v>147</v>
      </c>
      <c r="AV83" s="115" t="s">
        <v>158</v>
      </c>
      <c r="AW83" s="114" t="s">
        <v>148</v>
      </c>
      <c r="AX83" s="115" t="s">
        <v>158</v>
      </c>
      <c r="AY83" s="132"/>
      <c r="AZ83" s="133"/>
      <c r="BA83" s="133"/>
      <c r="BB83" s="133"/>
      <c r="BC83" s="133"/>
      <c r="BD83" s="133"/>
      <c r="BE83" s="133"/>
      <c r="BF83" s="133"/>
      <c r="BG83" s="133"/>
      <c r="BH83" s="50"/>
      <c r="BI83" s="114" t="s">
        <v>147</v>
      </c>
      <c r="BJ83" s="115">
        <v>44652</v>
      </c>
      <c r="BK83" s="114" t="s">
        <v>148</v>
      </c>
      <c r="BL83" s="115">
        <v>44864</v>
      </c>
      <c r="BM83" s="115"/>
      <c r="BN83" s="115"/>
      <c r="BO83" s="132"/>
      <c r="BP83" s="133"/>
      <c r="BQ83" s="133"/>
      <c r="BR83" s="133"/>
      <c r="BS83" s="133"/>
      <c r="BT83" s="133"/>
      <c r="BU83" s="133"/>
      <c r="BV83" s="133"/>
      <c r="BW83" s="133"/>
      <c r="BX83" s="133"/>
      <c r="BY83" s="133"/>
      <c r="BZ83" s="133"/>
      <c r="CA83" s="50"/>
      <c r="CQ83" s="50"/>
      <c r="CR83" s="114" t="s">
        <v>159</v>
      </c>
      <c r="CS83" s="115" t="s">
        <v>20</v>
      </c>
      <c r="CT83" s="114" t="s">
        <v>161</v>
      </c>
      <c r="CU83" s="134" t="str" cm="1">
        <f t="array" ref="CU83">IF(OR(LOOKUP(2,1/($B$10:$B$14&lt;=CU82)/($C$10:$C$14&gt;=CU82),$D$10:$D$14)&lt;&gt;CS86,LOOKUP(2,1/($B$6:$B$7&lt;=CU82)/($C$6:$C$7&gt;=CU82),$D$6:$D$7)&lt;&gt;CU86),"FAIL","PASS")</f>
        <v>FAIL</v>
      </c>
      <c r="CV83" s="134" t="s">
        <v>162</v>
      </c>
      <c r="CW83" s="134" t="s">
        <v>162</v>
      </c>
      <c r="CX83" s="134"/>
      <c r="CY83" s="133"/>
      <c r="CZ83" s="133"/>
      <c r="DA83" s="133"/>
      <c r="DB83" s="133"/>
      <c r="DC83" s="133"/>
      <c r="DD83" s="133"/>
      <c r="DE83" s="133"/>
      <c r="DF83" s="133"/>
      <c r="DG83" s="133"/>
      <c r="DH83" s="133"/>
      <c r="DI83" s="133"/>
      <c r="DJ83" s="133"/>
      <c r="DK83" s="50"/>
      <c r="DL83" s="114" t="s">
        <v>159</v>
      </c>
      <c r="DM83" s="115" t="s">
        <v>48</v>
      </c>
      <c r="DN83" s="114" t="s">
        <v>161</v>
      </c>
      <c r="DO83" s="134" t="str" cm="1">
        <f t="array" ref="DO83">IF(OR(LOOKUP(2,1/($B$10:$B$14&lt;=DO82)/($C$10:$C$14&gt;=DO82),$D$10:$D$14)&lt;&gt;DM86,LOOKUP(2,1/($B$6:$B$7&lt;=DO82)/($C$6:$C$7&gt;=DO82),$D$6:$D$7)&lt;&gt;DO86),"FAIL","PASS")</f>
        <v>PASS</v>
      </c>
      <c r="DP83" s="134" t="s">
        <v>162</v>
      </c>
      <c r="DQ83" s="134" t="s">
        <v>162</v>
      </c>
      <c r="DR83" s="134"/>
      <c r="DS83" s="133"/>
      <c r="DT83" s="133"/>
      <c r="DU83" s="133"/>
      <c r="DV83" s="133"/>
      <c r="DW83" s="133"/>
      <c r="DX83" s="133"/>
      <c r="DY83" s="133"/>
      <c r="DZ83" s="133"/>
      <c r="EA83" s="133"/>
    </row>
    <row r="84" spans="10:131" x14ac:dyDescent="0.25">
      <c r="J84" s="86" t="str" cm="1">
        <f t="array" ref="J84">LOOKUP(2,1/($G$17:$G$33&lt;=$L84)/($H$17:$H$33&gt;=$L84),$F$17:$F$33)</f>
        <v>1H23</v>
      </c>
      <c r="K84" s="86" t="str" cm="1">
        <f t="array" ref="K84">LOOKUP(2,1/($G$6:$G$14&lt;=$L84)/($H$6:$H$14&gt;=$L84),$F$6:$F$14)</f>
        <v>FY23</v>
      </c>
      <c r="L84" s="118">
        <v>44917</v>
      </c>
      <c r="M84" s="49">
        <v>75733958</v>
      </c>
      <c r="N84" s="49">
        <v>91888011</v>
      </c>
      <c r="O84" s="50">
        <v>50000000</v>
      </c>
      <c r="P84" s="119" cm="1">
        <f t="array" ref="P84">LOOKUP(2,1/($B$10:$B$14&lt;=$L84)/($C$10:$C$14&gt;=$L84),$D$10:$D$14)</f>
        <v>1.1000000000000001</v>
      </c>
      <c r="Q84" s="120" cm="1">
        <f t="array" ref="Q84">LOOKUP(2,1/($B$17:$B$21&lt;=$L84)/($C$17:$C$21&gt;=$L84),$D$17:$D$21)</f>
        <v>134.49039999999999</v>
      </c>
      <c r="R84" s="113" t="str">
        <f t="shared" si="35"/>
        <v/>
      </c>
      <c r="S84" s="113" t="str">
        <f t="shared" si="36"/>
        <v>1H23</v>
      </c>
      <c r="T84" s="113" t="str">
        <f t="shared" ca="1" si="37"/>
        <v/>
      </c>
      <c r="U84" s="113" t="str">
        <f t="shared" si="38"/>
        <v/>
      </c>
      <c r="V84" s="113" t="str">
        <f t="shared" si="4"/>
        <v>FY23</v>
      </c>
      <c r="W84" s="113" t="str">
        <f t="shared" ca="1" si="98"/>
        <v/>
      </c>
      <c r="Y84" s="114" t="s">
        <v>165</v>
      </c>
      <c r="Z84" s="134">
        <f>INDEX($G:$G,MATCH(Z83,$F:$F,0))</f>
        <v>44743</v>
      </c>
      <c r="AA84" s="114" t="s">
        <v>166</v>
      </c>
      <c r="AB84" s="134">
        <f>INDEX($H:$H,MATCH(Z83,$F:$F,0))</f>
        <v>45107</v>
      </c>
      <c r="AC84" s="135">
        <v>1.4</v>
      </c>
      <c r="AD84" s="135">
        <v>1</v>
      </c>
      <c r="AE84" s="134"/>
      <c r="AF84" s="134"/>
      <c r="AG84" s="134"/>
      <c r="AH84" s="134"/>
      <c r="AJ84" s="136" t="s">
        <v>167</v>
      </c>
      <c r="AK84" s="137"/>
      <c r="AL84" s="137"/>
      <c r="AM84" s="137"/>
      <c r="AN84" s="138"/>
      <c r="AO84" s="137"/>
      <c r="AP84" s="137"/>
      <c r="AQ84" s="139"/>
      <c r="AU84" s="114" t="s">
        <v>159</v>
      </c>
      <c r="AV84" s="115" t="s">
        <v>193</v>
      </c>
      <c r="AW84" s="114" t="s">
        <v>161</v>
      </c>
      <c r="AX84" s="115" t="s">
        <v>163</v>
      </c>
      <c r="AY84" s="132"/>
      <c r="AZ84" s="133"/>
      <c r="BA84" s="133"/>
      <c r="BB84" s="133"/>
      <c r="BC84" s="133"/>
      <c r="BD84" s="133"/>
      <c r="BE84" s="133"/>
      <c r="BF84" s="133"/>
      <c r="BG84" s="133"/>
      <c r="BI84" s="114" t="s">
        <v>159</v>
      </c>
      <c r="BJ84" s="115" t="s">
        <v>23</v>
      </c>
      <c r="BK84" s="114" t="s">
        <v>161</v>
      </c>
      <c r="BL84" s="134" t="str" cm="1">
        <f t="array" ref="BL84">IF(OR(LOOKUP(2,1/($B$10:$B$14&lt;=BL83)/($C$10:$C$14&gt;=BL83),$D$10:$D$14)&lt;&gt;BJ87,LOOKUP(2,1/($B$6:$B$7&lt;=BL83)/($C$6:$C$7&gt;=BL83),$D$6:$D$7)&lt;&gt;BL87),"FAIL","PASS")</f>
        <v>PASS</v>
      </c>
      <c r="BM84" s="134"/>
      <c r="BN84" s="134"/>
      <c r="BO84" s="134"/>
      <c r="BP84" s="133"/>
      <c r="BQ84" s="133"/>
      <c r="BR84" s="133"/>
      <c r="BS84" s="133"/>
      <c r="BT84" s="133"/>
      <c r="BU84" s="133"/>
      <c r="BV84" s="133"/>
      <c r="BW84" s="133"/>
      <c r="BX84" s="133"/>
      <c r="BY84" s="133"/>
      <c r="BZ84" s="133"/>
      <c r="CR84" s="114" t="s">
        <v>165</v>
      </c>
      <c r="CS84" s="134">
        <f>INDEX($G:$G,MATCH(CS83,$F:$F,0))</f>
        <v>43647</v>
      </c>
      <c r="CT84" s="114" t="s">
        <v>166</v>
      </c>
      <c r="CU84" s="134">
        <f>INDEX($H:$H,MATCH(CS83,$F:$F,0))</f>
        <v>44012</v>
      </c>
      <c r="CV84" s="135">
        <v>1.3</v>
      </c>
      <c r="CW84" s="135">
        <v>1</v>
      </c>
      <c r="CX84" s="134"/>
      <c r="DA84" s="136" t="s">
        <v>167</v>
      </c>
      <c r="DB84" s="137"/>
      <c r="DC84" s="137"/>
      <c r="DD84" s="137"/>
      <c r="DE84" s="138"/>
      <c r="DF84" s="137"/>
      <c r="DG84" s="137"/>
      <c r="DH84" s="139"/>
      <c r="DL84" s="114" t="s">
        <v>165</v>
      </c>
      <c r="DM84" s="134">
        <f>INDEX($G:$G,MATCH(DM83,$F:$F,0))</f>
        <v>43466</v>
      </c>
      <c r="DN84" s="114" t="s">
        <v>166</v>
      </c>
      <c r="DO84" s="134">
        <f>INDEX($H:$H,MATCH(DM83,$F:$F,0))</f>
        <v>43646</v>
      </c>
      <c r="DP84" s="135">
        <v>1.25</v>
      </c>
      <c r="DQ84" s="135">
        <v>1</v>
      </c>
      <c r="DR84" s="134"/>
      <c r="DT84" s="136" t="s">
        <v>167</v>
      </c>
      <c r="DU84" s="137"/>
      <c r="DV84" s="137"/>
      <c r="DW84" s="137"/>
      <c r="DX84" s="138"/>
      <c r="DY84" s="137"/>
      <c r="DZ84" s="137"/>
      <c r="EA84" s="139"/>
    </row>
    <row r="85" spans="10:131" x14ac:dyDescent="0.25">
      <c r="J85" s="86" t="str" cm="1">
        <f t="array" ref="J85">LOOKUP(2,1/($G$17:$G$33&lt;=$L85)/($H$17:$H$33&gt;=$L85),$F$17:$F$33)</f>
        <v>1H23</v>
      </c>
      <c r="K85" s="86" t="str" cm="1">
        <f t="array" ref="K85">LOOKUP(2,1/($G$6:$G$14&lt;=$L85)/($H$6:$H$14&gt;=$L85),$F$6:$F$14)</f>
        <v>FY23</v>
      </c>
      <c r="L85" s="118">
        <v>44910</v>
      </c>
      <c r="M85" s="49">
        <v>50094358</v>
      </c>
      <c r="N85" s="49">
        <v>60779485</v>
      </c>
      <c r="O85" s="50">
        <v>30000000</v>
      </c>
      <c r="P85" s="119" cm="1">
        <f t="array" ref="P85">LOOKUP(2,1/($B$10:$B$14&lt;=$L85)/($C$10:$C$14&gt;=$L85),$D$10:$D$14)</f>
        <v>1.1000000000000001</v>
      </c>
      <c r="Q85" s="120" cm="1">
        <f t="array" ref="Q85">LOOKUP(2,1/($B$17:$B$21&lt;=$L85)/($C$17:$C$21&gt;=$L85),$D$17:$D$21)</f>
        <v>134.49039999999999</v>
      </c>
      <c r="R85" s="113" t="str">
        <f t="shared" si="35"/>
        <v/>
      </c>
      <c r="S85" s="113" t="str">
        <f t="shared" si="36"/>
        <v>1H23</v>
      </c>
      <c r="T85" s="113" t="str">
        <f t="shared" ca="1" si="37"/>
        <v/>
      </c>
      <c r="U85" s="113" t="str">
        <f t="shared" si="38"/>
        <v/>
      </c>
      <c r="V85" s="113" t="str">
        <f t="shared" si="4"/>
        <v>FY23</v>
      </c>
      <c r="W85" s="113" t="str">
        <f t="shared" ca="1" si="98"/>
        <v/>
      </c>
      <c r="X85" s="50"/>
      <c r="Y85" s="114" t="s">
        <v>91</v>
      </c>
      <c r="Z85" s="140">
        <f>INDEX($O:$O,MATCH(Z83,$U:$U,0))</f>
        <v>4000000</v>
      </c>
      <c r="AA85" s="114" t="s">
        <v>76</v>
      </c>
      <c r="AB85" s="140">
        <f ca="1">INDEX($O:$O,MATCH(Z83,$W:$W,0))</f>
        <v>60000000</v>
      </c>
      <c r="AC85" s="140"/>
      <c r="AD85" s="140"/>
      <c r="AE85" s="140"/>
      <c r="AF85" s="140"/>
      <c r="AG85" s="140"/>
      <c r="AH85" s="140"/>
      <c r="AJ85" s="141" t="s">
        <v>168</v>
      </c>
      <c r="AK85" s="141"/>
      <c r="AL85" s="142"/>
      <c r="AM85" s="142"/>
      <c r="AN85" s="143" t="s">
        <v>15</v>
      </c>
      <c r="AO85" s="142"/>
      <c r="AP85" s="142"/>
      <c r="AQ85" s="144" t="s">
        <v>139</v>
      </c>
      <c r="AT85" s="50"/>
      <c r="AU85" s="114" t="s">
        <v>165</v>
      </c>
      <c r="AV85" s="134">
        <f>INDEX($G:$G,MATCH(AV84,$F:$F,0))</f>
        <v>44927</v>
      </c>
      <c r="AW85" s="114" t="s">
        <v>166</v>
      </c>
      <c r="AX85" s="134">
        <f>INDEX($H:$H,MATCH(AV84,$F:$F,0))</f>
        <v>45107</v>
      </c>
      <c r="AY85" s="134"/>
      <c r="BA85" s="136" t="s">
        <v>167</v>
      </c>
      <c r="BB85" s="137"/>
      <c r="BC85" s="137"/>
      <c r="BD85" s="138"/>
      <c r="BE85" s="139"/>
      <c r="BH85" s="50"/>
      <c r="BI85" s="114" t="s">
        <v>165</v>
      </c>
      <c r="BJ85" s="134">
        <f>INDEX($G:$G,MATCH(BJ84,$F:$F,0))</f>
        <v>44743</v>
      </c>
      <c r="BK85" s="114" t="s">
        <v>166</v>
      </c>
      <c r="BL85" s="134">
        <f>INDEX($H:$H,MATCH(BJ84,$F:$F,0))</f>
        <v>45107</v>
      </c>
      <c r="BM85" s="134"/>
      <c r="BN85" s="134"/>
      <c r="BO85" s="134"/>
      <c r="BQ85" s="136" t="s">
        <v>167</v>
      </c>
      <c r="BR85" s="137"/>
      <c r="BS85" s="137"/>
      <c r="BT85" s="137"/>
      <c r="BU85" s="138"/>
      <c r="BV85" s="137"/>
      <c r="BW85" s="137"/>
      <c r="BX85" s="139"/>
      <c r="CA85" s="50"/>
      <c r="CQ85" s="50"/>
      <c r="CR85" s="114" t="s">
        <v>91</v>
      </c>
      <c r="CS85" s="140">
        <f>INDEX($O:$O,MATCH(CS83,$U:$U,0))</f>
        <v>60000000</v>
      </c>
      <c r="CT85" s="114" t="s">
        <v>76</v>
      </c>
      <c r="CU85" s="140">
        <f ca="1">INDEX($O:$O,MATCH(CS83,$W:$W,0))</f>
        <v>8000000</v>
      </c>
      <c r="CV85" s="140"/>
      <c r="CW85" s="140"/>
      <c r="CX85" s="140"/>
      <c r="DA85" s="141" t="s">
        <v>168</v>
      </c>
      <c r="DB85" s="141"/>
      <c r="DC85" s="142"/>
      <c r="DD85" s="142"/>
      <c r="DE85" s="143" t="s">
        <v>15</v>
      </c>
      <c r="DF85" s="142"/>
      <c r="DG85" s="142"/>
      <c r="DH85" s="144" t="s">
        <v>139</v>
      </c>
      <c r="DK85" s="50"/>
      <c r="DL85" s="114" t="s">
        <v>91</v>
      </c>
      <c r="DM85" s="140">
        <f>INDEX($O:$O,MATCH(DM83,$R:$R,0))</f>
        <v>50000000</v>
      </c>
      <c r="DN85" s="114" t="s">
        <v>76</v>
      </c>
      <c r="DO85" s="140">
        <f ca="1">INDEX($O:$O,MATCH(DM83,$T:$T,0))</f>
        <v>60000000</v>
      </c>
      <c r="DP85" s="140"/>
      <c r="DQ85" s="140"/>
      <c r="DR85" s="140"/>
      <c r="DT85" s="147" t="s">
        <v>165</v>
      </c>
      <c r="DU85" s="148">
        <f>DM84</f>
        <v>43466</v>
      </c>
      <c r="DV85" s="142"/>
      <c r="DW85" s="142"/>
      <c r="DX85" s="143" t="s">
        <v>15</v>
      </c>
      <c r="DY85" s="142"/>
      <c r="DZ85" s="142"/>
      <c r="EA85" s="144" t="s">
        <v>139</v>
      </c>
    </row>
    <row r="86" spans="10:131" x14ac:dyDescent="0.25">
      <c r="J86" s="86" t="str" cm="1">
        <f t="array" ref="J86">LOOKUP(2,1/($G$17:$G$33&lt;=$L86)/($H$17:$H$33&gt;=$L86),$F$17:$F$33)</f>
        <v>1H23</v>
      </c>
      <c r="K86" s="86" t="str" cm="1">
        <f t="array" ref="K86">LOOKUP(2,1/($G$6:$G$14&lt;=$L86)/($H$6:$H$14&gt;=$L86),$F$6:$F$14)</f>
        <v>FY23</v>
      </c>
      <c r="L86" s="118">
        <v>44903</v>
      </c>
      <c r="M86" s="49">
        <v>38341626</v>
      </c>
      <c r="N86" s="49">
        <v>46519895</v>
      </c>
      <c r="O86" s="50">
        <v>20000000</v>
      </c>
      <c r="P86" s="119" cm="1">
        <f t="array" ref="P86">LOOKUP(2,1/($B$10:$B$14&lt;=$L86)/($C$10:$C$14&gt;=$L86),$D$10:$D$14)</f>
        <v>1.1000000000000001</v>
      </c>
      <c r="Q86" s="120" cm="1">
        <f t="array" ref="Q86">LOOKUP(2,1/($B$17:$B$21&lt;=$L86)/($C$17:$C$21&gt;=$L86),$D$17:$D$21)</f>
        <v>134.49039999999999</v>
      </c>
      <c r="R86" s="113" t="str">
        <f t="shared" si="35"/>
        <v/>
      </c>
      <c r="S86" s="113" t="str">
        <f t="shared" si="36"/>
        <v>1H23</v>
      </c>
      <c r="T86" s="113" t="str">
        <f t="shared" ca="1" si="37"/>
        <v/>
      </c>
      <c r="U86" s="113" t="str">
        <f t="shared" si="38"/>
        <v/>
      </c>
      <c r="V86" s="113" t="str">
        <f t="shared" si="4"/>
        <v>FY23</v>
      </c>
      <c r="W86" s="113" t="str">
        <f t="shared" ca="1" si="98"/>
        <v/>
      </c>
      <c r="X86" s="50"/>
      <c r="Y86" s="114" t="s">
        <v>169</v>
      </c>
      <c r="Z86" s="135">
        <v>1.2</v>
      </c>
      <c r="AA86" s="114" t="s">
        <v>149</v>
      </c>
      <c r="AB86" s="152" cm="1">
        <f t="array" ref="AB86">LOOKUP(2,1/($B$6:$B$7&lt;=Z82)/($C$6:$C$7&gt;=Z82),$D$6:$D$7)</f>
        <v>0.10299999999999999</v>
      </c>
      <c r="AC86" s="152" t="s">
        <v>170</v>
      </c>
      <c r="AD86" s="152" t="s">
        <v>171</v>
      </c>
      <c r="AE86" s="152"/>
      <c r="AF86" s="152"/>
      <c r="AG86" s="152"/>
      <c r="AH86" s="152"/>
      <c r="AJ86" s="153" t="s">
        <v>165</v>
      </c>
      <c r="AK86" s="148">
        <f>Z84</f>
        <v>44743</v>
      </c>
      <c r="AL86" s="154"/>
      <c r="AM86" s="154"/>
      <c r="AN86" s="155">
        <f t="shared" ref="AN86:AN95" si="109">Z89/1000000</f>
        <v>8</v>
      </c>
      <c r="AO86" s="154"/>
      <c r="AP86" s="154"/>
      <c r="AQ86" s="156">
        <f t="shared" ref="AQ86:AQ95" si="110">MAX(AA89:AB89)/1000000</f>
        <v>24.250081943181819</v>
      </c>
      <c r="AT86" s="50"/>
      <c r="AU86" s="114" t="s">
        <v>91</v>
      </c>
      <c r="AV86" s="145">
        <v>12000000</v>
      </c>
      <c r="AW86" s="114" t="s">
        <v>76</v>
      </c>
      <c r="AX86" s="145">
        <v>12000000</v>
      </c>
      <c r="AY86" s="146"/>
      <c r="BA86" s="147" t="s">
        <v>165</v>
      </c>
      <c r="BB86" s="148">
        <f>AV85</f>
        <v>44927</v>
      </c>
      <c r="BC86" s="142"/>
      <c r="BD86" s="143" t="s">
        <v>15</v>
      </c>
      <c r="BE86" s="144" t="s">
        <v>139</v>
      </c>
      <c r="BH86" s="50"/>
      <c r="BI86" s="114" t="s">
        <v>91</v>
      </c>
      <c r="BJ86" s="140">
        <f>INDEX($O:$O,MATCH(BJ84,$U:$U,0))</f>
        <v>4000000</v>
      </c>
      <c r="BK86" s="114" t="s">
        <v>76</v>
      </c>
      <c r="BL86" s="140">
        <f ca="1">INDEX($O:$O,MATCH(BJ84,$W:$W,0))</f>
        <v>60000000</v>
      </c>
      <c r="BM86" s="140"/>
      <c r="BN86" s="140"/>
      <c r="BO86" s="140"/>
      <c r="BQ86" s="141" t="s">
        <v>168</v>
      </c>
      <c r="BR86" s="141"/>
      <c r="BS86" s="2"/>
      <c r="BT86" s="2"/>
      <c r="BU86" s="149" t="s">
        <v>15</v>
      </c>
      <c r="BV86" s="2"/>
      <c r="BW86" s="2"/>
      <c r="BX86" s="150" t="s">
        <v>139</v>
      </c>
      <c r="CA86" s="50"/>
      <c r="CQ86" s="50"/>
      <c r="CR86" s="114" t="s">
        <v>169</v>
      </c>
      <c r="CS86" s="119" cm="1">
        <f t="array" ref="CS86">LOOKUP(2,1/($B$10:$B$14&lt;=CS82)/($C$10:$C$14&gt;=CS82),$D$10:$D$14)</f>
        <v>1.1000000000000001</v>
      </c>
      <c r="CT86" s="114" t="s">
        <v>149</v>
      </c>
      <c r="CU86" s="162">
        <f>9.3%*13/52+10.3%*39/52</f>
        <v>0.10050000000000001</v>
      </c>
      <c r="CV86" s="152" t="s">
        <v>170</v>
      </c>
      <c r="CW86" s="152" t="s">
        <v>171</v>
      </c>
      <c r="CX86" s="164"/>
      <c r="DA86" s="153" t="s">
        <v>165</v>
      </c>
      <c r="DB86" s="148">
        <f>CS84</f>
        <v>43647</v>
      </c>
      <c r="DC86" s="154"/>
      <c r="DD86" s="154"/>
      <c r="DE86" s="155">
        <f t="shared" ref="DE86:DE95" si="111">CS89/1000000</f>
        <v>3</v>
      </c>
      <c r="DF86" s="154"/>
      <c r="DG86" s="154"/>
      <c r="DH86" s="156">
        <f t="shared" ref="DH86:DH95" si="112">MAX(CT89:CU89)/1000000</f>
        <v>15.636908</v>
      </c>
      <c r="DK86" s="50"/>
      <c r="DL86" s="114" t="s">
        <v>169</v>
      </c>
      <c r="DM86" s="119" cm="1">
        <f t="array" ref="DM86">LOOKUP(2,1/($B$10:$B$14&lt;=DM82)/($C$10:$C$14&gt;=DM82),$D$10:$D$14)</f>
        <v>1.1000000000000001</v>
      </c>
      <c r="DN86" s="114" t="s">
        <v>149</v>
      </c>
      <c r="DO86" s="152" cm="1">
        <f t="array" ref="DO86">LOOKUP(2,1/($B$6:$B$7&lt;=DM82)/($C$6:$C$7&gt;=DM82),$D$6:$D$7)</f>
        <v>9.2999999999999999E-2</v>
      </c>
      <c r="DP86" s="152" t="s">
        <v>170</v>
      </c>
      <c r="DQ86" s="152" t="s">
        <v>171</v>
      </c>
      <c r="DR86" s="152"/>
      <c r="DT86" s="153" t="s">
        <v>166</v>
      </c>
      <c r="DU86" s="158">
        <f>DO84</f>
        <v>43646</v>
      </c>
      <c r="DV86" s="154"/>
      <c r="DW86" s="154"/>
      <c r="DX86" s="155">
        <f>DM89/1000000</f>
        <v>3</v>
      </c>
      <c r="DY86" s="154"/>
      <c r="DZ86" s="154"/>
      <c r="EA86" s="156">
        <f>MAX(DN89:DO89)/1000000</f>
        <v>13.104693599999999</v>
      </c>
    </row>
    <row r="87" spans="10:131" x14ac:dyDescent="0.25">
      <c r="J87" s="86" t="str" cm="1">
        <f t="array" ref="J87">LOOKUP(2,1/($G$17:$G$33&lt;=$L87)/($H$17:$H$33&gt;=$L87),$F$17:$F$33)</f>
        <v>1H23</v>
      </c>
      <c r="K87" s="86" t="str" cm="1">
        <f t="array" ref="K87">LOOKUP(2,1/($G$6:$G$14&lt;=$L87)/($H$6:$H$14&gt;=$L87),$F$6:$F$14)</f>
        <v>FY23</v>
      </c>
      <c r="L87" s="118">
        <v>44896</v>
      </c>
      <c r="M87" s="49">
        <v>25213058</v>
      </c>
      <c r="N87" s="49">
        <v>30591003</v>
      </c>
      <c r="O87" s="50">
        <v>8000000</v>
      </c>
      <c r="P87" s="119" cm="1">
        <f t="array" ref="P87">LOOKUP(2,1/($B$10:$B$14&lt;=$L87)/($C$10:$C$14&gt;=$L87),$D$10:$D$14)</f>
        <v>1.1000000000000001</v>
      </c>
      <c r="Q87" s="120" cm="1">
        <f t="array" ref="Q87">LOOKUP(2,1/($B$17:$B$21&lt;=$L87)/($C$17:$C$21&gt;=$L87),$D$17:$D$21)</f>
        <v>134.49039999999999</v>
      </c>
      <c r="R87" s="113" t="str">
        <f t="shared" si="35"/>
        <v/>
      </c>
      <c r="S87" s="113" t="str">
        <f t="shared" si="36"/>
        <v>1H23</v>
      </c>
      <c r="T87" s="113" t="str">
        <f t="shared" ca="1" si="37"/>
        <v/>
      </c>
      <c r="U87" s="113" t="str">
        <f t="shared" si="38"/>
        <v/>
      </c>
      <c r="V87" s="113" t="str">
        <f t="shared" si="4"/>
        <v>FY23</v>
      </c>
      <c r="W87" s="113" t="str">
        <f t="shared" ca="1" si="98"/>
        <v/>
      </c>
      <c r="X87" s="50"/>
      <c r="Y87" s="114" t="s">
        <v>172</v>
      </c>
      <c r="Z87" s="119" cm="1">
        <f t="array" ref="Z87">LOOKUP(2,1/($B$17:$B$21&lt;=Z82)/($C$17:$C$21&gt;=Z82),$D$17:$D$21)</f>
        <v>134.49039999999999</v>
      </c>
      <c r="AA87" s="114" t="s">
        <v>0</v>
      </c>
      <c r="AB87" s="135">
        <f>1+(1.2/1.1-1)*-50%</f>
        <v>0.95454545454545459</v>
      </c>
      <c r="AC87" s="162">
        <v>1</v>
      </c>
      <c r="AD87" s="162">
        <f>1-AC87</f>
        <v>0</v>
      </c>
      <c r="AJ87" s="153" t="s">
        <v>166</v>
      </c>
      <c r="AK87" s="158">
        <f>AB84</f>
        <v>45107</v>
      </c>
      <c r="AL87" s="154"/>
      <c r="AM87" s="154"/>
      <c r="AN87" s="155">
        <f t="shared" si="109"/>
        <v>20</v>
      </c>
      <c r="AO87" s="154"/>
      <c r="AP87" s="154"/>
      <c r="AQ87" s="156">
        <f t="shared" si="110"/>
        <v>38.08583004545455</v>
      </c>
      <c r="AT87" s="50"/>
      <c r="AU87" s="114" t="s">
        <v>169</v>
      </c>
      <c r="AV87" s="159">
        <v>1.2</v>
      </c>
      <c r="AW87" s="114" t="s">
        <v>149</v>
      </c>
      <c r="AX87" s="160">
        <v>0.10299999999999999</v>
      </c>
      <c r="AY87" s="157"/>
      <c r="BA87" s="153" t="s">
        <v>166</v>
      </c>
      <c r="BB87" s="158">
        <f>AX85</f>
        <v>45107</v>
      </c>
      <c r="BC87" s="154"/>
      <c r="BD87" s="155">
        <f>AV90/1000000</f>
        <v>3</v>
      </c>
      <c r="BE87" s="156">
        <f>MAX(AW90:AX90)/1000000</f>
        <v>14.122742885888002</v>
      </c>
      <c r="BH87" s="50"/>
      <c r="BI87" s="114" t="s">
        <v>169</v>
      </c>
      <c r="BJ87" s="119" cm="1">
        <f t="array" ref="BJ87">LOOKUP(2,1/($B$10:$B$14&lt;=BJ83)/($C$10:$C$14&gt;=BJ83),$D$10:$D$14)</f>
        <v>1.1000000000000001</v>
      </c>
      <c r="BK87" s="114" t="s">
        <v>149</v>
      </c>
      <c r="BL87" s="152" cm="1">
        <f t="array" ref="BL87">LOOKUP(2,1/($B$6:$B$7&lt;=BJ83)/($C$6:$C$7&gt;=BJ83),$D$6:$D$7)</f>
        <v>0.10299999999999999</v>
      </c>
      <c r="BM87" s="152"/>
      <c r="BN87" s="152"/>
      <c r="BO87" s="152"/>
      <c r="BQ87" s="153" t="s">
        <v>165</v>
      </c>
      <c r="BR87" s="158">
        <f>BJ85</f>
        <v>44743</v>
      </c>
      <c r="BS87" s="154"/>
      <c r="BT87" s="154"/>
      <c r="BU87" s="155">
        <f t="shared" ref="BU87:BU96" si="113">BJ90/1000000</f>
        <v>4</v>
      </c>
      <c r="BV87" s="154"/>
      <c r="BW87" s="154"/>
      <c r="BX87" s="156">
        <f t="shared" ref="BX87:BX96" si="114">MAX(BK90:BL90)/1000000</f>
        <v>20.45252257142857</v>
      </c>
      <c r="CA87" s="50"/>
      <c r="CQ87" s="50"/>
      <c r="CR87" s="114" t="s">
        <v>172</v>
      </c>
      <c r="CS87" s="119" cm="1">
        <f t="array" ref="CS87">LOOKUP(2,1/($B$17:$B$21&lt;=CS82)/($C$17:$C$21&gt;=CS82),$D$17:$D$21)</f>
        <v>134.49039999999999</v>
      </c>
      <c r="CT87" s="114" t="s">
        <v>173</v>
      </c>
      <c r="CU87" s="163">
        <f>INT((WEEKDAY(CS82-5)-CS82+CU82)/7)/INT((WEEKDAY(CS84-5)-CS84+CU84)/7)</f>
        <v>1</v>
      </c>
      <c r="CV87" s="162">
        <v>1</v>
      </c>
      <c r="CW87" s="162">
        <f>1-CV87</f>
        <v>0</v>
      </c>
      <c r="CX87" s="163"/>
      <c r="DA87" s="153" t="s">
        <v>166</v>
      </c>
      <c r="DB87" s="158">
        <f>CU84</f>
        <v>44012</v>
      </c>
      <c r="DC87" s="154"/>
      <c r="DD87" s="154"/>
      <c r="DE87" s="155">
        <f t="shared" si="111"/>
        <v>8</v>
      </c>
      <c r="DF87" s="154"/>
      <c r="DG87" s="154"/>
      <c r="DH87" s="156">
        <f t="shared" si="112"/>
        <v>21.206804399999999</v>
      </c>
      <c r="DK87" s="50"/>
      <c r="DL87" s="114" t="s">
        <v>172</v>
      </c>
      <c r="DM87" s="119" cm="1">
        <f t="array" ref="DM87">LOOKUP(2,1/($B$17:$B$21&lt;=DM82)/($C$17:$C$21&gt;=DM82),$D$17:$D$21)</f>
        <v>134.49039999999999</v>
      </c>
      <c r="DN87" s="114" t="s">
        <v>173</v>
      </c>
      <c r="DO87" s="163">
        <f>INT((WEEKDAY(DM82-5)-DM82+DO82)/7)/INT((WEEKDAY(DM84-5)-DM84+DO84)/7)</f>
        <v>1</v>
      </c>
      <c r="DP87" s="162">
        <v>1</v>
      </c>
      <c r="DQ87" s="162">
        <f>1-DP87</f>
        <v>0</v>
      </c>
      <c r="DR87" s="163"/>
      <c r="DT87" s="153" t="s">
        <v>91</v>
      </c>
      <c r="DU87" s="155">
        <f>DM85/1000000</f>
        <v>50</v>
      </c>
      <c r="DV87" s="154"/>
      <c r="DW87" s="154"/>
      <c r="DX87" s="155">
        <f t="shared" ref="DX87:DX95" si="115">DM90/1000000</f>
        <v>8</v>
      </c>
      <c r="DY87" s="154"/>
      <c r="DZ87" s="154"/>
      <c r="EA87" s="156">
        <f t="shared" ref="EA87:EA95" si="116">MAX(DN90:DO90)/1000000</f>
        <v>16.881850199999999</v>
      </c>
    </row>
    <row r="88" spans="10:131" x14ac:dyDescent="0.25">
      <c r="J88" s="86" t="str" cm="1">
        <f t="array" ref="J88">LOOKUP(2,1/($G$17:$G$33&lt;=$L88)/($H$17:$H$33&gt;=$L88),$F$17:$F$33)</f>
        <v>1H23</v>
      </c>
      <c r="K88" s="86" t="str" cm="1">
        <f t="array" ref="K88">LOOKUP(2,1/($G$6:$G$14&lt;=$L88)/($H$6:$H$14&gt;=$L88),$F$6:$F$14)</f>
        <v>FY23</v>
      </c>
      <c r="L88" s="118">
        <v>44889</v>
      </c>
      <c r="M88" s="49">
        <v>71266594</v>
      </c>
      <c r="N88" s="49">
        <v>86467759</v>
      </c>
      <c r="O88" s="50">
        <v>50000000</v>
      </c>
      <c r="P88" s="119" cm="1">
        <f t="array" ref="P88">LOOKUP(2,1/($B$10:$B$14&lt;=$L88)/($C$10:$C$14&gt;=$L88),$D$10:$D$14)</f>
        <v>1.1000000000000001</v>
      </c>
      <c r="Q88" s="120" cm="1">
        <f t="array" ref="Q88">LOOKUP(2,1/($B$17:$B$21&lt;=$L88)/($C$17:$C$21&gt;=$L88),$D$17:$D$21)</f>
        <v>134.49039999999999</v>
      </c>
      <c r="R88" s="113" t="str">
        <f t="shared" si="35"/>
        <v/>
      </c>
      <c r="S88" s="113" t="str">
        <f t="shared" si="36"/>
        <v>1H23</v>
      </c>
      <c r="T88" s="113" t="str">
        <f t="shared" ca="1" si="37"/>
        <v/>
      </c>
      <c r="U88" s="113" t="str">
        <f t="shared" si="38"/>
        <v/>
      </c>
      <c r="V88" s="113" t="str">
        <f t="shared" si="4"/>
        <v>FY23</v>
      </c>
      <c r="W88" s="113" t="str">
        <f t="shared" ca="1" si="98"/>
        <v/>
      </c>
      <c r="X88" s="50"/>
      <c r="Y88" s="111" t="s">
        <v>174</v>
      </c>
      <c r="Z88" s="111" t="s">
        <v>175</v>
      </c>
      <c r="AA88" s="111" t="s">
        <v>176</v>
      </c>
      <c r="AB88" s="111" t="s">
        <v>177</v>
      </c>
      <c r="AC88" s="111" t="s">
        <v>178</v>
      </c>
      <c r="AD88" s="111" t="s">
        <v>179</v>
      </c>
      <c r="AE88" s="111" t="s">
        <v>180</v>
      </c>
      <c r="AF88" s="37"/>
      <c r="AG88" s="37"/>
      <c r="AH88" s="37"/>
      <c r="AJ88" s="153" t="s">
        <v>91</v>
      </c>
      <c r="AK88" s="155">
        <f>Z85/1000000</f>
        <v>4</v>
      </c>
      <c r="AL88" s="154"/>
      <c r="AM88" s="154"/>
      <c r="AN88" s="155">
        <f t="shared" si="109"/>
        <v>30</v>
      </c>
      <c r="AO88" s="154"/>
      <c r="AP88" s="154"/>
      <c r="AQ88" s="156">
        <f t="shared" si="110"/>
        <v>45.267581863636366</v>
      </c>
      <c r="AT88" s="50"/>
      <c r="AU88" s="114" t="s">
        <v>172</v>
      </c>
      <c r="AV88" s="159">
        <v>134.49039999999999</v>
      </c>
      <c r="AW88" s="114" t="s">
        <v>0</v>
      </c>
      <c r="AX88" s="135">
        <f>1+(1.2/1.1-1)*-50%</f>
        <v>0.95454545454545459</v>
      </c>
      <c r="BA88" s="153" t="s">
        <v>91</v>
      </c>
      <c r="BB88" s="155">
        <f>AV86/1000000</f>
        <v>12</v>
      </c>
      <c r="BC88" s="154"/>
      <c r="BD88" s="155">
        <f t="shared" ref="BD88:BD96" si="117">AV91/1000000</f>
        <v>8</v>
      </c>
      <c r="BE88" s="156">
        <f t="shared" ref="BE88:BE95" si="118">MAX(AW91:AX91)/1000000</f>
        <v>18.997084701504004</v>
      </c>
      <c r="BH88" s="50"/>
      <c r="BI88" s="114" t="s">
        <v>172</v>
      </c>
      <c r="BJ88" s="119" cm="1">
        <f t="array" ref="BJ88">LOOKUP(2,1/($B$17:$B$21&lt;=BJ83)/($C$17:$C$21&gt;=BJ83),$D$17:$D$21)</f>
        <v>134.49039999999999</v>
      </c>
      <c r="BQ88" s="153" t="s">
        <v>166</v>
      </c>
      <c r="BR88" s="158">
        <f>BL85</f>
        <v>45107</v>
      </c>
      <c r="BS88" s="154"/>
      <c r="BT88" s="154"/>
      <c r="BU88" s="155">
        <f t="shared" si="113"/>
        <v>8</v>
      </c>
      <c r="BV88" s="154"/>
      <c r="BW88" s="154"/>
      <c r="BX88" s="156">
        <f t="shared" si="114"/>
        <v>25.176484142857142</v>
      </c>
      <c r="CA88" s="50"/>
      <c r="CQ88" s="50"/>
      <c r="CR88" s="111" t="s">
        <v>174</v>
      </c>
      <c r="CS88" s="111" t="s">
        <v>175</v>
      </c>
      <c r="CT88" s="111" t="s">
        <v>176</v>
      </c>
      <c r="CU88" s="111" t="s">
        <v>177</v>
      </c>
      <c r="CV88" s="111" t="s">
        <v>178</v>
      </c>
      <c r="CW88" s="111" t="s">
        <v>179</v>
      </c>
      <c r="CX88" s="111" t="s">
        <v>180</v>
      </c>
      <c r="DA88" s="153" t="s">
        <v>169</v>
      </c>
      <c r="DB88" s="165">
        <f>CS86</f>
        <v>1.1000000000000001</v>
      </c>
      <c r="DC88" s="154"/>
      <c r="DD88" s="154"/>
      <c r="DE88" s="155">
        <f t="shared" si="111"/>
        <v>12</v>
      </c>
      <c r="DF88" s="154"/>
      <c r="DG88" s="154"/>
      <c r="DH88" s="156">
        <f t="shared" si="112"/>
        <v>25.046573571428571</v>
      </c>
      <c r="DK88" s="50"/>
      <c r="DL88" s="111" t="s">
        <v>174</v>
      </c>
      <c r="DM88" s="111" t="s">
        <v>175</v>
      </c>
      <c r="DN88" s="111" t="s">
        <v>176</v>
      </c>
      <c r="DO88" s="111" t="s">
        <v>177</v>
      </c>
      <c r="DP88" s="111" t="s">
        <v>178</v>
      </c>
      <c r="DQ88" s="111" t="s">
        <v>179</v>
      </c>
      <c r="DR88" s="111" t="s">
        <v>180</v>
      </c>
      <c r="DT88" s="153" t="s">
        <v>76</v>
      </c>
      <c r="DU88" s="155">
        <f ca="1">DO85/1000000</f>
        <v>60</v>
      </c>
      <c r="DV88" s="154"/>
      <c r="DW88" s="154"/>
      <c r="DX88" s="155">
        <f t="shared" si="115"/>
        <v>12</v>
      </c>
      <c r="DY88" s="154"/>
      <c r="DZ88" s="154"/>
      <c r="EA88" s="156">
        <f t="shared" si="116"/>
        <v>21.618353249999998</v>
      </c>
    </row>
    <row r="89" spans="10:131" x14ac:dyDescent="0.25">
      <c r="J89" s="86" t="str" cm="1">
        <f t="array" ref="J89">LOOKUP(2,1/($G$17:$G$33&lt;=$L89)/($H$17:$H$33&gt;=$L89),$F$17:$F$33)</f>
        <v>1H23</v>
      </c>
      <c r="K89" s="86" t="str" cm="1">
        <f t="array" ref="K89">LOOKUP(2,1/($G$6:$G$14&lt;=$L89)/($H$6:$H$14&gt;=$L89),$F$6:$F$14)</f>
        <v>FY23</v>
      </c>
      <c r="L89" s="118">
        <v>44882</v>
      </c>
      <c r="M89" s="49">
        <v>51026175</v>
      </c>
      <c r="N89" s="49">
        <v>61910059</v>
      </c>
      <c r="O89" s="50">
        <v>30000000</v>
      </c>
      <c r="P89" s="119" cm="1">
        <f t="array" ref="P89">LOOKUP(2,1/($B$10:$B$14&lt;=$L89)/($C$10:$C$14&gt;=$L89),$D$10:$D$14)</f>
        <v>1.1000000000000001</v>
      </c>
      <c r="Q89" s="120" cm="1">
        <f t="array" ref="Q89">LOOKUP(2,1/($B$17:$B$21&lt;=$L89)/($C$17:$C$21&gt;=$L89),$D$17:$D$21)</f>
        <v>134.49039999999999</v>
      </c>
      <c r="R89" s="113" t="str">
        <f t="shared" si="35"/>
        <v/>
      </c>
      <c r="S89" s="113" t="str">
        <f t="shared" si="36"/>
        <v>1H23</v>
      </c>
      <c r="T89" s="113" t="str">
        <f t="shared" ca="1" si="37"/>
        <v/>
      </c>
      <c r="U89" s="113" t="str">
        <f t="shared" si="38"/>
        <v/>
      </c>
      <c r="V89" s="113" t="str">
        <f t="shared" si="4"/>
        <v>FY23</v>
      </c>
      <c r="W89" s="113" t="str">
        <f t="shared" ca="1" si="98"/>
        <v/>
      </c>
      <c r="X89" s="50"/>
      <c r="Y89" s="146">
        <v>1</v>
      </c>
      <c r="Z89" s="166">
        <v>8000000</v>
      </c>
      <c r="AA89" s="167">
        <f t="shared" ref="AA89:AA94" si="119">AVERAGEIFS($M:$M,$L:$L,"&gt;="&amp;Z$82,$L:$L,"&lt;="&amp;AB$82,$O:$O,"="&amp;Z89)*AB$87</f>
        <v>24250081.94318182</v>
      </c>
      <c r="AB89" s="168"/>
      <c r="AC89" s="168"/>
      <c r="AD89" s="168"/>
      <c r="AE89" s="167">
        <f t="shared" ref="AE89:AE94" si="120">COUNTIFS($L:$L,"&gt;="&amp;Z$82,$L:$L,"&lt;="&amp;AB$82,$O:$O,"="&amp;Z89)</f>
        <v>8</v>
      </c>
      <c r="AF89" s="167"/>
      <c r="AG89" s="167"/>
      <c r="AH89" s="167"/>
      <c r="AJ89" s="153" t="s">
        <v>76</v>
      </c>
      <c r="AK89" s="155">
        <f ca="1">AB85/1000000</f>
        <v>60</v>
      </c>
      <c r="AL89" s="154"/>
      <c r="AM89" s="154"/>
      <c r="AN89" s="155">
        <f t="shared" si="109"/>
        <v>50</v>
      </c>
      <c r="AO89" s="154"/>
      <c r="AP89" s="154"/>
      <c r="AQ89" s="156">
        <f t="shared" si="110"/>
        <v>74.161171636363648</v>
      </c>
      <c r="AT89" s="50"/>
      <c r="AU89" s="111" t="s">
        <v>174</v>
      </c>
      <c r="AV89" s="111" t="s">
        <v>175</v>
      </c>
      <c r="AW89" s="111" t="s">
        <v>176</v>
      </c>
      <c r="AX89" s="111" t="s">
        <v>177</v>
      </c>
      <c r="AY89" s="111" t="s">
        <v>180</v>
      </c>
      <c r="BA89" s="153" t="s">
        <v>76</v>
      </c>
      <c r="BB89" s="155">
        <f>AX86/1000000</f>
        <v>12</v>
      </c>
      <c r="BC89" s="154"/>
      <c r="BD89" s="155">
        <f t="shared" si="117"/>
        <v>12</v>
      </c>
      <c r="BE89" s="156">
        <f t="shared" si="118"/>
        <v>23.954590243584004</v>
      </c>
      <c r="BH89" s="50"/>
      <c r="BI89" s="111" t="s">
        <v>174</v>
      </c>
      <c r="BJ89" s="111" t="s">
        <v>175</v>
      </c>
      <c r="BK89" s="111" t="s">
        <v>176</v>
      </c>
      <c r="BL89" s="111" t="s">
        <v>177</v>
      </c>
      <c r="BM89" s="111"/>
      <c r="BN89" s="111"/>
      <c r="BO89" s="111" t="s">
        <v>180</v>
      </c>
      <c r="BQ89" s="153" t="s">
        <v>169</v>
      </c>
      <c r="BR89" s="165">
        <f>BJ87</f>
        <v>1.1000000000000001</v>
      </c>
      <c r="BS89" s="154"/>
      <c r="BT89" s="154"/>
      <c r="BU89" s="155">
        <f t="shared" si="113"/>
        <v>20</v>
      </c>
      <c r="BV89" s="154"/>
      <c r="BW89" s="154"/>
      <c r="BX89" s="156">
        <f t="shared" si="114"/>
        <v>39.899441000000003</v>
      </c>
      <c r="CA89" s="50"/>
      <c r="CQ89" s="50"/>
      <c r="CR89" s="146">
        <v>1</v>
      </c>
      <c r="CS89" s="166">
        <v>3000000</v>
      </c>
      <c r="CT89" s="168">
        <f t="shared" ref="CT89:CT96" si="121">AVERAGEIFS($M:$M,$L:$L,"&gt;="&amp;CS$63,$L:$L,"&lt;="&amp;CU$63,$O:$O,"="&amp;CS89)</f>
        <v>15636908</v>
      </c>
      <c r="CU89" s="168"/>
      <c r="CV89" s="145">
        <v>17585500</v>
      </c>
      <c r="CW89" s="168"/>
      <c r="CX89" s="167">
        <f t="shared" ref="CX89:CX97" si="122">COUNTIFS($L:$L,"&gt;="&amp;CS$63,$L:$L,"&lt;="&amp;CU$63,$O:$O,"="&amp;CS89)</f>
        <v>10</v>
      </c>
      <c r="DA89" s="153" t="s">
        <v>149</v>
      </c>
      <c r="DB89" s="169">
        <f>CU86</f>
        <v>0.10050000000000001</v>
      </c>
      <c r="DC89" s="154"/>
      <c r="DD89" s="154"/>
      <c r="DE89" s="155">
        <f t="shared" si="111"/>
        <v>20</v>
      </c>
      <c r="DF89" s="154"/>
      <c r="DG89" s="154"/>
      <c r="DH89" s="156">
        <f t="shared" si="112"/>
        <v>32.838674166666671</v>
      </c>
      <c r="DK89" s="50"/>
      <c r="DL89" s="146">
        <v>1</v>
      </c>
      <c r="DM89" s="166">
        <v>3000000</v>
      </c>
      <c r="DN89" s="168">
        <f t="shared" ref="DN89:DN97" si="123">AVERAGEIFS($M:$M,$L:$L,"&gt;="&amp;DM$82,$L:$L,"&lt;="&amp;DO$82,$O:$O,"="&amp;DM89)</f>
        <v>13104693.6</v>
      </c>
      <c r="DO89" s="168"/>
      <c r="DP89" s="168"/>
      <c r="DQ89" s="168"/>
      <c r="DR89" s="167">
        <f t="shared" ref="DR89:DR97" si="124">COUNTIFS($L:$L,"&gt;="&amp;DM$82,$L:$L,"&lt;="&amp;DO$82,$O:$O,"="&amp;DM89)</f>
        <v>5</v>
      </c>
      <c r="DT89" s="153" t="s">
        <v>169</v>
      </c>
      <c r="DU89" s="165">
        <f>DM86</f>
        <v>1.1000000000000001</v>
      </c>
      <c r="DV89" s="154"/>
      <c r="DW89" s="154"/>
      <c r="DX89" s="155">
        <f t="shared" si="115"/>
        <v>20</v>
      </c>
      <c r="DY89" s="154"/>
      <c r="DZ89" s="154"/>
      <c r="EA89" s="156">
        <f t="shared" si="116"/>
        <v>25.754766249999999</v>
      </c>
    </row>
    <row r="90" spans="10:131" x14ac:dyDescent="0.25">
      <c r="J90" s="86" t="str" cm="1">
        <f t="array" ref="J90">LOOKUP(2,1/($G$17:$G$33&lt;=$L90)/($H$17:$H$33&gt;=$L90),$F$17:$F$33)</f>
        <v>1H23</v>
      </c>
      <c r="K90" s="86" t="str" cm="1">
        <f t="array" ref="K90">LOOKUP(2,1/($G$6:$G$14&lt;=$L90)/($H$6:$H$14&gt;=$L90),$F$6:$F$14)</f>
        <v>FY23</v>
      </c>
      <c r="L90" s="118">
        <v>44875</v>
      </c>
      <c r="M90" s="49">
        <v>44321005</v>
      </c>
      <c r="N90" s="49">
        <v>53774676</v>
      </c>
      <c r="O90" s="50">
        <v>20000000</v>
      </c>
      <c r="P90" s="119" cm="1">
        <f t="array" ref="P90">LOOKUP(2,1/($B$10:$B$14&lt;=$L90)/($C$10:$C$14&gt;=$L90),$D$10:$D$14)</f>
        <v>1.1000000000000001</v>
      </c>
      <c r="Q90" s="120" cm="1">
        <f t="array" ref="Q90">LOOKUP(2,1/($B$17:$B$21&lt;=$L90)/($C$17:$C$21&gt;=$L90),$D$17:$D$21)</f>
        <v>134.49039999999999</v>
      </c>
      <c r="R90" s="113" t="str">
        <f t="shared" si="35"/>
        <v/>
      </c>
      <c r="S90" s="113" t="str">
        <f t="shared" si="36"/>
        <v>1H23</v>
      </c>
      <c r="T90" s="113" t="str">
        <f t="shared" ca="1" si="37"/>
        <v/>
      </c>
      <c r="U90" s="113" t="str">
        <f t="shared" si="38"/>
        <v/>
      </c>
      <c r="V90" s="113" t="str">
        <f t="shared" si="4"/>
        <v>FY23</v>
      </c>
      <c r="W90" s="113" t="str">
        <f t="shared" ca="1" si="98"/>
        <v/>
      </c>
      <c r="X90" s="50"/>
      <c r="Y90" s="146">
        <v>2</v>
      </c>
      <c r="Z90" s="166">
        <v>20000000</v>
      </c>
      <c r="AA90" s="167">
        <f t="shared" si="119"/>
        <v>38085830.045454547</v>
      </c>
      <c r="AE90" s="167">
        <f t="shared" si="120"/>
        <v>6</v>
      </c>
      <c r="AF90" s="167"/>
      <c r="AG90" s="167"/>
      <c r="AH90" s="167"/>
      <c r="AJ90" s="153" t="s">
        <v>169</v>
      </c>
      <c r="AK90" s="165">
        <f>Z86</f>
        <v>1.2</v>
      </c>
      <c r="AL90" s="154"/>
      <c r="AM90" s="154"/>
      <c r="AN90" s="155">
        <f t="shared" si="109"/>
        <v>100</v>
      </c>
      <c r="AO90" s="154"/>
      <c r="AP90" s="154"/>
      <c r="AQ90" s="156">
        <f t="shared" si="110"/>
        <v>174.7624515</v>
      </c>
      <c r="AT90" s="50"/>
      <c r="AU90" s="146">
        <v>1</v>
      </c>
      <c r="AV90" s="166">
        <v>3000000</v>
      </c>
      <c r="AW90" s="146">
        <f>AW32*$AX$88</f>
        <v>14122742.885888001</v>
      </c>
      <c r="AX90" s="168"/>
      <c r="AY90" s="167"/>
      <c r="BA90" s="153" t="s">
        <v>169</v>
      </c>
      <c r="BB90" s="165">
        <f>AV87</f>
        <v>1.2</v>
      </c>
      <c r="BC90" s="154"/>
      <c r="BD90" s="155">
        <f t="shared" si="117"/>
        <v>20</v>
      </c>
      <c r="BE90" s="156">
        <f t="shared" si="118"/>
        <v>29.706800812416002</v>
      </c>
      <c r="BH90" s="50"/>
      <c r="BI90" s="146">
        <v>1</v>
      </c>
      <c r="BJ90" s="166">
        <v>4000000</v>
      </c>
      <c r="BK90" s="167">
        <f t="shared" ref="BK90:BK95" si="125">AVERAGEIFS($M:$M,$L:$L,"&gt;="&amp;BJ$83,$L:$L,"&lt;="&amp;BL$83,$O:$O,"="&amp;BJ90)</f>
        <v>20452522.571428571</v>
      </c>
      <c r="BL90" s="168"/>
      <c r="BM90" s="168"/>
      <c r="BN90" s="168"/>
      <c r="BO90" s="167">
        <f t="shared" ref="BO90:BO96" si="126">COUNTIFS($L:$L,"&gt;="&amp;BJ$83,$L:$L,"&lt;="&amp;BL$83,$O:$O,"="&amp;BJ90)</f>
        <v>7</v>
      </c>
      <c r="BQ90" s="153" t="s">
        <v>149</v>
      </c>
      <c r="BR90" s="169">
        <f>BL87</f>
        <v>0.10299999999999999</v>
      </c>
      <c r="BS90" s="154"/>
      <c r="BT90" s="154"/>
      <c r="BU90" s="155">
        <f t="shared" si="113"/>
        <v>40</v>
      </c>
      <c r="BV90" s="154"/>
      <c r="BW90" s="154"/>
      <c r="BX90" s="156">
        <f t="shared" si="114"/>
        <v>58.983918000000003</v>
      </c>
      <c r="CA90" s="50"/>
      <c r="CQ90" s="50"/>
      <c r="CR90" s="146">
        <v>2</v>
      </c>
      <c r="CS90" s="166">
        <v>8000000</v>
      </c>
      <c r="CT90" s="168">
        <f t="shared" si="121"/>
        <v>21206804.399999999</v>
      </c>
      <c r="CV90" s="145">
        <v>21543000</v>
      </c>
      <c r="CX90" s="167">
        <f t="shared" si="122"/>
        <v>10</v>
      </c>
      <c r="DA90" s="153" t="s">
        <v>172</v>
      </c>
      <c r="DB90" s="170">
        <f>CS87</f>
        <v>134.49039999999999</v>
      </c>
      <c r="DC90" s="154"/>
      <c r="DD90" s="154"/>
      <c r="DE90" s="155">
        <f t="shared" si="111"/>
        <v>30</v>
      </c>
      <c r="DF90" s="154"/>
      <c r="DG90" s="154"/>
      <c r="DH90" s="156">
        <f t="shared" si="112"/>
        <v>44.351582499999999</v>
      </c>
      <c r="DK90" s="50"/>
      <c r="DL90" s="146">
        <v>2</v>
      </c>
      <c r="DM90" s="166">
        <v>8000000</v>
      </c>
      <c r="DN90" s="168">
        <f t="shared" si="123"/>
        <v>16881850.199999999</v>
      </c>
      <c r="DR90" s="167">
        <f t="shared" si="124"/>
        <v>5</v>
      </c>
      <c r="DT90" s="153" t="s">
        <v>149</v>
      </c>
      <c r="DU90" s="169">
        <f>DO86</f>
        <v>9.2999999999999999E-2</v>
      </c>
      <c r="DV90" s="154"/>
      <c r="DW90" s="154"/>
      <c r="DX90" s="155">
        <f t="shared" si="115"/>
        <v>30</v>
      </c>
      <c r="DY90" s="154"/>
      <c r="DZ90" s="154"/>
      <c r="EA90" s="156">
        <f t="shared" si="116"/>
        <v>33.460836</v>
      </c>
    </row>
    <row r="91" spans="10:131" x14ac:dyDescent="0.25">
      <c r="J91" s="86" t="str" cm="1">
        <f t="array" ref="J91">LOOKUP(2,1/($G$17:$G$33&lt;=$L91)/($H$17:$H$33&gt;=$L91),$F$17:$F$33)</f>
        <v>1H23</v>
      </c>
      <c r="K91" s="86" t="str" cm="1">
        <f t="array" ref="K91">LOOKUP(2,1/($G$6:$G$14&lt;=$L91)/($H$6:$H$14&gt;=$L91),$F$6:$F$14)</f>
        <v>FY23</v>
      </c>
      <c r="L91" s="118">
        <v>44868</v>
      </c>
      <c r="M91" s="49">
        <v>27003393</v>
      </c>
      <c r="N91" s="49">
        <v>32763217</v>
      </c>
      <c r="O91" s="50">
        <v>8000000</v>
      </c>
      <c r="P91" s="119" cm="1">
        <f t="array" ref="P91">LOOKUP(2,1/($B$10:$B$14&lt;=$L91)/($C$10:$C$14&gt;=$L91),$D$10:$D$14)</f>
        <v>1.1000000000000001</v>
      </c>
      <c r="Q91" s="120" cm="1">
        <f t="array" ref="Q91">LOOKUP(2,1/($B$17:$B$21&lt;=$L91)/($C$17:$C$21&gt;=$L91),$D$17:$D$21)</f>
        <v>134.49039999999999</v>
      </c>
      <c r="R91" s="113" t="str">
        <f t="shared" si="35"/>
        <v/>
      </c>
      <c r="S91" s="113" t="str">
        <f t="shared" si="36"/>
        <v>1H23</v>
      </c>
      <c r="T91" s="113" t="str">
        <f t="shared" ca="1" si="37"/>
        <v/>
      </c>
      <c r="U91" s="113" t="str">
        <f t="shared" si="38"/>
        <v/>
      </c>
      <c r="V91" s="113" t="str">
        <f t="shared" si="4"/>
        <v>FY23</v>
      </c>
      <c r="W91" s="113" t="str">
        <f t="shared" ca="1" si="98"/>
        <v/>
      </c>
      <c r="X91" s="50"/>
      <c r="Y91" s="146">
        <v>3</v>
      </c>
      <c r="Z91" s="166">
        <v>30000000</v>
      </c>
      <c r="AA91" s="167">
        <f t="shared" si="119"/>
        <v>45267581.863636367</v>
      </c>
      <c r="AE91" s="167">
        <f t="shared" si="120"/>
        <v>1</v>
      </c>
      <c r="AF91" s="167"/>
      <c r="AG91" s="167"/>
      <c r="AH91" s="167"/>
      <c r="AJ91" s="153" t="s">
        <v>149</v>
      </c>
      <c r="AK91" s="169">
        <f>AB86</f>
        <v>0.10299999999999999</v>
      </c>
      <c r="AL91" s="154"/>
      <c r="AM91" s="154"/>
      <c r="AN91" s="155">
        <f t="shared" si="109"/>
        <v>160</v>
      </c>
      <c r="AO91" s="154"/>
      <c r="AP91" s="154"/>
      <c r="AQ91" s="156">
        <f t="shared" si="110"/>
        <v>271.89025881818179</v>
      </c>
      <c r="AT91" s="50"/>
      <c r="AU91" s="146">
        <v>2</v>
      </c>
      <c r="AV91" s="166">
        <v>8000000</v>
      </c>
      <c r="AW91" s="146">
        <f t="shared" ref="AW91:AW97" si="127">AW33*$AX$88</f>
        <v>18997084.701504003</v>
      </c>
      <c r="AY91" s="167"/>
      <c r="BA91" s="153" t="s">
        <v>149</v>
      </c>
      <c r="BB91" s="169">
        <f>AX87</f>
        <v>0.10299999999999999</v>
      </c>
      <c r="BC91" s="154"/>
      <c r="BD91" s="155">
        <f t="shared" si="117"/>
        <v>40</v>
      </c>
      <c r="BE91" s="156">
        <f t="shared" si="118"/>
        <v>44.655295112064003</v>
      </c>
      <c r="BH91" s="50"/>
      <c r="BI91" s="146">
        <v>2</v>
      </c>
      <c r="BJ91" s="166">
        <v>8000000</v>
      </c>
      <c r="BK91" s="167">
        <f t="shared" si="125"/>
        <v>25176484.142857142</v>
      </c>
      <c r="BO91" s="167">
        <f t="shared" si="126"/>
        <v>7</v>
      </c>
      <c r="BQ91" s="153" t="s">
        <v>172</v>
      </c>
      <c r="BR91" s="170">
        <f>BJ88</f>
        <v>134.49039999999999</v>
      </c>
      <c r="BS91" s="154"/>
      <c r="BT91" s="154"/>
      <c r="BU91" s="155">
        <f t="shared" si="113"/>
        <v>60</v>
      </c>
      <c r="BV91" s="154"/>
      <c r="BW91" s="154"/>
      <c r="BX91" s="156">
        <f t="shared" si="114"/>
        <v>80.823333500000004</v>
      </c>
      <c r="CA91" s="50"/>
      <c r="CQ91" s="50"/>
      <c r="CR91" s="146">
        <v>3</v>
      </c>
      <c r="CS91" s="166">
        <v>12000000</v>
      </c>
      <c r="CT91" s="168">
        <f t="shared" si="121"/>
        <v>25046573.571428571</v>
      </c>
      <c r="CV91" s="145">
        <v>24709000</v>
      </c>
      <c r="CX91" s="167">
        <f t="shared" si="122"/>
        <v>7</v>
      </c>
      <c r="DA91" s="171"/>
      <c r="DC91" s="154"/>
      <c r="DD91" s="154"/>
      <c r="DE91" s="155">
        <f t="shared" si="111"/>
        <v>40</v>
      </c>
      <c r="DF91" s="154"/>
      <c r="DG91" s="154"/>
      <c r="DH91" s="156">
        <f t="shared" si="112"/>
        <v>45.382776749999998</v>
      </c>
      <c r="DK91" s="50"/>
      <c r="DL91" s="146">
        <v>3</v>
      </c>
      <c r="DM91" s="166">
        <v>12000000</v>
      </c>
      <c r="DN91" s="168">
        <f t="shared" si="123"/>
        <v>21618353.25</v>
      </c>
      <c r="DR91" s="167">
        <f t="shared" si="124"/>
        <v>4</v>
      </c>
      <c r="DT91" s="153" t="s">
        <v>172</v>
      </c>
      <c r="DU91" s="170">
        <f>DM87</f>
        <v>134.49039999999999</v>
      </c>
      <c r="DV91" s="154"/>
      <c r="DW91" s="154"/>
      <c r="DX91" s="155">
        <f t="shared" si="115"/>
        <v>40</v>
      </c>
      <c r="DY91" s="154"/>
      <c r="DZ91" s="154"/>
      <c r="EA91" s="156">
        <f t="shared" si="116"/>
        <v>41.469791000000001</v>
      </c>
    </row>
    <row r="92" spans="10:131" x14ac:dyDescent="0.25">
      <c r="J92" s="86" t="str" cm="1">
        <f t="array" ref="J92">LOOKUP(2,1/($G$17:$G$33&lt;=$L92)/($H$17:$H$33&gt;=$L92),$F$17:$F$33)</f>
        <v>1H23</v>
      </c>
      <c r="K92" s="86" t="str" cm="1">
        <f t="array" ref="K92">LOOKUP(2,1/($G$6:$G$14&lt;=$L92)/($H$6:$H$14&gt;=$L92),$F$6:$F$14)</f>
        <v>FY23</v>
      </c>
      <c r="L92" s="118">
        <v>44861</v>
      </c>
      <c r="M92" s="49">
        <v>284837414</v>
      </c>
      <c r="N92" s="49">
        <v>345593234</v>
      </c>
      <c r="O92" s="50">
        <v>160000000</v>
      </c>
      <c r="P92" s="119" cm="1">
        <f t="array" ref="P92">LOOKUP(2,1/($B$10:$B$14&lt;=$L92)/($C$10:$C$14&gt;=$L92),$D$10:$D$14)</f>
        <v>1.1000000000000001</v>
      </c>
      <c r="Q92" s="120" cm="1">
        <f t="array" ref="Q92">LOOKUP(2,1/($B$17:$B$21&lt;=$L92)/($C$17:$C$21&gt;=$L92),$D$17:$D$21)</f>
        <v>134.49039999999999</v>
      </c>
      <c r="R92" s="113" t="str">
        <f t="shared" si="35"/>
        <v/>
      </c>
      <c r="S92" s="113" t="str">
        <f t="shared" si="36"/>
        <v>1H23</v>
      </c>
      <c r="T92" s="113" t="str">
        <f t="shared" ca="1" si="37"/>
        <v/>
      </c>
      <c r="U92" s="113" t="str">
        <f t="shared" si="38"/>
        <v/>
      </c>
      <c r="V92" s="113" t="str">
        <f t="shared" si="4"/>
        <v>FY23</v>
      </c>
      <c r="W92" s="113" t="str">
        <f t="shared" ca="1" si="98"/>
        <v/>
      </c>
      <c r="X92" s="50"/>
      <c r="Y92" s="146">
        <v>4</v>
      </c>
      <c r="Z92" s="166">
        <v>50000000</v>
      </c>
      <c r="AA92" s="167">
        <f t="shared" si="119"/>
        <v>74161171.63636364</v>
      </c>
      <c r="AE92" s="167">
        <f t="shared" si="120"/>
        <v>1</v>
      </c>
      <c r="AF92" s="167"/>
      <c r="AG92" s="167"/>
      <c r="AH92" s="167"/>
      <c r="AJ92" s="153" t="s">
        <v>172</v>
      </c>
      <c r="AK92" s="170">
        <f>Z87</f>
        <v>134.49039999999999</v>
      </c>
      <c r="AL92" s="154"/>
      <c r="AM92" s="154"/>
      <c r="AN92" s="155">
        <f t="shared" si="109"/>
        <v>200</v>
      </c>
      <c r="AO92" s="154"/>
      <c r="AP92" s="154"/>
      <c r="AQ92" s="156">
        <f t="shared" si="110"/>
        <v>331.19099999999997</v>
      </c>
      <c r="AT92" s="50"/>
      <c r="AU92" s="146">
        <v>3</v>
      </c>
      <c r="AV92" s="166">
        <v>12000000</v>
      </c>
      <c r="AW92" s="146">
        <f t="shared" si="127"/>
        <v>23954590.243584003</v>
      </c>
      <c r="AY92" s="167"/>
      <c r="BA92" s="153" t="s">
        <v>172</v>
      </c>
      <c r="BB92" s="170">
        <f>AV88</f>
        <v>134.49039999999999</v>
      </c>
      <c r="BC92" s="154"/>
      <c r="BD92" s="155">
        <f t="shared" si="117"/>
        <v>60</v>
      </c>
      <c r="BE92" s="156">
        <f t="shared" si="118"/>
        <v>74.486643678720014</v>
      </c>
      <c r="BH92" s="50"/>
      <c r="BI92" s="146">
        <v>3</v>
      </c>
      <c r="BJ92" s="166">
        <v>20000000</v>
      </c>
      <c r="BK92" s="167">
        <f t="shared" si="125"/>
        <v>39899441</v>
      </c>
      <c r="BO92" s="167">
        <f t="shared" si="126"/>
        <v>6</v>
      </c>
      <c r="BQ92" s="171"/>
      <c r="BS92" s="154"/>
      <c r="BT92" s="154"/>
      <c r="BU92" s="155">
        <f t="shared" si="113"/>
        <v>80</v>
      </c>
      <c r="BV92" s="154"/>
      <c r="BW92" s="154"/>
      <c r="BX92" s="156">
        <f t="shared" si="114"/>
        <v>116.72520400000001</v>
      </c>
      <c r="CA92" s="50"/>
      <c r="CQ92" s="50"/>
      <c r="CR92" s="146">
        <v>4</v>
      </c>
      <c r="CS92" s="166">
        <v>20000000</v>
      </c>
      <c r="CT92" s="168">
        <f t="shared" si="121"/>
        <v>32838674.166666668</v>
      </c>
      <c r="CV92" s="145">
        <v>31041000</v>
      </c>
      <c r="CX92" s="167">
        <f t="shared" si="122"/>
        <v>6</v>
      </c>
      <c r="DA92" s="153" t="s">
        <v>91</v>
      </c>
      <c r="DB92" s="155">
        <f>CS85/1000000</f>
        <v>60</v>
      </c>
      <c r="DC92" s="154"/>
      <c r="DD92" s="154"/>
      <c r="DE92" s="155">
        <f t="shared" si="111"/>
        <v>60</v>
      </c>
      <c r="DF92" s="154"/>
      <c r="DG92" s="154"/>
      <c r="DH92" s="156">
        <f t="shared" si="112"/>
        <v>59.722622999999999</v>
      </c>
      <c r="DK92" s="50"/>
      <c r="DL92" s="146">
        <v>4</v>
      </c>
      <c r="DM92" s="166">
        <v>20000000</v>
      </c>
      <c r="DN92" s="168">
        <f t="shared" si="123"/>
        <v>25754766.25</v>
      </c>
      <c r="DR92" s="167">
        <f t="shared" si="124"/>
        <v>4</v>
      </c>
      <c r="DT92" s="172"/>
      <c r="DU92" s="2"/>
      <c r="DV92" s="154"/>
      <c r="DW92" s="154"/>
      <c r="DX92" s="155">
        <f t="shared" si="115"/>
        <v>50</v>
      </c>
      <c r="DY92" s="154"/>
      <c r="DZ92" s="154"/>
      <c r="EA92" s="156">
        <f t="shared" si="116"/>
        <v>63.766762</v>
      </c>
    </row>
    <row r="93" spans="10:131" x14ac:dyDescent="0.25">
      <c r="J93" s="86" t="str" cm="1">
        <f t="array" ref="J93">LOOKUP(2,1/($G$17:$G$33&lt;=$L93)/($H$17:$H$33&gt;=$L93),$F$17:$F$33)</f>
        <v>1H23</v>
      </c>
      <c r="K93" s="86" t="str" cm="1">
        <f t="array" ref="K93">LOOKUP(2,1/($G$6:$G$14&lt;=$L93)/($H$6:$H$14&gt;=$L93),$F$6:$F$14)</f>
        <v>FY23</v>
      </c>
      <c r="L93" s="118">
        <v>44854</v>
      </c>
      <c r="M93" s="49">
        <v>183084473</v>
      </c>
      <c r="N93" s="49">
        <v>222136391</v>
      </c>
      <c r="O93" s="50">
        <v>100000000</v>
      </c>
      <c r="P93" s="119" cm="1">
        <f t="array" ref="P93">LOOKUP(2,1/($B$10:$B$14&lt;=$L93)/($C$10:$C$14&gt;=$L93),$D$10:$D$14)</f>
        <v>1.1000000000000001</v>
      </c>
      <c r="Q93" s="120" cm="1">
        <f t="array" ref="Q93">LOOKUP(2,1/($B$17:$B$21&lt;=$L93)/($C$17:$C$21&gt;=$L93),$D$17:$D$21)</f>
        <v>134.49039999999999</v>
      </c>
      <c r="R93" s="113" t="str">
        <f t="shared" ref="R93:R156" si="128">IF($J93&lt;&gt;$J94,$J93,"")</f>
        <v/>
      </c>
      <c r="S93" s="113" t="str">
        <f t="shared" ref="S93:S156" si="129">IF($O92&lt;$O93,$J93,S92)</f>
        <v>1H23</v>
      </c>
      <c r="T93" s="113" t="str">
        <f t="shared" ref="T93:T156" ca="1" si="130">IF(AND(S93&lt;&gt;S92,ISNUMBER(MATCH($S92,$F$17:$F$33,0))),OFFSET($F$16,MATCH($J93,$F$17:$F$33,0)+1,0),"")</f>
        <v/>
      </c>
      <c r="U93" s="113" t="str">
        <f t="shared" ref="U93:U156" si="131">IF($K93&lt;&gt;$K94,$K93,"")</f>
        <v/>
      </c>
      <c r="V93" s="113" t="str">
        <f t="shared" si="4"/>
        <v>FY23</v>
      </c>
      <c r="W93" s="113" t="str">
        <f t="shared" ca="1" si="98"/>
        <v/>
      </c>
      <c r="X93" s="50"/>
      <c r="Y93" s="146">
        <v>5</v>
      </c>
      <c r="Z93" s="166">
        <v>100000000</v>
      </c>
      <c r="AA93" s="167">
        <f t="shared" si="119"/>
        <v>174762451.5</v>
      </c>
      <c r="AC93" s="145">
        <v>131990000.00000001</v>
      </c>
      <c r="AD93" s="145">
        <v>141620000</v>
      </c>
      <c r="AE93" s="167">
        <f t="shared" si="120"/>
        <v>1</v>
      </c>
      <c r="AF93" s="167"/>
      <c r="AG93" s="167"/>
      <c r="AH93" s="167"/>
      <c r="AJ93" s="172"/>
      <c r="AK93" s="2"/>
      <c r="AL93" s="154"/>
      <c r="AM93" s="154"/>
      <c r="AN93" s="155">
        <f t="shared" si="109"/>
        <v>250</v>
      </c>
      <c r="AO93" s="154"/>
      <c r="AP93" s="154"/>
      <c r="AQ93" s="156">
        <f t="shared" si="110"/>
        <v>408.59318181818179</v>
      </c>
      <c r="AT93" s="50"/>
      <c r="AU93" s="146">
        <v>4</v>
      </c>
      <c r="AV93" s="166">
        <v>20000000</v>
      </c>
      <c r="AW93" s="146">
        <f t="shared" si="127"/>
        <v>29706800.812416002</v>
      </c>
      <c r="AY93" s="167"/>
      <c r="BA93" s="172"/>
      <c r="BB93" s="2"/>
      <c r="BC93" s="154"/>
      <c r="BD93" s="155">
        <f t="shared" si="117"/>
        <v>80</v>
      </c>
      <c r="BE93" s="156">
        <f t="shared" si="118"/>
        <v>107.54796019968002</v>
      </c>
      <c r="BH93" s="50"/>
      <c r="BI93" s="146">
        <v>4</v>
      </c>
      <c r="BJ93" s="166">
        <v>40000000</v>
      </c>
      <c r="BK93" s="167">
        <f t="shared" si="125"/>
        <v>58983918</v>
      </c>
      <c r="BO93" s="167">
        <f t="shared" si="126"/>
        <v>3</v>
      </c>
      <c r="BQ93" s="153" t="s">
        <v>91</v>
      </c>
      <c r="BR93" s="155">
        <f>BJ86/1000000</f>
        <v>4</v>
      </c>
      <c r="BS93" s="154"/>
      <c r="BT93" s="154"/>
      <c r="BU93" s="155">
        <f t="shared" si="113"/>
        <v>120</v>
      </c>
      <c r="BV93" s="154"/>
      <c r="BW93" s="154"/>
      <c r="BX93" s="156">
        <f t="shared" si="114"/>
        <v>226.12630409125558</v>
      </c>
      <c r="CA93" s="50"/>
      <c r="CQ93" s="50"/>
      <c r="CR93" s="146">
        <v>5</v>
      </c>
      <c r="CS93" s="166">
        <v>30000000</v>
      </c>
      <c r="CT93" s="168">
        <f t="shared" si="121"/>
        <v>44351582.5</v>
      </c>
      <c r="CV93" s="145">
        <v>38956000</v>
      </c>
      <c r="CX93" s="167">
        <f t="shared" si="122"/>
        <v>2</v>
      </c>
      <c r="DA93" s="172" t="s">
        <v>147</v>
      </c>
      <c r="DB93" s="174">
        <f>CS82</f>
        <v>43647</v>
      </c>
      <c r="DC93" s="154"/>
      <c r="DD93" s="154"/>
      <c r="DE93" s="155">
        <f t="shared" si="111"/>
        <v>80</v>
      </c>
      <c r="DF93" s="154"/>
      <c r="DG93" s="154"/>
      <c r="DH93" s="156">
        <f t="shared" si="112"/>
        <v>79.647915666666677</v>
      </c>
      <c r="DK93" s="50"/>
      <c r="DL93" s="146">
        <v>5</v>
      </c>
      <c r="DM93" s="166">
        <v>30000000</v>
      </c>
      <c r="DN93" s="168">
        <f t="shared" si="123"/>
        <v>33460836</v>
      </c>
      <c r="DR93" s="167">
        <f t="shared" si="124"/>
        <v>3</v>
      </c>
      <c r="DT93" s="172" t="s">
        <v>147</v>
      </c>
      <c r="DU93" s="174">
        <f>DM82</f>
        <v>43466</v>
      </c>
      <c r="DV93" s="154"/>
      <c r="DW93" s="154"/>
      <c r="DX93" s="155">
        <f t="shared" si="115"/>
        <v>80</v>
      </c>
      <c r="DY93" s="154"/>
      <c r="DZ93" s="154"/>
      <c r="EA93" s="156">
        <f t="shared" si="116"/>
        <v>112.313239</v>
      </c>
    </row>
    <row r="94" spans="10:131" x14ac:dyDescent="0.25">
      <c r="J94" s="86" t="str" cm="1">
        <f t="array" ref="J94">LOOKUP(2,1/($G$17:$G$33&lt;=$L94)/($H$17:$H$33&gt;=$L94),$F$17:$F$33)</f>
        <v>1H23</v>
      </c>
      <c r="K94" s="86" t="str" cm="1">
        <f t="array" ref="K94">LOOKUP(2,1/($G$6:$G$14&lt;=$L94)/($H$6:$H$14&gt;=$L94),$F$6:$F$14)</f>
        <v>FY23</v>
      </c>
      <c r="L94" s="118">
        <v>44847</v>
      </c>
      <c r="M94" s="49">
        <v>77692656</v>
      </c>
      <c r="N94" s="49">
        <v>94264499</v>
      </c>
      <c r="O94" s="50">
        <v>50000000</v>
      </c>
      <c r="P94" s="119" cm="1">
        <f t="array" ref="P94">LOOKUP(2,1/($B$10:$B$14&lt;=$L94)/($C$10:$C$14&gt;=$L94),$D$10:$D$14)</f>
        <v>1.1000000000000001</v>
      </c>
      <c r="Q94" s="120" cm="1">
        <f t="array" ref="Q94">LOOKUP(2,1/($B$17:$B$21&lt;=$L94)/($C$17:$C$21&gt;=$L94),$D$17:$D$21)</f>
        <v>134.49039999999999</v>
      </c>
      <c r="R94" s="113" t="str">
        <f t="shared" si="128"/>
        <v/>
      </c>
      <c r="S94" s="113" t="str">
        <f t="shared" si="129"/>
        <v>1H23</v>
      </c>
      <c r="T94" s="113" t="str">
        <f t="shared" ca="1" si="130"/>
        <v/>
      </c>
      <c r="U94" s="113" t="str">
        <f t="shared" si="131"/>
        <v/>
      </c>
      <c r="V94" s="113" t="str">
        <f t="shared" si="4"/>
        <v>FY23</v>
      </c>
      <c r="W94" s="113" t="str">
        <f t="shared" ca="1" si="98"/>
        <v/>
      </c>
      <c r="X94" s="50"/>
      <c r="Y94" s="146">
        <v>6</v>
      </c>
      <c r="Z94" s="166">
        <v>160000000</v>
      </c>
      <c r="AA94" s="167">
        <f t="shared" si="119"/>
        <v>271890258.81818181</v>
      </c>
      <c r="AC94" s="145">
        <v>201494000.00000003</v>
      </c>
      <c r="AD94" s="145">
        <v>244478000</v>
      </c>
      <c r="AE94" s="167">
        <f t="shared" si="120"/>
        <v>1</v>
      </c>
      <c r="AF94" s="167"/>
      <c r="AG94" s="167"/>
      <c r="AH94" s="167"/>
      <c r="AJ94" s="172" t="s">
        <v>147</v>
      </c>
      <c r="AK94" s="174">
        <f>Z82</f>
        <v>44652</v>
      </c>
      <c r="AL94" s="154"/>
      <c r="AM94" s="154"/>
      <c r="AN94" s="155">
        <f t="shared" si="109"/>
        <v>300</v>
      </c>
      <c r="AO94" s="154"/>
      <c r="AP94" s="154"/>
      <c r="AQ94" s="156">
        <f t="shared" si="110"/>
        <v>485.99536363636361</v>
      </c>
      <c r="AT94" s="50"/>
      <c r="AU94" s="146">
        <v>5</v>
      </c>
      <c r="AV94" s="166">
        <v>40000000</v>
      </c>
      <c r="AW94" s="146">
        <f t="shared" si="127"/>
        <v>44655295.112064004</v>
      </c>
      <c r="AY94" s="167"/>
      <c r="BA94" s="172" t="s">
        <v>147</v>
      </c>
      <c r="BB94" s="174" t="str">
        <f>AV83</f>
        <v>EST</v>
      </c>
      <c r="BC94" s="154"/>
      <c r="BD94" s="155">
        <f t="shared" si="117"/>
        <v>100</v>
      </c>
      <c r="BE94" s="156">
        <f t="shared" si="118"/>
        <v>182.73015790848001</v>
      </c>
      <c r="BH94" s="50"/>
      <c r="BI94" s="146">
        <v>5</v>
      </c>
      <c r="BJ94" s="166">
        <v>60000000</v>
      </c>
      <c r="BK94" s="167">
        <f t="shared" si="125"/>
        <v>80823333.5</v>
      </c>
      <c r="BO94" s="167">
        <f t="shared" si="126"/>
        <v>2</v>
      </c>
      <c r="BQ94" s="171"/>
      <c r="BS94" s="154"/>
      <c r="BT94" s="154"/>
      <c r="BU94" s="155">
        <f t="shared" si="113"/>
        <v>150</v>
      </c>
      <c r="BV94" s="154"/>
      <c r="BW94" s="154"/>
      <c r="BX94" s="156">
        <f t="shared" si="114"/>
        <v>295</v>
      </c>
      <c r="CA94" s="50"/>
      <c r="CQ94" s="50"/>
      <c r="CR94" s="146">
        <v>6</v>
      </c>
      <c r="CS94" s="166">
        <v>40000000</v>
      </c>
      <c r="CT94" s="168">
        <f t="shared" si="121"/>
        <v>45382776.75</v>
      </c>
      <c r="CV94" s="145">
        <v>46871000</v>
      </c>
      <c r="CW94" s="145"/>
      <c r="CX94" s="167">
        <f t="shared" si="122"/>
        <v>4</v>
      </c>
      <c r="DA94" s="172" t="s">
        <v>148</v>
      </c>
      <c r="DB94" s="174">
        <f>CU82</f>
        <v>44012</v>
      </c>
      <c r="DC94" s="154"/>
      <c r="DD94" s="154"/>
      <c r="DE94" s="155">
        <f t="shared" si="111"/>
        <v>100</v>
      </c>
      <c r="DF94" s="154"/>
      <c r="DG94" s="154"/>
      <c r="DH94" s="156">
        <f t="shared" si="112"/>
        <v>122.66929999999998</v>
      </c>
      <c r="DK94" s="50"/>
      <c r="DL94" s="146">
        <v>6</v>
      </c>
      <c r="DM94" s="166">
        <v>40000000</v>
      </c>
      <c r="DN94" s="168">
        <f t="shared" si="123"/>
        <v>41469791</v>
      </c>
      <c r="DR94" s="167">
        <f t="shared" si="124"/>
        <v>2</v>
      </c>
      <c r="DT94" s="172" t="s">
        <v>148</v>
      </c>
      <c r="DU94" s="174">
        <f>DO82</f>
        <v>43646</v>
      </c>
      <c r="DV94" s="154"/>
      <c r="DW94" s="154"/>
      <c r="DX94" s="155">
        <f t="shared" si="115"/>
        <v>100</v>
      </c>
      <c r="DY94" s="154"/>
      <c r="DZ94" s="154"/>
      <c r="EA94" s="156">
        <f t="shared" si="116"/>
        <v>174.14559199999999</v>
      </c>
    </row>
    <row r="95" spans="10:131" x14ac:dyDescent="0.25">
      <c r="J95" s="86" t="str" cm="1">
        <f t="array" ref="J95">LOOKUP(2,1/($G$17:$G$33&lt;=$L95)/($H$17:$H$33&gt;=$L95),$F$17:$F$33)</f>
        <v>1H23</v>
      </c>
      <c r="K95" s="86" t="str" cm="1">
        <f t="array" ref="K95">LOOKUP(2,1/($G$6:$G$14&lt;=$L95)/($H$6:$H$14&gt;=$L95),$F$6:$F$14)</f>
        <v>FY23</v>
      </c>
      <c r="L95" s="118">
        <v>44840</v>
      </c>
      <c r="M95" s="49">
        <v>47423181</v>
      </c>
      <c r="N95" s="49">
        <v>57538546</v>
      </c>
      <c r="O95" s="50">
        <v>30000000</v>
      </c>
      <c r="P95" s="119" cm="1">
        <f t="array" ref="P95">LOOKUP(2,1/($B$10:$B$14&lt;=$L95)/($C$10:$C$14&gt;=$L95),$D$10:$D$14)</f>
        <v>1.1000000000000001</v>
      </c>
      <c r="Q95" s="120" cm="1">
        <f t="array" ref="Q95">LOOKUP(2,1/($B$17:$B$21&lt;=$L95)/($C$17:$C$21&gt;=$L95),$D$17:$D$21)</f>
        <v>134.49039999999999</v>
      </c>
      <c r="R95" s="113" t="str">
        <f t="shared" si="128"/>
        <v/>
      </c>
      <c r="S95" s="113" t="str">
        <f t="shared" si="129"/>
        <v>1H23</v>
      </c>
      <c r="T95" s="113" t="str">
        <f t="shared" ca="1" si="130"/>
        <v/>
      </c>
      <c r="U95" s="113" t="str">
        <f t="shared" si="131"/>
        <v/>
      </c>
      <c r="V95" s="113" t="str">
        <f t="shared" si="4"/>
        <v>FY23</v>
      </c>
      <c r="W95" s="113" t="str">
        <f t="shared" ca="1" si="98"/>
        <v/>
      </c>
      <c r="X95" s="50"/>
      <c r="Y95" s="146">
        <v>7</v>
      </c>
      <c r="Z95" s="145">
        <v>200000000</v>
      </c>
      <c r="AA95" s="145"/>
      <c r="AB95" s="173">
        <f>IF($Z95&gt;=100000000,$AC$84*AC$87*AC95+$AD$84*AD$87*AD95,AC$87*AC95+AD$87*AD95)*AB$87</f>
        <v>331191000</v>
      </c>
      <c r="AC95" s="145">
        <v>247830000</v>
      </c>
      <c r="AD95" s="145">
        <v>325050000</v>
      </c>
      <c r="AE95" s="167"/>
      <c r="AF95" s="167"/>
      <c r="AG95" s="167"/>
      <c r="AH95" s="167"/>
      <c r="AJ95" s="172" t="s">
        <v>148</v>
      </c>
      <c r="AK95" s="174">
        <f>AB82</f>
        <v>44868</v>
      </c>
      <c r="AL95" s="154"/>
      <c r="AM95" s="154"/>
      <c r="AN95" s="155">
        <f t="shared" si="109"/>
        <v>350</v>
      </c>
      <c r="AO95" s="154"/>
      <c r="AP95" s="154"/>
      <c r="AQ95" s="156">
        <f t="shared" si="110"/>
        <v>563.39754545454548</v>
      </c>
      <c r="AT95" s="50"/>
      <c r="AU95" s="146">
        <v>6</v>
      </c>
      <c r="AV95" s="166">
        <v>60000000</v>
      </c>
      <c r="AW95" s="146">
        <f t="shared" si="127"/>
        <v>74486643.678720012</v>
      </c>
      <c r="AY95" s="167"/>
      <c r="BA95" s="172" t="s">
        <v>148</v>
      </c>
      <c r="BB95" s="174" t="str">
        <f>AX83</f>
        <v>EST</v>
      </c>
      <c r="BC95" s="154"/>
      <c r="BD95" s="155">
        <f t="shared" si="117"/>
        <v>150</v>
      </c>
      <c r="BE95" s="156">
        <f t="shared" si="118"/>
        <v>233.86363636363637</v>
      </c>
      <c r="BH95" s="50"/>
      <c r="BI95" s="146">
        <v>6</v>
      </c>
      <c r="BJ95" s="166">
        <v>80000000</v>
      </c>
      <c r="BK95" s="167">
        <f t="shared" si="125"/>
        <v>116725204</v>
      </c>
      <c r="BO95" s="167">
        <f t="shared" si="126"/>
        <v>1</v>
      </c>
      <c r="BQ95" s="172" t="s">
        <v>147</v>
      </c>
      <c r="BR95" s="174">
        <f>BJ83</f>
        <v>44652</v>
      </c>
      <c r="BS95" s="154"/>
      <c r="BT95" s="154"/>
      <c r="BU95" s="155">
        <f t="shared" si="113"/>
        <v>200</v>
      </c>
      <c r="BV95" s="154"/>
      <c r="BW95" s="154"/>
      <c r="BX95" s="156">
        <f t="shared" si="114"/>
        <v>396</v>
      </c>
      <c r="CA95" s="50"/>
      <c r="CQ95" s="50"/>
      <c r="CR95" s="146">
        <v>7</v>
      </c>
      <c r="CS95" s="166">
        <v>60000000</v>
      </c>
      <c r="CT95" s="168">
        <f t="shared" si="121"/>
        <v>59722623</v>
      </c>
      <c r="CV95" s="145">
        <v>62701000</v>
      </c>
      <c r="CW95" s="145"/>
      <c r="CX95" s="167">
        <f t="shared" si="122"/>
        <v>4</v>
      </c>
      <c r="DA95" s="172" t="s">
        <v>0</v>
      </c>
      <c r="DB95" s="175">
        <f>CU87</f>
        <v>1</v>
      </c>
      <c r="DC95" s="154"/>
      <c r="DD95" s="154"/>
      <c r="DE95" s="155">
        <f t="shared" si="111"/>
        <v>150</v>
      </c>
      <c r="DF95" s="154"/>
      <c r="DG95" s="154"/>
      <c r="DH95" s="156">
        <f t="shared" si="112"/>
        <v>174.11680000000001</v>
      </c>
      <c r="DK95" s="50"/>
      <c r="DL95" s="146">
        <v>7</v>
      </c>
      <c r="DM95" s="166">
        <v>50000000</v>
      </c>
      <c r="DN95" s="168">
        <f t="shared" si="123"/>
        <v>63766762</v>
      </c>
      <c r="DR95" s="167">
        <f t="shared" si="124"/>
        <v>1</v>
      </c>
      <c r="DT95" s="172" t="s">
        <v>173</v>
      </c>
      <c r="DU95" s="177">
        <f>DO87</f>
        <v>1</v>
      </c>
      <c r="DV95" s="154"/>
      <c r="DW95" s="154"/>
      <c r="DX95" s="155">
        <f t="shared" si="115"/>
        <v>150</v>
      </c>
      <c r="DY95" s="154"/>
      <c r="DZ95" s="154"/>
      <c r="EA95" s="156">
        <f t="shared" si="116"/>
        <v>251.81112499999998</v>
      </c>
    </row>
    <row r="96" spans="10:131" x14ac:dyDescent="0.25">
      <c r="J96" s="86" t="str" cm="1">
        <f t="array" ref="J96">LOOKUP(2,1/($G$17:$G$33&lt;=$L96)/($H$17:$H$33&gt;=$L96),$F$17:$F$33)</f>
        <v>1H23</v>
      </c>
      <c r="K96" s="86" t="str" cm="1">
        <f t="array" ref="K96">LOOKUP(2,1/($G$6:$G$14&lt;=$L96)/($H$6:$H$14&gt;=$L96),$F$6:$F$14)</f>
        <v>FY23</v>
      </c>
      <c r="L96" s="118">
        <v>44833</v>
      </c>
      <c r="M96" s="49">
        <v>35905406</v>
      </c>
      <c r="N96" s="49">
        <v>43564029</v>
      </c>
      <c r="O96" s="50">
        <v>20000000</v>
      </c>
      <c r="P96" s="119" cm="1">
        <f t="array" ref="P96">LOOKUP(2,1/($B$10:$B$14&lt;=$L96)/($C$10:$C$14&gt;=$L96),$D$10:$D$14)</f>
        <v>1.1000000000000001</v>
      </c>
      <c r="Q96" s="120" cm="1">
        <f t="array" ref="Q96">LOOKUP(2,1/($B$17:$B$21&lt;=$L96)/($C$17:$C$21&gt;=$L96),$D$17:$D$21)</f>
        <v>134.49039999999999</v>
      </c>
      <c r="R96" s="113" t="str">
        <f t="shared" si="128"/>
        <v/>
      </c>
      <c r="S96" s="113" t="str">
        <f t="shared" si="129"/>
        <v>1H23</v>
      </c>
      <c r="T96" s="113" t="str">
        <f t="shared" ca="1" si="130"/>
        <v/>
      </c>
      <c r="U96" s="113" t="str">
        <f t="shared" si="131"/>
        <v/>
      </c>
      <c r="V96" s="113" t="str">
        <f t="shared" si="4"/>
        <v>FY23</v>
      </c>
      <c r="W96" s="113" t="str">
        <f t="shared" ca="1" si="98"/>
        <v/>
      </c>
      <c r="X96" s="50"/>
      <c r="Y96" s="146">
        <v>8</v>
      </c>
      <c r="Z96" s="145">
        <v>250000000</v>
      </c>
      <c r="AA96" s="145"/>
      <c r="AB96" s="173">
        <f>IF($Z96&gt;=100000000,$AC$84*AC$87*AC96+$AD$84*AD$87*AD96,AC$87*AC96+AD$87*AD96)*AB$87</f>
        <v>408593181.81818181</v>
      </c>
      <c r="AC96" s="145">
        <v>305750000</v>
      </c>
      <c r="AD96" s="145">
        <v>439265000.00000006</v>
      </c>
      <c r="AE96" s="146"/>
      <c r="AF96" s="146"/>
      <c r="AG96" s="146"/>
      <c r="AH96" s="146"/>
      <c r="AJ96" s="179" t="s">
        <v>0</v>
      </c>
      <c r="AK96" s="185">
        <f>AB87</f>
        <v>0.95454545454545459</v>
      </c>
      <c r="AL96" s="181"/>
      <c r="AM96" s="181"/>
      <c r="AN96" s="181"/>
      <c r="AO96" s="181"/>
      <c r="AP96" s="181"/>
      <c r="AQ96" s="182"/>
      <c r="AT96" s="50"/>
      <c r="AU96" s="146">
        <v>7</v>
      </c>
      <c r="AV96" s="166">
        <v>80000000</v>
      </c>
      <c r="AW96" s="146">
        <f t="shared" si="127"/>
        <v>107547960.19968002</v>
      </c>
      <c r="AX96" s="168"/>
      <c r="AY96" s="168"/>
      <c r="BA96" s="176"/>
      <c r="BB96" s="85"/>
      <c r="BC96" s="154"/>
      <c r="BD96" s="155">
        <f t="shared" si="117"/>
        <v>200</v>
      </c>
      <c r="BE96" s="156">
        <f>MAX(AW99:AX99)/1000000</f>
        <v>300.68181818181819</v>
      </c>
      <c r="BH96" s="50"/>
      <c r="BI96" s="146">
        <v>7</v>
      </c>
      <c r="BJ96" s="166">
        <v>120000000</v>
      </c>
      <c r="BK96" s="146">
        <v>226126304.09125558</v>
      </c>
      <c r="BL96" s="168"/>
      <c r="BM96" s="168"/>
      <c r="BN96" s="168"/>
      <c r="BO96" s="167">
        <f t="shared" si="126"/>
        <v>0</v>
      </c>
      <c r="BQ96" s="172" t="s">
        <v>148</v>
      </c>
      <c r="BR96" s="174">
        <f>BL83</f>
        <v>44864</v>
      </c>
      <c r="BS96" s="154"/>
      <c r="BT96" s="154"/>
      <c r="BU96" s="155">
        <f t="shared" si="113"/>
        <v>250</v>
      </c>
      <c r="BV96" s="154"/>
      <c r="BW96" s="154"/>
      <c r="BX96" s="156">
        <f t="shared" si="114"/>
        <v>510</v>
      </c>
      <c r="CA96" s="50"/>
      <c r="CQ96" s="50"/>
      <c r="CR96" s="146">
        <v>8</v>
      </c>
      <c r="CS96" s="166">
        <v>80000000</v>
      </c>
      <c r="CT96" s="168">
        <f t="shared" si="121"/>
        <v>79647915.666666672</v>
      </c>
      <c r="CV96" s="145">
        <v>78531000</v>
      </c>
      <c r="CW96" s="145"/>
      <c r="CX96" s="167">
        <f t="shared" si="122"/>
        <v>3</v>
      </c>
      <c r="DA96" s="179" t="s">
        <v>162</v>
      </c>
      <c r="DB96" s="180">
        <f>CV84</f>
        <v>1.3</v>
      </c>
      <c r="DC96" s="181"/>
      <c r="DD96" s="181"/>
      <c r="DE96" s="181"/>
      <c r="DF96" s="181"/>
      <c r="DG96" s="181"/>
      <c r="DH96" s="182"/>
      <c r="DK96" s="50"/>
      <c r="DL96" s="146">
        <v>8</v>
      </c>
      <c r="DM96" s="166">
        <v>80000000</v>
      </c>
      <c r="DN96" s="168">
        <f t="shared" si="123"/>
        <v>112313239</v>
      </c>
      <c r="DP96" s="145">
        <v>108838900.00000001</v>
      </c>
      <c r="DQ96" s="145">
        <v>112756999.99999999</v>
      </c>
      <c r="DR96" s="167">
        <f t="shared" si="124"/>
        <v>1</v>
      </c>
      <c r="DT96" s="176"/>
      <c r="DU96" s="32"/>
      <c r="DV96" s="32"/>
      <c r="DW96" s="32"/>
      <c r="DX96" s="32"/>
      <c r="DY96" s="32"/>
      <c r="DZ96" s="32"/>
      <c r="EA96" s="183"/>
    </row>
    <row r="97" spans="10:131" x14ac:dyDescent="0.25">
      <c r="J97" s="86" t="str" cm="1">
        <f t="array" ref="J97">LOOKUP(2,1/($G$17:$G$33&lt;=$L97)/($H$17:$H$33&gt;=$L97),$F$17:$F$33)</f>
        <v>1H23</v>
      </c>
      <c r="K97" s="86" t="str" cm="1">
        <f t="array" ref="K97">LOOKUP(2,1/($G$6:$G$14&lt;=$L97)/($H$6:$H$14&gt;=$L97),$F$6:$F$14)</f>
        <v>FY23</v>
      </c>
      <c r="L97" s="118">
        <v>44826</v>
      </c>
      <c r="M97" s="49">
        <v>22659830</v>
      </c>
      <c r="N97" s="49">
        <v>27493171</v>
      </c>
      <c r="O97" s="50">
        <v>8000000</v>
      </c>
      <c r="P97" s="119" cm="1">
        <f t="array" ref="P97">LOOKUP(2,1/($B$10:$B$14&lt;=$L97)/($C$10:$C$14&gt;=$L97),$D$10:$D$14)</f>
        <v>1.1000000000000001</v>
      </c>
      <c r="Q97" s="120" cm="1">
        <f t="array" ref="Q97">LOOKUP(2,1/($B$17:$B$21&lt;=$L97)/($C$17:$C$21&gt;=$L97),$D$17:$D$21)</f>
        <v>134.49039999999999</v>
      </c>
      <c r="R97" s="113" t="str">
        <f t="shared" si="128"/>
        <v/>
      </c>
      <c r="S97" s="113" t="str">
        <f t="shared" si="129"/>
        <v>1H23</v>
      </c>
      <c r="T97" s="113" t="str">
        <f t="shared" ca="1" si="130"/>
        <v/>
      </c>
      <c r="U97" s="113" t="str">
        <f t="shared" si="131"/>
        <v/>
      </c>
      <c r="V97" s="113" t="str">
        <f t="shared" si="4"/>
        <v>FY23</v>
      </c>
      <c r="W97" s="113" t="str">
        <f t="shared" ca="1" si="98"/>
        <v/>
      </c>
      <c r="X97" s="50"/>
      <c r="Y97" s="146">
        <v>9</v>
      </c>
      <c r="Z97" s="145">
        <v>300000000</v>
      </c>
      <c r="AA97" s="145"/>
      <c r="AB97" s="173">
        <f>IF($Z97&gt;=100000000,$AC$84*AC$87*AC97+$AD$84*AD$87*AD97,AC$87*AC97+AD$87*AD97)*AB$87</f>
        <v>485995363.63636363</v>
      </c>
      <c r="AC97" s="145">
        <v>363670000</v>
      </c>
      <c r="AD97" s="145">
        <v>568480000</v>
      </c>
      <c r="AE97" s="146"/>
      <c r="AF97" s="146"/>
      <c r="AG97" s="146"/>
      <c r="AH97" s="146"/>
      <c r="AJ97" s="2"/>
      <c r="AK97" s="2"/>
      <c r="AL97" s="2"/>
      <c r="AM97" s="2"/>
      <c r="AN97" s="2"/>
      <c r="AO97" s="2"/>
      <c r="AP97" s="2"/>
      <c r="AQ97" s="2"/>
      <c r="AT97" s="50"/>
      <c r="AU97" s="146">
        <v>8</v>
      </c>
      <c r="AV97" s="166">
        <v>100000000</v>
      </c>
      <c r="AW97" s="146">
        <f t="shared" si="127"/>
        <v>182730157.90848002</v>
      </c>
      <c r="AX97" s="168"/>
      <c r="AY97" s="168"/>
      <c r="BA97" s="176"/>
      <c r="BB97" s="32"/>
      <c r="BC97" s="32"/>
      <c r="BD97" s="32"/>
      <c r="BE97" s="183"/>
      <c r="BH97" s="50"/>
      <c r="BI97" s="146">
        <v>8</v>
      </c>
      <c r="BJ97" s="145">
        <v>150000000</v>
      </c>
      <c r="BK97" s="145"/>
      <c r="BL97" s="145">
        <v>295000000</v>
      </c>
      <c r="BM97" s="145"/>
      <c r="BN97" s="145"/>
      <c r="BO97" s="146"/>
      <c r="BQ97" s="179" t="s">
        <v>0</v>
      </c>
      <c r="BR97" s="185">
        <f>BL88</f>
        <v>0</v>
      </c>
      <c r="BS97" s="181"/>
      <c r="BT97" s="181"/>
      <c r="BU97" s="181"/>
      <c r="BV97" s="181"/>
      <c r="BW97" s="181"/>
      <c r="BX97" s="182"/>
      <c r="CA97" s="50"/>
      <c r="CQ97" s="50"/>
      <c r="CR97" s="146">
        <v>9</v>
      </c>
      <c r="CS97" s="166">
        <v>100000000</v>
      </c>
      <c r="CT97" s="168"/>
      <c r="CU97" s="173">
        <f>IF($CS97&gt;=100000000,$CV$65*CV$68*CV97+$CW$65*CW$68*CW97,CV$68*CV97+CW$68*CW97)</f>
        <v>122669299.99999999</v>
      </c>
      <c r="CV97" s="145">
        <v>94360999.999999985</v>
      </c>
      <c r="CW97" s="145"/>
      <c r="CX97" s="167">
        <f t="shared" si="122"/>
        <v>1</v>
      </c>
      <c r="DA97" s="2"/>
      <c r="DB97" s="2"/>
      <c r="DC97" s="2"/>
      <c r="DD97" s="2"/>
      <c r="DE97" s="2"/>
      <c r="DF97" s="2"/>
      <c r="DG97" s="2"/>
      <c r="DH97" s="2"/>
      <c r="DK97" s="50"/>
      <c r="DL97" s="146">
        <v>9</v>
      </c>
      <c r="DM97" s="166">
        <v>100000000</v>
      </c>
      <c r="DN97" s="168">
        <f t="shared" si="123"/>
        <v>174145592</v>
      </c>
      <c r="DP97" s="145">
        <v>135298899.99999997</v>
      </c>
      <c r="DQ97" s="145">
        <v>162217000</v>
      </c>
      <c r="DR97" s="167">
        <f t="shared" si="124"/>
        <v>1</v>
      </c>
      <c r="DT97" s="186"/>
      <c r="DU97" s="2"/>
      <c r="DV97" s="2"/>
      <c r="DW97" s="2"/>
      <c r="DX97" s="2"/>
      <c r="DY97" s="2"/>
      <c r="DZ97" s="2"/>
      <c r="EA97" s="187"/>
    </row>
    <row r="98" spans="10:131" x14ac:dyDescent="0.25">
      <c r="J98" s="86" t="str" cm="1">
        <f t="array" ref="J98">LOOKUP(2,1/($G$17:$G$33&lt;=$L98)/($H$17:$H$33&gt;=$L98),$F$17:$F$33)</f>
        <v>1H23</v>
      </c>
      <c r="K98" s="86" t="str" cm="1">
        <f t="array" ref="K98">LOOKUP(2,1/($G$6:$G$14&lt;=$L98)/($H$6:$H$14&gt;=$L98),$F$6:$F$14)</f>
        <v>FY23</v>
      </c>
      <c r="L98" s="118">
        <v>44819</v>
      </c>
      <c r="M98" s="49">
        <v>25008818</v>
      </c>
      <c r="N98" s="49">
        <v>30343199</v>
      </c>
      <c r="O98" s="50">
        <v>8000000</v>
      </c>
      <c r="P98" s="119" cm="1">
        <f t="array" ref="P98">LOOKUP(2,1/($B$10:$B$14&lt;=$L98)/($C$10:$C$14&gt;=$L98),$D$10:$D$14)</f>
        <v>1.1000000000000001</v>
      </c>
      <c r="Q98" s="120" cm="1">
        <f t="array" ref="Q98">LOOKUP(2,1/($B$17:$B$21&lt;=$L98)/($C$17:$C$21&gt;=$L98),$D$17:$D$21)</f>
        <v>134.49039999999999</v>
      </c>
      <c r="R98" s="113" t="str">
        <f t="shared" si="128"/>
        <v/>
      </c>
      <c r="S98" s="113" t="str">
        <f t="shared" si="129"/>
        <v>1H23</v>
      </c>
      <c r="T98" s="113" t="str">
        <f t="shared" ca="1" si="130"/>
        <v/>
      </c>
      <c r="U98" s="113" t="str">
        <f t="shared" si="131"/>
        <v/>
      </c>
      <c r="V98" s="113" t="str">
        <f t="shared" si="4"/>
        <v>FY23</v>
      </c>
      <c r="W98" s="113" t="str">
        <f t="shared" ca="1" si="98"/>
        <v/>
      </c>
      <c r="X98" s="50"/>
      <c r="Y98" s="146">
        <v>10</v>
      </c>
      <c r="Z98" s="145">
        <v>350000000</v>
      </c>
      <c r="AA98" s="145"/>
      <c r="AB98" s="173">
        <f>IF($Z98&gt;=100000000,$AC$84*AC$87*AC98+$AD$84*AD$87*AD98,AC$87*AC98+AD$87*AD98)*AB$87</f>
        <v>563397545.4545455</v>
      </c>
      <c r="AC98" s="145">
        <v>421590000.00000006</v>
      </c>
      <c r="AD98" s="145">
        <v>712695000</v>
      </c>
      <c r="AE98" s="146"/>
      <c r="AF98" s="146"/>
      <c r="AG98" s="146"/>
      <c r="AH98" s="146"/>
      <c r="AJ98" s="188"/>
      <c r="AK98" s="188"/>
      <c r="AL98" s="188"/>
      <c r="AM98" s="188"/>
      <c r="AN98" s="188"/>
      <c r="AO98" s="188"/>
      <c r="AP98" s="188"/>
      <c r="AQ98" s="188"/>
      <c r="AT98" s="50"/>
      <c r="AU98" s="146">
        <v>9</v>
      </c>
      <c r="AV98" s="145">
        <v>150000000</v>
      </c>
      <c r="AW98" s="184"/>
      <c r="AX98" s="145">
        <f>AX40*$AX$88</f>
        <v>233863636.36363637</v>
      </c>
      <c r="AY98" s="146"/>
      <c r="BA98" s="186"/>
      <c r="BB98" s="2"/>
      <c r="BC98" s="2"/>
      <c r="BD98" s="2"/>
      <c r="BE98" s="187"/>
      <c r="BH98" s="50"/>
      <c r="BI98" s="146">
        <v>9</v>
      </c>
      <c r="BJ98" s="145">
        <v>200000000</v>
      </c>
      <c r="BK98" s="145"/>
      <c r="BL98" s="145">
        <v>396000000</v>
      </c>
      <c r="BM98" s="145"/>
      <c r="BN98" s="145"/>
      <c r="BO98" s="146"/>
      <c r="BQ98" s="2"/>
      <c r="BR98" s="2"/>
      <c r="BS98" s="2"/>
      <c r="BT98" s="2"/>
      <c r="BU98" s="2"/>
      <c r="BV98" s="2"/>
      <c r="BW98" s="2"/>
      <c r="BX98" s="2"/>
      <c r="CA98" s="50"/>
      <c r="CQ98" s="50"/>
      <c r="CR98" s="146">
        <v>10</v>
      </c>
      <c r="CS98" s="166">
        <v>150000000</v>
      </c>
      <c r="CT98" s="168"/>
      <c r="CU98" s="173">
        <f>IF($CS98&gt;=100000000,$CV$65*CV$68*CV98+$CW$65*CW$68*CW98,CV$68*CV98+CW$68*CW98)</f>
        <v>174116800</v>
      </c>
      <c r="CV98" s="145">
        <v>133936000</v>
      </c>
      <c r="CW98" s="145"/>
      <c r="CX98" s="146"/>
      <c r="DA98" s="188"/>
      <c r="DB98" s="188"/>
      <c r="DC98" s="188"/>
      <c r="DD98" s="188"/>
      <c r="DE98" s="188"/>
      <c r="DF98" s="188"/>
      <c r="DG98" s="188"/>
      <c r="DH98" s="188"/>
      <c r="DK98" s="50"/>
      <c r="DL98" s="146">
        <v>10</v>
      </c>
      <c r="DM98" s="145">
        <v>150000000</v>
      </c>
      <c r="DN98" s="145"/>
      <c r="DO98" s="173">
        <f>IF($DM98&gt;=100000000,$DP$84*DP$87*DP98+$DQ$84*DQ$87*DQ98,DP$87*DP98+DQ$87*DQ98)</f>
        <v>251811124.99999997</v>
      </c>
      <c r="DP98" s="145">
        <v>201448899.99999997</v>
      </c>
      <c r="DQ98" s="145">
        <v>329967000</v>
      </c>
      <c r="DR98" s="146"/>
      <c r="DT98" s="189"/>
      <c r="DU98" s="190"/>
      <c r="DV98" s="190"/>
      <c r="DW98" s="190"/>
      <c r="DX98" s="190"/>
      <c r="DY98" s="190"/>
      <c r="DZ98" s="190"/>
      <c r="EA98" s="191"/>
    </row>
    <row r="99" spans="10:131" x14ac:dyDescent="0.25">
      <c r="J99" s="86" t="str" cm="1">
        <f t="array" ref="J99">LOOKUP(2,1/($G$17:$G$33&lt;=$L99)/($H$17:$H$33&gt;=$L99),$F$17:$F$33)</f>
        <v>1H23</v>
      </c>
      <c r="K99" s="86" t="str" cm="1">
        <f t="array" ref="K99">LOOKUP(2,1/($G$6:$G$14&lt;=$L99)/($H$6:$H$14&gt;=$L99),$F$6:$F$14)</f>
        <v>FY23</v>
      </c>
      <c r="L99" s="118">
        <v>44812</v>
      </c>
      <c r="M99" s="49">
        <v>61420573</v>
      </c>
      <c r="N99" s="49">
        <v>74521581</v>
      </c>
      <c r="O99" s="50">
        <v>40000000</v>
      </c>
      <c r="P99" s="119" cm="1">
        <f t="array" ref="P99">LOOKUP(2,1/($B$10:$B$14&lt;=$L99)/($C$10:$C$14&gt;=$L99),$D$10:$D$14)</f>
        <v>1.1000000000000001</v>
      </c>
      <c r="Q99" s="120" cm="1">
        <f t="array" ref="Q99">LOOKUP(2,1/($B$17:$B$21&lt;=$L99)/($C$17:$C$21&gt;=$L99),$D$17:$D$21)</f>
        <v>134.49039999999999</v>
      </c>
      <c r="R99" s="113" t="str">
        <f t="shared" si="128"/>
        <v/>
      </c>
      <c r="S99" s="113" t="str">
        <f t="shared" si="129"/>
        <v>1H23</v>
      </c>
      <c r="T99" s="113" t="str">
        <f t="shared" ca="1" si="130"/>
        <v/>
      </c>
      <c r="U99" s="113" t="str">
        <f t="shared" si="131"/>
        <v/>
      </c>
      <c r="V99" s="113" t="str">
        <f t="shared" si="4"/>
        <v>FY23</v>
      </c>
      <c r="W99" s="113" t="str">
        <f t="shared" ca="1" si="98"/>
        <v/>
      </c>
      <c r="X99" s="50"/>
      <c r="Y99" s="192"/>
      <c r="AI99" s="105"/>
      <c r="AJ99" s="105"/>
      <c r="AK99" s="105"/>
      <c r="AL99" s="105"/>
      <c r="AM99" s="105"/>
      <c r="AN99" s="105"/>
      <c r="AO99" s="105"/>
      <c r="AP99" s="105"/>
      <c r="AQ99" s="105"/>
      <c r="AR99" s="105"/>
      <c r="AS99" s="105"/>
      <c r="AT99" s="50"/>
      <c r="AU99" s="146">
        <v>10</v>
      </c>
      <c r="AV99" s="145">
        <v>200000000</v>
      </c>
      <c r="AW99" s="184"/>
      <c r="AX99" s="145">
        <f>AX41*$AX$88</f>
        <v>300681818.18181819</v>
      </c>
      <c r="AY99" s="146"/>
      <c r="BA99" s="189"/>
      <c r="BB99" s="190"/>
      <c r="BC99" s="190"/>
      <c r="BD99" s="190"/>
      <c r="BE99" s="191"/>
      <c r="BH99" s="50"/>
      <c r="BI99" s="146">
        <v>10</v>
      </c>
      <c r="BJ99" s="145">
        <v>250000000</v>
      </c>
      <c r="BK99" s="145"/>
      <c r="BL99" s="145">
        <v>510000000</v>
      </c>
      <c r="BM99" s="145"/>
      <c r="BN99" s="145"/>
      <c r="BO99" s="146"/>
      <c r="BQ99" s="188"/>
      <c r="BR99" s="188"/>
      <c r="BS99" s="188"/>
      <c r="BT99" s="188"/>
      <c r="BU99" s="188"/>
      <c r="BV99" s="188"/>
      <c r="BW99" s="188"/>
      <c r="BX99" s="188"/>
      <c r="CA99" s="50"/>
      <c r="CQ99" s="50"/>
      <c r="DA99" s="106"/>
      <c r="DB99" s="107"/>
      <c r="DC99" s="107"/>
      <c r="DD99" s="107"/>
      <c r="DE99" s="108"/>
      <c r="DF99" s="107"/>
      <c r="DG99" s="107"/>
      <c r="DH99" s="108"/>
      <c r="DK99" s="50"/>
    </row>
    <row r="100" spans="10:131" x14ac:dyDescent="0.25">
      <c r="J100" s="86" t="str" cm="1">
        <f t="array" ref="J100">LOOKUP(2,1/($G$17:$G$33&lt;=$L100)/($H$17:$H$33&gt;=$L100),$F$17:$F$33)</f>
        <v>1H23</v>
      </c>
      <c r="K100" s="86" t="str" cm="1">
        <f t="array" ref="K100">LOOKUP(2,1/($G$6:$G$14&lt;=$L100)/($H$6:$H$14&gt;=$L100),$F$6:$F$14)</f>
        <v>FY23</v>
      </c>
      <c r="L100" s="118">
        <v>44805</v>
      </c>
      <c r="M100" s="49">
        <v>39743730</v>
      </c>
      <c r="N100" s="49">
        <v>48221068</v>
      </c>
      <c r="O100" s="50">
        <v>20000000</v>
      </c>
      <c r="P100" s="119" cm="1">
        <f t="array" ref="P100">LOOKUP(2,1/($B$10:$B$14&lt;=$L100)/($C$10:$C$14&gt;=$L100),$D$10:$D$14)</f>
        <v>1.1000000000000001</v>
      </c>
      <c r="Q100" s="120" cm="1">
        <f t="array" ref="Q100">LOOKUP(2,1/($B$17:$B$21&lt;=$L100)/($C$17:$C$21&gt;=$L100),$D$17:$D$21)</f>
        <v>134.49039999999999</v>
      </c>
      <c r="R100" s="113" t="str">
        <f t="shared" si="128"/>
        <v/>
      </c>
      <c r="S100" s="113" t="str">
        <f t="shared" si="129"/>
        <v>1H23</v>
      </c>
      <c r="T100" s="113" t="str">
        <f t="shared" ca="1" si="130"/>
        <v/>
      </c>
      <c r="U100" s="113" t="str">
        <f t="shared" si="131"/>
        <v/>
      </c>
      <c r="V100" s="113" t="str">
        <f t="shared" si="4"/>
        <v>FY23</v>
      </c>
      <c r="W100" s="113" t="str">
        <f t="shared" ca="1" si="98"/>
        <v/>
      </c>
      <c r="X100" s="50"/>
      <c r="Y100" s="121" t="s">
        <v>213</v>
      </c>
      <c r="Z100" s="122"/>
      <c r="AA100" s="122"/>
      <c r="AB100" s="122"/>
      <c r="AC100" s="122"/>
      <c r="AD100" s="122"/>
      <c r="AE100" s="122"/>
      <c r="AF100" s="122"/>
      <c r="AG100" s="122"/>
      <c r="AH100" s="122"/>
      <c r="AI100" s="122"/>
      <c r="AJ100" s="122"/>
      <c r="AK100" s="122"/>
      <c r="AL100" s="122"/>
      <c r="AM100" s="122"/>
      <c r="AN100" s="122"/>
      <c r="AO100" s="122"/>
      <c r="AP100" s="122"/>
      <c r="AQ100" s="122"/>
      <c r="AR100" s="122"/>
      <c r="AS100" s="122"/>
      <c r="AT100" s="50"/>
      <c r="AU100" s="192"/>
      <c r="AZ100" s="105"/>
      <c r="BA100" s="105"/>
      <c r="BB100" s="105"/>
      <c r="BC100" s="105"/>
      <c r="BD100" s="105"/>
      <c r="BE100" s="105"/>
      <c r="BF100" s="105"/>
      <c r="BG100" s="105"/>
      <c r="BH100" s="50"/>
      <c r="CA100" s="50"/>
      <c r="CQ100" s="50"/>
      <c r="CR100" s="125" t="s">
        <v>209</v>
      </c>
      <c r="CS100" s="126"/>
      <c r="CT100" s="126"/>
      <c r="CU100" s="126"/>
      <c r="CV100" s="126"/>
      <c r="CW100" s="126"/>
      <c r="CX100" s="126"/>
      <c r="CY100" s="126"/>
      <c r="CZ100" s="126"/>
      <c r="DA100" s="126"/>
      <c r="DB100" s="126"/>
      <c r="DC100" s="126"/>
      <c r="DD100" s="126"/>
      <c r="DE100" s="126"/>
      <c r="DF100" s="126"/>
      <c r="DG100" s="126"/>
      <c r="DH100" s="126"/>
      <c r="DI100" s="126"/>
      <c r="DJ100" s="126"/>
      <c r="DK100" s="50"/>
      <c r="DL100" s="125" t="s">
        <v>49</v>
      </c>
      <c r="DM100" s="126"/>
      <c r="DN100" s="126"/>
      <c r="DO100" s="126"/>
      <c r="DP100" s="126"/>
      <c r="DQ100" s="126"/>
      <c r="DR100" s="126"/>
      <c r="DS100" s="126"/>
      <c r="DT100" s="126"/>
      <c r="DU100" s="126"/>
      <c r="DV100" s="126"/>
      <c r="DW100" s="126"/>
      <c r="DX100" s="126"/>
      <c r="DY100" s="126"/>
      <c r="DZ100" s="126"/>
      <c r="EA100" s="126"/>
    </row>
    <row r="101" spans="10:131" x14ac:dyDescent="0.25">
      <c r="J101" s="86" t="str" cm="1">
        <f t="array" ref="J101">LOOKUP(2,1/($G$17:$G$33&lt;=$L101)/($H$17:$H$33&gt;=$L101),$F$17:$F$33)</f>
        <v>1H23</v>
      </c>
      <c r="K101" s="86" t="str" cm="1">
        <f t="array" ref="K101">LOOKUP(2,1/($G$6:$G$14&lt;=$L101)/($H$6:$H$14&gt;=$L101),$F$6:$F$14)</f>
        <v>FY23</v>
      </c>
      <c r="L101" s="118">
        <v>44798</v>
      </c>
      <c r="M101" s="49">
        <v>25454583</v>
      </c>
      <c r="N101" s="49">
        <v>30884046</v>
      </c>
      <c r="O101" s="50">
        <v>8000000</v>
      </c>
      <c r="P101" s="119" cm="1">
        <f t="array" ref="P101">LOOKUP(2,1/($B$10:$B$14&lt;=$L101)/($C$10:$C$14&gt;=$L101),$D$10:$D$14)</f>
        <v>1.1000000000000001</v>
      </c>
      <c r="Q101" s="120" cm="1">
        <f t="array" ref="Q101">LOOKUP(2,1/($B$17:$B$21&lt;=$L101)/($C$17:$C$21&gt;=$L101),$D$17:$D$21)</f>
        <v>134.49039999999999</v>
      </c>
      <c r="R101" s="113" t="str">
        <f t="shared" si="128"/>
        <v/>
      </c>
      <c r="S101" s="113" t="str">
        <f t="shared" si="129"/>
        <v>1H23</v>
      </c>
      <c r="T101" s="113" t="str">
        <f t="shared" ca="1" si="130"/>
        <v/>
      </c>
      <c r="U101" s="113" t="str">
        <f t="shared" si="131"/>
        <v/>
      </c>
      <c r="V101" s="113" t="str">
        <f t="shared" si="4"/>
        <v>FY23</v>
      </c>
      <c r="W101" s="113" t="str">
        <f t="shared" ca="1" si="98"/>
        <v/>
      </c>
      <c r="X101" s="50"/>
      <c r="Y101" s="114" t="s">
        <v>147</v>
      </c>
      <c r="Z101" s="115">
        <v>44652</v>
      </c>
      <c r="AA101" s="114" t="s">
        <v>148</v>
      </c>
      <c r="AB101" s="115">
        <v>44868</v>
      </c>
      <c r="AC101" s="132"/>
      <c r="AD101" s="132"/>
      <c r="AE101" s="132"/>
      <c r="AF101" s="132"/>
      <c r="AG101" s="132"/>
      <c r="AH101" s="132"/>
      <c r="AI101" s="133"/>
      <c r="AJ101" s="133"/>
      <c r="AK101" s="133"/>
      <c r="AL101" s="133"/>
      <c r="AM101" s="133"/>
      <c r="AN101" s="133"/>
      <c r="AO101" s="133"/>
      <c r="AP101" s="133"/>
      <c r="AQ101" s="133"/>
      <c r="AR101" s="133"/>
      <c r="AS101" s="133"/>
      <c r="AT101" s="50"/>
      <c r="AU101" s="121" t="s">
        <v>215</v>
      </c>
      <c r="AV101" s="122"/>
      <c r="AW101" s="122"/>
      <c r="AX101" s="122"/>
      <c r="AY101" s="122"/>
      <c r="AZ101" s="122"/>
      <c r="BA101" s="122"/>
      <c r="BB101" s="122"/>
      <c r="BC101" s="122"/>
      <c r="BD101" s="122"/>
      <c r="BE101" s="122"/>
      <c r="BF101" s="122"/>
      <c r="BG101" s="122"/>
      <c r="BH101" s="50"/>
      <c r="BI101" s="123" t="s">
        <v>206</v>
      </c>
      <c r="BJ101" s="124"/>
      <c r="BK101" s="124"/>
      <c r="BL101" s="124"/>
      <c r="BM101" s="124"/>
      <c r="BN101" s="124"/>
      <c r="BO101" s="124"/>
      <c r="BP101" s="124"/>
      <c r="BQ101" s="124"/>
      <c r="BR101" s="124"/>
      <c r="BS101" s="124"/>
      <c r="BT101" s="124"/>
      <c r="BU101" s="124"/>
      <c r="BV101" s="124"/>
      <c r="BW101" s="124"/>
      <c r="BX101" s="124"/>
      <c r="BY101" s="124"/>
      <c r="BZ101" s="124"/>
      <c r="CA101" s="50"/>
      <c r="CQ101" s="50"/>
      <c r="CR101" s="114" t="s">
        <v>147</v>
      </c>
      <c r="CS101" s="115">
        <v>44013</v>
      </c>
      <c r="CT101" s="114" t="s">
        <v>148</v>
      </c>
      <c r="CU101" s="115">
        <v>44377</v>
      </c>
      <c r="CV101" s="132"/>
      <c r="CW101" s="132"/>
      <c r="CX101" s="132"/>
      <c r="CY101" s="133"/>
      <c r="CZ101" s="133"/>
      <c r="DA101" s="133"/>
      <c r="DB101" s="133"/>
      <c r="DC101" s="133"/>
      <c r="DD101" s="133"/>
      <c r="DE101" s="133"/>
      <c r="DF101" s="133"/>
      <c r="DG101" s="133"/>
      <c r="DH101" s="133"/>
      <c r="DI101" s="133"/>
      <c r="DJ101" s="133"/>
      <c r="DK101" s="50"/>
      <c r="DL101" s="114" t="s">
        <v>147</v>
      </c>
      <c r="DM101" s="115">
        <v>43647</v>
      </c>
      <c r="DN101" s="114" t="s">
        <v>148</v>
      </c>
      <c r="DO101" s="115">
        <v>43830</v>
      </c>
      <c r="DP101" s="132"/>
      <c r="DQ101" s="132"/>
      <c r="DR101" s="132"/>
      <c r="DS101" s="133"/>
      <c r="DT101" s="133"/>
      <c r="DU101" s="133"/>
      <c r="DV101" s="133"/>
      <c r="DW101" s="133"/>
      <c r="DX101" s="133"/>
      <c r="DY101" s="133"/>
      <c r="DZ101" s="133"/>
      <c r="EA101" s="133"/>
    </row>
    <row r="102" spans="10:131" x14ac:dyDescent="0.25">
      <c r="J102" s="86" t="str" cm="1">
        <f t="array" ref="J102">LOOKUP(2,1/($G$17:$G$33&lt;=$L102)/($H$17:$H$33&gt;=$L102),$F$17:$F$33)</f>
        <v>1H23</v>
      </c>
      <c r="K102" s="86" t="str" cm="1">
        <f t="array" ref="K102">LOOKUP(2,1/($G$6:$G$14&lt;=$L102)/($H$6:$H$14&gt;=$L102),$F$6:$F$14)</f>
        <v>FY23</v>
      </c>
      <c r="L102" s="118">
        <v>44791</v>
      </c>
      <c r="M102" s="49">
        <v>20023645</v>
      </c>
      <c r="N102" s="49">
        <v>24294689</v>
      </c>
      <c r="O102" s="50">
        <v>4000000</v>
      </c>
      <c r="P102" s="119" cm="1">
        <f t="array" ref="P102">LOOKUP(2,1/($B$10:$B$14&lt;=$L102)/($C$10:$C$14&gt;=$L102),$D$10:$D$14)</f>
        <v>1.1000000000000001</v>
      </c>
      <c r="Q102" s="120" cm="1">
        <f t="array" ref="Q102">LOOKUP(2,1/($B$17:$B$21&lt;=$L102)/($C$17:$C$21&gt;=$L102),$D$17:$D$21)</f>
        <v>134.49039999999999</v>
      </c>
      <c r="R102" s="113" t="str">
        <f t="shared" si="128"/>
        <v/>
      </c>
      <c r="S102" s="113" t="str">
        <f t="shared" si="129"/>
        <v>1H23</v>
      </c>
      <c r="T102" s="113" t="str">
        <f t="shared" ca="1" si="130"/>
        <v/>
      </c>
      <c r="U102" s="113" t="str">
        <f t="shared" si="131"/>
        <v/>
      </c>
      <c r="V102" s="113" t="str">
        <f t="shared" si="4"/>
        <v>FY23</v>
      </c>
      <c r="W102" s="113" t="str">
        <f t="shared" ca="1" si="98"/>
        <v/>
      </c>
      <c r="X102" s="50"/>
      <c r="Y102" s="114" t="s">
        <v>159</v>
      </c>
      <c r="Z102" s="115" t="s">
        <v>23</v>
      </c>
      <c r="AA102" s="114" t="s">
        <v>161</v>
      </c>
      <c r="AB102" s="115" t="s">
        <v>163</v>
      </c>
      <c r="AC102" s="134" t="s">
        <v>162</v>
      </c>
      <c r="AD102" s="134" t="s">
        <v>162</v>
      </c>
      <c r="AE102" s="134"/>
      <c r="AF102" s="134"/>
      <c r="AG102" s="134"/>
      <c r="AH102" s="134"/>
      <c r="AI102" s="133"/>
      <c r="AJ102" s="133"/>
      <c r="AK102" s="133"/>
      <c r="AL102" s="133"/>
      <c r="AM102" s="133"/>
      <c r="AN102" s="133"/>
      <c r="AO102" s="133"/>
      <c r="AP102" s="133"/>
      <c r="AQ102" s="133"/>
      <c r="AR102" s="133"/>
      <c r="AS102" s="133"/>
      <c r="AT102" s="50"/>
      <c r="AU102" s="114" t="s">
        <v>147</v>
      </c>
      <c r="AV102" s="115">
        <v>44652</v>
      </c>
      <c r="AW102" s="114" t="s">
        <v>148</v>
      </c>
      <c r="AX102" s="115">
        <v>44868</v>
      </c>
      <c r="AY102" s="132"/>
      <c r="AZ102" s="133"/>
      <c r="BA102" s="133"/>
      <c r="BB102" s="133"/>
      <c r="BC102" s="133"/>
      <c r="BD102" s="133"/>
      <c r="BE102" s="133"/>
      <c r="BF102" s="133"/>
      <c r="BG102" s="133"/>
      <c r="BH102" s="50"/>
      <c r="BI102" s="114" t="s">
        <v>147</v>
      </c>
      <c r="BJ102" s="115">
        <v>44378</v>
      </c>
      <c r="BK102" s="114" t="s">
        <v>148</v>
      </c>
      <c r="BL102" s="115">
        <v>44742</v>
      </c>
      <c r="BM102" s="115"/>
      <c r="BN102" s="115"/>
      <c r="BO102" s="132"/>
      <c r="BP102" s="133"/>
      <c r="BQ102" s="133"/>
      <c r="BR102" s="133"/>
      <c r="BS102" s="133"/>
      <c r="BT102" s="133"/>
      <c r="BU102" s="133"/>
      <c r="BV102" s="133"/>
      <c r="BW102" s="133"/>
      <c r="BX102" s="133"/>
      <c r="BY102" s="133"/>
      <c r="BZ102" s="133"/>
      <c r="CA102" s="50"/>
      <c r="CQ102" s="50"/>
      <c r="CR102" s="114" t="s">
        <v>159</v>
      </c>
      <c r="CS102" s="115" t="s">
        <v>21</v>
      </c>
      <c r="CT102" s="114" t="s">
        <v>161</v>
      </c>
      <c r="CU102" s="134" t="str" cm="1">
        <f t="array" ref="CU102">IF(OR(LOOKUP(2,1/($B$10:$B$14&lt;=CU101)/($C$10:$C$14&gt;=CU101),$D$10:$D$14)&lt;&gt;CS105,LOOKUP(2,1/($B$6:$B$7&lt;=CU101)/($C$6:$C$7&gt;=CU101),$D$6:$D$7)&lt;&gt;CU105),"FAIL","PASS")</f>
        <v>PASS</v>
      </c>
      <c r="CV102" s="134" t="s">
        <v>162</v>
      </c>
      <c r="CW102" s="134" t="s">
        <v>162</v>
      </c>
      <c r="CX102" s="134"/>
      <c r="CY102" s="133"/>
      <c r="CZ102" s="133"/>
      <c r="DA102" s="133"/>
      <c r="DB102" s="133"/>
      <c r="DC102" s="133"/>
      <c r="DD102" s="133"/>
      <c r="DE102" s="133"/>
      <c r="DF102" s="133"/>
      <c r="DG102" s="133"/>
      <c r="DH102" s="133"/>
      <c r="DI102" s="133"/>
      <c r="DJ102" s="133"/>
      <c r="DK102" s="50"/>
      <c r="DL102" s="114" t="s">
        <v>159</v>
      </c>
      <c r="DM102" s="115" t="s">
        <v>49</v>
      </c>
      <c r="DN102" s="114" t="s">
        <v>161</v>
      </c>
      <c r="DO102" s="134" t="str" cm="1">
        <f t="array" ref="DO102">IF(OR(LOOKUP(2,1/($B$10:$B$14&lt;=DO101)/($C$10:$C$14&gt;=DO101),$D$10:$D$14)&lt;&gt;DM105,LOOKUP(2,1/($B$6:$B$7&lt;=DO101)/($C$6:$C$7&gt;=DO101),$D$6:$D$7)&lt;&gt;DO105),"FAIL","PASS")</f>
        <v>FAIL</v>
      </c>
      <c r="DP102" s="134" t="s">
        <v>162</v>
      </c>
      <c r="DQ102" s="134" t="s">
        <v>162</v>
      </c>
      <c r="DR102" s="134"/>
      <c r="DS102" s="133"/>
      <c r="DT102" s="133"/>
      <c r="DU102" s="133"/>
      <c r="DV102" s="133"/>
      <c r="DW102" s="133"/>
      <c r="DX102" s="133"/>
      <c r="DY102" s="133"/>
      <c r="DZ102" s="133"/>
      <c r="EA102" s="133"/>
    </row>
    <row r="103" spans="10:131" x14ac:dyDescent="0.25">
      <c r="J103" s="86" t="str" cm="1">
        <f t="array" ref="J103">LOOKUP(2,1/($G$17:$G$33&lt;=$L103)/($H$17:$H$33&gt;=$L103),$F$17:$F$33)</f>
        <v>1H23</v>
      </c>
      <c r="K103" s="86" t="str" cm="1">
        <f t="array" ref="K103">LOOKUP(2,1/($G$6:$G$14&lt;=$L103)/($H$6:$H$14&gt;=$L103),$F$6:$F$14)</f>
        <v>FY23</v>
      </c>
      <c r="L103" s="118">
        <v>44784</v>
      </c>
      <c r="M103" s="49">
        <v>39456376</v>
      </c>
      <c r="N103" s="49">
        <v>47872421</v>
      </c>
      <c r="O103" s="50">
        <v>20000000</v>
      </c>
      <c r="P103" s="119" cm="1">
        <f t="array" ref="P103">LOOKUP(2,1/($B$10:$B$14&lt;=$L103)/($C$10:$C$14&gt;=$L103),$D$10:$D$14)</f>
        <v>1.1000000000000001</v>
      </c>
      <c r="Q103" s="120" cm="1">
        <f t="array" ref="Q103">LOOKUP(2,1/($B$17:$B$21&lt;=$L103)/($C$17:$C$21&gt;=$L103),$D$17:$D$21)</f>
        <v>134.49039999999999</v>
      </c>
      <c r="R103" s="113" t="str">
        <f t="shared" si="128"/>
        <v/>
      </c>
      <c r="S103" s="113" t="str">
        <f t="shared" si="129"/>
        <v>1H23</v>
      </c>
      <c r="T103" s="113" t="str">
        <f t="shared" ca="1" si="130"/>
        <v/>
      </c>
      <c r="U103" s="113" t="str">
        <f t="shared" si="131"/>
        <v/>
      </c>
      <c r="V103" s="113" t="str">
        <f t="shared" si="4"/>
        <v>FY23</v>
      </c>
      <c r="W103" s="113" t="str">
        <f t="shared" ca="1" si="98"/>
        <v/>
      </c>
      <c r="X103" s="50"/>
      <c r="Y103" s="114" t="s">
        <v>165</v>
      </c>
      <c r="Z103" s="134">
        <f>INDEX($G:$G,MATCH(Z102,$F:$F,0))</f>
        <v>44743</v>
      </c>
      <c r="AA103" s="114" t="s">
        <v>166</v>
      </c>
      <c r="AB103" s="134">
        <f>INDEX($H:$H,MATCH(Z102,$F:$F,0))</f>
        <v>45107</v>
      </c>
      <c r="AC103" s="135">
        <v>1.4</v>
      </c>
      <c r="AD103" s="135">
        <v>1</v>
      </c>
      <c r="AE103" s="134"/>
      <c r="AF103" s="134"/>
      <c r="AG103" s="134"/>
      <c r="AH103" s="134"/>
      <c r="AJ103" s="136" t="s">
        <v>167</v>
      </c>
      <c r="AK103" s="137"/>
      <c r="AL103" s="137"/>
      <c r="AM103" s="137"/>
      <c r="AN103" s="138"/>
      <c r="AO103" s="137"/>
      <c r="AP103" s="137"/>
      <c r="AQ103" s="139"/>
      <c r="AT103" s="50"/>
      <c r="AU103" s="114" t="s">
        <v>159</v>
      </c>
      <c r="AV103" s="115" t="s">
        <v>193</v>
      </c>
      <c r="AW103" s="114" t="s">
        <v>161</v>
      </c>
      <c r="AX103" s="115" t="s">
        <v>163</v>
      </c>
      <c r="AY103" s="132"/>
      <c r="AZ103" s="133"/>
      <c r="BA103" s="133"/>
      <c r="BB103" s="133"/>
      <c r="BC103" s="133"/>
      <c r="BD103" s="133"/>
      <c r="BE103" s="133"/>
      <c r="BF103" s="133"/>
      <c r="BG103" s="133"/>
      <c r="BH103" s="50"/>
      <c r="BI103" s="114" t="s">
        <v>159</v>
      </c>
      <c r="BJ103" s="115" t="s">
        <v>23</v>
      </c>
      <c r="BK103" s="114" t="s">
        <v>161</v>
      </c>
      <c r="BL103" s="134" t="str" cm="1">
        <f t="array" ref="BL103">IF(OR(LOOKUP(2,1/($B$10:$B$14&lt;=BL102)/($C$10:$C$14&gt;=BL102),$D$10:$D$14)&lt;&gt;BJ106,LOOKUP(2,1/($B$6:$B$7&lt;=BL102)/($C$6:$C$7&gt;=BL102),$D$6:$D$7)&lt;&gt;BL106),"FAIL","PASS")</f>
        <v>PASS</v>
      </c>
      <c r="BM103" s="134"/>
      <c r="BN103" s="134"/>
      <c r="BO103" s="134"/>
      <c r="BP103" s="133"/>
      <c r="BQ103" s="133"/>
      <c r="BR103" s="133"/>
      <c r="BS103" s="133"/>
      <c r="BT103" s="133"/>
      <c r="BU103" s="133"/>
      <c r="BV103" s="133"/>
      <c r="BW103" s="133"/>
      <c r="BX103" s="133"/>
      <c r="BY103" s="133"/>
      <c r="BZ103" s="133"/>
      <c r="CA103" s="50"/>
      <c r="CQ103" s="50"/>
      <c r="CR103" s="114" t="s">
        <v>165</v>
      </c>
      <c r="CS103" s="134">
        <f>INDEX($G:$G,MATCH(CS102,$F:$F,0))</f>
        <v>44013</v>
      </c>
      <c r="CT103" s="114" t="s">
        <v>166</v>
      </c>
      <c r="CU103" s="134">
        <f>INDEX($H:$H,MATCH(CS102,$F:$F,0))</f>
        <v>44377</v>
      </c>
      <c r="CV103" s="135">
        <v>1.3</v>
      </c>
      <c r="CW103" s="135">
        <v>1</v>
      </c>
      <c r="CX103" s="134"/>
      <c r="DA103" s="136" t="s">
        <v>167</v>
      </c>
      <c r="DB103" s="137"/>
      <c r="DC103" s="137"/>
      <c r="DD103" s="137"/>
      <c r="DE103" s="138"/>
      <c r="DF103" s="137"/>
      <c r="DG103" s="137"/>
      <c r="DH103" s="139"/>
      <c r="DK103" s="50"/>
      <c r="DL103" s="114" t="s">
        <v>165</v>
      </c>
      <c r="DM103" s="134">
        <f>INDEX($G:$G,MATCH(DM102,$F:$F,0))</f>
        <v>43647</v>
      </c>
      <c r="DN103" s="114" t="s">
        <v>166</v>
      </c>
      <c r="DO103" s="134">
        <f>INDEX($H:$H,MATCH(DM102,$F:$F,0))</f>
        <v>43830</v>
      </c>
      <c r="DP103" s="135">
        <v>1.25</v>
      </c>
      <c r="DQ103" s="135">
        <v>1</v>
      </c>
      <c r="DR103" s="134"/>
      <c r="DT103" s="136" t="s">
        <v>167</v>
      </c>
      <c r="DU103" s="137"/>
      <c r="DV103" s="137"/>
      <c r="DW103" s="137"/>
      <c r="DX103" s="138"/>
      <c r="DY103" s="137"/>
      <c r="DZ103" s="137"/>
      <c r="EA103" s="139"/>
    </row>
    <row r="104" spans="10:131" x14ac:dyDescent="0.25">
      <c r="J104" s="86" t="str" cm="1">
        <f t="array" ref="J104">LOOKUP(2,1/($G$17:$G$33&lt;=$L104)/($H$17:$H$33&gt;=$L104),$F$17:$F$33)</f>
        <v>1H23</v>
      </c>
      <c r="K104" s="86" t="str" cm="1">
        <f t="array" ref="K104">LOOKUP(2,1/($G$6:$G$14&lt;=$L104)/($H$6:$H$14&gt;=$L104),$F$6:$F$14)</f>
        <v>FY23</v>
      </c>
      <c r="L104" s="118">
        <v>44777</v>
      </c>
      <c r="M104" s="49">
        <v>24328928</v>
      </c>
      <c r="N104" s="49">
        <v>29518289</v>
      </c>
      <c r="O104" s="50">
        <v>8000000</v>
      </c>
      <c r="P104" s="119" cm="1">
        <f t="array" ref="P104">LOOKUP(2,1/($B$10:$B$14&lt;=$L104)/($C$10:$C$14&gt;=$L104),$D$10:$D$14)</f>
        <v>1.1000000000000001</v>
      </c>
      <c r="Q104" s="120" cm="1">
        <f t="array" ref="Q104">LOOKUP(2,1/($B$17:$B$21&lt;=$L104)/($C$17:$C$21&gt;=$L104),$D$17:$D$21)</f>
        <v>134.49039999999999</v>
      </c>
      <c r="R104" s="113" t="str">
        <f t="shared" si="128"/>
        <v/>
      </c>
      <c r="S104" s="113" t="str">
        <f t="shared" si="129"/>
        <v>1H23</v>
      </c>
      <c r="T104" s="113" t="str">
        <f t="shared" ca="1" si="130"/>
        <v/>
      </c>
      <c r="U104" s="113" t="str">
        <f t="shared" si="131"/>
        <v/>
      </c>
      <c r="V104" s="113" t="str">
        <f t="shared" si="4"/>
        <v>FY23</v>
      </c>
      <c r="W104" s="113" t="str">
        <f t="shared" ca="1" si="98"/>
        <v/>
      </c>
      <c r="X104" s="50"/>
      <c r="Y104" s="114" t="s">
        <v>91</v>
      </c>
      <c r="Z104" s="140">
        <f>INDEX($O:$O,MATCH(Z102,$U:$U,0))</f>
        <v>4000000</v>
      </c>
      <c r="AA104" s="114" t="s">
        <v>76</v>
      </c>
      <c r="AB104" s="140">
        <f ca="1">INDEX($O:$O,MATCH(Z102,$W:$W,0))</f>
        <v>60000000</v>
      </c>
      <c r="AC104" s="140"/>
      <c r="AD104" s="140"/>
      <c r="AE104" s="140"/>
      <c r="AF104" s="140"/>
      <c r="AG104" s="140"/>
      <c r="AH104" s="140"/>
      <c r="AJ104" s="141" t="s">
        <v>168</v>
      </c>
      <c r="AK104" s="141"/>
      <c r="AL104" s="142"/>
      <c r="AM104" s="142"/>
      <c r="AN104" s="143" t="s">
        <v>15</v>
      </c>
      <c r="AO104" s="142"/>
      <c r="AP104" s="142"/>
      <c r="AQ104" s="144" t="s">
        <v>139</v>
      </c>
      <c r="AT104" s="50"/>
      <c r="AU104" s="114" t="s">
        <v>165</v>
      </c>
      <c r="AV104" s="134">
        <f>INDEX($G:$G,MATCH(AV103,$F:$F,0))</f>
        <v>44927</v>
      </c>
      <c r="AW104" s="114" t="s">
        <v>166</v>
      </c>
      <c r="AX104" s="134">
        <f>INDEX($H:$H,MATCH(AV103,$F:$F,0))</f>
        <v>45107</v>
      </c>
      <c r="AY104" s="134"/>
      <c r="BA104" s="136" t="s">
        <v>167</v>
      </c>
      <c r="BB104" s="137"/>
      <c r="BC104" s="137"/>
      <c r="BD104" s="138"/>
      <c r="BE104" s="139"/>
      <c r="BH104" s="50"/>
      <c r="BI104" s="114" t="s">
        <v>165</v>
      </c>
      <c r="BJ104" s="134">
        <f>INDEX($G:$G,MATCH(BJ103,$F:$F,0))</f>
        <v>44743</v>
      </c>
      <c r="BK104" s="114" t="s">
        <v>166</v>
      </c>
      <c r="BL104" s="134">
        <f>INDEX($H:$H,MATCH(BJ103,$F:$F,0))</f>
        <v>45107</v>
      </c>
      <c r="BM104" s="134"/>
      <c r="BN104" s="134"/>
      <c r="BO104" s="134"/>
      <c r="BQ104" s="136" t="s">
        <v>167</v>
      </c>
      <c r="BR104" s="137"/>
      <c r="BS104" s="137"/>
      <c r="BT104" s="137"/>
      <c r="BU104" s="138"/>
      <c r="BV104" s="137"/>
      <c r="BW104" s="137"/>
      <c r="BX104" s="139"/>
      <c r="CA104" s="50"/>
      <c r="CQ104" s="50"/>
      <c r="CR104" s="114" t="s">
        <v>91</v>
      </c>
      <c r="CS104" s="140">
        <f>INDEX($O:$O,MATCH(CS102,$U:$U,0))</f>
        <v>50000000</v>
      </c>
      <c r="CT104" s="114" t="s">
        <v>76</v>
      </c>
      <c r="CU104" s="140">
        <f ca="1">INDEX($O:$O,MATCH(CS102,$W:$W,0))</f>
        <v>15000000</v>
      </c>
      <c r="CV104" s="140"/>
      <c r="CW104" s="140"/>
      <c r="CX104" s="140"/>
      <c r="DA104" s="141" t="s">
        <v>168</v>
      </c>
      <c r="DB104" s="141"/>
      <c r="DC104" s="142"/>
      <c r="DD104" s="142"/>
      <c r="DE104" s="143" t="s">
        <v>15</v>
      </c>
      <c r="DF104" s="142"/>
      <c r="DG104" s="142"/>
      <c r="DH104" s="144" t="s">
        <v>139</v>
      </c>
      <c r="DK104" s="50"/>
      <c r="DL104" s="114" t="s">
        <v>91</v>
      </c>
      <c r="DM104" s="140">
        <f>INDEX($O:$O,MATCH(DM102,$R:$R,0))</f>
        <v>60000000</v>
      </c>
      <c r="DN104" s="114" t="s">
        <v>76</v>
      </c>
      <c r="DO104" s="140">
        <f ca="1">INDEX($O:$O,MATCH(DM102,$T:$T,0))</f>
        <v>8000000</v>
      </c>
      <c r="DP104" s="140"/>
      <c r="DQ104" s="140"/>
      <c r="DR104" s="140"/>
      <c r="DT104" s="147" t="s">
        <v>165</v>
      </c>
      <c r="DU104" s="148">
        <f>DM103</f>
        <v>43647</v>
      </c>
      <c r="DV104" s="142"/>
      <c r="DW104" s="142"/>
      <c r="DX104" s="143" t="s">
        <v>15</v>
      </c>
      <c r="DY104" s="142"/>
      <c r="DZ104" s="142"/>
      <c r="EA104" s="144" t="s">
        <v>139</v>
      </c>
    </row>
    <row r="105" spans="10:131" x14ac:dyDescent="0.25">
      <c r="J105" s="86" t="str" cm="1">
        <f t="array" ref="J105">LOOKUP(2,1/($G$17:$G$33&lt;=$L105)/($H$17:$H$33&gt;=$L105),$F$17:$F$33)</f>
        <v>1H23</v>
      </c>
      <c r="K105" s="86" t="str" cm="1">
        <f t="array" ref="K105">LOOKUP(2,1/($G$6:$G$14&lt;=$L105)/($H$6:$H$14&gt;=$L105),$F$6:$F$14)</f>
        <v>FY23</v>
      </c>
      <c r="L105" s="118">
        <v>44770</v>
      </c>
      <c r="M105" s="49">
        <v>19329129</v>
      </c>
      <c r="N105" s="49">
        <v>23452032</v>
      </c>
      <c r="O105" s="50">
        <v>4000000</v>
      </c>
      <c r="P105" s="119" cm="1">
        <f t="array" ref="P105">LOOKUP(2,1/($B$10:$B$14&lt;=$L105)/($C$10:$C$14&gt;=$L105),$D$10:$D$14)</f>
        <v>1.1000000000000001</v>
      </c>
      <c r="Q105" s="120" cm="1">
        <f t="array" ref="Q105">LOOKUP(2,1/($B$17:$B$21&lt;=$L105)/($C$17:$C$21&gt;=$L105),$D$17:$D$21)</f>
        <v>134.49039999999999</v>
      </c>
      <c r="R105" s="113" t="str">
        <f t="shared" si="128"/>
        <v/>
      </c>
      <c r="S105" s="113" t="str">
        <f t="shared" si="129"/>
        <v>1H23</v>
      </c>
      <c r="T105" s="113" t="str">
        <f t="shared" ca="1" si="130"/>
        <v/>
      </c>
      <c r="U105" s="113" t="str">
        <f t="shared" si="131"/>
        <v/>
      </c>
      <c r="V105" s="113" t="str">
        <f t="shared" si="4"/>
        <v>FY23</v>
      </c>
      <c r="W105" s="113" t="str">
        <f t="shared" ca="1" si="98"/>
        <v/>
      </c>
      <c r="X105" s="50"/>
      <c r="Y105" s="114" t="s">
        <v>169</v>
      </c>
      <c r="Z105" s="135">
        <v>1.2</v>
      </c>
      <c r="AA105" s="114" t="s">
        <v>149</v>
      </c>
      <c r="AB105" s="152" cm="1">
        <f t="array" ref="AB105">LOOKUP(2,1/($B$6:$B$7&lt;=Z101)/($C$6:$C$7&gt;=Z101),$D$6:$D$7)</f>
        <v>0.10299999999999999</v>
      </c>
      <c r="AC105" s="152" t="s">
        <v>170</v>
      </c>
      <c r="AD105" s="152" t="s">
        <v>171</v>
      </c>
      <c r="AE105" s="152"/>
      <c r="AF105" s="152"/>
      <c r="AG105" s="152"/>
      <c r="AH105" s="152"/>
      <c r="AJ105" s="153" t="s">
        <v>165</v>
      </c>
      <c r="AK105" s="148">
        <f>Z103</f>
        <v>44743</v>
      </c>
      <c r="AL105" s="154"/>
      <c r="AM105" s="154"/>
      <c r="AN105" s="155">
        <f t="shared" ref="AN105:AN114" si="132">Z108/1000000</f>
        <v>8</v>
      </c>
      <c r="AO105" s="154"/>
      <c r="AP105" s="154"/>
      <c r="AQ105" s="156">
        <f t="shared" ref="AQ105:AQ114" si="133">MAX(AA108:AB108)/1000000</f>
        <v>24.711988265909092</v>
      </c>
      <c r="AT105" s="50"/>
      <c r="AU105" s="114" t="s">
        <v>91</v>
      </c>
      <c r="AV105" s="145">
        <v>20000000</v>
      </c>
      <c r="AW105" s="114" t="s">
        <v>76</v>
      </c>
      <c r="AX105" s="145">
        <v>20000000</v>
      </c>
      <c r="AY105" s="146"/>
      <c r="BA105" s="147" t="s">
        <v>165</v>
      </c>
      <c r="BB105" s="148">
        <f>AV104</f>
        <v>44927</v>
      </c>
      <c r="BC105" s="142"/>
      <c r="BD105" s="143" t="s">
        <v>15</v>
      </c>
      <c r="BE105" s="144" t="s">
        <v>139</v>
      </c>
      <c r="BH105" s="50"/>
      <c r="BI105" s="114" t="s">
        <v>91</v>
      </c>
      <c r="BJ105" s="140">
        <f>INDEX($O:$O,MATCH(BJ103,$U:$U,0))</f>
        <v>4000000</v>
      </c>
      <c r="BK105" s="114" t="s">
        <v>76</v>
      </c>
      <c r="BL105" s="140">
        <f ca="1">INDEX($O:$O,MATCH(BJ103,$W:$W,0))</f>
        <v>60000000</v>
      </c>
      <c r="BM105" s="140"/>
      <c r="BN105" s="140"/>
      <c r="BO105" s="140"/>
      <c r="BQ105" s="141" t="s">
        <v>168</v>
      </c>
      <c r="BR105" s="141"/>
      <c r="BS105" s="2"/>
      <c r="BT105" s="2"/>
      <c r="BU105" s="149" t="s">
        <v>15</v>
      </c>
      <c r="BV105" s="2"/>
      <c r="BW105" s="2"/>
      <c r="BX105" s="150" t="s">
        <v>139</v>
      </c>
      <c r="CA105" s="50"/>
      <c r="CQ105" s="50"/>
      <c r="CR105" s="114" t="s">
        <v>169</v>
      </c>
      <c r="CS105" s="119" cm="1">
        <f t="array" ref="CS105">LOOKUP(2,1/($B$10:$B$14&lt;=CS101)/($C$10:$C$14&gt;=CS101),$D$10:$D$14)</f>
        <v>1.1000000000000001</v>
      </c>
      <c r="CT105" s="114" t="s">
        <v>149</v>
      </c>
      <c r="CU105" s="152" cm="1">
        <f t="array" ref="CU105">LOOKUP(2,1/($B$6:$B$7&lt;=CS101)/($C$6:$C$7&gt;=CS101),$D$6:$D$7)</f>
        <v>0.10299999999999999</v>
      </c>
      <c r="CV105" s="152" t="s">
        <v>170</v>
      </c>
      <c r="CW105" s="152" t="s">
        <v>171</v>
      </c>
      <c r="CX105" s="152"/>
      <c r="DA105" s="153" t="s">
        <v>165</v>
      </c>
      <c r="DB105" s="148">
        <f>CS103</f>
        <v>44013</v>
      </c>
      <c r="DC105" s="154"/>
      <c r="DD105" s="154"/>
      <c r="DE105" s="155">
        <f t="shared" ref="DE105:DE114" si="134">CS108/1000000</f>
        <v>3</v>
      </c>
      <c r="DF105" s="154"/>
      <c r="DG105" s="154"/>
      <c r="DH105" s="156">
        <f t="shared" ref="DH105:DH114" si="135">MAX(CT108:CU108)/1000000</f>
        <v>18.647658181818183</v>
      </c>
      <c r="DK105" s="50"/>
      <c r="DL105" s="114" t="s">
        <v>169</v>
      </c>
      <c r="DM105" s="119" cm="1">
        <f t="array" ref="DM105">LOOKUP(2,1/($B$10:$B$14&lt;=DM101)/($C$10:$C$14&gt;=DM101),$D$10:$D$14)</f>
        <v>1.1000000000000001</v>
      </c>
      <c r="DN105" s="114" t="s">
        <v>149</v>
      </c>
      <c r="DO105" s="162">
        <f>9.3%*13/26+10.3%*13/26</f>
        <v>9.8000000000000004E-2</v>
      </c>
      <c r="DP105" s="152" t="s">
        <v>170</v>
      </c>
      <c r="DQ105" s="152" t="s">
        <v>171</v>
      </c>
      <c r="DR105" s="164"/>
      <c r="DT105" s="153" t="s">
        <v>166</v>
      </c>
      <c r="DU105" s="158">
        <f>DO103</f>
        <v>43830</v>
      </c>
      <c r="DV105" s="154"/>
      <c r="DW105" s="154"/>
      <c r="DX105" s="155">
        <f>DM108/1000000</f>
        <v>3</v>
      </c>
      <c r="DY105" s="154"/>
      <c r="DZ105" s="154"/>
      <c r="EA105" s="156">
        <f>MAX(DN108:DO108)/1000000</f>
        <v>14.84063725</v>
      </c>
    </row>
    <row r="106" spans="10:131" x14ac:dyDescent="0.25">
      <c r="J106" s="86" t="str" cm="1">
        <f t="array" ref="J106">LOOKUP(2,1/($G$17:$G$33&lt;=$L106)/($H$17:$H$33&gt;=$L106),$F$17:$F$33)</f>
        <v>1H23</v>
      </c>
      <c r="K106" s="86" t="str" cm="1">
        <f t="array" ref="K106">LOOKUP(2,1/($G$6:$G$14&lt;=$L106)/($H$6:$H$14&gt;=$L106),$F$6:$F$14)</f>
        <v>FY23</v>
      </c>
      <c r="L106" s="118">
        <v>44763</v>
      </c>
      <c r="M106" s="49">
        <v>20968406</v>
      </c>
      <c r="N106" s="49">
        <v>25440967</v>
      </c>
      <c r="O106" s="50">
        <v>4000000</v>
      </c>
      <c r="P106" s="119" cm="1">
        <f t="array" ref="P106">LOOKUP(2,1/($B$10:$B$14&lt;=$L106)/($C$10:$C$14&gt;=$L106),$D$10:$D$14)</f>
        <v>1.1000000000000001</v>
      </c>
      <c r="Q106" s="120" cm="1">
        <f t="array" ref="Q106">LOOKUP(2,1/($B$17:$B$21&lt;=$L106)/($C$17:$C$21&gt;=$L106),$D$17:$D$21)</f>
        <v>134.49039999999999</v>
      </c>
      <c r="R106" s="113" t="str">
        <f t="shared" si="128"/>
        <v/>
      </c>
      <c r="S106" s="113" t="str">
        <f t="shared" si="129"/>
        <v>1H23</v>
      </c>
      <c r="T106" s="113" t="str">
        <f t="shared" ca="1" si="130"/>
        <v/>
      </c>
      <c r="U106" s="113" t="str">
        <f t="shared" si="131"/>
        <v/>
      </c>
      <c r="V106" s="113" t="str">
        <f t="shared" si="4"/>
        <v>FY23</v>
      </c>
      <c r="W106" s="113" t="str">
        <f t="shared" ca="1" si="98"/>
        <v/>
      </c>
      <c r="X106" s="50"/>
      <c r="Y106" s="114" t="s">
        <v>172</v>
      </c>
      <c r="Z106" s="119" cm="1">
        <f t="array" ref="Z106">LOOKUP(2,1/($B$17:$B$21&lt;=Z101)/($C$17:$C$21&gt;=Z101),$D$17:$D$21)</f>
        <v>134.49039999999999</v>
      </c>
      <c r="AA106" s="114" t="s">
        <v>0</v>
      </c>
      <c r="AB106" s="135">
        <f>1+(1.2/1.1-1)*-30%</f>
        <v>0.97272727272727277</v>
      </c>
      <c r="AC106" s="162">
        <v>1</v>
      </c>
      <c r="AD106" s="162">
        <f>1-AC106</f>
        <v>0</v>
      </c>
      <c r="AJ106" s="153" t="s">
        <v>166</v>
      </c>
      <c r="AK106" s="158">
        <f>AB103</f>
        <v>45107</v>
      </c>
      <c r="AL106" s="154"/>
      <c r="AM106" s="154"/>
      <c r="AN106" s="155">
        <f t="shared" si="132"/>
        <v>20</v>
      </c>
      <c r="AO106" s="154"/>
      <c r="AP106" s="154"/>
      <c r="AQ106" s="156">
        <f t="shared" si="133"/>
        <v>38.811274427272728</v>
      </c>
      <c r="AT106" s="50"/>
      <c r="AU106" s="114" t="s">
        <v>169</v>
      </c>
      <c r="AV106" s="159">
        <v>1.2</v>
      </c>
      <c r="AW106" s="114" t="s">
        <v>149</v>
      </c>
      <c r="AX106" s="152" cm="1">
        <f t="array" ref="AX106">LOOKUP(2,1/($B$6:$B$7&lt;=AV102)/($C$6:$C$7&gt;=AV102),$D$6:$D$7)</f>
        <v>0.10299999999999999</v>
      </c>
      <c r="AY106" s="157"/>
      <c r="BA106" s="153" t="s">
        <v>166</v>
      </c>
      <c r="BB106" s="158">
        <f>AX104</f>
        <v>45107</v>
      </c>
      <c r="BC106" s="154"/>
      <c r="BD106" s="155">
        <f>AV109/1000000</f>
        <v>4</v>
      </c>
      <c r="BE106" s="156">
        <f>MAX(AW109:AX109)/1000000</f>
        <v>18.899990176233764</v>
      </c>
      <c r="BH106" s="50"/>
      <c r="BI106" s="114" t="s">
        <v>169</v>
      </c>
      <c r="BJ106" s="119" cm="1">
        <f t="array" ref="BJ106">LOOKUP(2,1/($B$10:$B$14&lt;=BJ102)/($C$10:$C$14&gt;=BJ102),$D$10:$D$14)</f>
        <v>1.1000000000000001</v>
      </c>
      <c r="BK106" s="114" t="s">
        <v>149</v>
      </c>
      <c r="BL106" s="152" cm="1">
        <f t="array" ref="BL106">LOOKUP(2,1/($B$6:$B$7&lt;=BJ102)/($C$6:$C$7&gt;=BJ102),$D$6:$D$7)</f>
        <v>0.10299999999999999</v>
      </c>
      <c r="BM106" s="152"/>
      <c r="BN106" s="152"/>
      <c r="BO106" s="152"/>
      <c r="BQ106" s="153" t="s">
        <v>165</v>
      </c>
      <c r="BR106" s="158">
        <f>BJ104</f>
        <v>44743</v>
      </c>
      <c r="BS106" s="154"/>
      <c r="BT106" s="154"/>
      <c r="BU106" s="155">
        <f t="shared" ref="BU106:BU115" si="136">BJ109/1000000</f>
        <v>8</v>
      </c>
      <c r="BV106" s="154"/>
      <c r="BW106" s="154"/>
      <c r="BX106" s="156">
        <f t="shared" ref="BX106:BX115" si="137">MAX(BK109:BL109)/1000000</f>
        <v>26.095742090909091</v>
      </c>
      <c r="CA106" s="50"/>
      <c r="CQ106" s="50"/>
      <c r="CR106" s="114" t="s">
        <v>172</v>
      </c>
      <c r="CS106" s="119" cm="1">
        <f t="array" ref="CS106">LOOKUP(2,1/($B$17:$B$21&lt;=CS101)/($C$17:$C$21&gt;=CS101),$D$17:$D$21)</f>
        <v>134.49039999999999</v>
      </c>
      <c r="CT106" s="114" t="s">
        <v>173</v>
      </c>
      <c r="CU106" s="162">
        <f>36/52</f>
        <v>0.69230769230769229</v>
      </c>
      <c r="CV106" s="162">
        <v>1</v>
      </c>
      <c r="CW106" s="162">
        <f>1-CV106</f>
        <v>0</v>
      </c>
      <c r="CX106" s="163"/>
      <c r="DA106" s="153" t="s">
        <v>166</v>
      </c>
      <c r="DB106" s="158">
        <f>CU103</f>
        <v>44377</v>
      </c>
      <c r="DC106" s="154"/>
      <c r="DD106" s="154"/>
      <c r="DE106" s="155">
        <f t="shared" si="134"/>
        <v>8</v>
      </c>
      <c r="DF106" s="154"/>
      <c r="DG106" s="154"/>
      <c r="DH106" s="156">
        <f t="shared" si="135"/>
        <v>24.779866466666665</v>
      </c>
      <c r="DK106" s="50"/>
      <c r="DL106" s="114" t="s">
        <v>172</v>
      </c>
      <c r="DM106" s="119" cm="1">
        <f t="array" ref="DM106">LOOKUP(2,1/($B$17:$B$21&lt;=DM101)/($C$17:$C$21&gt;=DM101),$D$17:$D$21)</f>
        <v>134.49039999999999</v>
      </c>
      <c r="DN106" s="114" t="s">
        <v>173</v>
      </c>
      <c r="DO106" s="163">
        <f>INT((WEEKDAY(DM101-5)-DM101+DO101)/7)/INT((WEEKDAY(DM103-5)-DM103+DO103)/7)</f>
        <v>1</v>
      </c>
      <c r="DP106" s="162">
        <v>1</v>
      </c>
      <c r="DQ106" s="162">
        <f>1-DP106</f>
        <v>0</v>
      </c>
      <c r="DR106" s="163"/>
      <c r="DT106" s="153" t="s">
        <v>91</v>
      </c>
      <c r="DU106" s="155">
        <f>DM104/1000000</f>
        <v>60</v>
      </c>
      <c r="DV106" s="154"/>
      <c r="DW106" s="154"/>
      <c r="DX106" s="155">
        <f t="shared" ref="DX106:DX114" si="138">DM109/1000000</f>
        <v>8</v>
      </c>
      <c r="DY106" s="154"/>
      <c r="DZ106" s="154"/>
      <c r="EA106" s="156">
        <f t="shared" ref="EA106:EA114" si="139">MAX(DN109:DO109)/1000000</f>
        <v>19.056728499999998</v>
      </c>
    </row>
    <row r="107" spans="10:131" x14ac:dyDescent="0.25">
      <c r="J107" s="86" t="str" cm="1">
        <f t="array" ref="J107">LOOKUP(2,1/($G$17:$G$33&lt;=$L107)/($H$17:$H$33&gt;=$L107),$F$17:$F$33)</f>
        <v>1H23</v>
      </c>
      <c r="K107" s="86" t="str" cm="1">
        <f t="array" ref="K107">LOOKUP(2,1/($G$6:$G$14&lt;=$L107)/($H$6:$H$14&gt;=$L107),$F$6:$F$14)</f>
        <v>FY23</v>
      </c>
      <c r="L107" s="118">
        <v>44756</v>
      </c>
      <c r="M107" s="49">
        <v>27258635</v>
      </c>
      <c r="N107" s="49">
        <v>33072902</v>
      </c>
      <c r="O107" s="50">
        <v>8000000</v>
      </c>
      <c r="P107" s="119" cm="1">
        <f t="array" ref="P107">LOOKUP(2,1/($B$10:$B$14&lt;=$L107)/($C$10:$C$14&gt;=$L107),$D$10:$D$14)</f>
        <v>1.1000000000000001</v>
      </c>
      <c r="Q107" s="120" cm="1">
        <f t="array" ref="Q107">LOOKUP(2,1/($B$17:$B$21&lt;=$L107)/($C$17:$C$21&gt;=$L107),$D$17:$D$21)</f>
        <v>134.49039999999999</v>
      </c>
      <c r="R107" s="113" t="str">
        <f t="shared" si="128"/>
        <v/>
      </c>
      <c r="S107" s="113" t="str">
        <f t="shared" si="129"/>
        <v>1H23</v>
      </c>
      <c r="T107" s="113" t="str">
        <f t="shared" ca="1" si="130"/>
        <v/>
      </c>
      <c r="U107" s="113" t="str">
        <f t="shared" si="131"/>
        <v/>
      </c>
      <c r="V107" s="113" t="str">
        <f t="shared" si="4"/>
        <v>FY23</v>
      </c>
      <c r="W107" s="113" t="str">
        <f t="shared" ca="1" si="98"/>
        <v/>
      </c>
      <c r="X107" s="50"/>
      <c r="Y107" s="111" t="s">
        <v>174</v>
      </c>
      <c r="Z107" s="111" t="s">
        <v>175</v>
      </c>
      <c r="AA107" s="111" t="s">
        <v>176</v>
      </c>
      <c r="AB107" s="111" t="s">
        <v>177</v>
      </c>
      <c r="AC107" s="111" t="s">
        <v>178</v>
      </c>
      <c r="AD107" s="111" t="s">
        <v>179</v>
      </c>
      <c r="AE107" s="111" t="s">
        <v>180</v>
      </c>
      <c r="AF107" s="37"/>
      <c r="AG107" s="37"/>
      <c r="AH107" s="37"/>
      <c r="AJ107" s="153" t="s">
        <v>91</v>
      </c>
      <c r="AK107" s="155">
        <f>Z104/1000000</f>
        <v>4</v>
      </c>
      <c r="AL107" s="154"/>
      <c r="AM107" s="154"/>
      <c r="AN107" s="155">
        <f t="shared" si="132"/>
        <v>30</v>
      </c>
      <c r="AO107" s="154"/>
      <c r="AP107" s="154"/>
      <c r="AQ107" s="156">
        <f t="shared" si="133"/>
        <v>46.129821518181821</v>
      </c>
      <c r="AT107" s="50"/>
      <c r="AU107" s="114" t="s">
        <v>172</v>
      </c>
      <c r="AV107" s="119" cm="1">
        <f t="array" ref="AV107">LOOKUP(2,1/($B$17:$B$21&lt;=AV102)/($C$17:$C$21&gt;=AV102),$D$17:$D$21)</f>
        <v>134.49039999999999</v>
      </c>
      <c r="AW107" s="114" t="s">
        <v>0</v>
      </c>
      <c r="AX107" s="135">
        <f>$AX$49*(1+(1.2/1.1-1)*-30%)</f>
        <v>0.92409090909090907</v>
      </c>
      <c r="BA107" s="153" t="s">
        <v>91</v>
      </c>
      <c r="BB107" s="155">
        <f>AV105/1000000</f>
        <v>20</v>
      </c>
      <c r="BC107" s="154"/>
      <c r="BD107" s="155">
        <f t="shared" ref="BD107:BD115" si="140">AV110/1000000</f>
        <v>8</v>
      </c>
      <c r="BE107" s="156">
        <f t="shared" ref="BE107:BE114" si="141">MAX(AW110:AX110)/1000000</f>
        <v>23.476388852613635</v>
      </c>
      <c r="BH107" s="50"/>
      <c r="BI107" s="114" t="s">
        <v>172</v>
      </c>
      <c r="BJ107" s="119" cm="1">
        <f t="array" ref="BJ107">LOOKUP(2,1/($B$17:$B$21&lt;=BJ102)/($C$17:$C$21&gt;=BJ102),$D$17:$D$21)</f>
        <v>134.49039999999999</v>
      </c>
      <c r="BQ107" s="153" t="s">
        <v>166</v>
      </c>
      <c r="BR107" s="158">
        <f>BL104</f>
        <v>45107</v>
      </c>
      <c r="BS107" s="154"/>
      <c r="BT107" s="154"/>
      <c r="BU107" s="155">
        <f t="shared" si="136"/>
        <v>20</v>
      </c>
      <c r="BV107" s="154"/>
      <c r="BW107" s="154"/>
      <c r="BX107" s="156">
        <f t="shared" si="137"/>
        <v>40.841962200000005</v>
      </c>
      <c r="CA107" s="50"/>
      <c r="CQ107" s="50"/>
      <c r="CR107" s="111" t="s">
        <v>174</v>
      </c>
      <c r="CS107" s="111" t="s">
        <v>175</v>
      </c>
      <c r="CT107" s="111" t="s">
        <v>176</v>
      </c>
      <c r="CU107" s="111" t="s">
        <v>177</v>
      </c>
      <c r="CV107" s="111" t="s">
        <v>178</v>
      </c>
      <c r="CW107" s="111" t="s">
        <v>179</v>
      </c>
      <c r="CX107" s="111" t="s">
        <v>180</v>
      </c>
      <c r="DA107" s="153" t="s">
        <v>169</v>
      </c>
      <c r="DB107" s="165">
        <f>CS105</f>
        <v>1.1000000000000001</v>
      </c>
      <c r="DC107" s="154"/>
      <c r="DD107" s="154"/>
      <c r="DE107" s="155">
        <f t="shared" si="134"/>
        <v>20</v>
      </c>
      <c r="DF107" s="154"/>
      <c r="DG107" s="154"/>
      <c r="DH107" s="156">
        <f t="shared" si="135"/>
        <v>39.327941916666667</v>
      </c>
      <c r="DK107" s="50"/>
      <c r="DL107" s="111" t="s">
        <v>174</v>
      </c>
      <c r="DM107" s="111" t="s">
        <v>175</v>
      </c>
      <c r="DN107" s="111" t="s">
        <v>176</v>
      </c>
      <c r="DO107" s="111" t="s">
        <v>177</v>
      </c>
      <c r="DP107" s="111" t="s">
        <v>178</v>
      </c>
      <c r="DQ107" s="111" t="s">
        <v>179</v>
      </c>
      <c r="DR107" s="111" t="s">
        <v>180</v>
      </c>
      <c r="DT107" s="153" t="s">
        <v>76</v>
      </c>
      <c r="DU107" s="155">
        <f ca="1">DO104/1000000</f>
        <v>8</v>
      </c>
      <c r="DV107" s="154"/>
      <c r="DW107" s="154"/>
      <c r="DX107" s="155">
        <f t="shared" si="138"/>
        <v>12</v>
      </c>
      <c r="DY107" s="154"/>
      <c r="DZ107" s="154"/>
      <c r="EA107" s="156">
        <f t="shared" si="139"/>
        <v>23.172526250000001</v>
      </c>
    </row>
    <row r="108" spans="10:131" x14ac:dyDescent="0.25">
      <c r="J108" s="86" t="str" cm="1">
        <f t="array" ref="J108">LOOKUP(2,1/($G$17:$G$33&lt;=$L108)/($H$17:$H$33&gt;=$L108),$F$17:$F$33)</f>
        <v>1H23</v>
      </c>
      <c r="K108" s="86" t="str" cm="1">
        <f t="array" ref="K108">LOOKUP(2,1/($G$6:$G$14&lt;=$L108)/($H$6:$H$14&gt;=$L108),$F$6:$F$14)</f>
        <v>FY23</v>
      </c>
      <c r="L108" s="118">
        <v>44749</v>
      </c>
      <c r="M108" s="49">
        <v>20096788</v>
      </c>
      <c r="N108" s="49">
        <v>24383433</v>
      </c>
      <c r="O108" s="50">
        <v>4000000</v>
      </c>
      <c r="P108" s="119" cm="1">
        <f t="array" ref="P108">LOOKUP(2,1/($B$10:$B$14&lt;=$L108)/($C$10:$C$14&gt;=$L108),$D$10:$D$14)</f>
        <v>1.1000000000000001</v>
      </c>
      <c r="Q108" s="120" cm="1">
        <f t="array" ref="Q108">LOOKUP(2,1/($B$17:$B$21&lt;=$L108)/($C$17:$C$21&gt;=$L108),$D$17:$D$21)</f>
        <v>134.49039999999999</v>
      </c>
      <c r="R108" s="113" t="str">
        <f t="shared" si="128"/>
        <v>1H23</v>
      </c>
      <c r="S108" s="113" t="str">
        <f t="shared" si="129"/>
        <v>1H23</v>
      </c>
      <c r="T108" s="113" t="str">
        <f t="shared" ca="1" si="130"/>
        <v/>
      </c>
      <c r="U108" s="113" t="str">
        <f t="shared" si="131"/>
        <v>FY23</v>
      </c>
      <c r="V108" s="113" t="str">
        <f t="shared" si="4"/>
        <v>FY23</v>
      </c>
      <c r="W108" s="113" t="str">
        <f t="shared" ca="1" si="98"/>
        <v/>
      </c>
      <c r="X108" s="50"/>
      <c r="Y108" s="146">
        <v>1</v>
      </c>
      <c r="Z108" s="166">
        <v>8000000</v>
      </c>
      <c r="AA108" s="167">
        <f t="shared" ref="AA108:AA113" si="142">AVERAGEIFS($M:$M,$L:$L,"&gt;="&amp;Z$101,$L:$L,"&lt;="&amp;AB$101,$O:$O,"="&amp;Z108)*AB$106</f>
        <v>24711988.265909091</v>
      </c>
      <c r="AB108" s="168"/>
      <c r="AC108" s="168"/>
      <c r="AD108" s="168"/>
      <c r="AE108" s="167">
        <f t="shared" ref="AE108:AE113" si="143">COUNTIFS($L:$L,"&gt;="&amp;Z$101,$L:$L,"&lt;="&amp;AB$101,$O:$O,"="&amp;Z108)</f>
        <v>8</v>
      </c>
      <c r="AF108" s="167"/>
      <c r="AG108" s="167"/>
      <c r="AH108" s="167"/>
      <c r="AJ108" s="153" t="s">
        <v>76</v>
      </c>
      <c r="AK108" s="155">
        <f ca="1">AB104/1000000</f>
        <v>60</v>
      </c>
      <c r="AL108" s="154"/>
      <c r="AM108" s="154"/>
      <c r="AN108" s="155">
        <f t="shared" si="132"/>
        <v>50</v>
      </c>
      <c r="AO108" s="154"/>
      <c r="AP108" s="154"/>
      <c r="AQ108" s="156">
        <f t="shared" si="133"/>
        <v>75.573765381818191</v>
      </c>
      <c r="AT108" s="50"/>
      <c r="AU108" s="111" t="s">
        <v>174</v>
      </c>
      <c r="AV108" s="111" t="s">
        <v>175</v>
      </c>
      <c r="AW108" s="111" t="s">
        <v>176</v>
      </c>
      <c r="AX108" s="111" t="s">
        <v>177</v>
      </c>
      <c r="AY108" s="111" t="s">
        <v>180</v>
      </c>
      <c r="BA108" s="153" t="s">
        <v>76</v>
      </c>
      <c r="BB108" s="155">
        <f>AX105/1000000</f>
        <v>20</v>
      </c>
      <c r="BC108" s="154"/>
      <c r="BD108" s="155">
        <f t="shared" si="140"/>
        <v>20</v>
      </c>
      <c r="BE108" s="156">
        <f t="shared" si="141"/>
        <v>36.87071070590909</v>
      </c>
      <c r="BH108" s="50"/>
      <c r="BI108" s="111" t="s">
        <v>174</v>
      </c>
      <c r="BJ108" s="111" t="s">
        <v>175</v>
      </c>
      <c r="BK108" s="111" t="s">
        <v>176</v>
      </c>
      <c r="BL108" s="111" t="s">
        <v>177</v>
      </c>
      <c r="BM108" s="111"/>
      <c r="BN108" s="111"/>
      <c r="BO108" s="111" t="s">
        <v>180</v>
      </c>
      <c r="BQ108" s="153" t="s">
        <v>169</v>
      </c>
      <c r="BR108" s="165">
        <f>BJ106</f>
        <v>1.1000000000000001</v>
      </c>
      <c r="BS108" s="154"/>
      <c r="BT108" s="154"/>
      <c r="BU108" s="155">
        <f t="shared" si="136"/>
        <v>30</v>
      </c>
      <c r="BV108" s="154"/>
      <c r="BW108" s="154"/>
      <c r="BX108" s="156">
        <f t="shared" si="137"/>
        <v>45.526023000000002</v>
      </c>
      <c r="CA108" s="50"/>
      <c r="CQ108" s="50"/>
      <c r="CR108" s="146">
        <v>1</v>
      </c>
      <c r="CS108" s="166">
        <v>3000000</v>
      </c>
      <c r="CT108" s="168">
        <f t="shared" ref="CT108:CT113" si="144">AVERAGEIFS($M:$M,$L:$L,"&gt;="&amp;CS$101,$L:$L,"&lt;="&amp;CU$101,$O:$O,"="&amp;CS108)</f>
        <v>18647658.181818184</v>
      </c>
      <c r="CU108" s="168"/>
      <c r="CV108" s="145">
        <v>18612300</v>
      </c>
      <c r="CW108" s="168"/>
      <c r="CX108" s="167">
        <f t="shared" ref="CX108:CX113" si="145">COUNTIFS($L:$L,"&gt;="&amp;CS$101,$L:$L,"&lt;="&amp;CU$101,$O:$O,"="&amp;CS108)</f>
        <v>11</v>
      </c>
      <c r="DA108" s="153" t="s">
        <v>149</v>
      </c>
      <c r="DB108" s="169">
        <f>CU105</f>
        <v>0.10299999999999999</v>
      </c>
      <c r="DC108" s="154"/>
      <c r="DD108" s="154"/>
      <c r="DE108" s="155">
        <f t="shared" si="134"/>
        <v>40</v>
      </c>
      <c r="DF108" s="154"/>
      <c r="DG108" s="154"/>
      <c r="DH108" s="156">
        <f t="shared" si="135"/>
        <v>58.921884666666664</v>
      </c>
      <c r="DK108" s="50"/>
      <c r="DL108" s="146">
        <v>1</v>
      </c>
      <c r="DM108" s="166">
        <v>3000000</v>
      </c>
      <c r="DN108" s="168">
        <f t="shared" ref="DN108:DN116" si="146">AVERAGEIFS($M:$M,$L:$L,"&gt;="&amp;DM$101,$L:$L,"&lt;="&amp;DO$101,$O:$O,"="&amp;DM108)</f>
        <v>14840637.25</v>
      </c>
      <c r="DO108" s="168"/>
      <c r="DP108" s="168"/>
      <c r="DQ108" s="168"/>
      <c r="DR108" s="167">
        <f t="shared" ref="DR108:DR116" si="147">COUNTIFS($L:$L,"&gt;="&amp;DM$101,$L:$L,"&lt;="&amp;DO$101,$O:$O,"="&amp;DM108)</f>
        <v>4</v>
      </c>
      <c r="DT108" s="153" t="s">
        <v>169</v>
      </c>
      <c r="DU108" s="165">
        <f>DM105</f>
        <v>1.1000000000000001</v>
      </c>
      <c r="DV108" s="154"/>
      <c r="DW108" s="154"/>
      <c r="DX108" s="155">
        <f t="shared" si="138"/>
        <v>20</v>
      </c>
      <c r="DY108" s="154"/>
      <c r="DZ108" s="154"/>
      <c r="EA108" s="156">
        <f t="shared" si="139"/>
        <v>28.508214333333331</v>
      </c>
    </row>
    <row r="109" spans="10:131" x14ac:dyDescent="0.25">
      <c r="J109" s="86" t="str" cm="1">
        <f t="array" ref="J109">LOOKUP(2,1/($G$17:$G$33&lt;=$L109)/($H$17:$H$33&gt;=$L109),$F$17:$F$33)</f>
        <v>2H22</v>
      </c>
      <c r="K109" s="86" t="str" cm="1">
        <f t="array" ref="K109">LOOKUP(2,1/($G$6:$G$14&lt;=$L109)/($H$6:$H$14&gt;=$L109),$F$6:$F$14)</f>
        <v>FY22</v>
      </c>
      <c r="L109" s="118">
        <v>44742</v>
      </c>
      <c r="M109" s="49">
        <v>77836462</v>
      </c>
      <c r="N109" s="49">
        <v>94438979</v>
      </c>
      <c r="O109" s="50">
        <v>60000000</v>
      </c>
      <c r="P109" s="119" cm="1">
        <f t="array" ref="P109">LOOKUP(2,1/($B$10:$B$14&lt;=$L109)/($C$10:$C$14&gt;=$L109),$D$10:$D$14)</f>
        <v>1.1000000000000001</v>
      </c>
      <c r="Q109" s="120" cm="1">
        <f t="array" ref="Q109">LOOKUP(2,1/($B$17:$B$21&lt;=$L109)/($C$17:$C$21&gt;=$L109),$D$17:$D$21)</f>
        <v>134.49039999999999</v>
      </c>
      <c r="R109" s="113" t="str">
        <f t="shared" si="128"/>
        <v/>
      </c>
      <c r="S109" s="113" t="str">
        <f t="shared" si="129"/>
        <v>2H22</v>
      </c>
      <c r="T109" s="113" t="str">
        <f t="shared" ca="1" si="130"/>
        <v>1H23</v>
      </c>
      <c r="U109" s="113" t="str">
        <f t="shared" si="131"/>
        <v/>
      </c>
      <c r="V109" s="113" t="str">
        <f t="shared" si="4"/>
        <v>FY22</v>
      </c>
      <c r="W109" s="113" t="str">
        <f t="shared" ca="1" si="98"/>
        <v>FY23</v>
      </c>
      <c r="X109" s="50"/>
      <c r="Y109" s="146">
        <v>2</v>
      </c>
      <c r="Z109" s="166">
        <v>20000000</v>
      </c>
      <c r="AA109" s="167">
        <f t="shared" si="142"/>
        <v>38811274.42727273</v>
      </c>
      <c r="AE109" s="167">
        <f t="shared" si="143"/>
        <v>6</v>
      </c>
      <c r="AF109" s="167"/>
      <c r="AG109" s="167"/>
      <c r="AH109" s="167"/>
      <c r="AJ109" s="153" t="s">
        <v>169</v>
      </c>
      <c r="AK109" s="165">
        <f>Z105</f>
        <v>1.2</v>
      </c>
      <c r="AL109" s="154"/>
      <c r="AM109" s="154"/>
      <c r="AN109" s="155">
        <f t="shared" si="132"/>
        <v>100</v>
      </c>
      <c r="AO109" s="154"/>
      <c r="AP109" s="154"/>
      <c r="AQ109" s="156">
        <f t="shared" si="133"/>
        <v>178.0912601</v>
      </c>
      <c r="AT109" s="50"/>
      <c r="AU109" s="146">
        <v>1</v>
      </c>
      <c r="AV109" s="166">
        <v>4000000</v>
      </c>
      <c r="AW109" s="167">
        <f>AVERAGEIFS($M:$M,$L:$L,"&gt;="&amp;AV$102,$L:$L,"&lt;="&amp;AX$102,$O:$O,"="&amp;AV109)*AX$107</f>
        <v>18899990.176233765</v>
      </c>
      <c r="AX109" s="168"/>
      <c r="AY109" s="167">
        <f t="shared" ref="AY109:AY115" si="148">COUNTIFS($L:$L,"&gt;="&amp;AV$6,$L:$L,"&lt;="&amp;AX$6,$O:$O,"="&amp;$AV109)</f>
        <v>7</v>
      </c>
      <c r="BA109" s="153" t="s">
        <v>169</v>
      </c>
      <c r="BB109" s="165">
        <f>AV106</f>
        <v>1.2</v>
      </c>
      <c r="BC109" s="154"/>
      <c r="BD109" s="155">
        <f t="shared" si="140"/>
        <v>40</v>
      </c>
      <c r="BE109" s="156">
        <f t="shared" si="141"/>
        <v>54.506502406363637</v>
      </c>
      <c r="BH109" s="50"/>
      <c r="BI109" s="146">
        <v>1</v>
      </c>
      <c r="BJ109" s="166">
        <v>8000000</v>
      </c>
      <c r="BK109" s="167">
        <f>AVERAGEIFS($M:$M,$L:$L,"&gt;="&amp;BJ$102,$L:$L,"&lt;="&amp;BL$102,$O:$O,"="&amp;BJ109)</f>
        <v>26095742.09090909</v>
      </c>
      <c r="BL109" s="168"/>
      <c r="BM109" s="168"/>
      <c r="BN109" s="168"/>
      <c r="BO109" s="167">
        <f t="shared" ref="BO109:BO114" si="149">COUNTIFS($L:$L,"&gt;="&amp;BJ$102,$L:$L,"&lt;="&amp;BL$102,$O:$O,"="&amp;BJ109)</f>
        <v>11</v>
      </c>
      <c r="BQ109" s="153" t="s">
        <v>149</v>
      </c>
      <c r="BR109" s="169">
        <f>BL106</f>
        <v>0.10299999999999999</v>
      </c>
      <c r="BS109" s="154"/>
      <c r="BT109" s="154"/>
      <c r="BU109" s="155">
        <f t="shared" si="136"/>
        <v>50</v>
      </c>
      <c r="BV109" s="154"/>
      <c r="BW109" s="154"/>
      <c r="BX109" s="156">
        <f t="shared" si="137"/>
        <v>75.843438000000006</v>
      </c>
      <c r="CA109" s="50"/>
      <c r="CQ109" s="50"/>
      <c r="CR109" s="146">
        <v>2</v>
      </c>
      <c r="CS109" s="166">
        <v>8000000</v>
      </c>
      <c r="CT109" s="168">
        <f t="shared" si="144"/>
        <v>24779866.466666665</v>
      </c>
      <c r="CU109" s="168"/>
      <c r="CV109" s="145">
        <v>24362800</v>
      </c>
      <c r="CX109" s="167">
        <f t="shared" si="145"/>
        <v>15</v>
      </c>
      <c r="DA109" s="153" t="s">
        <v>172</v>
      </c>
      <c r="DB109" s="170">
        <f>CS106</f>
        <v>134.49039999999999</v>
      </c>
      <c r="DC109" s="154"/>
      <c r="DD109" s="154"/>
      <c r="DE109" s="155">
        <f t="shared" si="134"/>
        <v>60</v>
      </c>
      <c r="DF109" s="154"/>
      <c r="DG109" s="154"/>
      <c r="DH109" s="156">
        <f t="shared" si="135"/>
        <v>82.205459000000005</v>
      </c>
      <c r="DK109" s="50"/>
      <c r="DL109" s="146">
        <v>2</v>
      </c>
      <c r="DM109" s="166">
        <v>8000000</v>
      </c>
      <c r="DN109" s="168">
        <f t="shared" si="146"/>
        <v>19056728.5</v>
      </c>
      <c r="DR109" s="167">
        <f t="shared" si="147"/>
        <v>4</v>
      </c>
      <c r="DT109" s="153" t="s">
        <v>149</v>
      </c>
      <c r="DU109" s="169">
        <f>DO105</f>
        <v>9.8000000000000004E-2</v>
      </c>
      <c r="DV109" s="154"/>
      <c r="DW109" s="154"/>
      <c r="DX109" s="155">
        <f t="shared" si="138"/>
        <v>40</v>
      </c>
      <c r="DY109" s="154"/>
      <c r="DZ109" s="154"/>
      <c r="EA109" s="156">
        <f t="shared" si="139"/>
        <v>44.237114499999997</v>
      </c>
    </row>
    <row r="110" spans="10:131" x14ac:dyDescent="0.25">
      <c r="J110" s="86" t="str" cm="1">
        <f t="array" ref="J110">LOOKUP(2,1/($G$17:$G$33&lt;=$L110)/($H$17:$H$33&gt;=$L110),$F$17:$F$33)</f>
        <v>2H22</v>
      </c>
      <c r="K110" s="86" t="str" cm="1">
        <f t="array" ref="K110">LOOKUP(2,1/($G$6:$G$14&lt;=$L110)/($H$6:$H$14&gt;=$L110),$F$6:$F$14)</f>
        <v>FY22</v>
      </c>
      <c r="L110" s="118">
        <v>44735</v>
      </c>
      <c r="M110" s="49">
        <v>57463937</v>
      </c>
      <c r="N110" s="49">
        <v>69720995</v>
      </c>
      <c r="O110" s="50">
        <v>40000000</v>
      </c>
      <c r="P110" s="119" cm="1">
        <f t="array" ref="P110">LOOKUP(2,1/($B$10:$B$14&lt;=$L110)/($C$10:$C$14&gt;=$L110),$D$10:$D$14)</f>
        <v>1.1000000000000001</v>
      </c>
      <c r="Q110" s="120" cm="1">
        <f t="array" ref="Q110">LOOKUP(2,1/($B$17:$B$21&lt;=$L110)/($C$17:$C$21&gt;=$L110),$D$17:$D$21)</f>
        <v>134.49039999999999</v>
      </c>
      <c r="R110" s="113" t="str">
        <f t="shared" si="128"/>
        <v/>
      </c>
      <c r="S110" s="113" t="str">
        <f t="shared" si="129"/>
        <v>2H22</v>
      </c>
      <c r="T110" s="113" t="str">
        <f t="shared" ca="1" si="130"/>
        <v/>
      </c>
      <c r="U110" s="113" t="str">
        <f t="shared" si="131"/>
        <v/>
      </c>
      <c r="V110" s="113" t="str">
        <f t="shared" si="4"/>
        <v>FY22</v>
      </c>
      <c r="W110" s="113" t="str">
        <f t="shared" ca="1" si="98"/>
        <v/>
      </c>
      <c r="Y110" s="146">
        <v>3</v>
      </c>
      <c r="Z110" s="166">
        <v>30000000</v>
      </c>
      <c r="AA110" s="167">
        <f t="shared" si="142"/>
        <v>46129821.518181823</v>
      </c>
      <c r="AE110" s="167">
        <f t="shared" si="143"/>
        <v>1</v>
      </c>
      <c r="AF110" s="167"/>
      <c r="AG110" s="167"/>
      <c r="AH110" s="167"/>
      <c r="AJ110" s="153" t="s">
        <v>149</v>
      </c>
      <c r="AK110" s="169">
        <f>AB105</f>
        <v>0.10299999999999999</v>
      </c>
      <c r="AL110" s="154"/>
      <c r="AM110" s="154"/>
      <c r="AN110" s="155">
        <f t="shared" si="132"/>
        <v>160</v>
      </c>
      <c r="AO110" s="154"/>
      <c r="AP110" s="154"/>
      <c r="AQ110" s="156">
        <f t="shared" si="133"/>
        <v>277.06912089090906</v>
      </c>
      <c r="AU110" s="146">
        <v>2</v>
      </c>
      <c r="AV110" s="166">
        <v>8000000</v>
      </c>
      <c r="AW110" s="167">
        <f>AVERAGEIFS($M:$M,$L:$L,"&gt;="&amp;AV$44,$L:$L,"&lt;="&amp;AX$44,$O:$O,"="&amp;AV110)*AX$107</f>
        <v>23476388.852613635</v>
      </c>
      <c r="AX110" s="168"/>
      <c r="AY110" s="167">
        <f t="shared" si="148"/>
        <v>8</v>
      </c>
      <c r="BA110" s="153" t="s">
        <v>149</v>
      </c>
      <c r="BB110" s="169">
        <f>AX106</f>
        <v>0.10299999999999999</v>
      </c>
      <c r="BC110" s="154"/>
      <c r="BD110" s="155">
        <f t="shared" si="140"/>
        <v>60</v>
      </c>
      <c r="BE110" s="156">
        <f t="shared" si="141"/>
        <v>74.688107729772739</v>
      </c>
      <c r="BI110" s="146">
        <v>2</v>
      </c>
      <c r="BJ110" s="166">
        <v>20000000</v>
      </c>
      <c r="BK110" s="167">
        <f>AVERAGEIFS($M:$M,$L:$L,"&gt;="&amp;BJ$102,$L:$L,"&lt;="&amp;BL$102,$O:$O,"="&amp;BJ110)</f>
        <v>40841962.200000003</v>
      </c>
      <c r="BO110" s="167">
        <f t="shared" si="149"/>
        <v>10</v>
      </c>
      <c r="BQ110" s="153" t="s">
        <v>172</v>
      </c>
      <c r="BR110" s="170">
        <f>BJ107</f>
        <v>134.49039999999999</v>
      </c>
      <c r="BS110" s="154"/>
      <c r="BT110" s="154"/>
      <c r="BU110" s="155">
        <f t="shared" si="136"/>
        <v>100</v>
      </c>
      <c r="BV110" s="154"/>
      <c r="BW110" s="154"/>
      <c r="BX110" s="156">
        <f t="shared" si="137"/>
        <v>184.14277200000001</v>
      </c>
      <c r="CR110" s="146">
        <v>3</v>
      </c>
      <c r="CS110" s="166">
        <v>20000000</v>
      </c>
      <c r="CT110" s="168">
        <f t="shared" si="144"/>
        <v>39327941.916666664</v>
      </c>
      <c r="CU110" s="168"/>
      <c r="CV110" s="145">
        <v>38164000</v>
      </c>
      <c r="CX110" s="167">
        <f t="shared" si="145"/>
        <v>12</v>
      </c>
      <c r="DA110" s="171"/>
      <c r="DC110" s="154"/>
      <c r="DD110" s="154"/>
      <c r="DE110" s="155">
        <f t="shared" si="134"/>
        <v>80</v>
      </c>
      <c r="DF110" s="154"/>
      <c r="DG110" s="154"/>
      <c r="DH110" s="156">
        <f t="shared" si="135"/>
        <v>113.1948605</v>
      </c>
      <c r="DL110" s="146">
        <v>3</v>
      </c>
      <c r="DM110" s="166">
        <v>12000000</v>
      </c>
      <c r="DN110" s="168">
        <f t="shared" si="146"/>
        <v>23172526.25</v>
      </c>
      <c r="DR110" s="167">
        <f t="shared" si="147"/>
        <v>4</v>
      </c>
      <c r="DT110" s="153" t="s">
        <v>172</v>
      </c>
      <c r="DU110" s="170">
        <f>DM106</f>
        <v>134.49039999999999</v>
      </c>
      <c r="DV110" s="154"/>
      <c r="DW110" s="154"/>
      <c r="DX110" s="155">
        <f t="shared" si="138"/>
        <v>60</v>
      </c>
      <c r="DY110" s="154"/>
      <c r="DZ110" s="154"/>
      <c r="EA110" s="156">
        <f t="shared" si="139"/>
        <v>53.9482815</v>
      </c>
    </row>
    <row r="111" spans="10:131" x14ac:dyDescent="0.25">
      <c r="J111" s="86" t="str" cm="1">
        <f t="array" ref="J111">LOOKUP(2,1/($G$17:$G$33&lt;=$L111)/($H$17:$H$33&gt;=$L111),$F$17:$F$33)</f>
        <v>2H22</v>
      </c>
      <c r="K111" s="86" t="str" cm="1">
        <f t="array" ref="K111">LOOKUP(2,1/($G$6:$G$14&lt;=$L111)/($H$6:$H$14&gt;=$L111),$F$6:$F$14)</f>
        <v>FY22</v>
      </c>
      <c r="L111" s="118">
        <v>44728</v>
      </c>
      <c r="M111" s="49">
        <v>41963661</v>
      </c>
      <c r="N111" s="49">
        <v>50914510</v>
      </c>
      <c r="O111" s="50">
        <v>20000000</v>
      </c>
      <c r="P111" s="119" cm="1">
        <f t="array" ref="P111">LOOKUP(2,1/($B$10:$B$14&lt;=$L111)/($C$10:$C$14&gt;=$L111),$D$10:$D$14)</f>
        <v>1.1000000000000001</v>
      </c>
      <c r="Q111" s="120" cm="1">
        <f t="array" ref="Q111">LOOKUP(2,1/($B$17:$B$21&lt;=$L111)/($C$17:$C$21&gt;=$L111),$D$17:$D$21)</f>
        <v>134.49039999999999</v>
      </c>
      <c r="R111" s="113" t="str">
        <f t="shared" si="128"/>
        <v/>
      </c>
      <c r="S111" s="113" t="str">
        <f t="shared" si="129"/>
        <v>2H22</v>
      </c>
      <c r="T111" s="113" t="str">
        <f t="shared" ca="1" si="130"/>
        <v/>
      </c>
      <c r="U111" s="113" t="str">
        <f t="shared" si="131"/>
        <v/>
      </c>
      <c r="V111" s="113" t="str">
        <f t="shared" si="4"/>
        <v>FY22</v>
      </c>
      <c r="W111" s="113" t="str">
        <f t="shared" ca="1" si="98"/>
        <v/>
      </c>
      <c r="X111" s="50"/>
      <c r="Y111" s="146">
        <v>4</v>
      </c>
      <c r="Z111" s="166">
        <v>50000000</v>
      </c>
      <c r="AA111" s="167">
        <f t="shared" si="142"/>
        <v>75573765.38181819</v>
      </c>
      <c r="AE111" s="167">
        <f t="shared" si="143"/>
        <v>1</v>
      </c>
      <c r="AF111" s="167"/>
      <c r="AG111" s="167"/>
      <c r="AH111" s="167"/>
      <c r="AJ111" s="153" t="s">
        <v>172</v>
      </c>
      <c r="AK111" s="170">
        <f>Z106</f>
        <v>134.49039999999999</v>
      </c>
      <c r="AL111" s="154"/>
      <c r="AM111" s="154"/>
      <c r="AN111" s="155">
        <f t="shared" si="132"/>
        <v>200</v>
      </c>
      <c r="AO111" s="154"/>
      <c r="AP111" s="154"/>
      <c r="AQ111" s="156">
        <f t="shared" si="133"/>
        <v>337.49939999999998</v>
      </c>
      <c r="AT111" s="50"/>
      <c r="AU111" s="146">
        <v>3</v>
      </c>
      <c r="AV111" s="166">
        <v>20000000</v>
      </c>
      <c r="AW111" s="167">
        <f>AVERAGEIFS($M:$M,$L:$L,"&gt;="&amp;AV$44,$L:$L,"&lt;="&amp;AX$44,$O:$O,"="&amp;AV111)*AX$107</f>
        <v>36870710.705909088</v>
      </c>
      <c r="AX111" s="168"/>
      <c r="AY111" s="167">
        <f t="shared" si="148"/>
        <v>6</v>
      </c>
      <c r="BA111" s="153" t="s">
        <v>172</v>
      </c>
      <c r="BB111" s="170">
        <f>AV107</f>
        <v>134.49039999999999</v>
      </c>
      <c r="BC111" s="154"/>
      <c r="BD111" s="155">
        <f t="shared" si="140"/>
        <v>80</v>
      </c>
      <c r="BE111" s="156">
        <f t="shared" si="141"/>
        <v>107.86469987818181</v>
      </c>
      <c r="BH111" s="50"/>
      <c r="BI111" s="146">
        <v>3</v>
      </c>
      <c r="BJ111" s="166">
        <v>30000000</v>
      </c>
      <c r="BK111" s="167">
        <f>AVERAGEIFS($M:$M,$L:$L,"&gt;="&amp;BJ$102,$L:$L,"&lt;="&amp;BL$102,$O:$O,"="&amp;BJ111)</f>
        <v>45526023</v>
      </c>
      <c r="BO111" s="167">
        <f t="shared" si="149"/>
        <v>1</v>
      </c>
      <c r="BQ111" s="171"/>
      <c r="BS111" s="154"/>
      <c r="BT111" s="154"/>
      <c r="BU111" s="155">
        <f t="shared" si="136"/>
        <v>160</v>
      </c>
      <c r="BV111" s="154"/>
      <c r="BW111" s="154"/>
      <c r="BX111" s="156">
        <f t="shared" si="137"/>
        <v>296.20793400000002</v>
      </c>
      <c r="CA111" s="50"/>
      <c r="CQ111" s="50"/>
      <c r="CR111" s="146">
        <v>4</v>
      </c>
      <c r="CS111" s="166">
        <v>40000000</v>
      </c>
      <c r="CT111" s="168">
        <f t="shared" si="144"/>
        <v>58921884.666666664</v>
      </c>
      <c r="CU111" s="168"/>
      <c r="CV111" s="145">
        <v>61166000</v>
      </c>
      <c r="CX111" s="167">
        <f t="shared" si="145"/>
        <v>3</v>
      </c>
      <c r="DA111" s="153" t="s">
        <v>91</v>
      </c>
      <c r="DB111" s="155">
        <f>CS104/1000000</f>
        <v>50</v>
      </c>
      <c r="DC111" s="154"/>
      <c r="DD111" s="154"/>
      <c r="DE111" s="155">
        <f t="shared" si="134"/>
        <v>120</v>
      </c>
      <c r="DF111" s="154"/>
      <c r="DG111" s="154"/>
      <c r="DH111" s="156">
        <f t="shared" si="135"/>
        <v>199.12620000000001</v>
      </c>
      <c r="DK111" s="50"/>
      <c r="DL111" s="146">
        <v>4</v>
      </c>
      <c r="DM111" s="166">
        <v>20000000</v>
      </c>
      <c r="DN111" s="168">
        <f t="shared" si="146"/>
        <v>28508214.333333332</v>
      </c>
      <c r="DR111" s="167">
        <f t="shared" si="147"/>
        <v>3</v>
      </c>
      <c r="DT111" s="172"/>
      <c r="DU111" s="2"/>
      <c r="DV111" s="154"/>
      <c r="DW111" s="154"/>
      <c r="DX111" s="155">
        <f t="shared" si="138"/>
        <v>80</v>
      </c>
      <c r="DY111" s="154"/>
      <c r="DZ111" s="154"/>
      <c r="EA111" s="156">
        <f t="shared" si="139"/>
        <v>78.166159500000006</v>
      </c>
    </row>
    <row r="112" spans="10:131" x14ac:dyDescent="0.25">
      <c r="J112" s="86" t="str" cm="1">
        <f t="array" ref="J112">LOOKUP(2,1/($G$17:$G$33&lt;=$L112)/($H$17:$H$33&gt;=$L112),$F$17:$F$33)</f>
        <v>2H22</v>
      </c>
      <c r="K112" s="86" t="str" cm="1">
        <f t="array" ref="K112">LOOKUP(2,1/($G$6:$G$14&lt;=$L112)/($H$6:$H$14&gt;=$L112),$F$6:$F$14)</f>
        <v>FY22</v>
      </c>
      <c r="L112" s="118">
        <v>44721</v>
      </c>
      <c r="M112" s="49">
        <v>27291883</v>
      </c>
      <c r="N112" s="49">
        <v>33113241</v>
      </c>
      <c r="O112" s="50">
        <v>8000000</v>
      </c>
      <c r="P112" s="119" cm="1">
        <f t="array" ref="P112">LOOKUP(2,1/($B$10:$B$14&lt;=$L112)/($C$10:$C$14&gt;=$L112),$D$10:$D$14)</f>
        <v>1.1000000000000001</v>
      </c>
      <c r="Q112" s="120" cm="1">
        <f t="array" ref="Q112">LOOKUP(2,1/($B$17:$B$21&lt;=$L112)/($C$17:$C$21&gt;=$L112),$D$17:$D$21)</f>
        <v>134.49039999999999</v>
      </c>
      <c r="R112" s="113" t="str">
        <f t="shared" si="128"/>
        <v/>
      </c>
      <c r="S112" s="113" t="str">
        <f t="shared" si="129"/>
        <v>2H22</v>
      </c>
      <c r="T112" s="113" t="str">
        <f t="shared" ca="1" si="130"/>
        <v/>
      </c>
      <c r="U112" s="113" t="str">
        <f t="shared" si="131"/>
        <v/>
      </c>
      <c r="V112" s="113" t="str">
        <f t="shared" si="4"/>
        <v>FY22</v>
      </c>
      <c r="W112" s="113" t="str">
        <f t="shared" ca="1" si="98"/>
        <v/>
      </c>
      <c r="X112" s="50"/>
      <c r="Y112" s="146">
        <v>5</v>
      </c>
      <c r="Z112" s="166">
        <v>100000000</v>
      </c>
      <c r="AA112" s="167">
        <f t="shared" si="142"/>
        <v>178091260.09999999</v>
      </c>
      <c r="AC112" s="145">
        <v>131990000.00000001</v>
      </c>
      <c r="AD112" s="145">
        <v>141620000</v>
      </c>
      <c r="AE112" s="167">
        <f t="shared" si="143"/>
        <v>1</v>
      </c>
      <c r="AF112" s="167"/>
      <c r="AG112" s="167"/>
      <c r="AH112" s="167"/>
      <c r="AJ112" s="172"/>
      <c r="AK112" s="2"/>
      <c r="AL112" s="154"/>
      <c r="AM112" s="154"/>
      <c r="AN112" s="155">
        <f t="shared" si="132"/>
        <v>250</v>
      </c>
      <c r="AO112" s="154"/>
      <c r="AP112" s="154"/>
      <c r="AQ112" s="156">
        <f t="shared" si="133"/>
        <v>416.37590909090915</v>
      </c>
      <c r="AT112" s="50"/>
      <c r="AU112" s="146">
        <v>4</v>
      </c>
      <c r="AV112" s="166">
        <v>40000000</v>
      </c>
      <c r="AW112" s="167">
        <f>AVERAGEIFS($M:$M,$L:$L,"&gt;="&amp;AV$44,$L:$L,"&lt;="&amp;AX$44,$O:$O,"="&amp;AV112)*AX$107</f>
        <v>54506502.406363636</v>
      </c>
      <c r="AX112" s="168"/>
      <c r="AY112" s="167">
        <f t="shared" si="148"/>
        <v>3</v>
      </c>
      <c r="BA112" s="172"/>
      <c r="BB112" s="2"/>
      <c r="BC112" s="154"/>
      <c r="BD112" s="155">
        <f t="shared" si="140"/>
        <v>120</v>
      </c>
      <c r="BE112" s="156">
        <f t="shared" si="141"/>
        <v>198.5131988212033</v>
      </c>
      <c r="BH112" s="50"/>
      <c r="BI112" s="146">
        <v>4</v>
      </c>
      <c r="BJ112" s="166">
        <v>50000000</v>
      </c>
      <c r="BK112" s="146">
        <v>75843438</v>
      </c>
      <c r="BO112" s="167">
        <f t="shared" si="149"/>
        <v>0</v>
      </c>
      <c r="BQ112" s="153" t="s">
        <v>91</v>
      </c>
      <c r="BR112" s="155">
        <f>BJ105/1000000</f>
        <v>4</v>
      </c>
      <c r="BS112" s="154"/>
      <c r="BT112" s="154"/>
      <c r="BU112" s="155">
        <f t="shared" si="136"/>
        <v>200</v>
      </c>
      <c r="BV112" s="154"/>
      <c r="BW112" s="154"/>
      <c r="BX112" s="156">
        <f t="shared" si="137"/>
        <v>400</v>
      </c>
      <c r="CA112" s="50"/>
      <c r="CQ112" s="50"/>
      <c r="CR112" s="146">
        <v>5</v>
      </c>
      <c r="CS112" s="166">
        <v>60000000</v>
      </c>
      <c r="CT112" s="168">
        <f t="shared" si="144"/>
        <v>82205459</v>
      </c>
      <c r="CU112" s="168"/>
      <c r="CV112" s="145">
        <v>84168000</v>
      </c>
      <c r="CW112" s="145"/>
      <c r="CX112" s="167">
        <f t="shared" si="145"/>
        <v>1</v>
      </c>
      <c r="DA112" s="172" t="s">
        <v>147</v>
      </c>
      <c r="DB112" s="174">
        <f>CS101</f>
        <v>44013</v>
      </c>
      <c r="DC112" s="154"/>
      <c r="DD112" s="154"/>
      <c r="DE112" s="155">
        <f t="shared" si="134"/>
        <v>160</v>
      </c>
      <c r="DF112" s="154"/>
      <c r="DG112" s="154"/>
      <c r="DH112" s="156">
        <f t="shared" si="135"/>
        <v>258.9314</v>
      </c>
      <c r="DK112" s="50"/>
      <c r="DL112" s="146">
        <v>5</v>
      </c>
      <c r="DM112" s="166">
        <v>40000000</v>
      </c>
      <c r="DN112" s="168">
        <f t="shared" si="146"/>
        <v>44237114.5</v>
      </c>
      <c r="DR112" s="167">
        <f t="shared" si="147"/>
        <v>2</v>
      </c>
      <c r="DT112" s="172" t="s">
        <v>147</v>
      </c>
      <c r="DU112" s="174">
        <f>DM101</f>
        <v>43647</v>
      </c>
      <c r="DV112" s="154"/>
      <c r="DW112" s="154"/>
      <c r="DX112" s="155">
        <f t="shared" si="138"/>
        <v>100</v>
      </c>
      <c r="DY112" s="154"/>
      <c r="DZ112" s="154"/>
      <c r="EA112" s="156">
        <f t="shared" si="139"/>
        <v>124.361859</v>
      </c>
    </row>
    <row r="113" spans="10:131" x14ac:dyDescent="0.25">
      <c r="J113" s="86" t="str" cm="1">
        <f t="array" ref="J113">LOOKUP(2,1/($G$17:$G$33&lt;=$L113)/($H$17:$H$33&gt;=$L113),$F$17:$F$33)</f>
        <v>2H22</v>
      </c>
      <c r="K113" s="86" t="str" cm="1">
        <f t="array" ref="K113">LOOKUP(2,1/($G$6:$G$14&lt;=$L113)/($H$6:$H$14&gt;=$L113),$F$6:$F$14)</f>
        <v>FY22</v>
      </c>
      <c r="L113" s="118">
        <v>44714</v>
      </c>
      <c r="M113" s="49">
        <v>21125759</v>
      </c>
      <c r="N113" s="49">
        <v>25631884</v>
      </c>
      <c r="O113" s="50">
        <v>4000000</v>
      </c>
      <c r="P113" s="119" cm="1">
        <f t="array" ref="P113">LOOKUP(2,1/($B$10:$B$14&lt;=$L113)/($C$10:$C$14&gt;=$L113),$D$10:$D$14)</f>
        <v>1.1000000000000001</v>
      </c>
      <c r="Q113" s="120" cm="1">
        <f t="array" ref="Q113">LOOKUP(2,1/($B$17:$B$21&lt;=$L113)/($C$17:$C$21&gt;=$L113),$D$17:$D$21)</f>
        <v>134.49039999999999</v>
      </c>
      <c r="R113" s="113" t="str">
        <f t="shared" si="128"/>
        <v/>
      </c>
      <c r="S113" s="113" t="str">
        <f t="shared" si="129"/>
        <v>2H22</v>
      </c>
      <c r="T113" s="113" t="str">
        <f t="shared" ca="1" si="130"/>
        <v/>
      </c>
      <c r="U113" s="113" t="str">
        <f t="shared" si="131"/>
        <v/>
      </c>
      <c r="V113" s="113" t="str">
        <f t="shared" si="4"/>
        <v>FY22</v>
      </c>
      <c r="W113" s="113" t="str">
        <f t="shared" ca="1" si="98"/>
        <v/>
      </c>
      <c r="X113" s="50"/>
      <c r="Y113" s="146">
        <v>6</v>
      </c>
      <c r="Z113" s="166">
        <v>160000000</v>
      </c>
      <c r="AA113" s="167">
        <f t="shared" si="142"/>
        <v>277069120.89090908</v>
      </c>
      <c r="AC113" s="145">
        <v>201494000.00000003</v>
      </c>
      <c r="AD113" s="145">
        <v>244478000</v>
      </c>
      <c r="AE113" s="167">
        <f t="shared" si="143"/>
        <v>1</v>
      </c>
      <c r="AF113" s="167"/>
      <c r="AG113" s="167"/>
      <c r="AH113" s="167"/>
      <c r="AJ113" s="172" t="s">
        <v>147</v>
      </c>
      <c r="AK113" s="174">
        <f>Z101</f>
        <v>44652</v>
      </c>
      <c r="AL113" s="154"/>
      <c r="AM113" s="154"/>
      <c r="AN113" s="155">
        <f t="shared" si="132"/>
        <v>300</v>
      </c>
      <c r="AO113" s="154"/>
      <c r="AP113" s="154"/>
      <c r="AQ113" s="156">
        <f t="shared" si="133"/>
        <v>495.25241818181814</v>
      </c>
      <c r="AT113" s="50"/>
      <c r="AU113" s="146">
        <v>5</v>
      </c>
      <c r="AV113" s="166">
        <v>60000000</v>
      </c>
      <c r="AW113" s="167">
        <f>AVERAGEIFS($M:$M,$L:$L,"&gt;="&amp;AV$44,$L:$L,"&lt;="&amp;AX$44,$O:$O,"="&amp;AV113)*AX$107</f>
        <v>74688107.729772732</v>
      </c>
      <c r="AX113" s="168"/>
      <c r="AY113" s="167">
        <f t="shared" si="148"/>
        <v>2</v>
      </c>
      <c r="BA113" s="172" t="s">
        <v>147</v>
      </c>
      <c r="BB113" s="174">
        <f>AV102</f>
        <v>44652</v>
      </c>
      <c r="BC113" s="154"/>
      <c r="BD113" s="155">
        <f t="shared" si="140"/>
        <v>150</v>
      </c>
      <c r="BE113" s="156">
        <f t="shared" si="141"/>
        <v>254.125</v>
      </c>
      <c r="BH113" s="50"/>
      <c r="BI113" s="146">
        <v>5</v>
      </c>
      <c r="BJ113" s="166">
        <v>100000000</v>
      </c>
      <c r="BK113" s="146">
        <v>184142772</v>
      </c>
      <c r="BO113" s="167">
        <f t="shared" si="149"/>
        <v>0</v>
      </c>
      <c r="BQ113" s="171"/>
      <c r="BS113" s="154"/>
      <c r="BT113" s="154"/>
      <c r="BU113" s="155">
        <f t="shared" si="136"/>
        <v>250</v>
      </c>
      <c r="BV113" s="154"/>
      <c r="BW113" s="154"/>
      <c r="BX113" s="156">
        <f t="shared" si="137"/>
        <v>510</v>
      </c>
      <c r="CA113" s="50"/>
      <c r="CQ113" s="50"/>
      <c r="CR113" s="146">
        <v>6</v>
      </c>
      <c r="CS113" s="166">
        <v>80000000</v>
      </c>
      <c r="CT113" s="168">
        <f t="shared" si="144"/>
        <v>113194860.5</v>
      </c>
      <c r="CU113" s="168"/>
      <c r="CV113" s="145">
        <v>107170000</v>
      </c>
      <c r="CW113" s="145"/>
      <c r="CX113" s="167">
        <f t="shared" si="145"/>
        <v>2</v>
      </c>
      <c r="DA113" s="172" t="s">
        <v>148</v>
      </c>
      <c r="DB113" s="174">
        <f>CU101</f>
        <v>44377</v>
      </c>
      <c r="DC113" s="154"/>
      <c r="DD113" s="154"/>
      <c r="DE113" s="155">
        <f t="shared" si="134"/>
        <v>200</v>
      </c>
      <c r="DF113" s="154"/>
      <c r="DG113" s="154"/>
      <c r="DH113" s="156">
        <f t="shared" si="135"/>
        <v>318.73660000000001</v>
      </c>
      <c r="DK113" s="50"/>
      <c r="DL113" s="146">
        <v>6</v>
      </c>
      <c r="DM113" s="166">
        <v>60000000</v>
      </c>
      <c r="DN113" s="168">
        <f t="shared" si="146"/>
        <v>53948281.5</v>
      </c>
      <c r="DP113" s="145">
        <v>75767000</v>
      </c>
      <c r="DQ113" s="145">
        <v>65348000</v>
      </c>
      <c r="DR113" s="167">
        <f t="shared" si="147"/>
        <v>2</v>
      </c>
      <c r="DT113" s="172" t="s">
        <v>148</v>
      </c>
      <c r="DU113" s="174">
        <f>DO101</f>
        <v>43830</v>
      </c>
      <c r="DV113" s="154"/>
      <c r="DW113" s="154"/>
      <c r="DX113" s="155">
        <f t="shared" si="138"/>
        <v>150</v>
      </c>
      <c r="DY113" s="154"/>
      <c r="DZ113" s="154"/>
      <c r="EA113" s="156">
        <f t="shared" si="139"/>
        <v>202.66496699999999</v>
      </c>
    </row>
    <row r="114" spans="10:131" x14ac:dyDescent="0.25">
      <c r="J114" s="86" t="str" cm="1">
        <f t="array" ref="J114">LOOKUP(2,1/($G$17:$G$33&lt;=$L114)/($H$17:$H$33&gt;=$L114),$F$17:$F$33)</f>
        <v>2H22</v>
      </c>
      <c r="K114" s="86" t="str" cm="1">
        <f t="array" ref="K114">LOOKUP(2,1/($G$6:$G$14&lt;=$L114)/($H$6:$H$14&gt;=$L114),$F$6:$F$14)</f>
        <v>FY22</v>
      </c>
      <c r="L114" s="118">
        <v>44707</v>
      </c>
      <c r="M114" s="49">
        <v>21016983</v>
      </c>
      <c r="N114" s="49">
        <v>25499906</v>
      </c>
      <c r="O114" s="50">
        <v>4000000</v>
      </c>
      <c r="P114" s="119" cm="1">
        <f t="array" ref="P114">LOOKUP(2,1/($B$10:$B$14&lt;=$L114)/($C$10:$C$14&gt;=$L114),$D$10:$D$14)</f>
        <v>1.1000000000000001</v>
      </c>
      <c r="Q114" s="120" cm="1">
        <f t="array" ref="Q114">LOOKUP(2,1/($B$17:$B$21&lt;=$L114)/($C$17:$C$21&gt;=$L114),$D$17:$D$21)</f>
        <v>134.49039999999999</v>
      </c>
      <c r="R114" s="113" t="str">
        <f t="shared" si="128"/>
        <v/>
      </c>
      <c r="S114" s="113" t="str">
        <f t="shared" si="129"/>
        <v>2H22</v>
      </c>
      <c r="T114" s="113" t="str">
        <f t="shared" ca="1" si="130"/>
        <v/>
      </c>
      <c r="U114" s="113" t="str">
        <f t="shared" si="131"/>
        <v/>
      </c>
      <c r="V114" s="113" t="str">
        <f t="shared" si="4"/>
        <v>FY22</v>
      </c>
      <c r="W114" s="113" t="str">
        <f t="shared" ca="1" si="98"/>
        <v/>
      </c>
      <c r="X114" s="50"/>
      <c r="Y114" s="146">
        <v>7</v>
      </c>
      <c r="Z114" s="145">
        <v>200000000</v>
      </c>
      <c r="AA114" s="145"/>
      <c r="AB114" s="173">
        <f>IF($Z114&gt;=100000000,$AC$103*AC$106*AC114+$AD$103*AD$106*AD114,AC$106*AC114+AD$106*AD114)*AB$106</f>
        <v>337499400</v>
      </c>
      <c r="AC114" s="145">
        <v>247830000</v>
      </c>
      <c r="AD114" s="145">
        <v>325050000</v>
      </c>
      <c r="AE114" s="167"/>
      <c r="AF114" s="167"/>
      <c r="AG114" s="167"/>
      <c r="AH114" s="167"/>
      <c r="AJ114" s="172" t="s">
        <v>148</v>
      </c>
      <c r="AK114" s="174">
        <f>AB101</f>
        <v>44868</v>
      </c>
      <c r="AL114" s="154"/>
      <c r="AM114" s="154"/>
      <c r="AN114" s="155">
        <f t="shared" si="132"/>
        <v>350</v>
      </c>
      <c r="AO114" s="154"/>
      <c r="AP114" s="154"/>
      <c r="AQ114" s="156">
        <f t="shared" si="133"/>
        <v>574.1289272727272</v>
      </c>
      <c r="AT114" s="50"/>
      <c r="AU114" s="146">
        <v>6</v>
      </c>
      <c r="AV114" s="166">
        <v>80000000</v>
      </c>
      <c r="AW114" s="167">
        <f>AVERAGEIFS($M:$M,$L:$L,"&gt;="&amp;AV$44,$L:$L,"&lt;="&amp;AX$44,$O:$O,"="&amp;AV114)*AX$107</f>
        <v>107864699.87818182</v>
      </c>
      <c r="AX114" s="168"/>
      <c r="AY114" s="167">
        <f t="shared" si="148"/>
        <v>1</v>
      </c>
      <c r="BA114" s="172" t="s">
        <v>148</v>
      </c>
      <c r="BB114" s="174">
        <f>AX102</f>
        <v>44868</v>
      </c>
      <c r="BC114" s="154"/>
      <c r="BD114" s="155">
        <f t="shared" si="140"/>
        <v>200</v>
      </c>
      <c r="BE114" s="156">
        <f t="shared" si="141"/>
        <v>341.91363636363639</v>
      </c>
      <c r="BH114" s="50"/>
      <c r="BI114" s="146">
        <v>6</v>
      </c>
      <c r="BJ114" s="166">
        <v>160000000</v>
      </c>
      <c r="BK114" s="146">
        <v>296207934</v>
      </c>
      <c r="BO114" s="167">
        <f t="shared" si="149"/>
        <v>0</v>
      </c>
      <c r="BQ114" s="172" t="s">
        <v>147</v>
      </c>
      <c r="BR114" s="174">
        <f>BJ102</f>
        <v>44378</v>
      </c>
      <c r="BS114" s="154"/>
      <c r="BT114" s="154"/>
      <c r="BU114" s="155">
        <f t="shared" si="136"/>
        <v>300</v>
      </c>
      <c r="BV114" s="154"/>
      <c r="BW114" s="154"/>
      <c r="BX114" s="156">
        <f t="shared" si="137"/>
        <v>640</v>
      </c>
      <c r="CA114" s="50"/>
      <c r="CQ114" s="50"/>
      <c r="CR114" s="146">
        <v>7</v>
      </c>
      <c r="CS114" s="145">
        <v>120000000</v>
      </c>
      <c r="CT114" s="145"/>
      <c r="CU114" s="173">
        <f>IF($CS114&gt;=100000000,$CV$103*CV$106*CV114+$CW$103*CW$106*CW114,CV$106*CV114+CW$106*CW114)</f>
        <v>199126200</v>
      </c>
      <c r="CV114" s="145">
        <v>153174000</v>
      </c>
      <c r="CW114" s="145"/>
      <c r="CX114" s="146"/>
      <c r="DA114" s="172" t="s">
        <v>0</v>
      </c>
      <c r="DB114" s="175">
        <f>CU106</f>
        <v>0.69230769230769229</v>
      </c>
      <c r="DC114" s="154"/>
      <c r="DD114" s="154"/>
      <c r="DE114" s="155">
        <f t="shared" si="134"/>
        <v>250</v>
      </c>
      <c r="DF114" s="154"/>
      <c r="DG114" s="154"/>
      <c r="DH114" s="156">
        <f t="shared" si="135"/>
        <v>393.49309999999991</v>
      </c>
      <c r="DK114" s="50"/>
      <c r="DL114" s="146">
        <v>7</v>
      </c>
      <c r="DM114" s="166">
        <v>80000000</v>
      </c>
      <c r="DN114" s="168">
        <f t="shared" si="146"/>
        <v>78166159.5</v>
      </c>
      <c r="DP114" s="145">
        <v>97600999.999999985</v>
      </c>
      <c r="DQ114" s="145">
        <v>89990000.000000015</v>
      </c>
      <c r="DR114" s="167">
        <f t="shared" si="147"/>
        <v>2</v>
      </c>
      <c r="DT114" s="172" t="s">
        <v>173</v>
      </c>
      <c r="DU114" s="177">
        <f>DO106</f>
        <v>1</v>
      </c>
      <c r="DV114" s="154"/>
      <c r="DW114" s="154"/>
      <c r="DX114" s="155">
        <f t="shared" si="138"/>
        <v>200</v>
      </c>
      <c r="DY114" s="154"/>
      <c r="DZ114" s="154"/>
      <c r="EA114" s="156">
        <f t="shared" si="139"/>
        <v>285.75624999999997</v>
      </c>
    </row>
    <row r="115" spans="10:131" x14ac:dyDescent="0.25">
      <c r="J115" s="86" t="str" cm="1">
        <f t="array" ref="J115">LOOKUP(2,1/($G$17:$G$33&lt;=$L115)/($H$17:$H$33&gt;=$L115),$F$17:$F$33)</f>
        <v>2H22</v>
      </c>
      <c r="K115" s="86" t="str" cm="1">
        <f t="array" ref="K115">LOOKUP(2,1/($G$6:$G$14&lt;=$L115)/($H$6:$H$14&gt;=$L115),$F$6:$F$14)</f>
        <v>FY22</v>
      </c>
      <c r="L115" s="118">
        <v>44700</v>
      </c>
      <c r="M115" s="49">
        <v>116725204</v>
      </c>
      <c r="N115" s="49">
        <v>141622690</v>
      </c>
      <c r="O115" s="50">
        <v>80000000</v>
      </c>
      <c r="P115" s="119" cm="1">
        <f t="array" ref="P115">LOOKUP(2,1/($B$10:$B$14&lt;=$L115)/($C$10:$C$14&gt;=$L115),$D$10:$D$14)</f>
        <v>1.1000000000000001</v>
      </c>
      <c r="Q115" s="120" cm="1">
        <f t="array" ref="Q115">LOOKUP(2,1/($B$17:$B$21&lt;=$L115)/($C$17:$C$21&gt;=$L115),$D$17:$D$21)</f>
        <v>134.49039999999999</v>
      </c>
      <c r="R115" s="113" t="str">
        <f t="shared" si="128"/>
        <v/>
      </c>
      <c r="S115" s="113" t="str">
        <f t="shared" si="129"/>
        <v>2H22</v>
      </c>
      <c r="T115" s="113" t="str">
        <f t="shared" ca="1" si="130"/>
        <v/>
      </c>
      <c r="U115" s="113" t="str">
        <f t="shared" si="131"/>
        <v/>
      </c>
      <c r="V115" s="113" t="str">
        <f t="shared" si="4"/>
        <v>FY22</v>
      </c>
      <c r="W115" s="113" t="str">
        <f t="shared" ca="1" si="98"/>
        <v/>
      </c>
      <c r="X115" s="50"/>
      <c r="Y115" s="146">
        <v>8</v>
      </c>
      <c r="Z115" s="145">
        <v>250000000</v>
      </c>
      <c r="AA115" s="145"/>
      <c r="AB115" s="173">
        <f>IF($Z115&gt;=100000000,$AC$103*AC$106*AC115+$AD$103*AD$106*AD115,AC$106*AC115+AD$106*AD115)*AB$106</f>
        <v>416375909.09090912</v>
      </c>
      <c r="AC115" s="145">
        <v>305750000</v>
      </c>
      <c r="AD115" s="145">
        <v>439265000.00000006</v>
      </c>
      <c r="AE115" s="146"/>
      <c r="AF115" s="146"/>
      <c r="AG115" s="146"/>
      <c r="AH115" s="146"/>
      <c r="AJ115" s="179" t="s">
        <v>0</v>
      </c>
      <c r="AK115" s="185">
        <f>AB106</f>
        <v>0.97272727272727277</v>
      </c>
      <c r="AL115" s="181"/>
      <c r="AM115" s="181"/>
      <c r="AN115" s="181"/>
      <c r="AO115" s="181"/>
      <c r="AP115" s="181"/>
      <c r="AQ115" s="182"/>
      <c r="AT115" s="50"/>
      <c r="AU115" s="146">
        <v>7</v>
      </c>
      <c r="AV115" s="166">
        <v>120000000</v>
      </c>
      <c r="AW115" s="146">
        <f>AW57*$AX$107</f>
        <v>198513198.82120329</v>
      </c>
      <c r="AX115" s="168"/>
      <c r="AY115" s="167">
        <f t="shared" si="148"/>
        <v>0</v>
      </c>
      <c r="BA115" s="176"/>
      <c r="BB115" s="85"/>
      <c r="BC115" s="154"/>
      <c r="BD115" s="155">
        <f t="shared" si="140"/>
        <v>250</v>
      </c>
      <c r="BE115" s="156">
        <f>MAX(AW118:AX118)/1000000</f>
        <v>443.56363636363636</v>
      </c>
      <c r="BH115" s="50"/>
      <c r="BI115" s="146">
        <v>7</v>
      </c>
      <c r="BJ115" s="145">
        <v>200000000</v>
      </c>
      <c r="BK115" s="145"/>
      <c r="BL115" s="146">
        <v>400000000</v>
      </c>
      <c r="BM115" s="146"/>
      <c r="BN115" s="146"/>
      <c r="BO115" s="146"/>
      <c r="BQ115" s="172" t="s">
        <v>148</v>
      </c>
      <c r="BR115" s="174">
        <f>BL102</f>
        <v>44742</v>
      </c>
      <c r="BS115" s="154"/>
      <c r="BT115" s="154"/>
      <c r="BU115" s="155">
        <f t="shared" si="136"/>
        <v>350</v>
      </c>
      <c r="BV115" s="154"/>
      <c r="BW115" s="154"/>
      <c r="BX115" s="156">
        <f t="shared" si="137"/>
        <v>800</v>
      </c>
      <c r="CA115" s="50"/>
      <c r="CQ115" s="50"/>
      <c r="CR115" s="146">
        <v>8</v>
      </c>
      <c r="CS115" s="145">
        <v>160000000</v>
      </c>
      <c r="CT115" s="145"/>
      <c r="CU115" s="173">
        <f>IF($CS115&gt;=100000000,$CV$103*CV$106*CV115+$CW$103*CW$106*CW115,CV$106*CV115+CW$106*CW115)</f>
        <v>258931400</v>
      </c>
      <c r="CV115" s="145">
        <v>199178000</v>
      </c>
      <c r="CW115" s="145"/>
      <c r="CX115" s="146"/>
      <c r="DA115" s="179" t="s">
        <v>162</v>
      </c>
      <c r="DB115" s="180">
        <f>CV103</f>
        <v>1.3</v>
      </c>
      <c r="DC115" s="181"/>
      <c r="DD115" s="181"/>
      <c r="DE115" s="181"/>
      <c r="DF115" s="181"/>
      <c r="DG115" s="181"/>
      <c r="DH115" s="182"/>
      <c r="DK115" s="50"/>
      <c r="DL115" s="146">
        <v>8</v>
      </c>
      <c r="DM115" s="166">
        <v>100000000</v>
      </c>
      <c r="DN115" s="168">
        <f t="shared" si="146"/>
        <v>124361859</v>
      </c>
      <c r="DP115" s="145">
        <v>119434999.99999999</v>
      </c>
      <c r="DQ115" s="145">
        <v>119032000.00000001</v>
      </c>
      <c r="DR115" s="167">
        <f t="shared" si="147"/>
        <v>1</v>
      </c>
      <c r="DT115" s="176"/>
      <c r="DU115" s="32"/>
      <c r="DV115" s="32"/>
      <c r="DW115" s="32"/>
      <c r="DX115" s="32"/>
      <c r="DY115" s="32"/>
      <c r="DZ115" s="32"/>
      <c r="EA115" s="183"/>
    </row>
    <row r="116" spans="10:131" x14ac:dyDescent="0.25">
      <c r="J116" s="86" t="str" cm="1">
        <f t="array" ref="J116">LOOKUP(2,1/($G$17:$G$33&lt;=$L116)/($H$17:$H$33&gt;=$L116),$F$17:$F$33)</f>
        <v>2H22</v>
      </c>
      <c r="K116" s="86" t="str" cm="1">
        <f t="array" ref="K116">LOOKUP(2,1/($G$6:$G$14&lt;=$L116)/($H$6:$H$14&gt;=$L116),$F$6:$F$14)</f>
        <v>FY22</v>
      </c>
      <c r="L116" s="118">
        <v>44693</v>
      </c>
      <c r="M116" s="49">
        <v>83810205</v>
      </c>
      <c r="N116" s="49">
        <v>101686922</v>
      </c>
      <c r="O116" s="50">
        <v>60000000</v>
      </c>
      <c r="P116" s="119" cm="1">
        <f t="array" ref="P116">LOOKUP(2,1/($B$10:$B$14&lt;=$L116)/($C$10:$C$14&gt;=$L116),$D$10:$D$14)</f>
        <v>1.1000000000000001</v>
      </c>
      <c r="Q116" s="120" cm="1">
        <f t="array" ref="Q116">LOOKUP(2,1/($B$17:$B$21&lt;=$L116)/($C$17:$C$21&gt;=$L116),$D$17:$D$21)</f>
        <v>134.49039999999999</v>
      </c>
      <c r="R116" s="113" t="str">
        <f t="shared" si="128"/>
        <v/>
      </c>
      <c r="S116" s="113" t="str">
        <f t="shared" si="129"/>
        <v>2H22</v>
      </c>
      <c r="T116" s="113" t="str">
        <f t="shared" ca="1" si="130"/>
        <v/>
      </c>
      <c r="U116" s="113" t="str">
        <f t="shared" si="131"/>
        <v/>
      </c>
      <c r="V116" s="113" t="str">
        <f t="shared" si="4"/>
        <v>FY22</v>
      </c>
      <c r="W116" s="113" t="str">
        <f t="shared" ca="1" si="98"/>
        <v/>
      </c>
      <c r="X116" s="50"/>
      <c r="Y116" s="146">
        <v>9</v>
      </c>
      <c r="Z116" s="145">
        <v>300000000</v>
      </c>
      <c r="AA116" s="145"/>
      <c r="AB116" s="173">
        <f>IF($Z116&gt;=100000000,$AC$103*AC$106*AC116+$AD$103*AD$106*AD116,AC$106*AC116+AD$106*AD116)*AB$106</f>
        <v>495252418.18181813</v>
      </c>
      <c r="AC116" s="145">
        <v>363670000</v>
      </c>
      <c r="AD116" s="145">
        <v>568480000</v>
      </c>
      <c r="AE116" s="146"/>
      <c r="AF116" s="146"/>
      <c r="AG116" s="146"/>
      <c r="AH116" s="146"/>
      <c r="AJ116" s="2"/>
      <c r="AK116" s="2"/>
      <c r="AL116" s="2"/>
      <c r="AM116" s="2"/>
      <c r="AN116" s="2"/>
      <c r="AO116" s="2"/>
      <c r="AP116" s="2"/>
      <c r="AQ116" s="2"/>
      <c r="AT116" s="50"/>
      <c r="AU116" s="146">
        <v>8</v>
      </c>
      <c r="AV116" s="145">
        <v>150000000</v>
      </c>
      <c r="AW116" s="145"/>
      <c r="AX116" s="145">
        <f>AX58*$AX$107</f>
        <v>254125000</v>
      </c>
      <c r="AY116" s="146"/>
      <c r="BA116" s="176"/>
      <c r="BB116" s="32"/>
      <c r="BC116" s="32"/>
      <c r="BD116" s="32"/>
      <c r="BE116" s="183"/>
      <c r="BH116" s="50"/>
      <c r="BI116" s="146">
        <v>8</v>
      </c>
      <c r="BJ116" s="145">
        <v>250000000</v>
      </c>
      <c r="BK116" s="145"/>
      <c r="BL116" s="146">
        <v>510000000</v>
      </c>
      <c r="BM116" s="146"/>
      <c r="BN116" s="146"/>
      <c r="BO116" s="146"/>
      <c r="BQ116" s="179" t="s">
        <v>0</v>
      </c>
      <c r="BR116" s="185">
        <f>BL107</f>
        <v>0</v>
      </c>
      <c r="BS116" s="181"/>
      <c r="BT116" s="181"/>
      <c r="BU116" s="181"/>
      <c r="BV116" s="181"/>
      <c r="BW116" s="181"/>
      <c r="BX116" s="182"/>
      <c r="CA116" s="50"/>
      <c r="CQ116" s="50"/>
      <c r="CR116" s="146">
        <v>9</v>
      </c>
      <c r="CS116" s="145">
        <v>200000000</v>
      </c>
      <c r="CT116" s="145"/>
      <c r="CU116" s="173">
        <f>IF($CS116&gt;=100000000,$CV$103*CV$106*CV116+$CW$103*CW$106*CW116,CV$106*CV116+CW$106*CW116)</f>
        <v>318736600</v>
      </c>
      <c r="CV116" s="145">
        <v>245182000</v>
      </c>
      <c r="CW116" s="145"/>
      <c r="CX116" s="146"/>
      <c r="DA116" s="2"/>
      <c r="DB116" s="2"/>
      <c r="DC116" s="2"/>
      <c r="DD116" s="2"/>
      <c r="DE116" s="2"/>
      <c r="DF116" s="2"/>
      <c r="DG116" s="2"/>
      <c r="DH116" s="2"/>
      <c r="DK116" s="50"/>
      <c r="DL116" s="146">
        <v>9</v>
      </c>
      <c r="DM116" s="166">
        <v>150000000</v>
      </c>
      <c r="DN116" s="168">
        <f t="shared" si="146"/>
        <v>202664967</v>
      </c>
      <c r="DP116" s="145">
        <v>174019999.99999997</v>
      </c>
      <c r="DQ116" s="145">
        <v>210887000</v>
      </c>
      <c r="DR116" s="167">
        <f t="shared" si="147"/>
        <v>1</v>
      </c>
      <c r="DT116" s="186" t="s">
        <v>207</v>
      </c>
      <c r="DU116" s="2"/>
      <c r="DV116" s="2"/>
      <c r="DW116" s="2"/>
      <c r="DX116" s="2"/>
      <c r="DY116" s="2"/>
      <c r="DZ116" s="2"/>
      <c r="EA116" s="187"/>
    </row>
    <row r="117" spans="10:131" x14ac:dyDescent="0.25">
      <c r="J117" s="86" t="str" cm="1">
        <f t="array" ref="J117">LOOKUP(2,1/($G$17:$G$33&lt;=$L117)/($H$17:$H$33&gt;=$L117),$F$17:$F$33)</f>
        <v>2H22</v>
      </c>
      <c r="K117" s="86" t="str" cm="1">
        <f t="array" ref="K117">LOOKUP(2,1/($G$6:$G$14&lt;=$L117)/($H$6:$H$14&gt;=$L117),$F$6:$F$14)</f>
        <v>FY22</v>
      </c>
      <c r="L117" s="118">
        <v>44686</v>
      </c>
      <c r="M117" s="49">
        <v>58067244</v>
      </c>
      <c r="N117" s="49">
        <v>70452987</v>
      </c>
      <c r="O117" s="50">
        <v>40000000</v>
      </c>
      <c r="P117" s="119" cm="1">
        <f t="array" ref="P117">LOOKUP(2,1/($B$10:$B$14&lt;=$L117)/($C$10:$C$14&gt;=$L117),$D$10:$D$14)</f>
        <v>1.1000000000000001</v>
      </c>
      <c r="Q117" s="120" cm="1">
        <f t="array" ref="Q117">LOOKUP(2,1/($B$17:$B$21&lt;=$L117)/($C$17:$C$21&gt;=$L117),$D$17:$D$21)</f>
        <v>134.49039999999999</v>
      </c>
      <c r="R117" s="113" t="str">
        <f t="shared" si="128"/>
        <v/>
      </c>
      <c r="S117" s="113" t="str">
        <f t="shared" si="129"/>
        <v>2H22</v>
      </c>
      <c r="T117" s="113" t="str">
        <f t="shared" ca="1" si="130"/>
        <v/>
      </c>
      <c r="U117" s="113" t="str">
        <f t="shared" si="131"/>
        <v/>
      </c>
      <c r="V117" s="113" t="str">
        <f t="shared" si="4"/>
        <v>FY22</v>
      </c>
      <c r="W117" s="113" t="str">
        <f t="shared" ca="1" si="98"/>
        <v/>
      </c>
      <c r="X117" s="50"/>
      <c r="Y117" s="146">
        <v>10</v>
      </c>
      <c r="Z117" s="145">
        <v>350000000</v>
      </c>
      <c r="AA117" s="145"/>
      <c r="AB117" s="173">
        <f>IF($Z117&gt;=100000000,$AC$103*AC$106*AC117+$AD$103*AD$106*AD117,AC$106*AC117+AD$106*AD117)*AB$106</f>
        <v>574128927.27272725</v>
      </c>
      <c r="AC117" s="145">
        <v>421590000.00000006</v>
      </c>
      <c r="AD117" s="145">
        <v>712695000</v>
      </c>
      <c r="AE117" s="146"/>
      <c r="AF117" s="146"/>
      <c r="AG117" s="146"/>
      <c r="AH117" s="146"/>
      <c r="AJ117" s="188"/>
      <c r="AK117" s="188"/>
      <c r="AL117" s="188"/>
      <c r="AM117" s="188"/>
      <c r="AN117" s="188"/>
      <c r="AO117" s="188"/>
      <c r="AP117" s="188"/>
      <c r="AQ117" s="188"/>
      <c r="AT117" s="50"/>
      <c r="AU117" s="146">
        <v>9</v>
      </c>
      <c r="AV117" s="145">
        <v>200000000</v>
      </c>
      <c r="AW117" s="145"/>
      <c r="AX117" s="145">
        <f>AX59*$AX$107</f>
        <v>341913636.36363637</v>
      </c>
      <c r="AY117" s="146"/>
      <c r="BA117" s="186"/>
      <c r="BB117" s="2"/>
      <c r="BC117" s="2"/>
      <c r="BD117" s="2"/>
      <c r="BE117" s="187"/>
      <c r="BH117" s="50"/>
      <c r="BI117" s="146">
        <v>9</v>
      </c>
      <c r="BJ117" s="145">
        <v>300000000</v>
      </c>
      <c r="BK117" s="145"/>
      <c r="BL117" s="146">
        <v>640000000</v>
      </c>
      <c r="BM117" s="146"/>
      <c r="BN117" s="146"/>
      <c r="BO117" s="146"/>
      <c r="BQ117" s="2"/>
      <c r="BR117" s="2"/>
      <c r="BS117" s="2"/>
      <c r="BT117" s="2"/>
      <c r="BU117" s="2"/>
      <c r="BV117" s="2"/>
      <c r="BW117" s="2"/>
      <c r="BX117" s="2"/>
      <c r="CA117" s="50"/>
      <c r="CQ117" s="50"/>
      <c r="CR117" s="146">
        <v>10</v>
      </c>
      <c r="CS117" s="145">
        <v>250000000</v>
      </c>
      <c r="CT117" s="145"/>
      <c r="CU117" s="173">
        <f>IF($CS117&gt;=100000000,$CV$103*CV$106*CV117+$CW$103*CW$106*CW117,CV$106*CV117+CW$106*CW117)</f>
        <v>393493099.99999994</v>
      </c>
      <c r="CV117" s="145">
        <v>302686999.99999994</v>
      </c>
      <c r="CW117" s="145"/>
      <c r="CX117" s="146"/>
      <c r="DA117" s="188"/>
      <c r="DB117" s="188"/>
      <c r="DC117" s="188"/>
      <c r="DD117" s="188"/>
      <c r="DE117" s="188"/>
      <c r="DF117" s="188"/>
      <c r="DG117" s="188"/>
      <c r="DH117" s="188"/>
      <c r="DK117" s="50"/>
      <c r="DL117" s="146">
        <v>10</v>
      </c>
      <c r="DM117" s="145">
        <v>200000000</v>
      </c>
      <c r="DN117" s="145"/>
      <c r="DO117" s="173">
        <f>IF($DM117&gt;=100000000,$DP$103*DP$106*DP117+$DQ$103*DQ$106*DQ117,DP$106*DP117+DQ$106*DQ117)</f>
        <v>285756249.99999994</v>
      </c>
      <c r="DP117" s="145">
        <v>228604999.99999997</v>
      </c>
      <c r="DQ117" s="145">
        <v>330242000</v>
      </c>
      <c r="DR117" s="146"/>
      <c r="DT117" s="189"/>
      <c r="DU117" s="190"/>
      <c r="DV117" s="190"/>
      <c r="DW117" s="190"/>
      <c r="DX117" s="190"/>
      <c r="DY117" s="190"/>
      <c r="DZ117" s="190"/>
      <c r="EA117" s="191"/>
    </row>
    <row r="118" spans="10:131" x14ac:dyDescent="0.25">
      <c r="J118" s="86" t="str" cm="1">
        <f t="array" ref="J118">LOOKUP(2,1/($G$17:$G$33&lt;=$L118)/($H$17:$H$33&gt;=$L118),$F$17:$F$33)</f>
        <v>2H22</v>
      </c>
      <c r="K118" s="86" t="str" cm="1">
        <f t="array" ref="K118">LOOKUP(2,1/($G$6:$G$14&lt;=$L118)/($H$6:$H$14&gt;=$L118),$F$6:$F$14)</f>
        <v>FY22</v>
      </c>
      <c r="L118" s="118">
        <v>44679</v>
      </c>
      <c r="M118" s="49">
        <v>39401901</v>
      </c>
      <c r="N118" s="49">
        <v>47806327</v>
      </c>
      <c r="O118" s="50">
        <v>20000000</v>
      </c>
      <c r="P118" s="119" cm="1">
        <f t="array" ref="P118">LOOKUP(2,1/($B$10:$B$14&lt;=$L118)/($C$10:$C$14&gt;=$L118),$D$10:$D$14)</f>
        <v>1.1000000000000001</v>
      </c>
      <c r="Q118" s="120" cm="1">
        <f t="array" ref="Q118">LOOKUP(2,1/($B$17:$B$21&lt;=$L118)/($C$17:$C$21&gt;=$L118),$D$17:$D$21)</f>
        <v>134.49039999999999</v>
      </c>
      <c r="R118" s="113" t="str">
        <f t="shared" si="128"/>
        <v/>
      </c>
      <c r="S118" s="113" t="str">
        <f t="shared" si="129"/>
        <v>2H22</v>
      </c>
      <c r="T118" s="113" t="str">
        <f t="shared" ca="1" si="130"/>
        <v/>
      </c>
      <c r="U118" s="113" t="str">
        <f t="shared" si="131"/>
        <v/>
      </c>
      <c r="V118" s="113" t="str">
        <f t="shared" si="4"/>
        <v>FY22</v>
      </c>
      <c r="W118" s="113" t="str">
        <f t="shared" ca="1" si="98"/>
        <v/>
      </c>
      <c r="X118" s="50"/>
      <c r="Y118" s="192"/>
      <c r="AI118" s="105"/>
      <c r="AJ118" s="105"/>
      <c r="AK118" s="105"/>
      <c r="AL118" s="105"/>
      <c r="AM118" s="105"/>
      <c r="AN118" s="105"/>
      <c r="AO118" s="105"/>
      <c r="AP118" s="105"/>
      <c r="AQ118" s="105"/>
      <c r="AR118" s="105"/>
      <c r="AS118" s="105"/>
      <c r="AT118" s="50"/>
      <c r="AU118" s="146">
        <v>10</v>
      </c>
      <c r="AV118" s="145">
        <v>250000000</v>
      </c>
      <c r="AW118" s="145"/>
      <c r="AX118" s="145">
        <f>AX60*$AX$107</f>
        <v>443563636.36363637</v>
      </c>
      <c r="AY118" s="146"/>
      <c r="BA118" s="189"/>
      <c r="BB118" s="190"/>
      <c r="BC118" s="190"/>
      <c r="BD118" s="190"/>
      <c r="BE118" s="191"/>
      <c r="BH118" s="50"/>
      <c r="BI118" s="146">
        <v>10</v>
      </c>
      <c r="BJ118" s="145">
        <v>350000000</v>
      </c>
      <c r="BK118" s="145"/>
      <c r="BL118" s="146">
        <v>800000000</v>
      </c>
      <c r="BM118" s="146"/>
      <c r="BN118" s="146"/>
      <c r="BO118" s="146"/>
      <c r="BQ118" s="188"/>
      <c r="BR118" s="188"/>
      <c r="BS118" s="188"/>
      <c r="BT118" s="188"/>
      <c r="BU118" s="188"/>
      <c r="BV118" s="188"/>
      <c r="BW118" s="188"/>
      <c r="BX118" s="188"/>
      <c r="CA118" s="50"/>
      <c r="CQ118" s="50"/>
      <c r="DA118" s="106"/>
      <c r="DB118" s="107"/>
      <c r="DC118" s="107"/>
      <c r="DD118" s="107"/>
      <c r="DE118" s="108"/>
      <c r="DF118" s="107"/>
      <c r="DG118" s="107"/>
      <c r="DH118" s="108"/>
      <c r="DK118" s="50"/>
    </row>
    <row r="119" spans="10:131" x14ac:dyDescent="0.25">
      <c r="J119" s="86" t="str" cm="1">
        <f t="array" ref="J119">LOOKUP(2,1/($G$17:$G$33&lt;=$L119)/($H$17:$H$33&gt;=$L119),$F$17:$F$33)</f>
        <v>2H22</v>
      </c>
      <c r="K119" s="86" t="str" cm="1">
        <f t="array" ref="K119">LOOKUP(2,1/($G$6:$G$14&lt;=$L119)/($H$6:$H$14&gt;=$L119),$F$6:$F$14)</f>
        <v>FY22</v>
      </c>
      <c r="L119" s="118">
        <v>44672</v>
      </c>
      <c r="M119" s="49">
        <v>24232712</v>
      </c>
      <c r="N119" s="49">
        <v>29401549</v>
      </c>
      <c r="O119" s="50">
        <v>8000000</v>
      </c>
      <c r="P119" s="119" cm="1">
        <f t="array" ref="P119">LOOKUP(2,1/($B$10:$B$14&lt;=$L119)/($C$10:$C$14&gt;=$L119),$D$10:$D$14)</f>
        <v>1.1000000000000001</v>
      </c>
      <c r="Q119" s="120" cm="1">
        <f t="array" ref="Q119">LOOKUP(2,1/($B$17:$B$21&lt;=$L119)/($C$17:$C$21&gt;=$L119),$D$17:$D$21)</f>
        <v>134.49039999999999</v>
      </c>
      <c r="R119" s="113" t="str">
        <f t="shared" si="128"/>
        <v/>
      </c>
      <c r="S119" s="113" t="str">
        <f t="shared" si="129"/>
        <v>2H22</v>
      </c>
      <c r="T119" s="113" t="str">
        <f t="shared" ca="1" si="130"/>
        <v/>
      </c>
      <c r="U119" s="113" t="str">
        <f t="shared" si="131"/>
        <v/>
      </c>
      <c r="V119" s="113" t="str">
        <f t="shared" si="4"/>
        <v>FY22</v>
      </c>
      <c r="W119" s="113" t="str">
        <f t="shared" ca="1" si="98"/>
        <v/>
      </c>
      <c r="X119" s="50"/>
      <c r="AT119" s="50"/>
      <c r="AU119" s="192"/>
      <c r="AZ119" s="105"/>
      <c r="BA119" s="105"/>
      <c r="BB119" s="105"/>
      <c r="BC119" s="105"/>
      <c r="BD119" s="105"/>
      <c r="BE119" s="105"/>
      <c r="BF119" s="105"/>
      <c r="BG119" s="105"/>
      <c r="BH119" s="50"/>
      <c r="CA119" s="50"/>
      <c r="CQ119" s="50"/>
      <c r="CR119" s="125" t="s">
        <v>214</v>
      </c>
      <c r="CS119" s="126"/>
      <c r="CT119" s="126"/>
      <c r="CU119" s="126"/>
      <c r="CV119" s="126"/>
      <c r="CW119" s="126"/>
      <c r="CX119" s="126"/>
      <c r="CY119" s="126"/>
      <c r="CZ119" s="126"/>
      <c r="DA119" s="126"/>
      <c r="DB119" s="126"/>
      <c r="DC119" s="126"/>
      <c r="DD119" s="126"/>
      <c r="DE119" s="126"/>
      <c r="DF119" s="126"/>
      <c r="DG119" s="126"/>
      <c r="DH119" s="126"/>
      <c r="DI119" s="126"/>
      <c r="DJ119" s="126"/>
      <c r="DK119" s="50"/>
      <c r="DL119" s="125" t="s">
        <v>50</v>
      </c>
      <c r="DM119" s="126"/>
      <c r="DN119" s="126"/>
      <c r="DO119" s="126"/>
      <c r="DP119" s="126"/>
      <c r="DQ119" s="126"/>
      <c r="DR119" s="126"/>
      <c r="DS119" s="126"/>
      <c r="DT119" s="126"/>
      <c r="DU119" s="126"/>
      <c r="DV119" s="126"/>
      <c r="DW119" s="126"/>
      <c r="DX119" s="126"/>
      <c r="DY119" s="126"/>
      <c r="DZ119" s="126"/>
      <c r="EA119" s="126"/>
    </row>
    <row r="120" spans="10:131" x14ac:dyDescent="0.25">
      <c r="J120" s="86" t="str" cm="1">
        <f t="array" ref="J120">LOOKUP(2,1/($G$17:$G$33&lt;=$L120)/($H$17:$H$33&gt;=$L120),$F$17:$F$33)</f>
        <v>2H22</v>
      </c>
      <c r="K120" s="86" t="str" cm="1">
        <f t="array" ref="K120">LOOKUP(2,1/($G$6:$G$14&lt;=$L120)/($H$6:$H$14&gt;=$L120),$F$6:$F$14)</f>
        <v>FY22</v>
      </c>
      <c r="L120" s="118">
        <v>44665</v>
      </c>
      <c r="M120" s="49">
        <v>20606948</v>
      </c>
      <c r="N120" s="49">
        <v>25002410</v>
      </c>
      <c r="O120" s="50">
        <v>4000000</v>
      </c>
      <c r="P120" s="119" cm="1">
        <f t="array" ref="P120">LOOKUP(2,1/($B$10:$B$14&lt;=$L120)/($C$10:$C$14&gt;=$L120),$D$10:$D$14)</f>
        <v>1.1000000000000001</v>
      </c>
      <c r="Q120" s="120" cm="1">
        <f t="array" ref="Q120">LOOKUP(2,1/($B$17:$B$21&lt;=$L120)/($C$17:$C$21&gt;=$L120),$D$17:$D$21)</f>
        <v>134.49039999999999</v>
      </c>
      <c r="R120" s="113" t="str">
        <f t="shared" si="128"/>
        <v/>
      </c>
      <c r="S120" s="113" t="str">
        <f t="shared" si="129"/>
        <v>2H22</v>
      </c>
      <c r="T120" s="113" t="str">
        <f t="shared" ca="1" si="130"/>
        <v/>
      </c>
      <c r="U120" s="113" t="str">
        <f t="shared" si="131"/>
        <v/>
      </c>
      <c r="V120" s="113" t="str">
        <f t="shared" si="4"/>
        <v>FY22</v>
      </c>
      <c r="W120" s="113" t="str">
        <f t="shared" ca="1" si="98"/>
        <v/>
      </c>
      <c r="X120" s="50"/>
      <c r="Y120" s="197" t="s">
        <v>217</v>
      </c>
      <c r="Z120" s="198"/>
      <c r="AA120" s="198"/>
      <c r="AB120" s="198"/>
      <c r="AC120" s="198"/>
      <c r="AD120" s="198"/>
      <c r="AE120" s="198"/>
      <c r="AF120" s="198"/>
      <c r="AG120" s="198"/>
      <c r="AH120" s="198"/>
      <c r="AI120" s="198"/>
      <c r="AJ120" s="198"/>
      <c r="AK120" s="198"/>
      <c r="AL120" s="198"/>
      <c r="AM120" s="198"/>
      <c r="AN120" s="198"/>
      <c r="AO120" s="198"/>
      <c r="AP120" s="198"/>
      <c r="AQ120" s="198"/>
      <c r="AR120" s="198"/>
      <c r="AS120" s="198"/>
      <c r="AT120" s="50"/>
      <c r="AU120" s="197" t="s">
        <v>218</v>
      </c>
      <c r="AV120" s="198"/>
      <c r="AW120" s="198"/>
      <c r="AX120" s="198"/>
      <c r="AY120" s="198"/>
      <c r="AZ120" s="198"/>
      <c r="BA120" s="198"/>
      <c r="BB120" s="198"/>
      <c r="BC120" s="198"/>
      <c r="BD120" s="198"/>
      <c r="BE120" s="198"/>
      <c r="BF120" s="198"/>
      <c r="BG120" s="198"/>
      <c r="BH120" s="50"/>
      <c r="BI120" s="123" t="s">
        <v>219</v>
      </c>
      <c r="BJ120" s="124"/>
      <c r="BK120" s="124"/>
      <c r="BL120" s="124"/>
      <c r="BM120" s="124"/>
      <c r="BN120" s="124"/>
      <c r="BO120" s="124"/>
      <c r="BP120" s="124"/>
      <c r="BQ120" s="124"/>
      <c r="BR120" s="124"/>
      <c r="BS120" s="124"/>
      <c r="BT120" s="124"/>
      <c r="BU120" s="124"/>
      <c r="BV120" s="124"/>
      <c r="BW120" s="124"/>
      <c r="BX120" s="124"/>
      <c r="BY120" s="124"/>
      <c r="BZ120" s="124"/>
      <c r="CA120" s="50"/>
      <c r="CQ120" s="50"/>
      <c r="CR120" s="114" t="s">
        <v>147</v>
      </c>
      <c r="CS120" s="115">
        <v>44013</v>
      </c>
      <c r="CT120" s="114" t="s">
        <v>148</v>
      </c>
      <c r="CU120" s="115">
        <v>44377</v>
      </c>
      <c r="CV120" s="132"/>
      <c r="CW120" s="132"/>
      <c r="CX120" s="132"/>
      <c r="CY120" s="133"/>
      <c r="CZ120" s="133"/>
      <c r="DA120" s="133"/>
      <c r="DB120" s="133"/>
      <c r="DC120" s="133"/>
      <c r="DD120" s="133"/>
      <c r="DE120" s="133"/>
      <c r="DF120" s="133"/>
      <c r="DG120" s="133"/>
      <c r="DH120" s="133"/>
      <c r="DI120" s="133"/>
      <c r="DJ120" s="133"/>
      <c r="DK120" s="50"/>
      <c r="DL120" s="114" t="s">
        <v>147</v>
      </c>
      <c r="DM120" s="115">
        <v>43831</v>
      </c>
      <c r="DN120" s="114" t="s">
        <v>148</v>
      </c>
      <c r="DO120" s="115">
        <v>44012</v>
      </c>
      <c r="DP120" s="132"/>
      <c r="DQ120" s="132"/>
      <c r="DR120" s="132"/>
      <c r="DS120" s="133"/>
      <c r="DT120" s="133"/>
      <c r="DU120" s="133"/>
      <c r="DV120" s="133"/>
      <c r="DW120" s="133"/>
      <c r="DX120" s="133"/>
      <c r="DY120" s="133"/>
      <c r="DZ120" s="133"/>
      <c r="EA120" s="133"/>
    </row>
    <row r="121" spans="10:131" x14ac:dyDescent="0.25">
      <c r="J121" s="86" t="str" cm="1">
        <f t="array" ref="J121">LOOKUP(2,1/($G$17:$G$33&lt;=$L121)/($H$17:$H$33&gt;=$L121),$F$17:$F$33)</f>
        <v>2H22</v>
      </c>
      <c r="K121" s="86" t="str" cm="1">
        <f t="array" ref="K121">LOOKUP(2,1/($G$6:$G$14&lt;=$L121)/($H$6:$H$14&gt;=$L121),$F$6:$F$14)</f>
        <v>FY22</v>
      </c>
      <c r="L121" s="118">
        <v>44658</v>
      </c>
      <c r="M121" s="49">
        <v>42925572</v>
      </c>
      <c r="N121" s="49">
        <v>52081596</v>
      </c>
      <c r="O121" s="50">
        <v>20000000</v>
      </c>
      <c r="P121" s="119" cm="1">
        <f t="array" ref="P121">LOOKUP(2,1/($B$10:$B$14&lt;=$L121)/($C$10:$C$14&gt;=$L121),$D$10:$D$14)</f>
        <v>1.1000000000000001</v>
      </c>
      <c r="Q121" s="120" cm="1">
        <f t="array" ref="Q121">LOOKUP(2,1/($B$17:$B$21&lt;=$L121)/($C$17:$C$21&gt;=$L121),$D$17:$D$21)</f>
        <v>134.49039999999999</v>
      </c>
      <c r="R121" s="113" t="str">
        <f t="shared" si="128"/>
        <v/>
      </c>
      <c r="S121" s="113" t="str">
        <f t="shared" si="129"/>
        <v>2H22</v>
      </c>
      <c r="T121" s="113" t="str">
        <f t="shared" ca="1" si="130"/>
        <v/>
      </c>
      <c r="U121" s="113" t="str">
        <f t="shared" si="131"/>
        <v/>
      </c>
      <c r="V121" s="113" t="str">
        <f t="shared" si="4"/>
        <v>FY22</v>
      </c>
      <c r="W121" s="113" t="str">
        <f t="shared" ca="1" si="98"/>
        <v/>
      </c>
      <c r="X121" s="50"/>
      <c r="Y121" s="114" t="s">
        <v>147</v>
      </c>
      <c r="Z121" s="115">
        <v>44652</v>
      </c>
      <c r="AA121" s="114" t="s">
        <v>148</v>
      </c>
      <c r="AB121" s="115">
        <v>44868</v>
      </c>
      <c r="AC121" s="132"/>
      <c r="AD121" s="132"/>
      <c r="AE121" s="132"/>
      <c r="AF121" s="132"/>
      <c r="AG121" s="132"/>
      <c r="AH121" s="132"/>
      <c r="AI121" s="133"/>
      <c r="AJ121" s="133"/>
      <c r="AK121" s="133"/>
      <c r="AL121" s="133"/>
      <c r="AM121" s="133"/>
      <c r="AN121" s="133"/>
      <c r="AO121" s="133"/>
      <c r="AP121" s="133"/>
      <c r="AQ121" s="133"/>
      <c r="AR121" s="133"/>
      <c r="AS121" s="133"/>
      <c r="AT121" s="50"/>
      <c r="AU121" s="114" t="s">
        <v>147</v>
      </c>
      <c r="AV121" s="115">
        <v>44652</v>
      </c>
      <c r="AW121" s="114" t="s">
        <v>148</v>
      </c>
      <c r="AX121" s="115">
        <v>44868</v>
      </c>
      <c r="AY121" s="132"/>
      <c r="AZ121" s="133"/>
      <c r="BA121" s="133"/>
      <c r="BB121" s="133"/>
      <c r="BC121" s="133"/>
      <c r="BD121" s="133"/>
      <c r="BE121" s="133"/>
      <c r="BF121" s="133"/>
      <c r="BG121" s="133"/>
      <c r="BH121" s="50"/>
      <c r="BI121" s="114" t="s">
        <v>147</v>
      </c>
      <c r="BJ121" s="115">
        <v>44378</v>
      </c>
      <c r="BK121" s="114" t="s">
        <v>148</v>
      </c>
      <c r="BL121" s="115">
        <v>44742</v>
      </c>
      <c r="BM121" s="115"/>
      <c r="BN121" s="115"/>
      <c r="BO121" s="132"/>
      <c r="BP121" s="133"/>
      <c r="BQ121" s="133"/>
      <c r="BR121" s="133"/>
      <c r="BS121" s="133"/>
      <c r="BT121" s="133"/>
      <c r="BU121" s="133"/>
      <c r="BV121" s="133"/>
      <c r="BW121" s="133"/>
      <c r="BX121" s="133"/>
      <c r="BY121" s="133"/>
      <c r="BZ121" s="133"/>
      <c r="CA121" s="50"/>
      <c r="CQ121" s="50"/>
      <c r="CR121" s="114" t="s">
        <v>159</v>
      </c>
      <c r="CS121" s="115" t="s">
        <v>21</v>
      </c>
      <c r="CT121" s="114" t="s">
        <v>161</v>
      </c>
      <c r="CU121" s="134" t="str" cm="1">
        <f t="array" ref="CU121">IF(OR(LOOKUP(2,1/($B$10:$B$14&lt;=CU120)/($C$10:$C$14&gt;=CU120),$D$10:$D$14)&lt;&gt;CS124,LOOKUP(2,1/($B$6:$B$7&lt;=CU120)/($C$6:$C$7&gt;=CU120),$D$6:$D$7)&lt;&gt;CU124),"FAIL","PASS")</f>
        <v>PASS</v>
      </c>
      <c r="CV121" s="134" t="s">
        <v>162</v>
      </c>
      <c r="CW121" s="134" t="s">
        <v>162</v>
      </c>
      <c r="CX121" s="134"/>
      <c r="CY121" s="133"/>
      <c r="CZ121" s="133"/>
      <c r="DA121" s="133"/>
      <c r="DB121" s="133"/>
      <c r="DC121" s="133"/>
      <c r="DD121" s="133"/>
      <c r="DE121" s="133"/>
      <c r="DF121" s="133"/>
      <c r="DG121" s="133"/>
      <c r="DH121" s="133"/>
      <c r="DI121" s="133"/>
      <c r="DJ121" s="133"/>
      <c r="DK121" s="50"/>
      <c r="DL121" s="114" t="s">
        <v>159</v>
      </c>
      <c r="DM121" s="115" t="s">
        <v>50</v>
      </c>
      <c r="DN121" s="114" t="s">
        <v>161</v>
      </c>
      <c r="DO121" s="134" t="str" cm="1">
        <f t="array" ref="DO121">IF(OR(LOOKUP(2,1/($B$10:$B$14&lt;=DO120)/($C$10:$C$14&gt;=DO120),$D$10:$D$14)&lt;&gt;DM124,LOOKUP(2,1/($B$6:$B$7&lt;=DO120)/($C$6:$C$7&gt;=DO120),$D$6:$D$7)&lt;&gt;DO124),"FAIL","PASS")</f>
        <v>PASS</v>
      </c>
      <c r="DP121" s="134" t="s">
        <v>162</v>
      </c>
      <c r="DQ121" s="134" t="s">
        <v>162</v>
      </c>
      <c r="DR121" s="134"/>
      <c r="DS121" s="133"/>
      <c r="DT121" s="133"/>
      <c r="DU121" s="133"/>
      <c r="DV121" s="133"/>
      <c r="DW121" s="133"/>
      <c r="DX121" s="133"/>
      <c r="DY121" s="133"/>
      <c r="DZ121" s="133"/>
      <c r="EA121" s="133"/>
    </row>
    <row r="122" spans="10:131" x14ac:dyDescent="0.25">
      <c r="J122" s="86" t="str" cm="1">
        <f t="array" ref="J122">LOOKUP(2,1/($G$17:$G$33&lt;=$L122)/($H$17:$H$33&gt;=$L122),$F$17:$F$33)</f>
        <v>2H22</v>
      </c>
      <c r="K122" s="86" t="str" cm="1">
        <f t="array" ref="K122">LOOKUP(2,1/($G$6:$G$14&lt;=$L122)/($H$6:$H$14&gt;=$L122),$F$6:$F$14)</f>
        <v>FY22</v>
      </c>
      <c r="L122" s="118">
        <v>44651</v>
      </c>
      <c r="M122" s="49">
        <v>27161960</v>
      </c>
      <c r="N122" s="49">
        <v>32955606</v>
      </c>
      <c r="O122" s="50">
        <v>8000000</v>
      </c>
      <c r="P122" s="119" cm="1">
        <f t="array" ref="P122">LOOKUP(2,1/($B$10:$B$14&lt;=$L122)/($C$10:$C$14&gt;=$L122),$D$10:$D$14)</f>
        <v>1.1000000000000001</v>
      </c>
      <c r="Q122" s="120" cm="1">
        <f t="array" ref="Q122">LOOKUP(2,1/($B$17:$B$21&lt;=$L122)/($C$17:$C$21&gt;=$L122),$D$17:$D$21)</f>
        <v>134.49039999999999</v>
      </c>
      <c r="R122" s="113" t="str">
        <f t="shared" si="128"/>
        <v/>
      </c>
      <c r="S122" s="113" t="str">
        <f t="shared" si="129"/>
        <v>2H22</v>
      </c>
      <c r="T122" s="113" t="str">
        <f t="shared" ca="1" si="130"/>
        <v/>
      </c>
      <c r="U122" s="113" t="str">
        <f t="shared" si="131"/>
        <v/>
      </c>
      <c r="V122" s="113" t="str">
        <f t="shared" si="4"/>
        <v>FY22</v>
      </c>
      <c r="W122" s="113" t="str">
        <f t="shared" ca="1" si="98"/>
        <v/>
      </c>
      <c r="X122" s="50"/>
      <c r="Y122" s="114" t="s">
        <v>159</v>
      </c>
      <c r="Z122" s="115" t="s">
        <v>23</v>
      </c>
      <c r="AA122" s="114" t="s">
        <v>161</v>
      </c>
      <c r="AB122" s="115" t="s">
        <v>163</v>
      </c>
      <c r="AC122" s="134" t="s">
        <v>162</v>
      </c>
      <c r="AD122" s="134" t="s">
        <v>162</v>
      </c>
      <c r="AE122" s="134"/>
      <c r="AF122" s="134"/>
      <c r="AG122" s="134"/>
      <c r="AH122" s="134"/>
      <c r="AI122" s="133"/>
      <c r="AJ122" s="133"/>
      <c r="AK122" s="133"/>
      <c r="AL122" s="133"/>
      <c r="AM122" s="133"/>
      <c r="AN122" s="133"/>
      <c r="AO122" s="133"/>
      <c r="AP122" s="133"/>
      <c r="AQ122" s="133"/>
      <c r="AR122" s="133"/>
      <c r="AS122" s="133"/>
      <c r="AT122" s="50"/>
      <c r="AU122" s="114" t="s">
        <v>159</v>
      </c>
      <c r="AV122" s="115" t="s">
        <v>193</v>
      </c>
      <c r="AW122" s="114" t="s">
        <v>161</v>
      </c>
      <c r="AX122" s="115" t="s">
        <v>163</v>
      </c>
      <c r="AY122" s="134"/>
      <c r="AZ122" s="133"/>
      <c r="BA122" s="133"/>
      <c r="BB122" s="133"/>
      <c r="BC122" s="133"/>
      <c r="BD122" s="133"/>
      <c r="BE122" s="133"/>
      <c r="BF122" s="133"/>
      <c r="BG122" s="133"/>
      <c r="BH122" s="50"/>
      <c r="BI122" s="114" t="s">
        <v>159</v>
      </c>
      <c r="BJ122" s="115" t="s">
        <v>23</v>
      </c>
      <c r="BK122" s="114" t="s">
        <v>161</v>
      </c>
      <c r="BL122" s="134" t="str" cm="1">
        <f t="array" ref="BL122">IF(OR(LOOKUP(2,1/($B$10:$B$14&lt;=BL121)/($C$10:$C$14&gt;=BL121),$D$10:$D$14)&lt;&gt;BJ125,LOOKUP(2,1/($B$6:$B$7&lt;=BL121)/($C$6:$C$7&gt;=BL121),$D$6:$D$7)&lt;&gt;BL125),"FAIL","PASS")</f>
        <v>PASS</v>
      </c>
      <c r="BM122" s="134"/>
      <c r="BN122" s="134"/>
      <c r="BO122" s="134"/>
      <c r="BP122" s="133"/>
      <c r="BQ122" s="133"/>
      <c r="BR122" s="133"/>
      <c r="BS122" s="133"/>
      <c r="BT122" s="133"/>
      <c r="BU122" s="133"/>
      <c r="BV122" s="133"/>
      <c r="BW122" s="133"/>
      <c r="BX122" s="133"/>
      <c r="BY122" s="133"/>
      <c r="BZ122" s="133"/>
      <c r="CA122" s="50"/>
      <c r="CQ122" s="50"/>
      <c r="CR122" s="114" t="s">
        <v>165</v>
      </c>
      <c r="CS122" s="134">
        <f>INDEX($G:$G,MATCH(CS121,$F:$F,0))</f>
        <v>44013</v>
      </c>
      <c r="CT122" s="114" t="s">
        <v>166</v>
      </c>
      <c r="CU122" s="134">
        <f>INDEX($H:$H,MATCH(CS121,$F:$F,0))</f>
        <v>44377</v>
      </c>
      <c r="CV122" s="135">
        <v>1.3</v>
      </c>
      <c r="CW122" s="135">
        <v>1</v>
      </c>
      <c r="CX122" s="134"/>
      <c r="DA122" s="136" t="s">
        <v>167</v>
      </c>
      <c r="DB122" s="137"/>
      <c r="DC122" s="137"/>
      <c r="DD122" s="137"/>
      <c r="DE122" s="138"/>
      <c r="DF122" s="137"/>
      <c r="DG122" s="137"/>
      <c r="DH122" s="139"/>
      <c r="DK122" s="50"/>
      <c r="DL122" s="114" t="s">
        <v>165</v>
      </c>
      <c r="DM122" s="134">
        <f>INDEX($G:$G,MATCH(DM121,$F:$F,0))</f>
        <v>43831</v>
      </c>
      <c r="DN122" s="114" t="s">
        <v>166</v>
      </c>
      <c r="DO122" s="134">
        <f>INDEX($H:$H,MATCH(DM121,$F:$F,0))</f>
        <v>44012</v>
      </c>
      <c r="DP122" s="135">
        <v>1.25</v>
      </c>
      <c r="DQ122" s="135">
        <v>1</v>
      </c>
      <c r="DR122" s="134"/>
      <c r="DT122" s="136" t="s">
        <v>167</v>
      </c>
      <c r="DU122" s="137"/>
      <c r="DV122" s="137"/>
      <c r="DW122" s="137"/>
      <c r="DX122" s="138"/>
      <c r="DY122" s="137"/>
      <c r="DZ122" s="137"/>
      <c r="EA122" s="139"/>
    </row>
    <row r="123" spans="10:131" x14ac:dyDescent="0.25">
      <c r="J123" s="86" t="str" cm="1">
        <f t="array" ref="J123">LOOKUP(2,1/($G$17:$G$33&lt;=$L123)/($H$17:$H$33&gt;=$L123),$F$17:$F$33)</f>
        <v>2H22</v>
      </c>
      <c r="K123" s="86" t="str" cm="1">
        <f t="array" ref="K123">LOOKUP(2,1/($G$6:$G$14&lt;=$L123)/($H$6:$H$14&gt;=$L123),$F$6:$F$14)</f>
        <v>FY22</v>
      </c>
      <c r="L123" s="118">
        <v>44644</v>
      </c>
      <c r="M123" s="49">
        <v>19376210</v>
      </c>
      <c r="N123" s="49">
        <v>23509155</v>
      </c>
      <c r="O123" s="50">
        <v>3000000</v>
      </c>
      <c r="P123" s="119" cm="1">
        <f t="array" ref="P123">LOOKUP(2,1/($B$10:$B$14&lt;=$L123)/($C$10:$C$14&gt;=$L123),$D$10:$D$14)</f>
        <v>1.1000000000000001</v>
      </c>
      <c r="Q123" s="120" cm="1">
        <f t="array" ref="Q123">LOOKUP(2,1/($B$17:$B$21&lt;=$L123)/($C$17:$C$21&gt;=$L123),$D$17:$D$21)</f>
        <v>134.49039999999999</v>
      </c>
      <c r="R123" s="113" t="str">
        <f t="shared" si="128"/>
        <v/>
      </c>
      <c r="S123" s="113" t="str">
        <f t="shared" si="129"/>
        <v>2H22</v>
      </c>
      <c r="T123" s="113" t="str">
        <f t="shared" ca="1" si="130"/>
        <v/>
      </c>
      <c r="U123" s="113" t="str">
        <f t="shared" si="131"/>
        <v/>
      </c>
      <c r="V123" s="113" t="str">
        <f t="shared" si="4"/>
        <v>FY22</v>
      </c>
      <c r="W123" s="113" t="str">
        <f t="shared" ca="1" si="98"/>
        <v/>
      </c>
      <c r="X123" s="50"/>
      <c r="Y123" s="114" t="s">
        <v>165</v>
      </c>
      <c r="Z123" s="134">
        <f>INDEX($G:$G,MATCH(Z122,$F:$F,0))</f>
        <v>44743</v>
      </c>
      <c r="AA123" s="114" t="s">
        <v>166</v>
      </c>
      <c r="AB123" s="134">
        <f>INDEX($H:$H,MATCH(Z122,$F:$F,0))</f>
        <v>45107</v>
      </c>
      <c r="AC123" s="135">
        <v>1.4</v>
      </c>
      <c r="AD123" s="135">
        <v>1</v>
      </c>
      <c r="AE123" s="134"/>
      <c r="AF123" s="134"/>
      <c r="AG123" s="134"/>
      <c r="AH123" s="134"/>
      <c r="AJ123" s="136" t="s">
        <v>167</v>
      </c>
      <c r="AK123" s="137"/>
      <c r="AL123" s="137"/>
      <c r="AM123" s="137"/>
      <c r="AN123" s="138"/>
      <c r="AO123" s="137"/>
      <c r="AP123" s="137"/>
      <c r="AQ123" s="139"/>
      <c r="AT123" s="50"/>
      <c r="AU123" s="114" t="s">
        <v>165</v>
      </c>
      <c r="AV123" s="134">
        <f>INDEX($G:$G,MATCH(AV122,$F:$F,0))</f>
        <v>44927</v>
      </c>
      <c r="AW123" s="114" t="s">
        <v>166</v>
      </c>
      <c r="AX123" s="134">
        <f>INDEX($H:$H,MATCH(AV122,$F:$F,0))</f>
        <v>45107</v>
      </c>
      <c r="AY123" s="134"/>
      <c r="BA123" s="136" t="s">
        <v>167</v>
      </c>
      <c r="BB123" s="137"/>
      <c r="BC123" s="137"/>
      <c r="BD123" s="138"/>
      <c r="BE123" s="139"/>
      <c r="BH123" s="50"/>
      <c r="BI123" s="114" t="s">
        <v>165</v>
      </c>
      <c r="BJ123" s="134">
        <f>INDEX($G:$G,MATCH(BJ122,$F:$F,0))</f>
        <v>44743</v>
      </c>
      <c r="BK123" s="114" t="s">
        <v>166</v>
      </c>
      <c r="BL123" s="134">
        <f>INDEX($H:$H,MATCH(BJ122,$F:$F,0))</f>
        <v>45107</v>
      </c>
      <c r="BM123" s="134"/>
      <c r="BN123" s="134"/>
      <c r="BO123" s="134"/>
      <c r="BQ123" s="136" t="s">
        <v>167</v>
      </c>
      <c r="BR123" s="137"/>
      <c r="BS123" s="137"/>
      <c r="BT123" s="137"/>
      <c r="BU123" s="138"/>
      <c r="BV123" s="137"/>
      <c r="BW123" s="137"/>
      <c r="BX123" s="139"/>
      <c r="CA123" s="50"/>
      <c r="CQ123" s="50"/>
      <c r="CR123" s="114" t="s">
        <v>91</v>
      </c>
      <c r="CS123" s="140">
        <f>INDEX($O:$O,MATCH(CS121,$U:$U,0))</f>
        <v>50000000</v>
      </c>
      <c r="CT123" s="114" t="s">
        <v>76</v>
      </c>
      <c r="CU123" s="140">
        <f ca="1">INDEX($O:$O,MATCH(CS121,$W:$W,0))</f>
        <v>15000000</v>
      </c>
      <c r="CV123" s="140"/>
      <c r="CW123" s="140"/>
      <c r="CX123" s="140"/>
      <c r="DA123" s="141" t="s">
        <v>168</v>
      </c>
      <c r="DB123" s="141"/>
      <c r="DC123" s="142"/>
      <c r="DD123" s="142"/>
      <c r="DE123" s="143" t="s">
        <v>15</v>
      </c>
      <c r="DF123" s="142"/>
      <c r="DG123" s="142"/>
      <c r="DH123" s="144" t="s">
        <v>139</v>
      </c>
      <c r="DK123" s="50"/>
      <c r="DL123" s="114" t="s">
        <v>91</v>
      </c>
      <c r="DM123" s="140">
        <f>INDEX($O:$O,MATCH(DM121,$R:$R,0))</f>
        <v>3000000</v>
      </c>
      <c r="DN123" s="114" t="s">
        <v>76</v>
      </c>
      <c r="DO123" s="140">
        <f ca="1">INDEX($O:$O,MATCH(DM121,$T:$T,0))</f>
        <v>20000000</v>
      </c>
      <c r="DP123" s="140"/>
      <c r="DQ123" s="140"/>
      <c r="DR123" s="140"/>
      <c r="DT123" s="147" t="s">
        <v>165</v>
      </c>
      <c r="DU123" s="148">
        <f>DM122</f>
        <v>43831</v>
      </c>
      <c r="DV123" s="142"/>
      <c r="DW123" s="142"/>
      <c r="DX123" s="143" t="s">
        <v>15</v>
      </c>
      <c r="DY123" s="142"/>
      <c r="DZ123" s="142"/>
      <c r="EA123" s="144" t="s">
        <v>139</v>
      </c>
    </row>
    <row r="124" spans="10:131" x14ac:dyDescent="0.25">
      <c r="J124" s="86" t="str" cm="1">
        <f t="array" ref="J124">LOOKUP(2,1/($G$17:$G$33&lt;=$L124)/($H$17:$H$33&gt;=$L124),$F$17:$F$33)</f>
        <v>2H22</v>
      </c>
      <c r="K124" s="86" t="str" cm="1">
        <f t="array" ref="K124">LOOKUP(2,1/($G$6:$G$14&lt;=$L124)/($H$6:$H$14&gt;=$L124),$F$6:$F$14)</f>
        <v>FY22</v>
      </c>
      <c r="L124" s="118">
        <v>44637</v>
      </c>
      <c r="M124" s="49">
        <v>40906184</v>
      </c>
      <c r="N124" s="49">
        <v>49631474</v>
      </c>
      <c r="O124" s="50">
        <v>20000000</v>
      </c>
      <c r="P124" s="119" cm="1">
        <f t="array" ref="P124">LOOKUP(2,1/($B$10:$B$14&lt;=$L124)/($C$10:$C$14&gt;=$L124),$D$10:$D$14)</f>
        <v>1.1000000000000001</v>
      </c>
      <c r="Q124" s="120" cm="1">
        <f t="array" ref="Q124">LOOKUP(2,1/($B$17:$B$21&lt;=$L124)/($C$17:$C$21&gt;=$L124),$D$17:$D$21)</f>
        <v>134.49039999999999</v>
      </c>
      <c r="R124" s="113" t="str">
        <f t="shared" si="128"/>
        <v/>
      </c>
      <c r="S124" s="113" t="str">
        <f t="shared" si="129"/>
        <v>2H22</v>
      </c>
      <c r="T124" s="113" t="str">
        <f t="shared" ca="1" si="130"/>
        <v/>
      </c>
      <c r="U124" s="113" t="str">
        <f t="shared" si="131"/>
        <v/>
      </c>
      <c r="V124" s="113" t="str">
        <f t="shared" si="4"/>
        <v>FY22</v>
      </c>
      <c r="W124" s="113" t="str">
        <f t="shared" ca="1" si="98"/>
        <v/>
      </c>
      <c r="X124" s="50"/>
      <c r="Y124" s="114" t="s">
        <v>91</v>
      </c>
      <c r="Z124" s="140">
        <f>INDEX($O:$O,MATCH(Z122,$U:$U,0))</f>
        <v>4000000</v>
      </c>
      <c r="AA124" s="114" t="s">
        <v>76</v>
      </c>
      <c r="AB124" s="140">
        <f ca="1">INDEX($O:$O,MATCH(Z122,$W:$W,0))</f>
        <v>60000000</v>
      </c>
      <c r="AC124" s="140"/>
      <c r="AD124" s="140"/>
      <c r="AE124" s="140"/>
      <c r="AF124" s="140"/>
      <c r="AG124" s="140"/>
      <c r="AH124" s="140"/>
      <c r="AJ124" s="141" t="s">
        <v>168</v>
      </c>
      <c r="AK124" s="141"/>
      <c r="AL124" s="142"/>
      <c r="AM124" s="142"/>
      <c r="AN124" s="143" t="s">
        <v>15</v>
      </c>
      <c r="AO124" s="142"/>
      <c r="AP124" s="142"/>
      <c r="AQ124" s="144" t="s">
        <v>139</v>
      </c>
      <c r="AT124" s="50"/>
      <c r="AU124" s="114" t="s">
        <v>91</v>
      </c>
      <c r="AV124" s="145">
        <v>40000000</v>
      </c>
      <c r="AW124" s="114" t="s">
        <v>76</v>
      </c>
      <c r="AX124" s="145">
        <v>40000000</v>
      </c>
      <c r="AY124" s="146"/>
      <c r="BA124" s="147" t="s">
        <v>165</v>
      </c>
      <c r="BB124" s="148">
        <f>AV123</f>
        <v>44927</v>
      </c>
      <c r="BC124" s="142"/>
      <c r="BD124" s="143" t="s">
        <v>15</v>
      </c>
      <c r="BE124" s="144" t="s">
        <v>139</v>
      </c>
      <c r="BH124" s="50"/>
      <c r="BI124" s="114" t="s">
        <v>91</v>
      </c>
      <c r="BJ124" s="140">
        <f>INDEX($O:$O,MATCH(BJ122,$U:$U,0))</f>
        <v>4000000</v>
      </c>
      <c r="BK124" s="114" t="s">
        <v>76</v>
      </c>
      <c r="BL124" s="140">
        <f ca="1">INDEX($O:$O,MATCH(BJ122,$W:$W,0))</f>
        <v>60000000</v>
      </c>
      <c r="BM124" s="140"/>
      <c r="BN124" s="140"/>
      <c r="BO124" s="140"/>
      <c r="BQ124" s="141" t="s">
        <v>168</v>
      </c>
      <c r="BR124" s="141"/>
      <c r="BS124" s="2"/>
      <c r="BT124" s="2"/>
      <c r="BU124" s="149" t="s">
        <v>15</v>
      </c>
      <c r="BV124" s="2"/>
      <c r="BW124" s="2"/>
      <c r="BX124" s="150" t="s">
        <v>139</v>
      </c>
      <c r="CA124" s="50"/>
      <c r="CQ124" s="50"/>
      <c r="CR124" s="114" t="s">
        <v>169</v>
      </c>
      <c r="CS124" s="119" cm="1">
        <f t="array" ref="CS124">LOOKUP(2,1/($B$10:$B$14&lt;=CS120)/($C$10:$C$14&gt;=CS120),$D$10:$D$14)</f>
        <v>1.1000000000000001</v>
      </c>
      <c r="CT124" s="114" t="s">
        <v>149</v>
      </c>
      <c r="CU124" s="152" cm="1">
        <f t="array" ref="CU124">LOOKUP(2,1/($B$6:$B$7&lt;=CS120)/($C$6:$C$7&gt;=CS120),$D$6:$D$7)</f>
        <v>0.10299999999999999</v>
      </c>
      <c r="CV124" s="152" t="s">
        <v>170</v>
      </c>
      <c r="CW124" s="152" t="s">
        <v>171</v>
      </c>
      <c r="CX124" s="152"/>
      <c r="DA124" s="153" t="s">
        <v>165</v>
      </c>
      <c r="DB124" s="148">
        <f>CS122</f>
        <v>44013</v>
      </c>
      <c r="DC124" s="154"/>
      <c r="DD124" s="154"/>
      <c r="DE124" s="155">
        <f t="shared" ref="DE124:DE133" si="150">CS127/1000000</f>
        <v>8</v>
      </c>
      <c r="DF124" s="154"/>
      <c r="DG124" s="154"/>
      <c r="DH124" s="156">
        <f t="shared" ref="DH124:DH133" si="151">MAX(CT127:CU127)/1000000</f>
        <v>24.779866466666665</v>
      </c>
      <c r="DK124" s="50"/>
      <c r="DL124" s="114" t="s">
        <v>169</v>
      </c>
      <c r="DM124" s="119" cm="1">
        <f t="array" ref="DM124">LOOKUP(2,1/($B$10:$B$14&lt;=DM120)/($C$10:$C$14&gt;=DM120),$D$10:$D$14)</f>
        <v>1.1000000000000001</v>
      </c>
      <c r="DN124" s="114" t="s">
        <v>149</v>
      </c>
      <c r="DO124" s="152" cm="1">
        <f t="array" ref="DO124">LOOKUP(2,1/($B$6:$B$7&lt;=DM120)/($C$6:$C$7&gt;=DM120),$D$6:$D$7)</f>
        <v>0.10299999999999999</v>
      </c>
      <c r="DP124" s="152" t="s">
        <v>170</v>
      </c>
      <c r="DQ124" s="152" t="s">
        <v>171</v>
      </c>
      <c r="DR124" s="152"/>
      <c r="DT124" s="153" t="s">
        <v>166</v>
      </c>
      <c r="DU124" s="158">
        <f>DO122</f>
        <v>44012</v>
      </c>
      <c r="DV124" s="154"/>
      <c r="DW124" s="154"/>
      <c r="DX124" s="155">
        <f>DM127/1000000</f>
        <v>3</v>
      </c>
      <c r="DY124" s="154"/>
      <c r="DZ124" s="154"/>
      <c r="EA124" s="156">
        <f>MAX(DN127:DO127)/1000000</f>
        <v>16.167755166666666</v>
      </c>
    </row>
    <row r="125" spans="10:131" x14ac:dyDescent="0.25">
      <c r="J125" s="86" t="str" cm="1">
        <f t="array" ref="J125">LOOKUP(2,1/($G$17:$G$33&lt;=$L125)/($H$17:$H$33&gt;=$L125),$F$17:$F$33)</f>
        <v>2H22</v>
      </c>
      <c r="K125" s="86" t="str" cm="1">
        <f t="array" ref="K125">LOOKUP(2,1/($G$6:$G$14&lt;=$L125)/($H$6:$H$14&gt;=$L125),$F$6:$F$14)</f>
        <v>FY22</v>
      </c>
      <c r="L125" s="118">
        <v>44630</v>
      </c>
      <c r="M125" s="49">
        <v>26335125</v>
      </c>
      <c r="N125" s="49">
        <v>31952407</v>
      </c>
      <c r="O125" s="50">
        <v>8000000</v>
      </c>
      <c r="P125" s="119" cm="1">
        <f t="array" ref="P125">LOOKUP(2,1/($B$10:$B$14&lt;=$L125)/($C$10:$C$14&gt;=$L125),$D$10:$D$14)</f>
        <v>1.1000000000000001</v>
      </c>
      <c r="Q125" s="120" cm="1">
        <f t="array" ref="Q125">LOOKUP(2,1/($B$17:$B$21&lt;=$L125)/($C$17:$C$21&gt;=$L125),$D$17:$D$21)</f>
        <v>134.49039999999999</v>
      </c>
      <c r="R125" s="113" t="str">
        <f t="shared" si="128"/>
        <v/>
      </c>
      <c r="S125" s="113" t="str">
        <f t="shared" si="129"/>
        <v>2H22</v>
      </c>
      <c r="T125" s="113" t="str">
        <f t="shared" ca="1" si="130"/>
        <v/>
      </c>
      <c r="U125" s="113" t="str">
        <f t="shared" si="131"/>
        <v/>
      </c>
      <c r="V125" s="113" t="str">
        <f t="shared" si="4"/>
        <v>FY22</v>
      </c>
      <c r="W125" s="113" t="str">
        <f t="shared" ca="1" si="98"/>
        <v/>
      </c>
      <c r="X125" s="50"/>
      <c r="Y125" s="114" t="s">
        <v>169</v>
      </c>
      <c r="Z125" s="135">
        <v>1.2</v>
      </c>
      <c r="AA125" s="114" t="s">
        <v>149</v>
      </c>
      <c r="AB125" s="152" cm="1">
        <f t="array" ref="AB125">LOOKUP(2,1/($B$6:$B$7&lt;=Z121)/($C$6:$C$7&gt;=Z121),$D$6:$D$7)</f>
        <v>0.10299999999999999</v>
      </c>
      <c r="AC125" s="152" t="s">
        <v>170</v>
      </c>
      <c r="AD125" s="152" t="s">
        <v>171</v>
      </c>
      <c r="AE125" s="152"/>
      <c r="AF125" s="152"/>
      <c r="AG125" s="152"/>
      <c r="AH125" s="152"/>
      <c r="AJ125" s="153" t="s">
        <v>165</v>
      </c>
      <c r="AK125" s="148">
        <f>Z123</f>
        <v>44743</v>
      </c>
      <c r="AL125" s="154"/>
      <c r="AM125" s="154"/>
      <c r="AN125" s="155">
        <f t="shared" ref="AN125:AN134" si="152">Z128/1000000</f>
        <v>8</v>
      </c>
      <c r="AO125" s="154"/>
      <c r="AP125" s="154"/>
      <c r="AQ125" s="156">
        <f t="shared" ref="AQ125:AQ134" si="153">MAX(AA128:AB128)/1000000</f>
        <v>25.173894588636365</v>
      </c>
      <c r="AT125" s="50"/>
      <c r="AU125" s="114" t="s">
        <v>169</v>
      </c>
      <c r="AV125" s="159">
        <v>1.2</v>
      </c>
      <c r="AW125" s="114" t="s">
        <v>149</v>
      </c>
      <c r="AX125" s="152" cm="1">
        <f t="array" ref="AX125">LOOKUP(2,1/($B$6:$B$7&lt;=AV121)/($C$6:$C$7&gt;=AV121),$D$6:$D$7)</f>
        <v>0.10299999999999999</v>
      </c>
      <c r="AY125" s="152"/>
      <c r="BA125" s="153" t="s">
        <v>166</v>
      </c>
      <c r="BB125" s="158">
        <f>AX123</f>
        <v>45107</v>
      </c>
      <c r="BC125" s="154"/>
      <c r="BD125" s="155">
        <f>AV128/1000000</f>
        <v>8</v>
      </c>
      <c r="BE125" s="156">
        <f>MAX(AW128:AX128)/1000000</f>
        <v>25.173894588636365</v>
      </c>
      <c r="BH125" s="50"/>
      <c r="BI125" s="114" t="s">
        <v>169</v>
      </c>
      <c r="BJ125" s="119" cm="1">
        <f t="array" ref="BJ125">LOOKUP(2,1/($B$10:$B$14&lt;=BJ121)/($C$10:$C$14&gt;=BJ121),$D$10:$D$14)</f>
        <v>1.1000000000000001</v>
      </c>
      <c r="BK125" s="114" t="s">
        <v>149</v>
      </c>
      <c r="BL125" s="152" cm="1">
        <f t="array" ref="BL125">LOOKUP(2,1/($B$6:$B$7&lt;=BJ121)/($C$6:$C$7&gt;=BJ121),$D$6:$D$7)</f>
        <v>0.10299999999999999</v>
      </c>
      <c r="BM125" s="152"/>
      <c r="BN125" s="152"/>
      <c r="BO125" s="152"/>
      <c r="BQ125" s="153" t="s">
        <v>165</v>
      </c>
      <c r="BR125" s="158">
        <f>BJ123</f>
        <v>44743</v>
      </c>
      <c r="BS125" s="154"/>
      <c r="BT125" s="154"/>
      <c r="BU125" s="155">
        <f t="shared" ref="BU125:BU134" si="154">BJ128/1000000</f>
        <v>4</v>
      </c>
      <c r="BV125" s="154"/>
      <c r="BW125" s="154"/>
      <c r="BX125" s="156">
        <f t="shared" ref="BX125:BX134" si="155">MAX(BK128:BL128)/1000000</f>
        <v>20.916563333333333</v>
      </c>
      <c r="CA125" s="50"/>
      <c r="CQ125" s="50"/>
      <c r="CR125" s="114" t="s">
        <v>172</v>
      </c>
      <c r="CS125" s="119" cm="1">
        <f t="array" ref="CS125">LOOKUP(2,1/($B$17:$B$21&lt;=CS120)/($C$17:$C$21&gt;=CS120),$D$17:$D$21)</f>
        <v>134.49039999999999</v>
      </c>
      <c r="CT125" s="114" t="s">
        <v>173</v>
      </c>
      <c r="CU125" s="162">
        <f>16/52</f>
        <v>0.30769230769230771</v>
      </c>
      <c r="CV125" s="162">
        <v>1</v>
      </c>
      <c r="CW125" s="162">
        <f>1-CV125</f>
        <v>0</v>
      </c>
      <c r="CX125" s="163"/>
      <c r="DA125" s="153" t="s">
        <v>166</v>
      </c>
      <c r="DB125" s="158">
        <f>CU122</f>
        <v>44377</v>
      </c>
      <c r="DC125" s="154"/>
      <c r="DD125" s="154"/>
      <c r="DE125" s="155">
        <f t="shared" si="150"/>
        <v>20</v>
      </c>
      <c r="DF125" s="154"/>
      <c r="DG125" s="154"/>
      <c r="DH125" s="156">
        <f t="shared" si="151"/>
        <v>39.327941916666667</v>
      </c>
      <c r="DK125" s="50"/>
      <c r="DL125" s="114" t="s">
        <v>172</v>
      </c>
      <c r="DM125" s="119" cm="1">
        <f t="array" ref="DM125">LOOKUP(2,1/($B$17:$B$21&lt;=DM120)/($C$17:$C$21&gt;=DM120),$D$17:$D$21)</f>
        <v>134.49039999999999</v>
      </c>
      <c r="DN125" s="114" t="s">
        <v>173</v>
      </c>
      <c r="DO125" s="163">
        <f>INT((WEEKDAY(DM120-5)-DM120+DO120)/7)/INT((WEEKDAY(DM122-5)-DM122+DO122)/7)</f>
        <v>1</v>
      </c>
      <c r="DP125" s="162">
        <v>1</v>
      </c>
      <c r="DQ125" s="162">
        <f>1-DP125</f>
        <v>0</v>
      </c>
      <c r="DR125" s="163"/>
      <c r="DT125" s="153" t="s">
        <v>91</v>
      </c>
      <c r="DU125" s="155">
        <f>DM123/1000000</f>
        <v>3</v>
      </c>
      <c r="DV125" s="154"/>
      <c r="DW125" s="154"/>
      <c r="DX125" s="155">
        <f t="shared" ref="DX125:DX133" si="156">DM128/1000000</f>
        <v>8</v>
      </c>
      <c r="DY125" s="154"/>
      <c r="DZ125" s="154"/>
      <c r="EA125" s="156">
        <f t="shared" ref="EA125:EA133" si="157">MAX(DN128:DO128)/1000000</f>
        <v>22.640188333333331</v>
      </c>
    </row>
    <row r="126" spans="10:131" x14ac:dyDescent="0.25">
      <c r="J126" s="86" t="str" cm="1">
        <f t="array" ref="J126">LOOKUP(2,1/($G$17:$G$33&lt;=$L126)/($H$17:$H$33&gt;=$L126),$F$17:$F$33)</f>
        <v>2H22</v>
      </c>
      <c r="K126" s="86" t="str" cm="1">
        <f t="array" ref="K126">LOOKUP(2,1/($G$6:$G$14&lt;=$L126)/($H$6:$H$14&gt;=$L126),$F$6:$F$14)</f>
        <v>FY22</v>
      </c>
      <c r="L126" s="118">
        <v>44623</v>
      </c>
      <c r="M126" s="49">
        <v>19764375</v>
      </c>
      <c r="N126" s="49">
        <v>23980116</v>
      </c>
      <c r="O126" s="50">
        <v>3000000</v>
      </c>
      <c r="P126" s="119" cm="1">
        <f t="array" ref="P126">LOOKUP(2,1/($B$10:$B$14&lt;=$L126)/($C$10:$C$14&gt;=$L126),$D$10:$D$14)</f>
        <v>1.1000000000000001</v>
      </c>
      <c r="Q126" s="120" cm="1">
        <f t="array" ref="Q126">LOOKUP(2,1/($B$17:$B$21&lt;=$L126)/($C$17:$C$21&gt;=$L126),$D$17:$D$21)</f>
        <v>134.49039999999999</v>
      </c>
      <c r="R126" s="113" t="str">
        <f t="shared" si="128"/>
        <v/>
      </c>
      <c r="S126" s="113" t="str">
        <f t="shared" si="129"/>
        <v>2H22</v>
      </c>
      <c r="T126" s="113" t="str">
        <f t="shared" ca="1" si="130"/>
        <v/>
      </c>
      <c r="U126" s="113" t="str">
        <f t="shared" si="131"/>
        <v/>
      </c>
      <c r="V126" s="113" t="str">
        <f t="shared" si="4"/>
        <v>FY22</v>
      </c>
      <c r="W126" s="113" t="str">
        <f t="shared" ca="1" si="98"/>
        <v/>
      </c>
      <c r="X126" s="50"/>
      <c r="Y126" s="114" t="s">
        <v>172</v>
      </c>
      <c r="Z126" s="119" cm="1">
        <f t="array" ref="Z126">LOOKUP(2,1/($B$17:$B$21&lt;=Z121)/($C$17:$C$21&gt;=Z121),$D$17:$D$21)</f>
        <v>134.49039999999999</v>
      </c>
      <c r="AA126" s="114" t="s">
        <v>0</v>
      </c>
      <c r="AB126" s="135">
        <f>1+(1.2/1.1-1)*-10%</f>
        <v>0.99090909090909096</v>
      </c>
      <c r="AC126" s="162">
        <v>1</v>
      </c>
      <c r="AD126" s="162">
        <f>1-AC126</f>
        <v>0</v>
      </c>
      <c r="AJ126" s="153" t="s">
        <v>166</v>
      </c>
      <c r="AK126" s="158">
        <f>AB123</f>
        <v>45107</v>
      </c>
      <c r="AL126" s="154"/>
      <c r="AM126" s="154"/>
      <c r="AN126" s="155">
        <f t="shared" si="152"/>
        <v>20</v>
      </c>
      <c r="AO126" s="154"/>
      <c r="AP126" s="154"/>
      <c r="AQ126" s="156">
        <f t="shared" si="153"/>
        <v>39.536718809090914</v>
      </c>
      <c r="AT126" s="50"/>
      <c r="AU126" s="114" t="s">
        <v>172</v>
      </c>
      <c r="AV126" s="119" cm="1">
        <f t="array" ref="AV126">LOOKUP(2,1/($B$17:$B$21&lt;=AV121)/($C$17:$C$21&gt;=AV121),$D$17:$D$21)</f>
        <v>134.49039999999999</v>
      </c>
      <c r="AW126" s="114" t="s">
        <v>0</v>
      </c>
      <c r="AX126" s="135">
        <f>1+(1.2/1.1-1)*-10%</f>
        <v>0.99090909090909096</v>
      </c>
      <c r="BA126" s="153" t="s">
        <v>91</v>
      </c>
      <c r="BB126" s="155">
        <f>AV124/1000000</f>
        <v>40</v>
      </c>
      <c r="BC126" s="154"/>
      <c r="BD126" s="155">
        <f t="shared" ref="BD126:BD134" si="158">AV129/1000000</f>
        <v>20</v>
      </c>
      <c r="BE126" s="156">
        <f t="shared" ref="BE126:BE134" si="159">MAX(AW129:AX129)/1000000</f>
        <v>39.536718809090914</v>
      </c>
      <c r="BH126" s="50"/>
      <c r="BI126" s="114" t="s">
        <v>172</v>
      </c>
      <c r="BJ126" s="119" cm="1">
        <f t="array" ref="BJ126">LOOKUP(2,1/($B$17:$B$21&lt;=BJ121)/($C$17:$C$21&gt;=BJ121),$D$17:$D$21)</f>
        <v>134.49039999999999</v>
      </c>
      <c r="BQ126" s="153" t="s">
        <v>166</v>
      </c>
      <c r="BR126" s="158">
        <f>BL123</f>
        <v>45107</v>
      </c>
      <c r="BS126" s="154"/>
      <c r="BT126" s="154"/>
      <c r="BU126" s="155">
        <f t="shared" si="154"/>
        <v>8</v>
      </c>
      <c r="BV126" s="154"/>
      <c r="BW126" s="154"/>
      <c r="BX126" s="156">
        <f t="shared" si="155"/>
        <v>26.095742090909091</v>
      </c>
      <c r="CA126" s="50"/>
      <c r="CQ126" s="50"/>
      <c r="CR126" s="111" t="s">
        <v>174</v>
      </c>
      <c r="CS126" s="111" t="s">
        <v>175</v>
      </c>
      <c r="CT126" s="111" t="s">
        <v>176</v>
      </c>
      <c r="CU126" s="111" t="s">
        <v>177</v>
      </c>
      <c r="CV126" s="111" t="s">
        <v>178</v>
      </c>
      <c r="CW126" s="111" t="s">
        <v>179</v>
      </c>
      <c r="CX126" s="111" t="s">
        <v>180</v>
      </c>
      <c r="DA126" s="153" t="s">
        <v>169</v>
      </c>
      <c r="DB126" s="165">
        <f>CS124</f>
        <v>1.1000000000000001</v>
      </c>
      <c r="DC126" s="154"/>
      <c r="DD126" s="154"/>
      <c r="DE126" s="155">
        <f t="shared" si="150"/>
        <v>30</v>
      </c>
      <c r="DF126" s="154"/>
      <c r="DG126" s="154"/>
      <c r="DH126" s="156">
        <f t="shared" si="151"/>
        <v>46.036330249999999</v>
      </c>
      <c r="DK126" s="50"/>
      <c r="DL126" s="111" t="s">
        <v>174</v>
      </c>
      <c r="DM126" s="111" t="s">
        <v>175</v>
      </c>
      <c r="DN126" s="111" t="s">
        <v>176</v>
      </c>
      <c r="DO126" s="111" t="s">
        <v>177</v>
      </c>
      <c r="DP126" s="111" t="s">
        <v>178</v>
      </c>
      <c r="DQ126" s="111" t="s">
        <v>179</v>
      </c>
      <c r="DR126" s="111" t="s">
        <v>180</v>
      </c>
      <c r="DT126" s="153" t="s">
        <v>76</v>
      </c>
      <c r="DU126" s="155">
        <f ca="1">DO123/1000000</f>
        <v>20</v>
      </c>
      <c r="DV126" s="154"/>
      <c r="DW126" s="154"/>
      <c r="DX126" s="155">
        <f t="shared" si="156"/>
        <v>12</v>
      </c>
      <c r="DY126" s="154"/>
      <c r="DZ126" s="154"/>
      <c r="EA126" s="156">
        <f t="shared" si="157"/>
        <v>27.545303333333333</v>
      </c>
    </row>
    <row r="127" spans="10:131" x14ac:dyDescent="0.25">
      <c r="J127" s="86" t="str" cm="1">
        <f t="array" ref="J127">LOOKUP(2,1/($G$17:$G$33&lt;=$L127)/($H$17:$H$33&gt;=$L127),$F$17:$F$33)</f>
        <v>2H22</v>
      </c>
      <c r="K127" s="86" t="str" cm="1">
        <f t="array" ref="K127">LOOKUP(2,1/($G$6:$G$14&lt;=$L127)/($H$6:$H$14&gt;=$L127),$F$6:$F$14)</f>
        <v>FY22</v>
      </c>
      <c r="L127" s="118">
        <v>44616</v>
      </c>
      <c r="M127" s="49">
        <v>244631645</v>
      </c>
      <c r="N127" s="49">
        <v>296811575</v>
      </c>
      <c r="O127" s="50">
        <v>120000000</v>
      </c>
      <c r="P127" s="119" cm="1">
        <f t="array" ref="P127">LOOKUP(2,1/($B$10:$B$14&lt;=$L127)/($C$10:$C$14&gt;=$L127),$D$10:$D$14)</f>
        <v>1.1000000000000001</v>
      </c>
      <c r="Q127" s="120" cm="1">
        <f t="array" ref="Q127">LOOKUP(2,1/($B$17:$B$21&lt;=$L127)/($C$17:$C$21&gt;=$L127),$D$17:$D$21)</f>
        <v>134.49039999999999</v>
      </c>
      <c r="R127" s="113" t="str">
        <f t="shared" si="128"/>
        <v/>
      </c>
      <c r="S127" s="113" t="str">
        <f t="shared" si="129"/>
        <v>2H22</v>
      </c>
      <c r="T127" s="113" t="str">
        <f t="shared" ca="1" si="130"/>
        <v/>
      </c>
      <c r="U127" s="113" t="str">
        <f t="shared" si="131"/>
        <v/>
      </c>
      <c r="V127" s="113" t="str">
        <f t="shared" si="4"/>
        <v>FY22</v>
      </c>
      <c r="W127" s="113" t="str">
        <f t="shared" ca="1" si="98"/>
        <v/>
      </c>
      <c r="X127" s="50"/>
      <c r="Y127" s="111" t="s">
        <v>174</v>
      </c>
      <c r="Z127" s="111" t="s">
        <v>175</v>
      </c>
      <c r="AA127" s="111" t="s">
        <v>176</v>
      </c>
      <c r="AB127" s="111" t="s">
        <v>177</v>
      </c>
      <c r="AC127" s="111" t="s">
        <v>178</v>
      </c>
      <c r="AD127" s="111" t="s">
        <v>179</v>
      </c>
      <c r="AE127" s="111" t="s">
        <v>180</v>
      </c>
      <c r="AF127" s="37"/>
      <c r="AG127" s="37"/>
      <c r="AH127" s="37"/>
      <c r="AJ127" s="153" t="s">
        <v>91</v>
      </c>
      <c r="AK127" s="155">
        <f>Z124/1000000</f>
        <v>4</v>
      </c>
      <c r="AL127" s="154"/>
      <c r="AM127" s="154"/>
      <c r="AN127" s="155">
        <f t="shared" si="152"/>
        <v>30</v>
      </c>
      <c r="AO127" s="154"/>
      <c r="AP127" s="154"/>
      <c r="AQ127" s="156">
        <f t="shared" si="153"/>
        <v>46.992061172727269</v>
      </c>
      <c r="AT127" s="50"/>
      <c r="AU127" s="111" t="s">
        <v>174</v>
      </c>
      <c r="AV127" s="111" t="s">
        <v>175</v>
      </c>
      <c r="AW127" s="111" t="s">
        <v>176</v>
      </c>
      <c r="AX127" s="111" t="s">
        <v>177</v>
      </c>
      <c r="AY127" s="111" t="s">
        <v>180</v>
      </c>
      <c r="BA127" s="153" t="s">
        <v>76</v>
      </c>
      <c r="BB127" s="155">
        <f>AX124/1000000</f>
        <v>40</v>
      </c>
      <c r="BC127" s="154"/>
      <c r="BD127" s="155">
        <f t="shared" si="158"/>
        <v>30</v>
      </c>
      <c r="BE127" s="156">
        <f t="shared" si="159"/>
        <v>46.992061172727269</v>
      </c>
      <c r="BH127" s="50"/>
      <c r="BI127" s="111" t="s">
        <v>174</v>
      </c>
      <c r="BJ127" s="111" t="s">
        <v>175</v>
      </c>
      <c r="BK127" s="111" t="s">
        <v>176</v>
      </c>
      <c r="BL127" s="111" t="s">
        <v>177</v>
      </c>
      <c r="BM127" s="111"/>
      <c r="BN127" s="111"/>
      <c r="BO127" s="111" t="s">
        <v>180</v>
      </c>
      <c r="BQ127" s="153" t="s">
        <v>169</v>
      </c>
      <c r="BR127" s="165">
        <f>BJ125</f>
        <v>1.1000000000000001</v>
      </c>
      <c r="BS127" s="154"/>
      <c r="BT127" s="154"/>
      <c r="BU127" s="155">
        <f t="shared" si="154"/>
        <v>20</v>
      </c>
      <c r="BV127" s="154"/>
      <c r="BW127" s="154"/>
      <c r="BX127" s="156">
        <f t="shared" si="155"/>
        <v>40.841962200000005</v>
      </c>
      <c r="CA127" s="50"/>
      <c r="CQ127" s="50"/>
      <c r="CR127" s="146">
        <v>1</v>
      </c>
      <c r="CS127" s="166">
        <v>8000000</v>
      </c>
      <c r="CT127" s="168">
        <f>AVERAGEIFS($M:$M,$L:$L,"&gt;="&amp;CS$120,$L:$L,"&lt;="&amp;CU$120,$O:$O,"="&amp;CS127)</f>
        <v>24779866.466666665</v>
      </c>
      <c r="CU127" s="168"/>
      <c r="CV127" s="145">
        <v>24362800</v>
      </c>
      <c r="CW127" s="168"/>
      <c r="CX127" s="167">
        <f>COUNTIFS($L:$L,"&gt;="&amp;CS$120,$L:$L,"&lt;="&amp;CU$120,$O:$O,"="&amp;CS127)</f>
        <v>15</v>
      </c>
      <c r="DA127" s="153" t="s">
        <v>149</v>
      </c>
      <c r="DB127" s="169">
        <f>CU124</f>
        <v>0.10299999999999999</v>
      </c>
      <c r="DC127" s="154"/>
      <c r="DD127" s="154"/>
      <c r="DE127" s="155">
        <f t="shared" si="150"/>
        <v>50</v>
      </c>
      <c r="DF127" s="154"/>
      <c r="DG127" s="154"/>
      <c r="DH127" s="156">
        <f t="shared" si="151"/>
        <v>70.309567999999999</v>
      </c>
      <c r="DK127" s="50"/>
      <c r="DL127" s="146">
        <v>1</v>
      </c>
      <c r="DM127" s="166">
        <v>3000000</v>
      </c>
      <c r="DN127" s="168">
        <f t="shared" ref="DN127:DN133" si="160">AVERAGEIFS($M:$M,$L:$L,"&gt;="&amp;DM$120,$L:$L,"&lt;="&amp;DO$120,$O:$O,"="&amp;DM127)</f>
        <v>16167755.166666666</v>
      </c>
      <c r="DO127" s="168"/>
      <c r="DP127" s="168"/>
      <c r="DQ127" s="168"/>
      <c r="DR127" s="167">
        <f t="shared" ref="DR127:DR133" si="161">COUNTIFS($L:$L,"&gt;="&amp;DM$120,$L:$L,"&lt;="&amp;DO$120,$O:$O,"="&amp;DM127)</f>
        <v>6</v>
      </c>
      <c r="DT127" s="153" t="s">
        <v>169</v>
      </c>
      <c r="DU127" s="165">
        <f>DM124</f>
        <v>1.1000000000000001</v>
      </c>
      <c r="DV127" s="154"/>
      <c r="DW127" s="154"/>
      <c r="DX127" s="155">
        <f t="shared" si="156"/>
        <v>20</v>
      </c>
      <c r="DY127" s="154"/>
      <c r="DZ127" s="154"/>
      <c r="EA127" s="156">
        <f t="shared" si="157"/>
        <v>37.169134</v>
      </c>
    </row>
    <row r="128" spans="10:131" x14ac:dyDescent="0.25">
      <c r="J128" s="86" t="str" cm="1">
        <f t="array" ref="J128">LOOKUP(2,1/($G$17:$G$33&lt;=$L128)/($H$17:$H$33&gt;=$L128),$F$17:$F$33)</f>
        <v>2H22</v>
      </c>
      <c r="K128" s="86" t="str" cm="1">
        <f t="array" ref="K128">LOOKUP(2,1/($G$6:$G$14&lt;=$L128)/($H$6:$H$14&gt;=$L128),$F$6:$F$14)</f>
        <v>FY22</v>
      </c>
      <c r="L128" s="118">
        <v>44609</v>
      </c>
      <c r="M128" s="49">
        <v>115947240</v>
      </c>
      <c r="N128" s="49">
        <v>140678787</v>
      </c>
      <c r="O128" s="50">
        <v>80000000</v>
      </c>
      <c r="P128" s="119" cm="1">
        <f t="array" ref="P128">LOOKUP(2,1/($B$10:$B$14&lt;=$L128)/($C$10:$C$14&gt;=$L128),$D$10:$D$14)</f>
        <v>1.1000000000000001</v>
      </c>
      <c r="Q128" s="120" cm="1">
        <f t="array" ref="Q128">LOOKUP(2,1/($B$17:$B$21&lt;=$L128)/($C$17:$C$21&gt;=$L128),$D$17:$D$21)</f>
        <v>134.49039999999999</v>
      </c>
      <c r="R128" s="113" t="str">
        <f t="shared" si="128"/>
        <v/>
      </c>
      <c r="S128" s="113" t="str">
        <f t="shared" si="129"/>
        <v>2H22</v>
      </c>
      <c r="T128" s="113" t="str">
        <f t="shared" ca="1" si="130"/>
        <v/>
      </c>
      <c r="U128" s="113" t="str">
        <f t="shared" si="131"/>
        <v/>
      </c>
      <c r="V128" s="113" t="str">
        <f t="shared" si="4"/>
        <v>FY22</v>
      </c>
      <c r="W128" s="113" t="str">
        <f t="shared" ca="1" si="98"/>
        <v/>
      </c>
      <c r="X128" s="50"/>
      <c r="Y128" s="146">
        <v>1</v>
      </c>
      <c r="Z128" s="166">
        <v>8000000</v>
      </c>
      <c r="AA128" s="167">
        <f t="shared" ref="AA128:AA133" si="162">AVERAGEIFS($M:$M,$L:$L,"&gt;="&amp;Z$121,$L:$L,"&lt;="&amp;AB$121,$O:$O,"="&amp;Z128)*AB$126</f>
        <v>25173894.588636365</v>
      </c>
      <c r="AB128" s="168"/>
      <c r="AC128" s="168"/>
      <c r="AD128" s="168"/>
      <c r="AE128" s="167">
        <f t="shared" ref="AE128:AE133" si="163">COUNTIFS($L:$L,"&gt;="&amp;Z$121,$L:$L,"&lt;="&amp;AB$121,$O:$O,"="&amp;Z128)</f>
        <v>8</v>
      </c>
      <c r="AF128" s="167"/>
      <c r="AG128" s="167"/>
      <c r="AH128" s="167"/>
      <c r="AJ128" s="153" t="s">
        <v>76</v>
      </c>
      <c r="AK128" s="155">
        <f ca="1">AB124/1000000</f>
        <v>60</v>
      </c>
      <c r="AL128" s="154"/>
      <c r="AM128" s="154"/>
      <c r="AN128" s="155">
        <f t="shared" si="152"/>
        <v>50</v>
      </c>
      <c r="AO128" s="154"/>
      <c r="AP128" s="154"/>
      <c r="AQ128" s="156">
        <f t="shared" si="153"/>
        <v>76.986359127272721</v>
      </c>
      <c r="AT128" s="50"/>
      <c r="AU128" s="146">
        <v>1</v>
      </c>
      <c r="AV128" s="166">
        <v>8000000</v>
      </c>
      <c r="AW128" s="167">
        <f t="shared" ref="AW128:AW133" si="164">AVERAGEIFS($M:$M,$L:$L,"&gt;="&amp;AV$121,$L:$L,"&lt;="&amp;AX$121,$O:$O,"="&amp;AV128)*AX$126</f>
        <v>25173894.588636365</v>
      </c>
      <c r="AX128" s="168"/>
      <c r="AY128" s="167">
        <f t="shared" ref="AY128:AY133" si="165">COUNTIFS($L:$L,"&gt;="&amp;AV$64,$L:$L,"&lt;="&amp;AX$64,$O:$O,"="&amp;$AV128)</f>
        <v>8</v>
      </c>
      <c r="BA128" s="153" t="s">
        <v>169</v>
      </c>
      <c r="BB128" s="165">
        <f>AV125</f>
        <v>1.2</v>
      </c>
      <c r="BC128" s="154"/>
      <c r="BD128" s="155">
        <f t="shared" si="158"/>
        <v>50</v>
      </c>
      <c r="BE128" s="156">
        <f t="shared" si="159"/>
        <v>76.986359127272721</v>
      </c>
      <c r="BH128" s="50"/>
      <c r="BI128" s="146">
        <v>1</v>
      </c>
      <c r="BJ128" s="166">
        <v>4000000</v>
      </c>
      <c r="BK128" s="167">
        <f t="shared" ref="BK128:BK133" si="166">AVERAGEIFS($M:$M,$L:$L,"&gt;="&amp;BJ$121,$L:$L,"&lt;="&amp;BL$121,$O:$O,"="&amp;BJ128)</f>
        <v>20916563.333333332</v>
      </c>
      <c r="BL128" s="168"/>
      <c r="BM128" s="168"/>
      <c r="BN128" s="168"/>
      <c r="BO128" s="167">
        <f t="shared" ref="BO128:BO134" si="167">COUNTIFS($L:$L,"&gt;="&amp;BJ$121,$L:$L,"&lt;="&amp;BL$121,$O:$O,"="&amp;BJ128)</f>
        <v>3</v>
      </c>
      <c r="BQ128" s="153" t="s">
        <v>149</v>
      </c>
      <c r="BR128" s="169">
        <f>BL125</f>
        <v>0.10299999999999999</v>
      </c>
      <c r="BS128" s="154"/>
      <c r="BT128" s="154"/>
      <c r="BU128" s="155">
        <f t="shared" si="154"/>
        <v>40</v>
      </c>
      <c r="BV128" s="154"/>
      <c r="BW128" s="154"/>
      <c r="BX128" s="156">
        <f t="shared" si="155"/>
        <v>57.570524666666664</v>
      </c>
      <c r="CA128" s="50"/>
      <c r="CQ128" s="50"/>
      <c r="CR128" s="146">
        <v>2</v>
      </c>
      <c r="CS128" s="166">
        <v>20000000</v>
      </c>
      <c r="CT128" s="168">
        <f>AVERAGEIFS($M:$M,$L:$L,"&gt;="&amp;CS$120,$L:$L,"&lt;="&amp;CU$120,$O:$O,"="&amp;CS128)</f>
        <v>39327941.916666664</v>
      </c>
      <c r="CU128" s="168"/>
      <c r="CV128" s="145">
        <v>38164000</v>
      </c>
      <c r="CX128" s="167">
        <f>COUNTIFS($L:$L,"&gt;="&amp;CS$120,$L:$L,"&lt;="&amp;CU$120,$O:$O,"="&amp;CS128)</f>
        <v>12</v>
      </c>
      <c r="DA128" s="153" t="s">
        <v>172</v>
      </c>
      <c r="DB128" s="170">
        <f>CS125</f>
        <v>134.49039999999999</v>
      </c>
      <c r="DC128" s="154"/>
      <c r="DD128" s="154"/>
      <c r="DE128" s="155">
        <f t="shared" si="150"/>
        <v>80</v>
      </c>
      <c r="DF128" s="154"/>
      <c r="DG128" s="154"/>
      <c r="DH128" s="156">
        <f t="shared" si="151"/>
        <v>113.1948605</v>
      </c>
      <c r="DK128" s="50"/>
      <c r="DL128" s="146">
        <v>2</v>
      </c>
      <c r="DM128" s="166">
        <v>8000000</v>
      </c>
      <c r="DN128" s="168">
        <f t="shared" si="160"/>
        <v>22640188.333333332</v>
      </c>
      <c r="DR128" s="167">
        <f t="shared" si="161"/>
        <v>6</v>
      </c>
      <c r="DT128" s="153" t="s">
        <v>149</v>
      </c>
      <c r="DU128" s="169">
        <f>DO124</f>
        <v>0.10299999999999999</v>
      </c>
      <c r="DV128" s="154"/>
      <c r="DW128" s="154"/>
      <c r="DX128" s="155">
        <f t="shared" si="156"/>
        <v>40</v>
      </c>
      <c r="DY128" s="154"/>
      <c r="DZ128" s="154"/>
      <c r="EA128" s="156">
        <f t="shared" si="157"/>
        <v>46.528438999999999</v>
      </c>
    </row>
    <row r="129" spans="10:131" x14ac:dyDescent="0.25">
      <c r="J129" s="86" t="str" cm="1">
        <f t="array" ref="J129">LOOKUP(2,1/($G$17:$G$33&lt;=$L129)/($H$17:$H$33&gt;=$L129),$F$17:$F$33)</f>
        <v>2H22</v>
      </c>
      <c r="K129" s="86" t="str" cm="1">
        <f t="array" ref="K129">LOOKUP(2,1/($G$6:$G$14&lt;=$L129)/($H$6:$H$14&gt;=$L129),$F$6:$F$14)</f>
        <v>FY22</v>
      </c>
      <c r="L129" s="118">
        <v>44602</v>
      </c>
      <c r="M129" s="49">
        <v>79133284</v>
      </c>
      <c r="N129" s="49">
        <v>96012414</v>
      </c>
      <c r="O129" s="50">
        <v>60000000</v>
      </c>
      <c r="P129" s="119" cm="1">
        <f t="array" ref="P129">LOOKUP(2,1/($B$10:$B$14&lt;=$L129)/($C$10:$C$14&gt;=$L129),$D$10:$D$14)</f>
        <v>1.1000000000000001</v>
      </c>
      <c r="Q129" s="120" cm="1">
        <f t="array" ref="Q129">LOOKUP(2,1/($B$17:$B$21&lt;=$L129)/($C$17:$C$21&gt;=$L129),$D$17:$D$21)</f>
        <v>134.49039999999999</v>
      </c>
      <c r="R129" s="113" t="str">
        <f t="shared" si="128"/>
        <v/>
      </c>
      <c r="S129" s="113" t="str">
        <f t="shared" si="129"/>
        <v>2H22</v>
      </c>
      <c r="T129" s="113" t="str">
        <f t="shared" ca="1" si="130"/>
        <v/>
      </c>
      <c r="U129" s="113" t="str">
        <f t="shared" si="131"/>
        <v/>
      </c>
      <c r="V129" s="113" t="str">
        <f t="shared" si="4"/>
        <v>FY22</v>
      </c>
      <c r="W129" s="113" t="str">
        <f t="shared" ca="1" si="98"/>
        <v/>
      </c>
      <c r="X129" s="50"/>
      <c r="Y129" s="146">
        <v>2</v>
      </c>
      <c r="Z129" s="166">
        <v>20000000</v>
      </c>
      <c r="AA129" s="167">
        <f t="shared" si="162"/>
        <v>39536718.809090912</v>
      </c>
      <c r="AE129" s="167">
        <f t="shared" si="163"/>
        <v>6</v>
      </c>
      <c r="AF129" s="167"/>
      <c r="AG129" s="167"/>
      <c r="AH129" s="167"/>
      <c r="AJ129" s="153" t="s">
        <v>169</v>
      </c>
      <c r="AK129" s="165">
        <f>Z125</f>
        <v>1.2</v>
      </c>
      <c r="AL129" s="154"/>
      <c r="AM129" s="154"/>
      <c r="AN129" s="155">
        <f t="shared" si="152"/>
        <v>100</v>
      </c>
      <c r="AO129" s="154"/>
      <c r="AP129" s="154"/>
      <c r="AQ129" s="156">
        <f t="shared" si="153"/>
        <v>181.42006870000003</v>
      </c>
      <c r="AT129" s="50"/>
      <c r="AU129" s="146">
        <v>2</v>
      </c>
      <c r="AV129" s="166">
        <v>20000000</v>
      </c>
      <c r="AW129" s="167">
        <f t="shared" si="164"/>
        <v>39536718.809090912</v>
      </c>
      <c r="AY129" s="167">
        <f t="shared" si="165"/>
        <v>6</v>
      </c>
      <c r="BA129" s="153" t="s">
        <v>149</v>
      </c>
      <c r="BB129" s="169">
        <f>AX125</f>
        <v>0.10299999999999999</v>
      </c>
      <c r="BC129" s="154"/>
      <c r="BD129" s="155">
        <f t="shared" si="158"/>
        <v>100</v>
      </c>
      <c r="BE129" s="156">
        <f t="shared" si="159"/>
        <v>181.42006870000003</v>
      </c>
      <c r="BH129" s="50"/>
      <c r="BI129" s="146">
        <v>2</v>
      </c>
      <c r="BJ129" s="166">
        <v>8000000</v>
      </c>
      <c r="BK129" s="167">
        <f t="shared" si="166"/>
        <v>26095742.09090909</v>
      </c>
      <c r="BO129" s="167">
        <f t="shared" si="167"/>
        <v>11</v>
      </c>
      <c r="BQ129" s="153" t="s">
        <v>172</v>
      </c>
      <c r="BR129" s="170">
        <f>BJ126</f>
        <v>134.49039999999999</v>
      </c>
      <c r="BS129" s="154"/>
      <c r="BT129" s="154"/>
      <c r="BU129" s="155">
        <f t="shared" si="154"/>
        <v>60</v>
      </c>
      <c r="BV129" s="154"/>
      <c r="BW129" s="154"/>
      <c r="BX129" s="156">
        <f t="shared" si="155"/>
        <v>79.920318124999994</v>
      </c>
      <c r="CQ129" s="50"/>
      <c r="CR129" s="146">
        <v>3</v>
      </c>
      <c r="CS129" s="166">
        <v>30000000</v>
      </c>
      <c r="CT129" s="168">
        <f>AVERAGEIFS($M:$M,$L:$L,"&gt;="&amp;CS$120,$L:$L,"&lt;="&amp;CU$120,$O:$O,"="&amp;CS129)</f>
        <v>46036330.25</v>
      </c>
      <c r="CU129" s="168"/>
      <c r="CV129" s="145">
        <v>49665000</v>
      </c>
      <c r="CX129" s="167">
        <f>COUNTIFS($L:$L,"&gt;="&amp;CS$120,$L:$L,"&lt;="&amp;CU$120,$O:$O,"="&amp;CS129)</f>
        <v>4</v>
      </c>
      <c r="DA129" s="171"/>
      <c r="DC129" s="154"/>
      <c r="DD129" s="154"/>
      <c r="DE129" s="155">
        <f t="shared" si="150"/>
        <v>120</v>
      </c>
      <c r="DF129" s="154"/>
      <c r="DG129" s="154"/>
      <c r="DH129" s="156">
        <f t="shared" si="151"/>
        <v>199.12620000000001</v>
      </c>
      <c r="DK129" s="50"/>
      <c r="DL129" s="146">
        <v>3</v>
      </c>
      <c r="DM129" s="166">
        <v>12000000</v>
      </c>
      <c r="DN129" s="168">
        <f t="shared" si="160"/>
        <v>27545303.333333332</v>
      </c>
      <c r="DR129" s="167">
        <f t="shared" si="161"/>
        <v>3</v>
      </c>
      <c r="DT129" s="153" t="s">
        <v>172</v>
      </c>
      <c r="DU129" s="170">
        <f>DM125</f>
        <v>134.49039999999999</v>
      </c>
      <c r="DV129" s="154"/>
      <c r="DW129" s="154"/>
      <c r="DX129" s="155">
        <f t="shared" si="156"/>
        <v>60</v>
      </c>
      <c r="DY129" s="154"/>
      <c r="DZ129" s="154"/>
      <c r="EA129" s="156">
        <f t="shared" si="157"/>
        <v>65.496964500000004</v>
      </c>
    </row>
    <row r="130" spans="10:131" x14ac:dyDescent="0.25">
      <c r="J130" s="86" t="str" cm="1">
        <f t="array" ref="J130">LOOKUP(2,1/($G$17:$G$33&lt;=$L130)/($H$17:$H$33&gt;=$L130),$F$17:$F$33)</f>
        <v>2H22</v>
      </c>
      <c r="K130" s="86" t="str" cm="1">
        <f t="array" ref="K130">LOOKUP(2,1/($G$6:$G$14&lt;=$L130)/($H$6:$H$14&gt;=$L130),$F$6:$F$14)</f>
        <v>FY22</v>
      </c>
      <c r="L130" s="118">
        <v>44595</v>
      </c>
      <c r="M130" s="49">
        <v>56254159</v>
      </c>
      <c r="N130" s="49">
        <v>68253171</v>
      </c>
      <c r="O130" s="50">
        <v>40000000</v>
      </c>
      <c r="P130" s="119" cm="1">
        <f t="array" ref="P130">LOOKUP(2,1/($B$10:$B$14&lt;=$L130)/($C$10:$C$14&gt;=$L130),$D$10:$D$14)</f>
        <v>1.1000000000000001</v>
      </c>
      <c r="Q130" s="120" cm="1">
        <f t="array" ref="Q130">LOOKUP(2,1/($B$17:$B$21&lt;=$L130)/($C$17:$C$21&gt;=$L130),$D$17:$D$21)</f>
        <v>134.49039999999999</v>
      </c>
      <c r="R130" s="113" t="str">
        <f t="shared" si="128"/>
        <v/>
      </c>
      <c r="S130" s="113" t="str">
        <f t="shared" si="129"/>
        <v>2H22</v>
      </c>
      <c r="T130" s="113" t="str">
        <f t="shared" ca="1" si="130"/>
        <v/>
      </c>
      <c r="U130" s="113" t="str">
        <f t="shared" si="131"/>
        <v/>
      </c>
      <c r="V130" s="113" t="str">
        <f t="shared" si="4"/>
        <v>FY22</v>
      </c>
      <c r="W130" s="113" t="str">
        <f t="shared" ca="1" si="98"/>
        <v/>
      </c>
      <c r="X130" s="50"/>
      <c r="Y130" s="146">
        <v>3</v>
      </c>
      <c r="Z130" s="166">
        <v>30000000</v>
      </c>
      <c r="AA130" s="167">
        <f t="shared" si="162"/>
        <v>46992061.172727272</v>
      </c>
      <c r="AE130" s="167">
        <f t="shared" si="163"/>
        <v>1</v>
      </c>
      <c r="AF130" s="167"/>
      <c r="AG130" s="167"/>
      <c r="AH130" s="167"/>
      <c r="AJ130" s="153" t="s">
        <v>149</v>
      </c>
      <c r="AK130" s="169">
        <f>AB125</f>
        <v>0.10299999999999999</v>
      </c>
      <c r="AL130" s="154"/>
      <c r="AM130" s="154"/>
      <c r="AN130" s="155">
        <f t="shared" si="152"/>
        <v>160</v>
      </c>
      <c r="AO130" s="154"/>
      <c r="AP130" s="154"/>
      <c r="AQ130" s="156">
        <f t="shared" si="153"/>
        <v>282.24798296363639</v>
      </c>
      <c r="AT130" s="50"/>
      <c r="AU130" s="146">
        <v>3</v>
      </c>
      <c r="AV130" s="166">
        <v>30000000</v>
      </c>
      <c r="AW130" s="167">
        <f t="shared" si="164"/>
        <v>46992061.172727272</v>
      </c>
      <c r="AY130" s="167">
        <f t="shared" si="165"/>
        <v>1</v>
      </c>
      <c r="BA130" s="153" t="s">
        <v>172</v>
      </c>
      <c r="BB130" s="170">
        <f>AV126</f>
        <v>134.49039999999999</v>
      </c>
      <c r="BC130" s="154"/>
      <c r="BD130" s="155">
        <f t="shared" si="158"/>
        <v>160</v>
      </c>
      <c r="BE130" s="156">
        <f t="shared" si="159"/>
        <v>282.24798296363639</v>
      </c>
      <c r="BH130" s="50"/>
      <c r="BI130" s="146">
        <v>3</v>
      </c>
      <c r="BJ130" s="166">
        <v>20000000</v>
      </c>
      <c r="BK130" s="167">
        <f t="shared" si="166"/>
        <v>40841962.200000003</v>
      </c>
      <c r="BO130" s="167">
        <f t="shared" si="167"/>
        <v>10</v>
      </c>
      <c r="BQ130" s="171"/>
      <c r="BS130" s="154"/>
      <c r="BT130" s="154"/>
      <c r="BU130" s="155">
        <f t="shared" si="154"/>
        <v>80</v>
      </c>
      <c r="BV130" s="154"/>
      <c r="BW130" s="154"/>
      <c r="BX130" s="156">
        <f t="shared" si="155"/>
        <v>116.97310725</v>
      </c>
      <c r="CA130" s="50"/>
      <c r="CQ130" s="50"/>
      <c r="CR130" s="146">
        <v>4</v>
      </c>
      <c r="CS130" s="166">
        <v>50000000</v>
      </c>
      <c r="CT130" s="168">
        <f>AVERAGEIFS($M:$M,$L:$L,"&gt;="&amp;CS$120,$L:$L,"&lt;="&amp;CU$120,$O:$O,"="&amp;CS130)</f>
        <v>70309568</v>
      </c>
      <c r="CU130" s="168"/>
      <c r="CV130" s="145">
        <v>72667000</v>
      </c>
      <c r="CX130" s="167">
        <f>COUNTIFS($L:$L,"&gt;="&amp;CS$120,$L:$L,"&lt;="&amp;CU$120,$O:$O,"="&amp;CS130)</f>
        <v>4</v>
      </c>
      <c r="DA130" s="153" t="s">
        <v>91</v>
      </c>
      <c r="DB130" s="155">
        <f>CS123/1000000</f>
        <v>50</v>
      </c>
      <c r="DC130" s="154"/>
      <c r="DD130" s="154"/>
      <c r="DE130" s="155">
        <f t="shared" si="150"/>
        <v>160</v>
      </c>
      <c r="DF130" s="154"/>
      <c r="DG130" s="154"/>
      <c r="DH130" s="156">
        <f t="shared" si="151"/>
        <v>258.9314</v>
      </c>
      <c r="DK130" s="50"/>
      <c r="DL130" s="146">
        <v>4</v>
      </c>
      <c r="DM130" s="166">
        <v>20000000</v>
      </c>
      <c r="DN130" s="168">
        <f t="shared" si="160"/>
        <v>37169134</v>
      </c>
      <c r="DR130" s="167">
        <f t="shared" si="161"/>
        <v>3</v>
      </c>
      <c r="DT130" s="172"/>
      <c r="DU130" s="2"/>
      <c r="DV130" s="154"/>
      <c r="DW130" s="154"/>
      <c r="DX130" s="155">
        <f t="shared" si="156"/>
        <v>80</v>
      </c>
      <c r="DY130" s="154"/>
      <c r="DZ130" s="154"/>
      <c r="EA130" s="156">
        <f t="shared" si="157"/>
        <v>82.611428000000004</v>
      </c>
    </row>
    <row r="131" spans="10:131" x14ac:dyDescent="0.25">
      <c r="J131" s="86" t="str" cm="1">
        <f t="array" ref="J131">LOOKUP(2,1/($G$17:$G$33&lt;=$L131)/($H$17:$H$33&gt;=$L131),$F$17:$F$33)</f>
        <v>2H22</v>
      </c>
      <c r="K131" s="86" t="str" cm="1">
        <f t="array" ref="K131">LOOKUP(2,1/($G$6:$G$14&lt;=$L131)/($H$6:$H$14&gt;=$L131),$F$6:$F$14)</f>
        <v>FY22</v>
      </c>
      <c r="L131" s="118">
        <v>44588</v>
      </c>
      <c r="M131" s="49">
        <v>34469991</v>
      </c>
      <c r="N131" s="49">
        <v>41822440</v>
      </c>
      <c r="O131" s="50">
        <v>20000000</v>
      </c>
      <c r="P131" s="119" cm="1">
        <f t="array" ref="P131">LOOKUP(2,1/($B$10:$B$14&lt;=$L131)/($C$10:$C$14&gt;=$L131),$D$10:$D$14)</f>
        <v>1.1000000000000001</v>
      </c>
      <c r="Q131" s="120" cm="1">
        <f t="array" ref="Q131">LOOKUP(2,1/($B$17:$B$21&lt;=$L131)/($C$17:$C$21&gt;=$L131),$D$17:$D$21)</f>
        <v>134.49039999999999</v>
      </c>
      <c r="R131" s="113" t="str">
        <f t="shared" si="128"/>
        <v/>
      </c>
      <c r="S131" s="113" t="str">
        <f t="shared" si="129"/>
        <v>2H22</v>
      </c>
      <c r="T131" s="113" t="str">
        <f t="shared" ca="1" si="130"/>
        <v/>
      </c>
      <c r="U131" s="113" t="str">
        <f t="shared" si="131"/>
        <v/>
      </c>
      <c r="V131" s="113" t="str">
        <f t="shared" si="4"/>
        <v>FY22</v>
      </c>
      <c r="W131" s="113" t="str">
        <f t="shared" ca="1" si="98"/>
        <v/>
      </c>
      <c r="X131" s="50"/>
      <c r="Y131" s="146">
        <v>4</v>
      </c>
      <c r="Z131" s="166">
        <v>50000000</v>
      </c>
      <c r="AA131" s="167">
        <f t="shared" si="162"/>
        <v>76986359.127272725</v>
      </c>
      <c r="AE131" s="167">
        <f t="shared" si="163"/>
        <v>1</v>
      </c>
      <c r="AF131" s="167"/>
      <c r="AG131" s="167"/>
      <c r="AH131" s="167"/>
      <c r="AJ131" s="153" t="s">
        <v>172</v>
      </c>
      <c r="AK131" s="170">
        <f>Z126</f>
        <v>134.49039999999999</v>
      </c>
      <c r="AL131" s="154"/>
      <c r="AM131" s="154"/>
      <c r="AN131" s="155">
        <f t="shared" si="152"/>
        <v>200</v>
      </c>
      <c r="AO131" s="154"/>
      <c r="AP131" s="154"/>
      <c r="AQ131" s="156">
        <f t="shared" si="153"/>
        <v>343.80779999999999</v>
      </c>
      <c r="AT131" s="50"/>
      <c r="AU131" s="146">
        <v>4</v>
      </c>
      <c r="AV131" s="166">
        <v>50000000</v>
      </c>
      <c r="AW131" s="167">
        <f t="shared" si="164"/>
        <v>76986359.127272725</v>
      </c>
      <c r="AY131" s="167">
        <f t="shared" si="165"/>
        <v>1</v>
      </c>
      <c r="BA131" s="172"/>
      <c r="BB131" s="2"/>
      <c r="BC131" s="154"/>
      <c r="BD131" s="155">
        <f t="shared" si="158"/>
        <v>200</v>
      </c>
      <c r="BE131" s="156">
        <f t="shared" si="159"/>
        <v>396.36363636363637</v>
      </c>
      <c r="BH131" s="50"/>
      <c r="BI131" s="146">
        <v>4</v>
      </c>
      <c r="BJ131" s="166">
        <v>40000000</v>
      </c>
      <c r="BK131" s="167">
        <f t="shared" si="166"/>
        <v>57570524.666666664</v>
      </c>
      <c r="BO131" s="167">
        <f t="shared" si="167"/>
        <v>6</v>
      </c>
      <c r="BQ131" s="153" t="s">
        <v>91</v>
      </c>
      <c r="BR131" s="155">
        <f>BJ124/1000000</f>
        <v>4</v>
      </c>
      <c r="BS131" s="154"/>
      <c r="BT131" s="154"/>
      <c r="BU131" s="155">
        <f t="shared" si="154"/>
        <v>120</v>
      </c>
      <c r="BV131" s="154"/>
      <c r="BW131" s="154"/>
      <c r="BX131" s="156">
        <f t="shared" si="155"/>
        <v>226.12630409125558</v>
      </c>
      <c r="CA131" s="50"/>
      <c r="CQ131" s="50"/>
      <c r="CR131" s="146">
        <v>5</v>
      </c>
      <c r="CS131" s="166">
        <v>80000000</v>
      </c>
      <c r="CT131" s="168">
        <f>AVERAGEIFS($M:$M,$L:$L,"&gt;="&amp;CS$120,$L:$L,"&lt;="&amp;CU$120,$O:$O,"="&amp;CS131)</f>
        <v>113194860.5</v>
      </c>
      <c r="CU131" s="168"/>
      <c r="CV131" s="145">
        <v>107170000</v>
      </c>
      <c r="CW131" s="145"/>
      <c r="CX131" s="167">
        <f>COUNTIFS($L:$L,"&gt;="&amp;CS$120,$L:$L,"&lt;="&amp;CU$120,$O:$O,"="&amp;CS131)</f>
        <v>2</v>
      </c>
      <c r="DA131" s="172" t="s">
        <v>147</v>
      </c>
      <c r="DB131" s="174">
        <f>CS120</f>
        <v>44013</v>
      </c>
      <c r="DC131" s="154"/>
      <c r="DD131" s="154"/>
      <c r="DE131" s="155">
        <f t="shared" si="150"/>
        <v>200</v>
      </c>
      <c r="DF131" s="154"/>
      <c r="DG131" s="154"/>
      <c r="DH131" s="156">
        <f t="shared" si="151"/>
        <v>318.73660000000001</v>
      </c>
      <c r="DK131" s="50"/>
      <c r="DL131" s="146">
        <v>5</v>
      </c>
      <c r="DM131" s="166">
        <v>40000000</v>
      </c>
      <c r="DN131" s="168">
        <f t="shared" si="160"/>
        <v>46528439</v>
      </c>
      <c r="DR131" s="167">
        <f t="shared" si="161"/>
        <v>2</v>
      </c>
      <c r="DT131" s="172" t="s">
        <v>147</v>
      </c>
      <c r="DU131" s="174">
        <f>DM120</f>
        <v>43831</v>
      </c>
      <c r="DV131" s="154"/>
      <c r="DW131" s="154"/>
      <c r="DX131" s="155">
        <f t="shared" si="156"/>
        <v>100</v>
      </c>
      <c r="DY131" s="154"/>
      <c r="DZ131" s="154"/>
      <c r="EA131" s="156">
        <f t="shared" si="157"/>
        <v>149.29374999999996</v>
      </c>
    </row>
    <row r="132" spans="10:131" x14ac:dyDescent="0.25">
      <c r="J132" s="86" t="str" cm="1">
        <f t="array" ref="J132">LOOKUP(2,1/($G$17:$G$33&lt;=$L132)/($H$17:$H$33&gt;=$L132),$F$17:$F$33)</f>
        <v>2H22</v>
      </c>
      <c r="K132" s="86" t="str" cm="1">
        <f t="array" ref="K132">LOOKUP(2,1/($G$6:$G$14&lt;=$L132)/($H$6:$H$14&gt;=$L132),$F$6:$F$14)</f>
        <v>FY22</v>
      </c>
      <c r="L132" s="118">
        <v>44581</v>
      </c>
      <c r="M132" s="49">
        <v>23312285</v>
      </c>
      <c r="N132" s="49">
        <v>28284795</v>
      </c>
      <c r="O132" s="50">
        <v>8000000</v>
      </c>
      <c r="P132" s="119" cm="1">
        <f t="array" ref="P132">LOOKUP(2,1/($B$10:$B$14&lt;=$L132)/($C$10:$C$14&gt;=$L132),$D$10:$D$14)</f>
        <v>1.1000000000000001</v>
      </c>
      <c r="Q132" s="120" cm="1">
        <f t="array" ref="Q132">LOOKUP(2,1/($B$17:$B$21&lt;=$L132)/($C$17:$C$21&gt;=$L132),$D$17:$D$21)</f>
        <v>134.49039999999999</v>
      </c>
      <c r="R132" s="113" t="str">
        <f t="shared" si="128"/>
        <v/>
      </c>
      <c r="S132" s="113" t="str">
        <f t="shared" si="129"/>
        <v>2H22</v>
      </c>
      <c r="T132" s="113" t="str">
        <f t="shared" ca="1" si="130"/>
        <v/>
      </c>
      <c r="U132" s="113" t="str">
        <f t="shared" si="131"/>
        <v/>
      </c>
      <c r="V132" s="113" t="str">
        <f t="shared" si="4"/>
        <v>FY22</v>
      </c>
      <c r="W132" s="113" t="str">
        <f t="shared" ca="1" si="98"/>
        <v/>
      </c>
      <c r="X132" s="50"/>
      <c r="Y132" s="146">
        <v>5</v>
      </c>
      <c r="Z132" s="166">
        <v>100000000</v>
      </c>
      <c r="AA132" s="167">
        <f t="shared" si="162"/>
        <v>181420068.70000002</v>
      </c>
      <c r="AC132" s="145">
        <v>131990000.00000001</v>
      </c>
      <c r="AD132" s="145">
        <v>141620000</v>
      </c>
      <c r="AE132" s="167">
        <f t="shared" si="163"/>
        <v>1</v>
      </c>
      <c r="AF132" s="167"/>
      <c r="AG132" s="167"/>
      <c r="AH132" s="167"/>
      <c r="AJ132" s="172"/>
      <c r="AK132" s="2"/>
      <c r="AL132" s="154"/>
      <c r="AM132" s="154"/>
      <c r="AN132" s="155">
        <f t="shared" si="152"/>
        <v>250</v>
      </c>
      <c r="AO132" s="154"/>
      <c r="AP132" s="154"/>
      <c r="AQ132" s="156">
        <f t="shared" si="153"/>
        <v>424.15863636363639</v>
      </c>
      <c r="AT132" s="50"/>
      <c r="AU132" s="146">
        <v>5</v>
      </c>
      <c r="AV132" s="166">
        <v>100000000</v>
      </c>
      <c r="AW132" s="167">
        <f t="shared" si="164"/>
        <v>181420068.70000002</v>
      </c>
      <c r="AY132" s="167">
        <f t="shared" si="165"/>
        <v>1</v>
      </c>
      <c r="BA132" s="172" t="s">
        <v>147</v>
      </c>
      <c r="BB132" s="174">
        <f>AV121</f>
        <v>44652</v>
      </c>
      <c r="BC132" s="154"/>
      <c r="BD132" s="155">
        <f t="shared" si="158"/>
        <v>250</v>
      </c>
      <c r="BE132" s="156">
        <f t="shared" si="159"/>
        <v>515.27272727272737</v>
      </c>
      <c r="BH132" s="50"/>
      <c r="BI132" s="146">
        <v>5</v>
      </c>
      <c r="BJ132" s="166">
        <v>60000000</v>
      </c>
      <c r="BK132" s="167">
        <f t="shared" si="166"/>
        <v>79920318.125</v>
      </c>
      <c r="BO132" s="167">
        <f t="shared" si="167"/>
        <v>8</v>
      </c>
      <c r="BQ132" s="171"/>
      <c r="BS132" s="154"/>
      <c r="BT132" s="154"/>
      <c r="BU132" s="155">
        <f t="shared" si="154"/>
        <v>150</v>
      </c>
      <c r="BV132" s="154"/>
      <c r="BW132" s="154"/>
      <c r="BX132" s="156">
        <f t="shared" si="155"/>
        <v>295</v>
      </c>
      <c r="CA132" s="50"/>
      <c r="CQ132" s="50"/>
      <c r="CR132" s="146">
        <v>6</v>
      </c>
      <c r="CS132" s="145">
        <v>120000000</v>
      </c>
      <c r="CT132" s="145"/>
      <c r="CU132" s="173">
        <f>IF($CS132&gt;=100000000,$CV$122*CV$125*CV132+$CW$122*CW$125*CW132,CV$125*CV132+CW$125*CW132)</f>
        <v>199126200</v>
      </c>
      <c r="CV132" s="145">
        <v>153174000</v>
      </c>
      <c r="CW132" s="145"/>
      <c r="CX132" s="167"/>
      <c r="DA132" s="172" t="s">
        <v>148</v>
      </c>
      <c r="DB132" s="174">
        <f>CU120</f>
        <v>44377</v>
      </c>
      <c r="DC132" s="154"/>
      <c r="DD132" s="154"/>
      <c r="DE132" s="155">
        <f t="shared" si="150"/>
        <v>250</v>
      </c>
      <c r="DF132" s="154"/>
      <c r="DG132" s="154"/>
      <c r="DH132" s="156">
        <f t="shared" si="151"/>
        <v>393.49309999999991</v>
      </c>
      <c r="DK132" s="50"/>
      <c r="DL132" s="146">
        <v>6</v>
      </c>
      <c r="DM132" s="166">
        <v>60000000</v>
      </c>
      <c r="DN132" s="168">
        <f t="shared" si="160"/>
        <v>65496964.5</v>
      </c>
      <c r="DP132" s="145">
        <v>75767000</v>
      </c>
      <c r="DQ132" s="145">
        <v>65348000</v>
      </c>
      <c r="DR132" s="167">
        <f t="shared" si="161"/>
        <v>2</v>
      </c>
      <c r="DT132" s="172" t="s">
        <v>148</v>
      </c>
      <c r="DU132" s="174">
        <f>DO120</f>
        <v>44012</v>
      </c>
      <c r="DV132" s="154"/>
      <c r="DW132" s="154"/>
      <c r="DX132" s="155">
        <f t="shared" si="156"/>
        <v>150</v>
      </c>
      <c r="DY132" s="154"/>
      <c r="DZ132" s="154"/>
      <c r="EA132" s="156">
        <f t="shared" si="157"/>
        <v>217.52499999999998</v>
      </c>
    </row>
    <row r="133" spans="10:131" x14ac:dyDescent="0.25">
      <c r="J133" s="86" t="str" cm="1">
        <f t="array" ref="J133">LOOKUP(2,1/($G$17:$G$33&lt;=$L133)/($H$17:$H$33&gt;=$L133),$F$17:$F$33)</f>
        <v>2H22</v>
      </c>
      <c r="K133" s="86" t="str" cm="1">
        <f t="array" ref="K133">LOOKUP(2,1/($G$6:$G$14&lt;=$L133)/($H$6:$H$14&gt;=$L133),$F$6:$F$14)</f>
        <v>FY22</v>
      </c>
      <c r="L133" s="118">
        <v>44574</v>
      </c>
      <c r="M133" s="49">
        <v>18115088</v>
      </c>
      <c r="N133" s="49">
        <v>21979037</v>
      </c>
      <c r="O133" s="50">
        <v>3000000</v>
      </c>
      <c r="P133" s="119" cm="1">
        <f t="array" ref="P133">LOOKUP(2,1/($B$10:$B$14&lt;=$L133)/($C$10:$C$14&gt;=$L133),$D$10:$D$14)</f>
        <v>1.1000000000000001</v>
      </c>
      <c r="Q133" s="120" cm="1">
        <f t="array" ref="Q133">LOOKUP(2,1/($B$17:$B$21&lt;=$L133)/($C$17:$C$21&gt;=$L133),$D$17:$D$21)</f>
        <v>134.49039999999999</v>
      </c>
      <c r="R133" s="113" t="str">
        <f t="shared" si="128"/>
        <v/>
      </c>
      <c r="S133" s="113" t="str">
        <f t="shared" si="129"/>
        <v>2H22</v>
      </c>
      <c r="T133" s="113" t="str">
        <f t="shared" ca="1" si="130"/>
        <v/>
      </c>
      <c r="U133" s="113" t="str">
        <f t="shared" si="131"/>
        <v/>
      </c>
      <c r="V133" s="113" t="str">
        <f t="shared" si="4"/>
        <v>FY22</v>
      </c>
      <c r="W133" s="113" t="str">
        <f t="shared" ca="1" si="98"/>
        <v/>
      </c>
      <c r="X133" s="50"/>
      <c r="Y133" s="146">
        <v>6</v>
      </c>
      <c r="Z133" s="166">
        <v>160000000</v>
      </c>
      <c r="AA133" s="167">
        <f t="shared" si="162"/>
        <v>282247982.9636364</v>
      </c>
      <c r="AC133" s="145">
        <v>201494000.00000003</v>
      </c>
      <c r="AD133" s="145">
        <v>244478000</v>
      </c>
      <c r="AE133" s="167">
        <f t="shared" si="163"/>
        <v>1</v>
      </c>
      <c r="AF133" s="167"/>
      <c r="AG133" s="167"/>
      <c r="AH133" s="167"/>
      <c r="AJ133" s="172" t="s">
        <v>147</v>
      </c>
      <c r="AK133" s="174">
        <f>Z121</f>
        <v>44652</v>
      </c>
      <c r="AL133" s="154"/>
      <c r="AM133" s="154"/>
      <c r="AN133" s="155">
        <f t="shared" si="152"/>
        <v>300</v>
      </c>
      <c r="AO133" s="154"/>
      <c r="AP133" s="154"/>
      <c r="AQ133" s="156">
        <f t="shared" si="153"/>
        <v>504.50947272727268</v>
      </c>
      <c r="AT133" s="50"/>
      <c r="AU133" s="146">
        <v>6</v>
      </c>
      <c r="AV133" s="166">
        <v>160000000</v>
      </c>
      <c r="AW133" s="167">
        <f t="shared" si="164"/>
        <v>282247982.9636364</v>
      </c>
      <c r="AY133" s="167">
        <f t="shared" si="165"/>
        <v>1</v>
      </c>
      <c r="BA133" s="172" t="s">
        <v>148</v>
      </c>
      <c r="BB133" s="174">
        <f>AX121</f>
        <v>44868</v>
      </c>
      <c r="BC133" s="154"/>
      <c r="BD133" s="155">
        <f t="shared" si="158"/>
        <v>300</v>
      </c>
      <c r="BE133" s="156">
        <f t="shared" si="159"/>
        <v>634.18181818181824</v>
      </c>
      <c r="BH133" s="50"/>
      <c r="BI133" s="146">
        <v>6</v>
      </c>
      <c r="BJ133" s="166">
        <v>80000000</v>
      </c>
      <c r="BK133" s="167">
        <f t="shared" si="166"/>
        <v>116973107.25</v>
      </c>
      <c r="BO133" s="167">
        <f t="shared" si="167"/>
        <v>4</v>
      </c>
      <c r="BQ133" s="172" t="s">
        <v>147</v>
      </c>
      <c r="BR133" s="174">
        <f>BJ121</f>
        <v>44378</v>
      </c>
      <c r="BS133" s="154"/>
      <c r="BT133" s="154"/>
      <c r="BU133" s="155">
        <f t="shared" si="154"/>
        <v>200</v>
      </c>
      <c r="BV133" s="154"/>
      <c r="BW133" s="154"/>
      <c r="BX133" s="156">
        <f t="shared" si="155"/>
        <v>396</v>
      </c>
      <c r="CA133" s="50"/>
      <c r="CQ133" s="50"/>
      <c r="CR133" s="146">
        <v>7</v>
      </c>
      <c r="CS133" s="145">
        <v>160000000</v>
      </c>
      <c r="CT133" s="145"/>
      <c r="CU133" s="173">
        <f>IF($CS133&gt;=100000000,$CV$122*CV$125*CV133+$CW$122*CW$125*CW133,CV$125*CV133+CW$125*CW133)</f>
        <v>258931400</v>
      </c>
      <c r="CV133" s="145">
        <v>199178000</v>
      </c>
      <c r="CW133" s="145"/>
      <c r="CX133" s="146"/>
      <c r="DA133" s="172" t="s">
        <v>0</v>
      </c>
      <c r="DB133" s="175">
        <f>CU125</f>
        <v>0.30769230769230771</v>
      </c>
      <c r="DC133" s="154"/>
      <c r="DD133" s="154"/>
      <c r="DE133" s="155">
        <f t="shared" si="150"/>
        <v>300</v>
      </c>
      <c r="DF133" s="154"/>
      <c r="DG133" s="154"/>
      <c r="DH133" s="156">
        <f t="shared" si="151"/>
        <v>468.24959999999993</v>
      </c>
      <c r="DK133" s="50"/>
      <c r="DL133" s="146">
        <v>7</v>
      </c>
      <c r="DM133" s="166">
        <v>80000000</v>
      </c>
      <c r="DN133" s="168">
        <f t="shared" si="160"/>
        <v>82611428</v>
      </c>
      <c r="DP133" s="145">
        <v>97600999.999999985</v>
      </c>
      <c r="DQ133" s="145">
        <v>89990000.000000015</v>
      </c>
      <c r="DR133" s="167">
        <f t="shared" si="161"/>
        <v>1</v>
      </c>
      <c r="DT133" s="172" t="s">
        <v>173</v>
      </c>
      <c r="DU133" s="177">
        <f>DO125</f>
        <v>1</v>
      </c>
      <c r="DV133" s="154"/>
      <c r="DW133" s="154"/>
      <c r="DX133" s="155">
        <f t="shared" si="156"/>
        <v>200</v>
      </c>
      <c r="DY133" s="154"/>
      <c r="DZ133" s="154"/>
      <c r="EA133" s="156">
        <f t="shared" si="157"/>
        <v>285.75624999999997</v>
      </c>
    </row>
    <row r="134" spans="10:131" x14ac:dyDescent="0.25">
      <c r="J134" s="86" t="str" cm="1">
        <f t="array" ref="J134">LOOKUP(2,1/($G$17:$G$33&lt;=$L134)/($H$17:$H$33&gt;=$L134),$F$17:$F$33)</f>
        <v>2H22</v>
      </c>
      <c r="K134" s="86" t="str" cm="1">
        <f t="array" ref="K134">LOOKUP(2,1/($G$6:$G$14&lt;=$L134)/($H$6:$H$14&gt;=$L134),$F$6:$F$14)</f>
        <v>FY22</v>
      </c>
      <c r="L134" s="118">
        <v>44567</v>
      </c>
      <c r="M134" s="49">
        <v>76041502</v>
      </c>
      <c r="N134" s="49">
        <v>92261155</v>
      </c>
      <c r="O134" s="50">
        <v>60000000</v>
      </c>
      <c r="P134" s="119" cm="1">
        <f t="array" ref="P134">LOOKUP(2,1/($B$10:$B$14&lt;=$L134)/($C$10:$C$14&gt;=$L134),$D$10:$D$14)</f>
        <v>1.1000000000000001</v>
      </c>
      <c r="Q134" s="120" cm="1">
        <f t="array" ref="Q134">LOOKUP(2,1/($B$17:$B$21&lt;=$L134)/($C$17:$C$21&gt;=$L134),$D$17:$D$21)</f>
        <v>134.49039999999999</v>
      </c>
      <c r="R134" s="113" t="str">
        <f t="shared" si="128"/>
        <v>2H22</v>
      </c>
      <c r="S134" s="113" t="str">
        <f t="shared" si="129"/>
        <v>2H22</v>
      </c>
      <c r="T134" s="113" t="str">
        <f t="shared" ca="1" si="130"/>
        <v/>
      </c>
      <c r="U134" s="113" t="str">
        <f t="shared" si="131"/>
        <v/>
      </c>
      <c r="V134" s="113" t="str">
        <f t="shared" si="4"/>
        <v>FY22</v>
      </c>
      <c r="W134" s="113" t="str">
        <f t="shared" ref="W134:W197" ca="1" si="168">IF(AND(V134&lt;&gt;V133,ISNUMBER(MATCH($V133,$F$6:$F$14,0))),OFFSET($F$5,MATCH($K134,$F$6:$F$14,0)+1,0),"")</f>
        <v/>
      </c>
      <c r="X134" s="50"/>
      <c r="Y134" s="146">
        <v>7</v>
      </c>
      <c r="Z134" s="145">
        <v>200000000</v>
      </c>
      <c r="AA134" s="145"/>
      <c r="AB134" s="173">
        <f>IF($Z134&gt;=100000000,$AC$123*AC$126*AC134+$AD$123*AD$126*AD134,AC$126*AC134+AD$126*AD134)*AB$126</f>
        <v>343807800</v>
      </c>
      <c r="AC134" s="145">
        <v>247830000</v>
      </c>
      <c r="AD134" s="145">
        <v>325050000</v>
      </c>
      <c r="AE134" s="167"/>
      <c r="AF134" s="167"/>
      <c r="AG134" s="167"/>
      <c r="AH134" s="167"/>
      <c r="AJ134" s="172" t="s">
        <v>148</v>
      </c>
      <c r="AK134" s="174">
        <f>AB121</f>
        <v>44868</v>
      </c>
      <c r="AL134" s="154"/>
      <c r="AM134" s="154"/>
      <c r="AN134" s="155">
        <f t="shared" si="152"/>
        <v>350</v>
      </c>
      <c r="AO134" s="154"/>
      <c r="AP134" s="154"/>
      <c r="AQ134" s="156">
        <f t="shared" si="153"/>
        <v>584.86030909090914</v>
      </c>
      <c r="AT134" s="50"/>
      <c r="AU134" s="146">
        <v>7</v>
      </c>
      <c r="AV134" s="145">
        <v>200000000</v>
      </c>
      <c r="AW134" s="145"/>
      <c r="AX134" s="145">
        <f>AX77*$AX$126</f>
        <v>396363636.36363637</v>
      </c>
      <c r="AY134" s="146"/>
      <c r="BA134" s="176"/>
      <c r="BB134" s="85"/>
      <c r="BC134" s="154"/>
      <c r="BD134" s="155">
        <f t="shared" si="158"/>
        <v>350</v>
      </c>
      <c r="BE134" s="156">
        <f t="shared" si="159"/>
        <v>763</v>
      </c>
      <c r="BH134" s="50"/>
      <c r="BI134" s="146">
        <v>7</v>
      </c>
      <c r="BJ134" s="166">
        <v>120000000</v>
      </c>
      <c r="BK134" s="146">
        <v>226126304.09125558</v>
      </c>
      <c r="BL134" s="168"/>
      <c r="BM134" s="168"/>
      <c r="BN134" s="168"/>
      <c r="BO134" s="167">
        <f t="shared" si="167"/>
        <v>1</v>
      </c>
      <c r="BQ134" s="172" t="s">
        <v>148</v>
      </c>
      <c r="BR134" s="174">
        <f>BL121</f>
        <v>44742</v>
      </c>
      <c r="BS134" s="154"/>
      <c r="BT134" s="154"/>
      <c r="BU134" s="155">
        <f t="shared" si="154"/>
        <v>250</v>
      </c>
      <c r="BV134" s="154"/>
      <c r="BW134" s="154"/>
      <c r="BX134" s="156">
        <f t="shared" si="155"/>
        <v>510</v>
      </c>
      <c r="CA134" s="50"/>
      <c r="CQ134" s="50"/>
      <c r="CR134" s="146">
        <v>8</v>
      </c>
      <c r="CS134" s="145">
        <v>200000000</v>
      </c>
      <c r="CT134" s="145"/>
      <c r="CU134" s="173">
        <f>IF($CS134&gt;=100000000,$CV$122*CV$125*CV134+$CW$122*CW$125*CW134,CV$125*CV134+CW$125*CW134)</f>
        <v>318736600</v>
      </c>
      <c r="CV134" s="145">
        <v>245182000</v>
      </c>
      <c r="CW134" s="145"/>
      <c r="CX134" s="146"/>
      <c r="DA134" s="179" t="s">
        <v>162</v>
      </c>
      <c r="DB134" s="180">
        <f>CV122</f>
        <v>1.3</v>
      </c>
      <c r="DC134" s="181"/>
      <c r="DD134" s="181"/>
      <c r="DE134" s="181"/>
      <c r="DF134" s="181"/>
      <c r="DG134" s="181"/>
      <c r="DH134" s="182"/>
      <c r="DK134" s="50"/>
      <c r="DL134" s="146">
        <v>8</v>
      </c>
      <c r="DM134" s="145">
        <v>100000000</v>
      </c>
      <c r="DN134" s="145"/>
      <c r="DO134" s="173">
        <f>IF($DM134&gt;=100000000,$DP$122*DP$125*DP134+$DQ$122*DQ$125*DQ134,DP$125*DP134+DQ$125*DQ134)</f>
        <v>149293749.99999997</v>
      </c>
      <c r="DP134" s="145">
        <v>119434999.99999999</v>
      </c>
      <c r="DQ134" s="145">
        <v>119032000.00000001</v>
      </c>
      <c r="DR134" s="146"/>
      <c r="DT134" s="176"/>
      <c r="DU134" s="32"/>
      <c r="DV134" s="32"/>
      <c r="DW134" s="32"/>
      <c r="DX134" s="32"/>
      <c r="DY134" s="32"/>
      <c r="DZ134" s="32"/>
      <c r="EA134" s="183"/>
    </row>
    <row r="135" spans="10:131" x14ac:dyDescent="0.25">
      <c r="J135" s="86" t="str" cm="1">
        <f t="array" ref="J135">LOOKUP(2,1/($G$17:$G$33&lt;=$L135)/($H$17:$H$33&gt;=$L135),$F$17:$F$33)</f>
        <v>1H22</v>
      </c>
      <c r="K135" s="86" t="str" cm="1">
        <f t="array" ref="K135">LOOKUP(2,1/($G$6:$G$14&lt;=$L135)/($H$6:$H$14&gt;=$L135),$F$6:$F$14)</f>
        <v>FY22</v>
      </c>
      <c r="L135" s="118">
        <v>44560</v>
      </c>
      <c r="M135" s="49">
        <v>45526023</v>
      </c>
      <c r="N135" s="49">
        <v>55236724</v>
      </c>
      <c r="O135" s="50">
        <v>30000000</v>
      </c>
      <c r="P135" s="119" cm="1">
        <f t="array" ref="P135">LOOKUP(2,1/($B$10:$B$14&lt;=$L135)/($C$10:$C$14&gt;=$L135),$D$10:$D$14)</f>
        <v>1.1000000000000001</v>
      </c>
      <c r="Q135" s="120" cm="1">
        <f t="array" ref="Q135">LOOKUP(2,1/($B$17:$B$21&lt;=$L135)/($C$17:$C$21&gt;=$L135),$D$17:$D$21)</f>
        <v>134.49039999999999</v>
      </c>
      <c r="R135" s="113" t="str">
        <f t="shared" si="128"/>
        <v/>
      </c>
      <c r="S135" s="113" t="str">
        <f t="shared" si="129"/>
        <v>2H22</v>
      </c>
      <c r="T135" s="113" t="str">
        <f t="shared" ca="1" si="130"/>
        <v/>
      </c>
      <c r="U135" s="113" t="str">
        <f t="shared" si="131"/>
        <v/>
      </c>
      <c r="V135" s="113" t="str">
        <f t="shared" si="4"/>
        <v>FY22</v>
      </c>
      <c r="W135" s="113" t="str">
        <f t="shared" ca="1" si="168"/>
        <v/>
      </c>
      <c r="X135" s="50"/>
      <c r="Y135" s="146">
        <v>8</v>
      </c>
      <c r="Z135" s="145">
        <v>250000000</v>
      </c>
      <c r="AA135" s="145"/>
      <c r="AB135" s="173">
        <f>IF($Z135&gt;=100000000,$AC$123*AC$126*AC135+$AD$123*AD$126*AD135,AC$126*AC135+AD$126*AD135)*AB$126</f>
        <v>424158636.36363637</v>
      </c>
      <c r="AC135" s="145">
        <v>305750000</v>
      </c>
      <c r="AD135" s="145">
        <v>439265000.00000006</v>
      </c>
      <c r="AE135" s="146"/>
      <c r="AF135" s="146"/>
      <c r="AG135" s="146"/>
      <c r="AH135" s="146"/>
      <c r="AJ135" s="179" t="s">
        <v>0</v>
      </c>
      <c r="AK135" s="185">
        <f>AB126</f>
        <v>0.99090909090909096</v>
      </c>
      <c r="AL135" s="181"/>
      <c r="AM135" s="181"/>
      <c r="AN135" s="181"/>
      <c r="AO135" s="181"/>
      <c r="AP135" s="181"/>
      <c r="AQ135" s="182"/>
      <c r="AT135" s="50"/>
      <c r="AU135" s="146">
        <v>8</v>
      </c>
      <c r="AV135" s="145">
        <v>250000000</v>
      </c>
      <c r="AW135" s="145"/>
      <c r="AX135" s="145">
        <f>AX78*$AX$126</f>
        <v>515272727.27272731</v>
      </c>
      <c r="AY135" s="146"/>
      <c r="BA135" s="176"/>
      <c r="BB135" s="32"/>
      <c r="BC135" s="32"/>
      <c r="BD135" s="32"/>
      <c r="BE135" s="183"/>
      <c r="BH135" s="50"/>
      <c r="BI135" s="146">
        <v>8</v>
      </c>
      <c r="BJ135" s="145">
        <v>150000000</v>
      </c>
      <c r="BK135" s="145"/>
      <c r="BL135" s="145">
        <v>295000000</v>
      </c>
      <c r="BM135" s="145"/>
      <c r="BN135" s="145"/>
      <c r="BO135" s="146"/>
      <c r="BQ135" s="179" t="s">
        <v>0</v>
      </c>
      <c r="BR135" s="185">
        <f>BL126</f>
        <v>0</v>
      </c>
      <c r="BS135" s="181"/>
      <c r="BT135" s="181"/>
      <c r="BU135" s="181"/>
      <c r="BV135" s="181"/>
      <c r="BW135" s="181"/>
      <c r="BX135" s="182"/>
      <c r="CA135" s="50"/>
      <c r="CQ135" s="50"/>
      <c r="CR135" s="146">
        <v>9</v>
      </c>
      <c r="CS135" s="145">
        <v>250000000</v>
      </c>
      <c r="CT135" s="145"/>
      <c r="CU135" s="173">
        <f>IF($CS135&gt;=100000000,$CV$122*CV$125*CV135+$CW$122*CW$125*CW135,CV$125*CV135+CW$125*CW135)</f>
        <v>393493099.99999994</v>
      </c>
      <c r="CV135" s="145">
        <v>302686999.99999994</v>
      </c>
      <c r="CW135" s="145"/>
      <c r="CX135" s="146"/>
      <c r="DA135" s="2"/>
      <c r="DB135" s="2"/>
      <c r="DC135" s="2"/>
      <c r="DD135" s="2"/>
      <c r="DE135" s="2"/>
      <c r="DF135" s="2"/>
      <c r="DG135" s="2"/>
      <c r="DH135" s="2"/>
      <c r="DK135" s="50"/>
      <c r="DL135" s="146">
        <v>9</v>
      </c>
      <c r="DM135" s="145">
        <v>150000000</v>
      </c>
      <c r="DN135" s="145"/>
      <c r="DO135" s="173">
        <f>IF($DM135&gt;=100000000,$DP$122*DP$125*DP135+$DQ$122*DQ$125*DQ135,DP$125*DP135+DQ$125*DQ135)</f>
        <v>217524999.99999997</v>
      </c>
      <c r="DP135" s="145">
        <v>174019999.99999997</v>
      </c>
      <c r="DQ135" s="145">
        <v>210887000</v>
      </c>
      <c r="DR135" s="146"/>
      <c r="DT135" s="186" t="s">
        <v>220</v>
      </c>
      <c r="DU135" s="2"/>
      <c r="DV135" s="2"/>
      <c r="DW135" s="2"/>
      <c r="DX135" s="2"/>
      <c r="DY135" s="2"/>
      <c r="DZ135" s="2"/>
      <c r="EA135" s="187"/>
    </row>
    <row r="136" spans="10:131" x14ac:dyDescent="0.25">
      <c r="J136" s="86" t="str" cm="1">
        <f t="array" ref="J136">LOOKUP(2,1/($G$17:$G$33&lt;=$L136)/($H$17:$H$33&gt;=$L136),$F$17:$F$33)</f>
        <v>1H22</v>
      </c>
      <c r="K136" s="86" t="str" cm="1">
        <f t="array" ref="K136">LOOKUP(2,1/($G$6:$G$14&lt;=$L136)/($H$6:$H$14&gt;=$L136),$F$6:$F$14)</f>
        <v>FY22</v>
      </c>
      <c r="L136" s="118">
        <v>44553</v>
      </c>
      <c r="M136" s="49">
        <v>40654797</v>
      </c>
      <c r="N136" s="49">
        <v>49326465</v>
      </c>
      <c r="O136" s="50">
        <v>20000000</v>
      </c>
      <c r="P136" s="119" cm="1">
        <f t="array" ref="P136">LOOKUP(2,1/($B$10:$B$14&lt;=$L136)/($C$10:$C$14&gt;=$L136),$D$10:$D$14)</f>
        <v>1.1000000000000001</v>
      </c>
      <c r="Q136" s="120" cm="1">
        <f t="array" ref="Q136">LOOKUP(2,1/($B$17:$B$21&lt;=$L136)/($C$17:$C$21&gt;=$L136),$D$17:$D$21)</f>
        <v>134.49039999999999</v>
      </c>
      <c r="R136" s="113" t="str">
        <f t="shared" si="128"/>
        <v/>
      </c>
      <c r="S136" s="113" t="str">
        <f t="shared" si="129"/>
        <v>2H22</v>
      </c>
      <c r="T136" s="113" t="str">
        <f t="shared" ca="1" si="130"/>
        <v/>
      </c>
      <c r="U136" s="113" t="str">
        <f t="shared" si="131"/>
        <v/>
      </c>
      <c r="V136" s="113" t="str">
        <f t="shared" si="4"/>
        <v>FY22</v>
      </c>
      <c r="W136" s="113" t="str">
        <f t="shared" ca="1" si="168"/>
        <v/>
      </c>
      <c r="X136" s="50"/>
      <c r="Y136" s="146">
        <v>9</v>
      </c>
      <c r="Z136" s="145">
        <v>300000000</v>
      </c>
      <c r="AA136" s="145"/>
      <c r="AB136" s="173">
        <f>IF($Z136&gt;=100000000,$AC$123*AC$126*AC136+$AD$123*AD$126*AD136,AC$126*AC136+AD$126*AD136)*AB$126</f>
        <v>504509472.72727269</v>
      </c>
      <c r="AC136" s="145">
        <v>363670000</v>
      </c>
      <c r="AD136" s="145">
        <v>568480000</v>
      </c>
      <c r="AE136" s="146"/>
      <c r="AF136" s="146"/>
      <c r="AG136" s="146"/>
      <c r="AH136" s="146"/>
      <c r="AJ136" s="2"/>
      <c r="AK136" s="2"/>
      <c r="AL136" s="2"/>
      <c r="AM136" s="2"/>
      <c r="AN136" s="2"/>
      <c r="AO136" s="2"/>
      <c r="AP136" s="2"/>
      <c r="AQ136" s="2"/>
      <c r="AT136" s="50"/>
      <c r="AU136" s="146">
        <v>9</v>
      </c>
      <c r="AV136" s="145">
        <v>300000000</v>
      </c>
      <c r="AW136" s="145"/>
      <c r="AX136" s="145">
        <f>AX79*$AX$126</f>
        <v>634181818.18181825</v>
      </c>
      <c r="AY136" s="146"/>
      <c r="BA136" s="186"/>
      <c r="BB136" s="2"/>
      <c r="BC136" s="2"/>
      <c r="BD136" s="2"/>
      <c r="BE136" s="187"/>
      <c r="BH136" s="50"/>
      <c r="BI136" s="146">
        <v>9</v>
      </c>
      <c r="BJ136" s="145">
        <v>200000000</v>
      </c>
      <c r="BK136" s="145"/>
      <c r="BL136" s="145">
        <v>396000000</v>
      </c>
      <c r="BM136" s="145"/>
      <c r="BN136" s="145"/>
      <c r="BO136" s="146"/>
      <c r="BQ136" s="2"/>
      <c r="BR136" s="2"/>
      <c r="BS136" s="2"/>
      <c r="BT136" s="2"/>
      <c r="BU136" s="2"/>
      <c r="BV136" s="2"/>
      <c r="BW136" s="2"/>
      <c r="BX136" s="2"/>
      <c r="CA136" s="50"/>
      <c r="CQ136" s="50"/>
      <c r="CR136" s="146">
        <v>10</v>
      </c>
      <c r="CS136" s="145">
        <v>300000000</v>
      </c>
      <c r="CT136" s="145"/>
      <c r="CU136" s="173">
        <f>IF($CS136&gt;=100000000,$CV$122*CV$125*CV136+$CW$122*CW$125*CW136,CV$125*CV136+CW$125*CW136)</f>
        <v>468249599.99999994</v>
      </c>
      <c r="CV136" s="145">
        <v>360191999.99999994</v>
      </c>
      <c r="CW136" s="145"/>
      <c r="CX136" s="146"/>
      <c r="DA136" s="188"/>
      <c r="DB136" s="188"/>
      <c r="DC136" s="188"/>
      <c r="DD136" s="188"/>
      <c r="DE136" s="188"/>
      <c r="DF136" s="188"/>
      <c r="DG136" s="188"/>
      <c r="DH136" s="188"/>
      <c r="DK136" s="50"/>
      <c r="DL136" s="146">
        <v>10</v>
      </c>
      <c r="DM136" s="145">
        <v>200000000</v>
      </c>
      <c r="DN136" s="145"/>
      <c r="DO136" s="173">
        <f>IF($DM136&gt;=100000000,$DP$122*DP$125*DP136+$DQ$122*DQ$125*DQ136,DP$125*DP136+DQ$125*DQ136)</f>
        <v>285756249.99999994</v>
      </c>
      <c r="DP136" s="145">
        <v>228604999.99999997</v>
      </c>
      <c r="DQ136" s="145">
        <v>330242000</v>
      </c>
      <c r="DR136" s="146"/>
      <c r="DT136" s="189"/>
      <c r="DU136" s="190"/>
      <c r="DV136" s="190"/>
      <c r="DW136" s="190"/>
      <c r="DX136" s="190"/>
      <c r="DY136" s="190"/>
      <c r="DZ136" s="190"/>
      <c r="EA136" s="191"/>
    </row>
    <row r="137" spans="10:131" x14ac:dyDescent="0.25">
      <c r="J137" s="86" t="str" cm="1">
        <f t="array" ref="J137">LOOKUP(2,1/($G$17:$G$33&lt;=$L137)/($H$17:$H$33&gt;=$L137),$F$17:$F$33)</f>
        <v>1H22</v>
      </c>
      <c r="K137" s="86" t="str" cm="1">
        <f t="array" ref="K137">LOOKUP(2,1/($G$6:$G$14&lt;=$L137)/($H$6:$H$14&gt;=$L137),$F$6:$F$14)</f>
        <v>FY22</v>
      </c>
      <c r="L137" s="118">
        <v>44546</v>
      </c>
      <c r="M137" s="49">
        <v>26709691</v>
      </c>
      <c r="N137" s="49">
        <v>32406869</v>
      </c>
      <c r="O137" s="50">
        <v>8000000</v>
      </c>
      <c r="P137" s="119" cm="1">
        <f t="array" ref="P137">LOOKUP(2,1/($B$10:$B$14&lt;=$L137)/($C$10:$C$14&gt;=$L137),$D$10:$D$14)</f>
        <v>1.1000000000000001</v>
      </c>
      <c r="Q137" s="120" cm="1">
        <f t="array" ref="Q137">LOOKUP(2,1/($B$17:$B$21&lt;=$L137)/($C$17:$C$21&gt;=$L137),$D$17:$D$21)</f>
        <v>134.49039999999999</v>
      </c>
      <c r="R137" s="113" t="str">
        <f t="shared" si="128"/>
        <v/>
      </c>
      <c r="S137" s="113" t="str">
        <f t="shared" si="129"/>
        <v>2H22</v>
      </c>
      <c r="T137" s="113" t="str">
        <f t="shared" ca="1" si="130"/>
        <v/>
      </c>
      <c r="U137" s="113" t="str">
        <f t="shared" si="131"/>
        <v/>
      </c>
      <c r="V137" s="113" t="str">
        <f t="shared" si="4"/>
        <v>FY22</v>
      </c>
      <c r="W137" s="113" t="str">
        <f t="shared" ca="1" si="168"/>
        <v/>
      </c>
      <c r="X137" s="50"/>
      <c r="Y137" s="146">
        <v>10</v>
      </c>
      <c r="Z137" s="145">
        <v>350000000</v>
      </c>
      <c r="AA137" s="145"/>
      <c r="AB137" s="173">
        <f>IF($Z137&gt;=100000000,$AC$123*AC$126*AC137+$AD$123*AD$126*AD137,AC$126*AC137+AD$126*AD137)*AB$126</f>
        <v>584860309.09090912</v>
      </c>
      <c r="AC137" s="145">
        <v>421590000.00000006</v>
      </c>
      <c r="AD137" s="145">
        <v>712695000</v>
      </c>
      <c r="AE137" s="146"/>
      <c r="AF137" s="146"/>
      <c r="AG137" s="146"/>
      <c r="AH137" s="146"/>
      <c r="AJ137" s="188"/>
      <c r="AK137" s="188"/>
      <c r="AL137" s="188"/>
      <c r="AM137" s="188"/>
      <c r="AN137" s="188"/>
      <c r="AO137" s="188"/>
      <c r="AP137" s="188"/>
      <c r="AQ137" s="188"/>
      <c r="AT137" s="50"/>
      <c r="AU137" s="146">
        <v>10</v>
      </c>
      <c r="AV137" s="145">
        <v>350000000</v>
      </c>
      <c r="AW137" s="145"/>
      <c r="AX137" s="145">
        <f>AX80*$AX$126</f>
        <v>763000000</v>
      </c>
      <c r="AY137" s="146"/>
      <c r="BA137" s="189"/>
      <c r="BB137" s="190"/>
      <c r="BC137" s="190"/>
      <c r="BD137" s="190"/>
      <c r="BE137" s="191"/>
      <c r="BH137" s="50"/>
      <c r="BI137" s="146">
        <v>10</v>
      </c>
      <c r="BJ137" s="145">
        <v>250000000</v>
      </c>
      <c r="BK137" s="145"/>
      <c r="BL137" s="145">
        <v>510000000</v>
      </c>
      <c r="BM137" s="145"/>
      <c r="BN137" s="145"/>
      <c r="BO137" s="146"/>
      <c r="BQ137" s="188"/>
      <c r="BR137" s="188"/>
      <c r="BS137" s="188"/>
      <c r="BT137" s="188"/>
      <c r="BU137" s="188"/>
      <c r="BV137" s="188"/>
      <c r="BW137" s="188"/>
      <c r="BX137" s="188"/>
      <c r="CA137" s="50"/>
      <c r="CQ137" s="50"/>
      <c r="DA137" s="106"/>
      <c r="DB137" s="107"/>
      <c r="DC137" s="107"/>
      <c r="DD137" s="107"/>
      <c r="DE137" s="108"/>
      <c r="DF137" s="107"/>
      <c r="DG137" s="107"/>
      <c r="DH137" s="108"/>
      <c r="DK137" s="50"/>
    </row>
    <row r="138" spans="10:131" x14ac:dyDescent="0.25">
      <c r="J138" s="86" t="str" cm="1">
        <f t="array" ref="J138">LOOKUP(2,1/($G$17:$G$33&lt;=$L138)/($H$17:$H$33&gt;=$L138),$F$17:$F$33)</f>
        <v>1H22</v>
      </c>
      <c r="K138" s="86" t="str" cm="1">
        <f t="array" ref="K138">LOOKUP(2,1/($G$6:$G$14&lt;=$L138)/($H$6:$H$14&gt;=$L138),$F$6:$F$14)</f>
        <v>FY22</v>
      </c>
      <c r="L138" s="118">
        <v>44539</v>
      </c>
      <c r="M138" s="49">
        <v>18912447</v>
      </c>
      <c r="N138" s="49">
        <v>22946472</v>
      </c>
      <c r="O138" s="50">
        <v>3000000</v>
      </c>
      <c r="P138" s="119" cm="1">
        <f t="array" ref="P138">LOOKUP(2,1/($B$10:$B$14&lt;=$L138)/($C$10:$C$14&gt;=$L138),$D$10:$D$14)</f>
        <v>1.1000000000000001</v>
      </c>
      <c r="Q138" s="120" cm="1">
        <f t="array" ref="Q138">LOOKUP(2,1/($B$17:$B$21&lt;=$L138)/($C$17:$C$21&gt;=$L138),$D$17:$D$21)</f>
        <v>134.49039999999999</v>
      </c>
      <c r="R138" s="113" t="str">
        <f t="shared" si="128"/>
        <v/>
      </c>
      <c r="S138" s="113" t="str">
        <f t="shared" si="129"/>
        <v>2H22</v>
      </c>
      <c r="T138" s="113" t="str">
        <f t="shared" ca="1" si="130"/>
        <v/>
      </c>
      <c r="U138" s="113" t="str">
        <f t="shared" si="131"/>
        <v/>
      </c>
      <c r="V138" s="113" t="str">
        <f t="shared" si="4"/>
        <v>FY22</v>
      </c>
      <c r="W138" s="113" t="str">
        <f t="shared" ca="1" si="168"/>
        <v/>
      </c>
      <c r="X138" s="50"/>
      <c r="Y138" s="192"/>
      <c r="AI138" s="105"/>
      <c r="AJ138" s="105"/>
      <c r="AK138" s="105"/>
      <c r="AL138" s="105"/>
      <c r="AM138" s="105"/>
      <c r="AN138" s="105"/>
      <c r="AO138" s="105"/>
      <c r="AP138" s="105"/>
      <c r="AQ138" s="105"/>
      <c r="AR138" s="105"/>
      <c r="AS138" s="105"/>
      <c r="AT138" s="50"/>
      <c r="BH138" s="50"/>
      <c r="CA138" s="50"/>
      <c r="CQ138" s="50"/>
      <c r="CR138" s="125" t="s">
        <v>216</v>
      </c>
      <c r="CS138" s="126"/>
      <c r="CT138" s="126"/>
      <c r="CU138" s="126"/>
      <c r="CV138" s="126"/>
      <c r="CW138" s="126"/>
      <c r="CX138" s="126"/>
      <c r="CY138" s="126"/>
      <c r="CZ138" s="126"/>
      <c r="DA138" s="126"/>
      <c r="DB138" s="126"/>
      <c r="DC138" s="126"/>
      <c r="DD138" s="126"/>
      <c r="DE138" s="126"/>
      <c r="DF138" s="126"/>
      <c r="DG138" s="126"/>
      <c r="DH138" s="126"/>
      <c r="DI138" s="126"/>
      <c r="DJ138" s="126"/>
      <c r="DK138" s="50"/>
      <c r="DL138" s="125" t="s">
        <v>51</v>
      </c>
      <c r="DM138" s="126"/>
      <c r="DN138" s="126"/>
      <c r="DO138" s="126"/>
      <c r="DP138" s="126"/>
      <c r="DQ138" s="126"/>
      <c r="DR138" s="126"/>
      <c r="DS138" s="126"/>
      <c r="DT138" s="126"/>
      <c r="DU138" s="126"/>
      <c r="DV138" s="126"/>
      <c r="DW138" s="126"/>
      <c r="DX138" s="126"/>
      <c r="DY138" s="126"/>
      <c r="DZ138" s="126"/>
      <c r="EA138" s="126"/>
    </row>
    <row r="139" spans="10:131" x14ac:dyDescent="0.25">
      <c r="J139" s="86" t="str" cm="1">
        <f t="array" ref="J139">LOOKUP(2,1/($G$17:$G$33&lt;=$L139)/($H$17:$H$33&gt;=$L139),$F$17:$F$33)</f>
        <v>1H22</v>
      </c>
      <c r="K139" s="86" t="str" cm="1">
        <f t="array" ref="K139">LOOKUP(2,1/($G$6:$G$14&lt;=$L139)/($H$6:$H$14&gt;=$L139),$F$6:$F$14)</f>
        <v>FY22</v>
      </c>
      <c r="L139" s="118">
        <v>44532</v>
      </c>
      <c r="M139" s="49">
        <v>109814245</v>
      </c>
      <c r="N139" s="49">
        <v>133237624</v>
      </c>
      <c r="O139" s="50">
        <v>80000000</v>
      </c>
      <c r="P139" s="119" cm="1">
        <f t="array" ref="P139">LOOKUP(2,1/($B$10:$B$14&lt;=$L139)/($C$10:$C$14&gt;=$L139),$D$10:$D$14)</f>
        <v>1.1000000000000001</v>
      </c>
      <c r="Q139" s="120" cm="1">
        <f t="array" ref="Q139">LOOKUP(2,1/($B$17:$B$21&lt;=$L139)/($C$17:$C$21&gt;=$L139),$D$17:$D$21)</f>
        <v>134.49039999999999</v>
      </c>
      <c r="R139" s="113" t="str">
        <f t="shared" si="128"/>
        <v/>
      </c>
      <c r="S139" s="113" t="str">
        <f t="shared" si="129"/>
        <v>1H22</v>
      </c>
      <c r="T139" s="113" t="str">
        <f t="shared" ca="1" si="130"/>
        <v>2H22</v>
      </c>
      <c r="U139" s="113" t="str">
        <f t="shared" si="131"/>
        <v/>
      </c>
      <c r="V139" s="113" t="str">
        <f t="shared" si="4"/>
        <v>FY22</v>
      </c>
      <c r="W139" s="113" t="str">
        <f t="shared" ca="1" si="168"/>
        <v/>
      </c>
      <c r="X139" s="50"/>
      <c r="Y139" s="200" t="s">
        <v>222</v>
      </c>
      <c r="Z139" s="201"/>
      <c r="AA139" s="201"/>
      <c r="AB139" s="201"/>
      <c r="AC139" s="201"/>
      <c r="AD139" s="201"/>
      <c r="AE139" s="201"/>
      <c r="AF139" s="201"/>
      <c r="AG139" s="201"/>
      <c r="AH139" s="201"/>
      <c r="AI139" s="201"/>
      <c r="AJ139" s="201"/>
      <c r="AK139" s="201"/>
      <c r="AL139" s="201"/>
      <c r="AM139" s="201"/>
      <c r="AN139" s="201"/>
      <c r="AO139" s="201"/>
      <c r="AP139" s="201"/>
      <c r="AQ139" s="201"/>
      <c r="AR139" s="201"/>
      <c r="AS139" s="201"/>
      <c r="AT139" s="50"/>
      <c r="AU139" s="193" t="s">
        <v>223</v>
      </c>
      <c r="AV139" s="194"/>
      <c r="AW139" s="194"/>
      <c r="AX139" s="194"/>
      <c r="AY139" s="194"/>
      <c r="AZ139" s="194"/>
      <c r="BA139" s="194"/>
      <c r="BB139" s="194"/>
      <c r="BC139" s="194"/>
      <c r="BD139" s="194"/>
      <c r="BE139" s="194"/>
      <c r="BF139" s="194"/>
      <c r="BG139" s="194"/>
      <c r="BH139" s="50"/>
      <c r="BI139" s="123" t="s">
        <v>224</v>
      </c>
      <c r="BJ139" s="124"/>
      <c r="BK139" s="124"/>
      <c r="BL139" s="124"/>
      <c r="BM139" s="124"/>
      <c r="BN139" s="124"/>
      <c r="BO139" s="124"/>
      <c r="BP139" s="124"/>
      <c r="BQ139" s="124"/>
      <c r="BR139" s="124"/>
      <c r="BS139" s="124"/>
      <c r="BT139" s="124"/>
      <c r="BU139" s="124"/>
      <c r="BV139" s="124"/>
      <c r="BW139" s="124"/>
      <c r="BX139" s="124"/>
      <c r="BY139" s="124"/>
      <c r="BZ139" s="124"/>
      <c r="CA139" s="50"/>
      <c r="CQ139" s="50"/>
      <c r="CR139" s="114" t="s">
        <v>147</v>
      </c>
      <c r="CS139" s="115">
        <v>44378</v>
      </c>
      <c r="CT139" s="114" t="s">
        <v>148</v>
      </c>
      <c r="CU139" s="115">
        <v>44742</v>
      </c>
      <c r="CV139" s="132"/>
      <c r="CW139" s="132"/>
      <c r="CX139" s="132"/>
      <c r="CY139" s="133"/>
      <c r="CZ139" s="133"/>
      <c r="DA139" s="133"/>
      <c r="DB139" s="133"/>
      <c r="DC139" s="133"/>
      <c r="DD139" s="133"/>
      <c r="DE139" s="133"/>
      <c r="DF139" s="133"/>
      <c r="DG139" s="133"/>
      <c r="DH139" s="133"/>
      <c r="DI139" s="133"/>
      <c r="DJ139" s="133"/>
      <c r="DK139" s="50"/>
      <c r="DL139" s="114" t="s">
        <v>147</v>
      </c>
      <c r="DM139" s="115">
        <v>44013</v>
      </c>
      <c r="DN139" s="114" t="s">
        <v>148</v>
      </c>
      <c r="DO139" s="115">
        <v>44196</v>
      </c>
      <c r="DP139" s="132"/>
      <c r="DQ139" s="132"/>
      <c r="DR139" s="132"/>
      <c r="DS139" s="133"/>
      <c r="DT139" s="133"/>
      <c r="DU139" s="133"/>
      <c r="DV139" s="133"/>
      <c r="DW139" s="133"/>
      <c r="DX139" s="133"/>
      <c r="DY139" s="133"/>
      <c r="DZ139" s="133"/>
      <c r="EA139" s="133"/>
    </row>
    <row r="140" spans="10:131" x14ac:dyDescent="0.25">
      <c r="J140" s="86" t="str" cm="1">
        <f t="array" ref="J140">LOOKUP(2,1/($G$17:$G$33&lt;=$L140)/($H$17:$H$33&gt;=$L140),$F$17:$F$33)</f>
        <v>1H22</v>
      </c>
      <c r="K140" s="86" t="str" cm="1">
        <f t="array" ref="K140">LOOKUP(2,1/($G$6:$G$14&lt;=$L140)/($H$6:$H$14&gt;=$L140),$F$6:$F$14)</f>
        <v>FY22</v>
      </c>
      <c r="L140" s="118">
        <v>44525</v>
      </c>
      <c r="M140" s="49">
        <v>81402100</v>
      </c>
      <c r="N140" s="49">
        <v>98765168</v>
      </c>
      <c r="O140" s="50">
        <v>60000000</v>
      </c>
      <c r="P140" s="119" cm="1">
        <f t="array" ref="P140">LOOKUP(2,1/($B$10:$B$14&lt;=$L140)/($C$10:$C$14&gt;=$L140),$D$10:$D$14)</f>
        <v>1.1000000000000001</v>
      </c>
      <c r="Q140" s="120" cm="1">
        <f t="array" ref="Q140">LOOKUP(2,1/($B$17:$B$21&lt;=$L140)/($C$17:$C$21&gt;=$L140),$D$17:$D$21)</f>
        <v>134.49039999999999</v>
      </c>
      <c r="R140" s="113" t="str">
        <f t="shared" si="128"/>
        <v/>
      </c>
      <c r="S140" s="113" t="str">
        <f t="shared" si="129"/>
        <v>1H22</v>
      </c>
      <c r="T140" s="113" t="str">
        <f t="shared" ca="1" si="130"/>
        <v/>
      </c>
      <c r="U140" s="113" t="str">
        <f t="shared" si="131"/>
        <v/>
      </c>
      <c r="V140" s="113" t="str">
        <f t="shared" si="4"/>
        <v>FY22</v>
      </c>
      <c r="W140" s="113" t="str">
        <f t="shared" ca="1" si="168"/>
        <v/>
      </c>
      <c r="X140" s="50"/>
      <c r="Y140" s="114" t="s">
        <v>147</v>
      </c>
      <c r="Z140" s="115">
        <v>44701</v>
      </c>
      <c r="AA140" s="114" t="s">
        <v>148</v>
      </c>
      <c r="AB140" s="115">
        <v>45066</v>
      </c>
      <c r="AC140" s="132"/>
      <c r="AD140" s="132"/>
      <c r="AE140" s="132"/>
      <c r="AF140" s="132"/>
      <c r="AG140" s="132"/>
      <c r="AH140" s="132"/>
      <c r="AI140" s="133"/>
      <c r="AJ140" s="133"/>
      <c r="AK140" s="133"/>
      <c r="AL140" s="133"/>
      <c r="AM140" s="133"/>
      <c r="AN140" s="133"/>
      <c r="AO140" s="133"/>
      <c r="AP140" s="133"/>
      <c r="AQ140" s="133"/>
      <c r="AR140" s="133"/>
      <c r="AS140" s="133"/>
      <c r="AT140" s="50"/>
      <c r="AU140" s="114" t="s">
        <v>147</v>
      </c>
      <c r="AV140" s="115" t="s">
        <v>158</v>
      </c>
      <c r="AW140" s="114" t="s">
        <v>148</v>
      </c>
      <c r="AX140" s="115" t="s">
        <v>158</v>
      </c>
      <c r="AY140" s="132"/>
      <c r="AZ140" s="133"/>
      <c r="BA140" s="133"/>
      <c r="BB140" s="133"/>
      <c r="BC140" s="133"/>
      <c r="BD140" s="133"/>
      <c r="BE140" s="133"/>
      <c r="BF140" s="133"/>
      <c r="BG140" s="133"/>
      <c r="BH140" s="50"/>
      <c r="BI140" s="114" t="s">
        <v>147</v>
      </c>
      <c r="BJ140" s="115">
        <v>44524</v>
      </c>
      <c r="BK140" s="114" t="s">
        <v>148</v>
      </c>
      <c r="BL140" s="115">
        <v>44889</v>
      </c>
      <c r="BM140" s="132"/>
      <c r="BN140" s="132"/>
      <c r="BO140" s="132"/>
      <c r="BP140" s="133"/>
      <c r="BQ140" s="133"/>
      <c r="BR140" s="133"/>
      <c r="BS140" s="133"/>
      <c r="BT140" s="133"/>
      <c r="BU140" s="133"/>
      <c r="BV140" s="133"/>
      <c r="BW140" s="133"/>
      <c r="BX140" s="133"/>
      <c r="BY140" s="133"/>
      <c r="BZ140" s="133"/>
      <c r="CA140" s="50"/>
      <c r="CQ140" s="50"/>
      <c r="CR140" s="114" t="s">
        <v>159</v>
      </c>
      <c r="CS140" s="115" t="s">
        <v>22</v>
      </c>
      <c r="CT140" s="114" t="s">
        <v>161</v>
      </c>
      <c r="CU140" s="134" t="str" cm="1">
        <f t="array" ref="CU140">IF(OR(LOOKUP(2,1/($B$10:$B$14&lt;=CU139)/($C$10:$C$14&gt;=CU139),$D$10:$D$14)&lt;&gt;CS143,LOOKUP(2,1/($B$6:$B$7&lt;=CU139)/($C$6:$C$7&gt;=CU139),$D$6:$D$7)&lt;&gt;CU143),"FAIL","PASS")</f>
        <v>PASS</v>
      </c>
      <c r="CV140" s="134" t="s">
        <v>162</v>
      </c>
      <c r="CW140" s="134" t="s">
        <v>162</v>
      </c>
      <c r="CX140" s="134"/>
      <c r="CY140" s="133"/>
      <c r="CZ140" s="133"/>
      <c r="DA140" s="133"/>
      <c r="DB140" s="133"/>
      <c r="DC140" s="133"/>
      <c r="DD140" s="133"/>
      <c r="DE140" s="133"/>
      <c r="DF140" s="133"/>
      <c r="DG140" s="133"/>
      <c r="DH140" s="133"/>
      <c r="DI140" s="133"/>
      <c r="DJ140" s="133"/>
      <c r="DK140" s="50"/>
      <c r="DL140" s="114" t="s">
        <v>159</v>
      </c>
      <c r="DM140" s="115" t="s">
        <v>51</v>
      </c>
      <c r="DN140" s="114" t="s">
        <v>161</v>
      </c>
      <c r="DO140" s="134" t="str" cm="1">
        <f t="array" ref="DO140">IF(OR(LOOKUP(2,1/($B$10:$B$14&lt;=DO139)/($C$10:$C$14&gt;=DO139),$D$10:$D$14)&lt;&gt;DM143,LOOKUP(2,1/($B$6:$B$7&lt;=DO139)/($C$6:$C$7&gt;=DO139),$D$6:$D$7)&lt;&gt;DO143),"FAIL","PASS")</f>
        <v>PASS</v>
      </c>
      <c r="DP140" s="134" t="s">
        <v>162</v>
      </c>
      <c r="DQ140" s="134" t="s">
        <v>162</v>
      </c>
      <c r="DR140" s="134"/>
      <c r="DS140" s="133"/>
      <c r="DT140" s="133"/>
      <c r="DU140" s="133"/>
      <c r="DV140" s="133"/>
      <c r="DW140" s="133"/>
      <c r="DX140" s="133"/>
      <c r="DY140" s="133"/>
      <c r="DZ140" s="133"/>
      <c r="EA140" s="133"/>
    </row>
    <row r="141" spans="10:131" x14ac:dyDescent="0.25">
      <c r="J141" s="86" t="str" cm="1">
        <f t="array" ref="J141">LOOKUP(2,1/($G$17:$G$33&lt;=$L141)/($H$17:$H$33&gt;=$L141),$F$17:$F$33)</f>
        <v>1H22</v>
      </c>
      <c r="K141" s="86" t="str" cm="1">
        <f t="array" ref="K141">LOOKUP(2,1/($G$6:$G$14&lt;=$L141)/($H$6:$H$14&gt;=$L141),$F$6:$F$14)</f>
        <v>FY22</v>
      </c>
      <c r="L141" s="118">
        <v>44518</v>
      </c>
      <c r="M141" s="49">
        <v>57357794</v>
      </c>
      <c r="N141" s="49">
        <v>69592212</v>
      </c>
      <c r="O141" s="50">
        <v>40000000</v>
      </c>
      <c r="P141" s="119" cm="1">
        <f t="array" ref="P141">LOOKUP(2,1/($B$10:$B$14&lt;=$L141)/($C$10:$C$14&gt;=$L141),$D$10:$D$14)</f>
        <v>1.1000000000000001</v>
      </c>
      <c r="Q141" s="120" cm="1">
        <f t="array" ref="Q141">LOOKUP(2,1/($B$17:$B$21&lt;=$L141)/($C$17:$C$21&gt;=$L141),$D$17:$D$21)</f>
        <v>134.49039999999999</v>
      </c>
      <c r="R141" s="113" t="str">
        <f t="shared" si="128"/>
        <v/>
      </c>
      <c r="S141" s="113" t="str">
        <f t="shared" si="129"/>
        <v>1H22</v>
      </c>
      <c r="T141" s="113" t="str">
        <f t="shared" ca="1" si="130"/>
        <v/>
      </c>
      <c r="U141" s="113" t="str">
        <f t="shared" si="131"/>
        <v/>
      </c>
      <c r="V141" s="113" t="str">
        <f t="shared" si="4"/>
        <v>FY22</v>
      </c>
      <c r="W141" s="113" t="str">
        <f t="shared" ca="1" si="168"/>
        <v/>
      </c>
      <c r="X141" s="50"/>
      <c r="Y141" s="114" t="s">
        <v>159</v>
      </c>
      <c r="Z141" s="115" t="s">
        <v>23</v>
      </c>
      <c r="AA141" s="114" t="s">
        <v>161</v>
      </c>
      <c r="AB141" s="115" t="s">
        <v>163</v>
      </c>
      <c r="AC141" s="134" t="s">
        <v>162</v>
      </c>
      <c r="AD141" s="134" t="s">
        <v>162</v>
      </c>
      <c r="AE141" s="134"/>
      <c r="AF141" s="134"/>
      <c r="AG141" s="134"/>
      <c r="AH141" s="134"/>
      <c r="AI141" s="133"/>
      <c r="AJ141" s="133"/>
      <c r="AK141" s="133"/>
      <c r="AL141" s="133"/>
      <c r="AM141" s="133"/>
      <c r="AN141" s="133"/>
      <c r="AO141" s="133"/>
      <c r="AP141" s="133"/>
      <c r="AQ141" s="133"/>
      <c r="AR141" s="133"/>
      <c r="AS141" s="133"/>
      <c r="AT141" s="50"/>
      <c r="AU141" s="114" t="s">
        <v>159</v>
      </c>
      <c r="AV141" s="115" t="s">
        <v>181</v>
      </c>
      <c r="AW141" s="114" t="s">
        <v>161</v>
      </c>
      <c r="AX141" s="115" t="s">
        <v>163</v>
      </c>
      <c r="AY141" s="132"/>
      <c r="AZ141" s="133"/>
      <c r="BA141" s="133"/>
      <c r="BB141" s="133"/>
      <c r="BC141" s="133"/>
      <c r="BD141" s="133"/>
      <c r="BE141" s="133"/>
      <c r="BF141" s="133"/>
      <c r="BG141" s="133"/>
      <c r="BH141" s="50"/>
      <c r="BI141" s="114" t="s">
        <v>159</v>
      </c>
      <c r="BJ141" s="115" t="s">
        <v>23</v>
      </c>
      <c r="BK141" s="114" t="s">
        <v>161</v>
      </c>
      <c r="BL141" s="134" t="str" cm="1">
        <f t="array" ref="BL141">IF(OR(LOOKUP(2,1/($B$10:$B$14&lt;=BL140)/($C$10:$C$14&gt;=BL140),$D$10:$D$14)&lt;&gt;BJ144,LOOKUP(2,1/($B$6:$B$7&lt;=BL140)/($C$6:$C$7&gt;=BL140),$D$6:$D$7)&lt;&gt;BL144),"FAIL","PASS")</f>
        <v>PASS</v>
      </c>
      <c r="BM141" s="134" t="s">
        <v>162</v>
      </c>
      <c r="BN141" s="134" t="s">
        <v>162</v>
      </c>
      <c r="BO141" s="134"/>
      <c r="BP141" s="133"/>
      <c r="BQ141" s="133"/>
      <c r="BR141" s="133"/>
      <c r="BS141" s="133"/>
      <c r="BT141" s="133"/>
      <c r="BU141" s="133"/>
      <c r="BV141" s="133"/>
      <c r="BW141" s="133"/>
      <c r="BX141" s="133"/>
      <c r="BY141" s="133"/>
      <c r="BZ141" s="133"/>
      <c r="CA141" s="50"/>
      <c r="CQ141" s="50"/>
      <c r="CR141" s="114" t="s">
        <v>165</v>
      </c>
      <c r="CS141" s="134">
        <f>INDEX($G:$G,MATCH(CS140,$F:$F,0))</f>
        <v>44378</v>
      </c>
      <c r="CT141" s="114" t="s">
        <v>166</v>
      </c>
      <c r="CU141" s="134">
        <f>INDEX($H:$H,MATCH(CS140,$F:$F,0))</f>
        <v>44742</v>
      </c>
      <c r="CV141" s="135">
        <v>1.3</v>
      </c>
      <c r="CW141" s="135">
        <v>1</v>
      </c>
      <c r="CX141" s="134"/>
      <c r="DA141" s="136" t="s">
        <v>167</v>
      </c>
      <c r="DB141" s="137"/>
      <c r="DC141" s="137"/>
      <c r="DD141" s="137"/>
      <c r="DE141" s="138"/>
      <c r="DF141" s="137"/>
      <c r="DG141" s="137"/>
      <c r="DH141" s="139"/>
      <c r="DK141" s="50"/>
      <c r="DL141" s="114" t="s">
        <v>165</v>
      </c>
      <c r="DM141" s="134">
        <f>INDEX($G:$G,MATCH(DM140,$F:$F,0))</f>
        <v>44013</v>
      </c>
      <c r="DN141" s="114" t="s">
        <v>166</v>
      </c>
      <c r="DO141" s="134">
        <f>INDEX($H:$H,MATCH(DM140,$F:$F,0))</f>
        <v>44196</v>
      </c>
      <c r="DP141" s="135">
        <v>1.25</v>
      </c>
      <c r="DQ141" s="135">
        <v>1</v>
      </c>
      <c r="DR141" s="134"/>
      <c r="DT141" s="136" t="s">
        <v>167</v>
      </c>
      <c r="DU141" s="137"/>
      <c r="DV141" s="137"/>
      <c r="DW141" s="137"/>
      <c r="DX141" s="138"/>
      <c r="DY141" s="137"/>
      <c r="DZ141" s="137"/>
      <c r="EA141" s="139"/>
    </row>
    <row r="142" spans="10:131" x14ac:dyDescent="0.25">
      <c r="J142" s="86" t="str" cm="1">
        <f t="array" ref="J142">LOOKUP(2,1/($G$17:$G$33&lt;=$L142)/($H$17:$H$33&gt;=$L142),$F$17:$F$33)</f>
        <v>1H22</v>
      </c>
      <c r="K142" s="86" t="str" cm="1">
        <f t="array" ref="K142">LOOKUP(2,1/($G$6:$G$14&lt;=$L142)/($H$6:$H$14&gt;=$L142),$F$6:$F$14)</f>
        <v>FY22</v>
      </c>
      <c r="L142" s="118">
        <v>44511</v>
      </c>
      <c r="M142" s="49">
        <v>41533547</v>
      </c>
      <c r="N142" s="49">
        <v>50392653</v>
      </c>
      <c r="O142" s="50">
        <v>20000000</v>
      </c>
      <c r="P142" s="119" cm="1">
        <f t="array" ref="P142">LOOKUP(2,1/($B$10:$B$14&lt;=$L142)/($C$10:$C$14&gt;=$L142),$D$10:$D$14)</f>
        <v>1.1000000000000001</v>
      </c>
      <c r="Q142" s="120" cm="1">
        <f t="array" ref="Q142">LOOKUP(2,1/($B$17:$B$21&lt;=$L142)/($C$17:$C$21&gt;=$L142),$D$17:$D$21)</f>
        <v>134.49039999999999</v>
      </c>
      <c r="R142" s="113" t="str">
        <f t="shared" si="128"/>
        <v/>
      </c>
      <c r="S142" s="113" t="str">
        <f t="shared" si="129"/>
        <v>1H22</v>
      </c>
      <c r="T142" s="113" t="str">
        <f t="shared" ca="1" si="130"/>
        <v/>
      </c>
      <c r="U142" s="113" t="str">
        <f t="shared" si="131"/>
        <v/>
      </c>
      <c r="V142" s="113" t="str">
        <f t="shared" si="4"/>
        <v>FY22</v>
      </c>
      <c r="W142" s="113" t="str">
        <f t="shared" ca="1" si="168"/>
        <v/>
      </c>
      <c r="X142" s="50"/>
      <c r="Y142" s="114" t="s">
        <v>165</v>
      </c>
      <c r="Z142" s="134">
        <f>INDEX($G:$G,MATCH(Z141,$F:$F,0))</f>
        <v>44743</v>
      </c>
      <c r="AA142" s="114" t="s">
        <v>166</v>
      </c>
      <c r="AB142" s="134">
        <f>INDEX($H:$H,MATCH(Z141,$F:$F,0))</f>
        <v>45107</v>
      </c>
      <c r="AC142" s="135">
        <v>1.4</v>
      </c>
      <c r="AD142" s="135">
        <v>1</v>
      </c>
      <c r="AE142" s="134"/>
      <c r="AF142" s="134"/>
      <c r="AG142" s="134"/>
      <c r="AH142" s="134"/>
      <c r="AJ142" s="136" t="s">
        <v>167</v>
      </c>
      <c r="AK142" s="137"/>
      <c r="AL142" s="137"/>
      <c r="AM142" s="137"/>
      <c r="AN142" s="138"/>
      <c r="AO142" s="137"/>
      <c r="AP142" s="137"/>
      <c r="AQ142" s="139"/>
      <c r="AT142" s="50"/>
      <c r="AU142" s="114" t="s">
        <v>165</v>
      </c>
      <c r="AV142" s="134">
        <f>INDEX($G:$G,MATCH(AV141,$F:$F,0))</f>
        <v>45108</v>
      </c>
      <c r="AW142" s="114" t="s">
        <v>166</v>
      </c>
      <c r="AX142" s="134">
        <f>INDEX($H:$H,MATCH(AV141,$F:$F,0))</f>
        <v>45473</v>
      </c>
      <c r="AY142" s="134"/>
      <c r="BA142" s="136" t="s">
        <v>167</v>
      </c>
      <c r="BB142" s="137"/>
      <c r="BC142" s="137"/>
      <c r="BD142" s="138"/>
      <c r="BE142" s="139"/>
      <c r="BH142" s="50"/>
      <c r="BI142" s="114" t="s">
        <v>165</v>
      </c>
      <c r="BJ142" s="134">
        <f>INDEX($G:$G,MATCH(BJ141,$F:$F,0))</f>
        <v>44743</v>
      </c>
      <c r="BK142" s="114" t="s">
        <v>166</v>
      </c>
      <c r="BL142" s="134">
        <f>INDEX($H:$H,MATCH(BJ141,$F:$F,0))</f>
        <v>45107</v>
      </c>
      <c r="BM142" s="135">
        <v>1.4</v>
      </c>
      <c r="BN142" s="135">
        <v>1</v>
      </c>
      <c r="BO142" s="134"/>
      <c r="BQ142" s="136" t="s">
        <v>167</v>
      </c>
      <c r="BR142" s="137"/>
      <c r="BS142" s="137"/>
      <c r="BT142" s="137"/>
      <c r="BU142" s="138"/>
      <c r="BV142" s="137"/>
      <c r="BW142" s="137"/>
      <c r="BX142" s="139"/>
      <c r="CA142" s="50"/>
      <c r="CQ142" s="50"/>
      <c r="CR142" s="114" t="s">
        <v>91</v>
      </c>
      <c r="CS142" s="140">
        <f>INDEX($O:$O,MATCH(CS140,$U:$U,0))</f>
        <v>60000000</v>
      </c>
      <c r="CT142" s="114" t="s">
        <v>76</v>
      </c>
      <c r="CU142" s="140">
        <f ca="1">INDEX($O:$O,MATCH(CS140,$W:$W,0))</f>
        <v>8000000</v>
      </c>
      <c r="CV142" s="140"/>
      <c r="CW142" s="140"/>
      <c r="CX142" s="140"/>
      <c r="DA142" s="141" t="s">
        <v>168</v>
      </c>
      <c r="DB142" s="141"/>
      <c r="DC142" s="142"/>
      <c r="DD142" s="142"/>
      <c r="DE142" s="143" t="s">
        <v>15</v>
      </c>
      <c r="DF142" s="142"/>
      <c r="DG142" s="142"/>
      <c r="DH142" s="144" t="s">
        <v>139</v>
      </c>
      <c r="DK142" s="50"/>
      <c r="DL142" s="114" t="s">
        <v>91</v>
      </c>
      <c r="DM142" s="140">
        <f>INDEX($O:$O,MATCH(DM140,$R:$R,0))</f>
        <v>50000000</v>
      </c>
      <c r="DN142" s="114" t="s">
        <v>76</v>
      </c>
      <c r="DO142" s="140">
        <f ca="1">INDEX($O:$O,MATCH(DM140,$T:$T,0))</f>
        <v>15000000</v>
      </c>
      <c r="DP142" s="140"/>
      <c r="DQ142" s="140"/>
      <c r="DR142" s="140"/>
      <c r="DT142" s="147" t="s">
        <v>165</v>
      </c>
      <c r="DU142" s="148">
        <f>DM141</f>
        <v>44013</v>
      </c>
      <c r="DV142" s="142"/>
      <c r="DW142" s="142"/>
      <c r="DX142" s="143" t="s">
        <v>15</v>
      </c>
      <c r="DY142" s="142"/>
      <c r="DZ142" s="142"/>
      <c r="EA142" s="144" t="s">
        <v>139</v>
      </c>
    </row>
    <row r="143" spans="10:131" x14ac:dyDescent="0.25">
      <c r="J143" s="86" t="str" cm="1">
        <f t="array" ref="J143">LOOKUP(2,1/($G$17:$G$33&lt;=$L143)/($H$17:$H$33&gt;=$L143),$F$17:$F$33)</f>
        <v>1H22</v>
      </c>
      <c r="K143" s="86" t="str" cm="1">
        <f t="array" ref="K143">LOOKUP(2,1/($G$6:$G$14&lt;=$L143)/($H$6:$H$14&gt;=$L143),$F$6:$F$14)</f>
        <v>FY22</v>
      </c>
      <c r="L143" s="118">
        <v>44504</v>
      </c>
      <c r="M143" s="49">
        <v>25128435</v>
      </c>
      <c r="N143" s="49">
        <v>30488330</v>
      </c>
      <c r="O143" s="50">
        <v>8000000</v>
      </c>
      <c r="P143" s="119" cm="1">
        <f t="array" ref="P143">LOOKUP(2,1/($B$10:$B$14&lt;=$L143)/($C$10:$C$14&gt;=$L143),$D$10:$D$14)</f>
        <v>1.1000000000000001</v>
      </c>
      <c r="Q143" s="120" cm="1">
        <f t="array" ref="Q143">LOOKUP(2,1/($B$17:$B$21&lt;=$L143)/($C$17:$C$21&gt;=$L143),$D$17:$D$21)</f>
        <v>134.49039999999999</v>
      </c>
      <c r="R143" s="113" t="str">
        <f t="shared" si="128"/>
        <v/>
      </c>
      <c r="S143" s="113" t="str">
        <f t="shared" si="129"/>
        <v>1H22</v>
      </c>
      <c r="T143" s="113" t="str">
        <f t="shared" ca="1" si="130"/>
        <v/>
      </c>
      <c r="U143" s="113" t="str">
        <f t="shared" si="131"/>
        <v/>
      </c>
      <c r="V143" s="113" t="str">
        <f t="shared" si="4"/>
        <v>FY22</v>
      </c>
      <c r="W143" s="113" t="str">
        <f t="shared" ca="1" si="168"/>
        <v/>
      </c>
      <c r="X143" s="50"/>
      <c r="Y143" s="114" t="s">
        <v>91</v>
      </c>
      <c r="Z143" s="140">
        <f>INDEX($O:$O,MATCH(Z141,$U:$U,0))</f>
        <v>4000000</v>
      </c>
      <c r="AA143" s="114" t="s">
        <v>76</v>
      </c>
      <c r="AB143" s="140">
        <f ca="1">INDEX($O:$O,MATCH(Z141,$W:$W,0))</f>
        <v>60000000</v>
      </c>
      <c r="AC143" s="140"/>
      <c r="AD143" s="140"/>
      <c r="AE143" s="140"/>
      <c r="AF143" s="140"/>
      <c r="AG143" s="140"/>
      <c r="AH143" s="140"/>
      <c r="AJ143" s="141" t="s">
        <v>168</v>
      </c>
      <c r="AK143" s="141"/>
      <c r="AL143" s="142"/>
      <c r="AM143" s="142"/>
      <c r="AN143" s="143" t="s">
        <v>15</v>
      </c>
      <c r="AO143" s="142"/>
      <c r="AP143" s="142"/>
      <c r="AQ143" s="144" t="s">
        <v>139</v>
      </c>
      <c r="AT143" s="50"/>
      <c r="AU143" s="114" t="s">
        <v>91</v>
      </c>
      <c r="AV143" s="145">
        <v>12000000</v>
      </c>
      <c r="AW143" s="114" t="s">
        <v>76</v>
      </c>
      <c r="AX143" s="145">
        <v>12000000</v>
      </c>
      <c r="AY143" s="146"/>
      <c r="BA143" s="147" t="s">
        <v>165</v>
      </c>
      <c r="BB143" s="148">
        <f>AV142</f>
        <v>45108</v>
      </c>
      <c r="BC143" s="142"/>
      <c r="BD143" s="143" t="s">
        <v>15</v>
      </c>
      <c r="BE143" s="144" t="s">
        <v>139</v>
      </c>
      <c r="BH143" s="50"/>
      <c r="BI143" s="114" t="s">
        <v>91</v>
      </c>
      <c r="BJ143" s="140">
        <f>INDEX($O:$O,MATCH(BJ141,$U:$U,0))</f>
        <v>4000000</v>
      </c>
      <c r="BK143" s="114" t="s">
        <v>76</v>
      </c>
      <c r="BL143" s="140">
        <f ca="1">INDEX($O:$O,MATCH(BJ141,$W:$W,0))</f>
        <v>60000000</v>
      </c>
      <c r="BM143" s="140"/>
      <c r="BN143" s="140"/>
      <c r="BO143" s="140"/>
      <c r="BQ143" s="141" t="s">
        <v>168</v>
      </c>
      <c r="BR143" s="141"/>
      <c r="BS143" s="2"/>
      <c r="BT143" s="2"/>
      <c r="BU143" s="149" t="s">
        <v>15</v>
      </c>
      <c r="BV143" s="2"/>
      <c r="BW143" s="2"/>
      <c r="BX143" s="150" t="s">
        <v>139</v>
      </c>
      <c r="CA143" s="50"/>
      <c r="CQ143" s="50"/>
      <c r="CR143" s="114" t="s">
        <v>169</v>
      </c>
      <c r="CS143" s="119" cm="1">
        <f t="array" ref="CS143">LOOKUP(2,1/($B$10:$B$14&lt;=CS139)/($C$10:$C$14&gt;=CS139),$D$10:$D$14)</f>
        <v>1.1000000000000001</v>
      </c>
      <c r="CT143" s="114" t="s">
        <v>149</v>
      </c>
      <c r="CU143" s="152" cm="1">
        <f t="array" ref="CU143">LOOKUP(2,1/($B$6:$B$7&lt;=CS139)/($C$6:$C$7&gt;=CS139),$D$6:$D$7)</f>
        <v>0.10299999999999999</v>
      </c>
      <c r="CV143" s="152" t="s">
        <v>170</v>
      </c>
      <c r="CW143" s="152" t="s">
        <v>171</v>
      </c>
      <c r="CX143" s="152"/>
      <c r="DA143" s="153" t="s">
        <v>165</v>
      </c>
      <c r="DB143" s="148">
        <f>CS141</f>
        <v>44378</v>
      </c>
      <c r="DC143" s="154"/>
      <c r="DD143" s="154"/>
      <c r="DE143" s="155">
        <f t="shared" ref="DE143:DE152" si="169">CS146/1000000</f>
        <v>3</v>
      </c>
      <c r="DF143" s="154"/>
      <c r="DG143" s="154"/>
      <c r="DH143" s="156">
        <f t="shared" ref="DH143:DH152" si="170">MAX(CT146:CU146)/1000000</f>
        <v>19.126918444444446</v>
      </c>
      <c r="DK143" s="50"/>
      <c r="DL143" s="114" t="s">
        <v>169</v>
      </c>
      <c r="DM143" s="119" cm="1">
        <f t="array" ref="DM143">LOOKUP(2,1/($B$10:$B$14&lt;=DM139)/($C$10:$C$14&gt;=DM139),$D$10:$D$14)</f>
        <v>1.1000000000000001</v>
      </c>
      <c r="DN143" s="114" t="s">
        <v>149</v>
      </c>
      <c r="DO143" s="152" cm="1">
        <f t="array" ref="DO143">LOOKUP(2,1/($B$6:$B$7&lt;=DM139)/($C$6:$C$7&gt;=DM139),$D$6:$D$7)</f>
        <v>0.10299999999999999</v>
      </c>
      <c r="DP143" s="152" t="s">
        <v>170</v>
      </c>
      <c r="DQ143" s="152" t="s">
        <v>171</v>
      </c>
      <c r="DR143" s="152"/>
      <c r="DT143" s="153" t="s">
        <v>166</v>
      </c>
      <c r="DU143" s="158">
        <f>DO141</f>
        <v>44196</v>
      </c>
      <c r="DV143" s="154"/>
      <c r="DW143" s="154"/>
      <c r="DX143" s="155">
        <f>DM146/1000000</f>
        <v>3</v>
      </c>
      <c r="DY143" s="154"/>
      <c r="DZ143" s="154"/>
      <c r="EA143" s="156">
        <f>MAX(DN146:DO146)/1000000</f>
        <v>18.967621000000001</v>
      </c>
    </row>
    <row r="144" spans="10:131" x14ac:dyDescent="0.25">
      <c r="J144" s="86" t="str" cm="1">
        <f t="array" ref="J144">LOOKUP(2,1/($G$17:$G$33&lt;=$L144)/($H$17:$H$33&gt;=$L144),$F$17:$F$33)</f>
        <v>1H22</v>
      </c>
      <c r="K144" s="86" t="str" cm="1">
        <f t="array" ref="K144">LOOKUP(2,1/($G$6:$G$14&lt;=$L144)/($H$6:$H$14&gt;=$L144),$F$6:$F$14)</f>
        <v>FY22</v>
      </c>
      <c r="L144" s="118">
        <v>44497</v>
      </c>
      <c r="M144" s="49">
        <v>18862209</v>
      </c>
      <c r="N144" s="49">
        <v>22885518</v>
      </c>
      <c r="O144" s="50">
        <v>3000000</v>
      </c>
      <c r="P144" s="119" cm="1">
        <f t="array" ref="P144">LOOKUP(2,1/($B$10:$B$14&lt;=$L144)/($C$10:$C$14&gt;=$L144),$D$10:$D$14)</f>
        <v>1.1000000000000001</v>
      </c>
      <c r="Q144" s="120" cm="1">
        <f t="array" ref="Q144">LOOKUP(2,1/($B$17:$B$21&lt;=$L144)/($C$17:$C$21&gt;=$L144),$D$17:$D$21)</f>
        <v>134.49039999999999</v>
      </c>
      <c r="R144" s="113" t="str">
        <f t="shared" si="128"/>
        <v/>
      </c>
      <c r="S144" s="113" t="str">
        <f t="shared" si="129"/>
        <v>1H22</v>
      </c>
      <c r="T144" s="113" t="str">
        <f t="shared" ca="1" si="130"/>
        <v/>
      </c>
      <c r="U144" s="113" t="str">
        <f t="shared" si="131"/>
        <v/>
      </c>
      <c r="V144" s="113" t="str">
        <f t="shared" si="4"/>
        <v>FY22</v>
      </c>
      <c r="W144" s="113" t="str">
        <f t="shared" ca="1" si="168"/>
        <v/>
      </c>
      <c r="X144" s="50"/>
      <c r="Y144" s="114" t="s">
        <v>169</v>
      </c>
      <c r="Z144" s="135">
        <v>1.2</v>
      </c>
      <c r="AA144" s="114" t="s">
        <v>149</v>
      </c>
      <c r="AB144" s="152" cm="1">
        <f t="array" ref="AB144">LOOKUP(2,1/($B$6:$B$7&lt;=Z140)/($C$6:$C$7&gt;=Z140),$D$6:$D$7)</f>
        <v>0.10299999999999999</v>
      </c>
      <c r="AC144" s="152" t="s">
        <v>170</v>
      </c>
      <c r="AD144" s="152" t="s">
        <v>171</v>
      </c>
      <c r="AE144" s="152"/>
      <c r="AF144" s="152"/>
      <c r="AG144" s="152"/>
      <c r="AH144" s="152"/>
      <c r="AJ144" s="153" t="s">
        <v>165</v>
      </c>
      <c r="AK144" s="148">
        <f>Z142</f>
        <v>44743</v>
      </c>
      <c r="AL144" s="154"/>
      <c r="AM144" s="154"/>
      <c r="AN144" s="155">
        <f t="shared" ref="AN144:AN153" si="171">Z147/1000000</f>
        <v>8</v>
      </c>
      <c r="AO144" s="154"/>
      <c r="AP144" s="154"/>
      <c r="AQ144" s="156">
        <f t="shared" ref="AQ144:AQ153" si="172">MAX(AA147:AB147)/1000000</f>
        <v>26.057631076923077</v>
      </c>
      <c r="AT144" s="50"/>
      <c r="AU144" s="114" t="s">
        <v>169</v>
      </c>
      <c r="AV144" s="159">
        <v>1.2</v>
      </c>
      <c r="AW144" s="114" t="s">
        <v>149</v>
      </c>
      <c r="AX144" s="160">
        <v>0.10299999999999999</v>
      </c>
      <c r="AY144" s="157"/>
      <c r="BA144" s="153" t="s">
        <v>166</v>
      </c>
      <c r="BB144" s="158">
        <f>AX142</f>
        <v>45473</v>
      </c>
      <c r="BC144" s="154"/>
      <c r="BD144" s="155">
        <f>AV147/1000000</f>
        <v>3</v>
      </c>
      <c r="BE144" s="156">
        <f>MAX(AW147:AX147)/1000000</f>
        <v>14.122742885888002</v>
      </c>
      <c r="BH144" s="50"/>
      <c r="BI144" s="114" t="s">
        <v>169</v>
      </c>
      <c r="BJ144" s="119" cm="1">
        <f t="array" ref="BJ144">LOOKUP(2,1/($B$10:$B$14&lt;=BJ140)/($C$10:$C$14&gt;=BJ140),$D$10:$D$14)</f>
        <v>1.1000000000000001</v>
      </c>
      <c r="BK144" s="114" t="s">
        <v>149</v>
      </c>
      <c r="BL144" s="152" cm="1">
        <f t="array" ref="BL144">LOOKUP(2,1/($B$6:$B$7&lt;=BJ140)/($C$6:$C$7&gt;=BJ140),$D$6:$D$7)</f>
        <v>0.10299999999999999</v>
      </c>
      <c r="BM144" s="152" t="s">
        <v>170</v>
      </c>
      <c r="BN144" s="152" t="s">
        <v>171</v>
      </c>
      <c r="BO144" s="152"/>
      <c r="BQ144" s="153" t="s">
        <v>165</v>
      </c>
      <c r="BR144" s="158">
        <f>BJ142</f>
        <v>44743</v>
      </c>
      <c r="BS144" s="154"/>
      <c r="BT144" s="154"/>
      <c r="BU144" s="155">
        <f t="shared" ref="BU144:BU153" si="173">BJ147/1000000</f>
        <v>8</v>
      </c>
      <c r="BV144" s="154"/>
      <c r="BW144" s="154"/>
      <c r="BX144" s="156">
        <f t="shared" ref="BX144:BX153" si="174">MAX(BK147:BL147)/1000000</f>
        <v>25.563153583333332</v>
      </c>
      <c r="CA144" s="50"/>
      <c r="CQ144" s="50"/>
      <c r="CR144" s="114" t="s">
        <v>172</v>
      </c>
      <c r="CS144" s="119" cm="1">
        <f t="array" ref="CS144">LOOKUP(2,1/($B$17:$B$21&lt;=CS139)/($C$17:$C$21&gt;=CS139),$D$17:$D$21)</f>
        <v>134.49039999999999</v>
      </c>
      <c r="CT144" s="114" t="s">
        <v>173</v>
      </c>
      <c r="CU144" s="162">
        <f>41/53</f>
        <v>0.77358490566037741</v>
      </c>
      <c r="CV144" s="162">
        <v>1</v>
      </c>
      <c r="CW144" s="162">
        <f>1-CV144</f>
        <v>0</v>
      </c>
      <c r="CX144" s="163"/>
      <c r="DA144" s="153" t="s">
        <v>166</v>
      </c>
      <c r="DB144" s="158">
        <f>CU141</f>
        <v>44742</v>
      </c>
      <c r="DC144" s="154"/>
      <c r="DD144" s="154"/>
      <c r="DE144" s="155">
        <f t="shared" si="169"/>
        <v>8</v>
      </c>
      <c r="DF144" s="154"/>
      <c r="DG144" s="154"/>
      <c r="DH144" s="156">
        <f t="shared" si="170"/>
        <v>26.095742090909091</v>
      </c>
      <c r="DK144" s="50"/>
      <c r="DL144" s="114" t="s">
        <v>172</v>
      </c>
      <c r="DM144" s="119" cm="1">
        <f t="array" ref="DM144">LOOKUP(2,1/($B$17:$B$21&lt;=DM139)/($C$17:$C$21&gt;=DM139),$D$17:$D$21)</f>
        <v>134.49039999999999</v>
      </c>
      <c r="DN144" s="114" t="s">
        <v>173</v>
      </c>
      <c r="DO144" s="163">
        <f>INT((WEEKDAY(DM139-5)-DM139+DO139)/7)/INT((WEEKDAY(DM141-5)-DM141+DO141)/7)</f>
        <v>1</v>
      </c>
      <c r="DP144" s="162">
        <v>1</v>
      </c>
      <c r="DQ144" s="162">
        <f>1-DP144</f>
        <v>0</v>
      </c>
      <c r="DR144" s="163"/>
      <c r="DT144" s="153" t="s">
        <v>91</v>
      </c>
      <c r="DU144" s="155">
        <f>DM142/1000000</f>
        <v>50</v>
      </c>
      <c r="DV144" s="154"/>
      <c r="DW144" s="154"/>
      <c r="DX144" s="155">
        <f t="shared" ref="DX144:DX152" si="175">DM147/1000000</f>
        <v>8</v>
      </c>
      <c r="DY144" s="154"/>
      <c r="DZ144" s="154"/>
      <c r="EA144" s="156">
        <f t="shared" ref="EA144:EA152" si="176">MAX(DN147:DO147)/1000000</f>
        <v>25.691092375</v>
      </c>
    </row>
    <row r="145" spans="10:131" x14ac:dyDescent="0.25">
      <c r="J145" s="86" t="str" cm="1">
        <f t="array" ref="J145">LOOKUP(2,1/($G$17:$G$33&lt;=$L145)/($H$17:$H$33&gt;=$L145),$F$17:$F$33)</f>
        <v>1H22</v>
      </c>
      <c r="K145" s="86" t="str" cm="1">
        <f t="array" ref="K145">LOOKUP(2,1/($G$6:$G$14&lt;=$L145)/($H$6:$H$14&gt;=$L145),$F$6:$F$14)</f>
        <v>FY22</v>
      </c>
      <c r="L145" s="118">
        <v>44490</v>
      </c>
      <c r="M145" s="49">
        <v>83423387</v>
      </c>
      <c r="N145" s="49">
        <v>101217596</v>
      </c>
      <c r="O145" s="50">
        <v>60000000</v>
      </c>
      <c r="P145" s="119" cm="1">
        <f t="array" ref="P145">LOOKUP(2,1/($B$10:$B$14&lt;=$L145)/($C$10:$C$14&gt;=$L145),$D$10:$D$14)</f>
        <v>1.1000000000000001</v>
      </c>
      <c r="Q145" s="120" cm="1">
        <f t="array" ref="Q145">LOOKUP(2,1/($B$17:$B$21&lt;=$L145)/($C$17:$C$21&gt;=$L145),$D$17:$D$21)</f>
        <v>134.49039999999999</v>
      </c>
      <c r="R145" s="113" t="str">
        <f t="shared" si="128"/>
        <v/>
      </c>
      <c r="S145" s="113" t="str">
        <f t="shared" si="129"/>
        <v>1H22</v>
      </c>
      <c r="T145" s="113" t="str">
        <f t="shared" ca="1" si="130"/>
        <v/>
      </c>
      <c r="U145" s="113" t="str">
        <f t="shared" si="131"/>
        <v/>
      </c>
      <c r="V145" s="113" t="str">
        <f t="shared" si="4"/>
        <v>FY22</v>
      </c>
      <c r="W145" s="113" t="str">
        <f t="shared" ca="1" si="168"/>
        <v/>
      </c>
      <c r="X145" s="50"/>
      <c r="Y145" s="114" t="s">
        <v>172</v>
      </c>
      <c r="Z145" s="119" cm="1">
        <f t="array" ref="Z145">LOOKUP(2,1/($B$17:$B$21&lt;=Z140)/($C$17:$C$21&gt;=Z140),$D$17:$D$21)</f>
        <v>134.49039999999999</v>
      </c>
      <c r="AA145" s="114" t="s">
        <v>0</v>
      </c>
      <c r="AB145" s="135">
        <v>1</v>
      </c>
      <c r="AC145" s="162">
        <v>1</v>
      </c>
      <c r="AD145" s="162">
        <f>1-AC145</f>
        <v>0</v>
      </c>
      <c r="AJ145" s="153" t="s">
        <v>166</v>
      </c>
      <c r="AK145" s="158">
        <f>AB142</f>
        <v>45107</v>
      </c>
      <c r="AL145" s="154"/>
      <c r="AM145" s="154"/>
      <c r="AN145" s="155">
        <f t="shared" si="171"/>
        <v>20</v>
      </c>
      <c r="AO145" s="154"/>
      <c r="AP145" s="154"/>
      <c r="AQ145" s="156">
        <f t="shared" si="172"/>
        <v>40.835805700000002</v>
      </c>
      <c r="AT145" s="50"/>
      <c r="AU145" s="114" t="s">
        <v>172</v>
      </c>
      <c r="AV145" s="159">
        <v>134.49039999999999</v>
      </c>
      <c r="AW145" s="114" t="s">
        <v>0</v>
      </c>
      <c r="AX145" s="135">
        <f>1+(1.2/1.1-1)*-50%</f>
        <v>0.95454545454545459</v>
      </c>
      <c r="BA145" s="153" t="s">
        <v>91</v>
      </c>
      <c r="BB145" s="155">
        <f>AV143/1000000</f>
        <v>12</v>
      </c>
      <c r="BC145" s="154"/>
      <c r="BD145" s="155">
        <f t="shared" ref="BD145:BD153" si="177">AV148/1000000</f>
        <v>8</v>
      </c>
      <c r="BE145" s="156">
        <f t="shared" ref="BE145:BE152" si="178">MAX(AW148:AX148)/1000000</f>
        <v>18.997084701504004</v>
      </c>
      <c r="BH145" s="50"/>
      <c r="BI145" s="114" t="s">
        <v>172</v>
      </c>
      <c r="BJ145" s="119" cm="1">
        <f t="array" ref="BJ145">LOOKUP(2,1/($B$17:$B$21&lt;=BJ140)/($C$17:$C$21&gt;=BJ140),$D$17:$D$21)</f>
        <v>134.49039999999999</v>
      </c>
      <c r="BK145" s="114" t="s">
        <v>0</v>
      </c>
      <c r="BL145" s="135">
        <v>1</v>
      </c>
      <c r="BM145" s="162">
        <v>1</v>
      </c>
      <c r="BN145" s="162">
        <f>1-BM145</f>
        <v>0</v>
      </c>
      <c r="BQ145" s="153" t="s">
        <v>166</v>
      </c>
      <c r="BR145" s="158">
        <f>BL142</f>
        <v>45107</v>
      </c>
      <c r="BS145" s="154"/>
      <c r="BT145" s="154"/>
      <c r="BU145" s="155">
        <f t="shared" si="173"/>
        <v>20</v>
      </c>
      <c r="BV145" s="154"/>
      <c r="BW145" s="154"/>
      <c r="BX145" s="156">
        <f t="shared" si="174"/>
        <v>39.974862299999998</v>
      </c>
      <c r="CA145" s="50"/>
      <c r="CQ145" s="50"/>
      <c r="CR145" s="111" t="s">
        <v>174</v>
      </c>
      <c r="CS145" s="111" t="s">
        <v>175</v>
      </c>
      <c r="CT145" s="111" t="s">
        <v>176</v>
      </c>
      <c r="CU145" s="111" t="s">
        <v>177</v>
      </c>
      <c r="CV145" s="111" t="s">
        <v>178</v>
      </c>
      <c r="CW145" s="111" t="s">
        <v>179</v>
      </c>
      <c r="CX145" s="111" t="s">
        <v>180</v>
      </c>
      <c r="DA145" s="153" t="s">
        <v>169</v>
      </c>
      <c r="DB145" s="165">
        <f>CS143</f>
        <v>1.1000000000000001</v>
      </c>
      <c r="DC145" s="154"/>
      <c r="DD145" s="154"/>
      <c r="DE145" s="155">
        <f t="shared" si="169"/>
        <v>20</v>
      </c>
      <c r="DF145" s="154"/>
      <c r="DG145" s="154"/>
      <c r="DH145" s="156">
        <f t="shared" si="170"/>
        <v>40.841962200000005</v>
      </c>
      <c r="DK145" s="50"/>
      <c r="DL145" s="111" t="s">
        <v>174</v>
      </c>
      <c r="DM145" s="111" t="s">
        <v>175</v>
      </c>
      <c r="DN145" s="111" t="s">
        <v>176</v>
      </c>
      <c r="DO145" s="111" t="s">
        <v>177</v>
      </c>
      <c r="DP145" s="111" t="s">
        <v>178</v>
      </c>
      <c r="DQ145" s="111" t="s">
        <v>179</v>
      </c>
      <c r="DR145" s="111" t="s">
        <v>180</v>
      </c>
      <c r="DT145" s="153" t="s">
        <v>76</v>
      </c>
      <c r="DU145" s="155">
        <f ca="1">DO142/1000000</f>
        <v>15</v>
      </c>
      <c r="DV145" s="154"/>
      <c r="DW145" s="154"/>
      <c r="DX145" s="155">
        <f t="shared" si="175"/>
        <v>20</v>
      </c>
      <c r="DY145" s="154"/>
      <c r="DZ145" s="154"/>
      <c r="EA145" s="156">
        <f t="shared" si="176"/>
        <v>41.280610000000003</v>
      </c>
    </row>
    <row r="146" spans="10:131" x14ac:dyDescent="0.25">
      <c r="J146" s="86" t="str" cm="1">
        <f t="array" ref="J146">LOOKUP(2,1/($G$17:$G$33&lt;=$L146)/($H$17:$H$33&gt;=$L146),$F$17:$F$33)</f>
        <v>1H22</v>
      </c>
      <c r="K146" s="86" t="str" cm="1">
        <f t="array" ref="K146">LOOKUP(2,1/($G$6:$G$14&lt;=$L146)/($H$6:$H$14&gt;=$L146),$F$6:$F$14)</f>
        <v>FY22</v>
      </c>
      <c r="L146" s="118">
        <v>44483</v>
      </c>
      <c r="M146" s="49">
        <v>59016363</v>
      </c>
      <c r="N146" s="49">
        <v>71604553</v>
      </c>
      <c r="O146" s="50">
        <v>40000000</v>
      </c>
      <c r="P146" s="119" cm="1">
        <f t="array" ref="P146">LOOKUP(2,1/($B$10:$B$14&lt;=$L146)/($C$10:$C$14&gt;=$L146),$D$10:$D$14)</f>
        <v>1.1000000000000001</v>
      </c>
      <c r="Q146" s="120" cm="1">
        <f t="array" ref="Q146">LOOKUP(2,1/($B$17:$B$21&lt;=$L146)/($C$17:$C$21&gt;=$L146),$D$17:$D$21)</f>
        <v>134.49039999999999</v>
      </c>
      <c r="R146" s="113" t="str">
        <f t="shared" si="128"/>
        <v/>
      </c>
      <c r="S146" s="113" t="str">
        <f t="shared" si="129"/>
        <v>1H22</v>
      </c>
      <c r="T146" s="113" t="str">
        <f t="shared" ca="1" si="130"/>
        <v/>
      </c>
      <c r="U146" s="113" t="str">
        <f t="shared" si="131"/>
        <v/>
      </c>
      <c r="V146" s="113" t="str">
        <f t="shared" si="4"/>
        <v>FY22</v>
      </c>
      <c r="W146" s="113" t="str">
        <f t="shared" ca="1" si="168"/>
        <v/>
      </c>
      <c r="X146" s="50"/>
      <c r="Y146" s="111" t="s">
        <v>174</v>
      </c>
      <c r="Z146" s="111" t="s">
        <v>175</v>
      </c>
      <c r="AA146" s="111" t="s">
        <v>176</v>
      </c>
      <c r="AB146" s="111" t="s">
        <v>177</v>
      </c>
      <c r="AC146" s="111" t="s">
        <v>178</v>
      </c>
      <c r="AD146" s="111" t="s">
        <v>179</v>
      </c>
      <c r="AE146" s="111" t="s">
        <v>180</v>
      </c>
      <c r="AF146" s="37"/>
      <c r="AG146" s="37"/>
      <c r="AH146" s="37"/>
      <c r="AJ146" s="153" t="s">
        <v>91</v>
      </c>
      <c r="AK146" s="155">
        <f>Z143/1000000</f>
        <v>4</v>
      </c>
      <c r="AL146" s="154"/>
      <c r="AM146" s="154"/>
      <c r="AN146" s="155">
        <f t="shared" si="171"/>
        <v>30</v>
      </c>
      <c r="AO146" s="154"/>
      <c r="AP146" s="154"/>
      <c r="AQ146" s="156">
        <f t="shared" si="172"/>
        <v>49.503852999999999</v>
      </c>
      <c r="AT146" s="50"/>
      <c r="AU146" s="111" t="s">
        <v>174</v>
      </c>
      <c r="AV146" s="111" t="s">
        <v>175</v>
      </c>
      <c r="AW146" s="111" t="s">
        <v>176</v>
      </c>
      <c r="AX146" s="111" t="s">
        <v>177</v>
      </c>
      <c r="AY146" s="111" t="s">
        <v>180</v>
      </c>
      <c r="BA146" s="153" t="s">
        <v>76</v>
      </c>
      <c r="BB146" s="155">
        <f>AX143/1000000</f>
        <v>12</v>
      </c>
      <c r="BC146" s="154"/>
      <c r="BD146" s="155">
        <f t="shared" si="177"/>
        <v>12</v>
      </c>
      <c r="BE146" s="156">
        <f t="shared" si="178"/>
        <v>23.954590243584004</v>
      </c>
      <c r="BH146" s="50"/>
      <c r="BI146" s="111" t="s">
        <v>174</v>
      </c>
      <c r="BJ146" s="111" t="s">
        <v>175</v>
      </c>
      <c r="BK146" s="111" t="s">
        <v>176</v>
      </c>
      <c r="BL146" s="111" t="s">
        <v>177</v>
      </c>
      <c r="BM146" s="111" t="s">
        <v>178</v>
      </c>
      <c r="BN146" s="111" t="s">
        <v>179</v>
      </c>
      <c r="BO146" s="111" t="s">
        <v>180</v>
      </c>
      <c r="BQ146" s="153" t="s">
        <v>169</v>
      </c>
      <c r="BR146" s="165">
        <f>BJ144</f>
        <v>1.1000000000000001</v>
      </c>
      <c r="BS146" s="154"/>
      <c r="BT146" s="154"/>
      <c r="BU146" s="155">
        <f t="shared" si="173"/>
        <v>30</v>
      </c>
      <c r="BV146" s="154"/>
      <c r="BW146" s="154"/>
      <c r="BX146" s="156">
        <f t="shared" si="174"/>
        <v>47.991793000000001</v>
      </c>
      <c r="CA146" s="50"/>
      <c r="CQ146" s="50"/>
      <c r="CR146" s="146">
        <v>1</v>
      </c>
      <c r="CS146" s="166">
        <v>3000000</v>
      </c>
      <c r="CT146" s="168">
        <f t="shared" ref="CT146:CT152" si="179">AVERAGEIFS($M:$M,$L:$L,"&gt;="&amp;CS$139,$L:$L,"&lt;="&amp;CU$139,$O:$O,"="&amp;CS146)</f>
        <v>19126918.444444444</v>
      </c>
      <c r="CU146" s="168"/>
      <c r="CV146" s="145">
        <v>19308700</v>
      </c>
      <c r="CW146" s="168"/>
      <c r="CX146" s="167">
        <f t="shared" ref="CX146:CX152" si="180">COUNTIFS($L:$L,"&gt;="&amp;CS$139,$L:$L,"&lt;="&amp;CU$139,$O:$O,"="&amp;CS146)</f>
        <v>9</v>
      </c>
      <c r="DA146" s="153" t="s">
        <v>149</v>
      </c>
      <c r="DB146" s="169">
        <f>CU143</f>
        <v>0.10299999999999999</v>
      </c>
      <c r="DC146" s="154"/>
      <c r="DD146" s="154"/>
      <c r="DE146" s="155">
        <f t="shared" si="169"/>
        <v>40</v>
      </c>
      <c r="DF146" s="154"/>
      <c r="DG146" s="154"/>
      <c r="DH146" s="156">
        <f t="shared" si="170"/>
        <v>57.570524666666664</v>
      </c>
      <c r="DK146" s="50"/>
      <c r="DL146" s="146">
        <v>1</v>
      </c>
      <c r="DM146" s="166">
        <v>3000000</v>
      </c>
      <c r="DN146" s="168">
        <f>AVERAGEIFS($M:$M,$L:$L,"&gt;="&amp;DM$139,$L:$L,"&lt;="&amp;DO$139,$O:$O,"="&amp;DM146)</f>
        <v>18967621</v>
      </c>
      <c r="DO146" s="168"/>
      <c r="DP146" s="168"/>
      <c r="DQ146" s="168"/>
      <c r="DR146" s="167">
        <f>COUNTIFS($L:$L,"&gt;="&amp;DM$139,$L:$L,"&lt;="&amp;DO$139,$O:$O,"="&amp;DM146)</f>
        <v>8</v>
      </c>
      <c r="DT146" s="153" t="s">
        <v>169</v>
      </c>
      <c r="DU146" s="165">
        <f>DM143</f>
        <v>1.1000000000000001</v>
      </c>
      <c r="DV146" s="154"/>
      <c r="DW146" s="154"/>
      <c r="DX146" s="155">
        <f t="shared" si="175"/>
        <v>40</v>
      </c>
      <c r="DY146" s="154"/>
      <c r="DZ146" s="154"/>
      <c r="EA146" s="156">
        <f t="shared" si="176"/>
        <v>60.505599500000002</v>
      </c>
    </row>
    <row r="147" spans="10:131" x14ac:dyDescent="0.25">
      <c r="J147" s="86" t="str" cm="1">
        <f t="array" ref="J147">LOOKUP(2,1/($G$17:$G$33&lt;=$L147)/($H$17:$H$33&gt;=$L147),$F$17:$F$33)</f>
        <v>1H22</v>
      </c>
      <c r="K147" s="86" t="str" cm="1">
        <f t="array" ref="K147">LOOKUP(2,1/($G$6:$G$14&lt;=$L147)/($H$6:$H$14&gt;=$L147),$F$6:$F$14)</f>
        <v>FY22</v>
      </c>
      <c r="L147" s="118">
        <v>44476</v>
      </c>
      <c r="M147" s="49">
        <v>42338398</v>
      </c>
      <c r="N147" s="49">
        <v>51369178</v>
      </c>
      <c r="O147" s="50">
        <v>20000000</v>
      </c>
      <c r="P147" s="119" cm="1">
        <f t="array" ref="P147">LOOKUP(2,1/($B$10:$B$14&lt;=$L147)/($C$10:$C$14&gt;=$L147),$D$10:$D$14)</f>
        <v>1.1000000000000001</v>
      </c>
      <c r="Q147" s="120" cm="1">
        <f t="array" ref="Q147">LOOKUP(2,1/($B$17:$B$21&lt;=$L147)/($C$17:$C$21&gt;=$L147),$D$17:$D$21)</f>
        <v>134.49039999999999</v>
      </c>
      <c r="R147" s="113" t="str">
        <f t="shared" si="128"/>
        <v/>
      </c>
      <c r="S147" s="113" t="str">
        <f t="shared" si="129"/>
        <v>1H22</v>
      </c>
      <c r="T147" s="113" t="str">
        <f t="shared" ca="1" si="130"/>
        <v/>
      </c>
      <c r="U147" s="113" t="str">
        <f t="shared" si="131"/>
        <v/>
      </c>
      <c r="V147" s="113" t="str">
        <f t="shared" si="4"/>
        <v>FY22</v>
      </c>
      <c r="W147" s="113" t="str">
        <f t="shared" ca="1" si="168"/>
        <v/>
      </c>
      <c r="X147" s="50"/>
      <c r="Y147" s="146">
        <v>1</v>
      </c>
      <c r="Z147" s="166">
        <v>8000000</v>
      </c>
      <c r="AA147" s="167">
        <f t="shared" ref="AA147:AA152" si="181">AVERAGEIFS($M:$M,$L:$L,"&gt;="&amp;Z$140,$L:$L,"&lt;="&amp;AB$140,$O:$O,"="&amp;Z147)*AB$145</f>
        <v>26057631.076923076</v>
      </c>
      <c r="AB147" s="168"/>
      <c r="AC147" s="168"/>
      <c r="AD147" s="168"/>
      <c r="AE147" s="167">
        <f t="shared" ref="AE147:AE152" si="182">COUNTIFS($L:$L,"&gt;="&amp;Z$140,$L:$L,"&lt;="&amp;AB$140,$O:$O,"="&amp;Z147)</f>
        <v>13</v>
      </c>
      <c r="AF147" s="167"/>
      <c r="AG147" s="167"/>
      <c r="AH147" s="167"/>
      <c r="AJ147" s="153" t="s">
        <v>76</v>
      </c>
      <c r="AK147" s="155">
        <f ca="1">AB143/1000000</f>
        <v>60</v>
      </c>
      <c r="AL147" s="154"/>
      <c r="AM147" s="154"/>
      <c r="AN147" s="155">
        <f t="shared" si="171"/>
        <v>50</v>
      </c>
      <c r="AO147" s="154"/>
      <c r="AP147" s="154"/>
      <c r="AQ147" s="156">
        <f t="shared" si="172"/>
        <v>74.897735999999995</v>
      </c>
      <c r="AT147" s="50"/>
      <c r="AU147" s="146">
        <v>1</v>
      </c>
      <c r="AV147" s="166">
        <v>3000000</v>
      </c>
      <c r="AW147" s="146">
        <f>AW90</f>
        <v>14122742.885888001</v>
      </c>
      <c r="AX147" s="168"/>
      <c r="AY147" s="167"/>
      <c r="BA147" s="153" t="s">
        <v>169</v>
      </c>
      <c r="BB147" s="165">
        <f>AV144</f>
        <v>1.2</v>
      </c>
      <c r="BC147" s="154"/>
      <c r="BD147" s="155">
        <f t="shared" si="177"/>
        <v>20</v>
      </c>
      <c r="BE147" s="156">
        <f t="shared" si="178"/>
        <v>29.706800812416002</v>
      </c>
      <c r="BH147" s="50"/>
      <c r="BI147" s="146">
        <v>1</v>
      </c>
      <c r="BJ147" s="166">
        <v>8000000</v>
      </c>
      <c r="BK147" s="167">
        <f t="shared" ref="BK147:BK152" si="183">AVERAGEIFS($M:$M,$L:$L,"&gt;="&amp;BJ$140,$L:$L,"&lt;="&amp;BL$140,$O:$O,"="&amp;BJ147)*BL$145</f>
        <v>25563153.583333332</v>
      </c>
      <c r="BL147" s="168"/>
      <c r="BM147" s="168"/>
      <c r="BN147" s="168"/>
      <c r="BO147" s="167">
        <f t="shared" ref="BO147:BO152" si="184">COUNTIFS($L:$L,"&gt;="&amp;BJ$140,$L:$L,"&lt;="&amp;BL$140,$O:$O,"="&amp;BJ147)</f>
        <v>12</v>
      </c>
      <c r="BQ147" s="153" t="s">
        <v>149</v>
      </c>
      <c r="BR147" s="169">
        <f>BL144</f>
        <v>0.10299999999999999</v>
      </c>
      <c r="BS147" s="154"/>
      <c r="BT147" s="154"/>
      <c r="BU147" s="155">
        <f t="shared" si="173"/>
        <v>50</v>
      </c>
      <c r="BV147" s="154"/>
      <c r="BW147" s="154"/>
      <c r="BX147" s="156">
        <f t="shared" si="174"/>
        <v>74.479624999999999</v>
      </c>
      <c r="CA147" s="50"/>
      <c r="CQ147" s="50"/>
      <c r="CR147" s="146">
        <v>2</v>
      </c>
      <c r="CS147" s="166">
        <v>8000000</v>
      </c>
      <c r="CT147" s="168">
        <f t="shared" si="179"/>
        <v>26095742.09090909</v>
      </c>
      <c r="CU147" s="168"/>
      <c r="CV147" s="145">
        <v>25048200</v>
      </c>
      <c r="CX147" s="167">
        <f t="shared" si="180"/>
        <v>11</v>
      </c>
      <c r="DA147" s="153" t="s">
        <v>172</v>
      </c>
      <c r="DB147" s="170">
        <f>CS144</f>
        <v>134.49039999999999</v>
      </c>
      <c r="DC147" s="154"/>
      <c r="DD147" s="154"/>
      <c r="DE147" s="155">
        <f t="shared" si="169"/>
        <v>60</v>
      </c>
      <c r="DF147" s="154"/>
      <c r="DG147" s="154"/>
      <c r="DH147" s="156">
        <f t="shared" si="170"/>
        <v>79.920318124999994</v>
      </c>
      <c r="DK147" s="50"/>
      <c r="DL147" s="146">
        <v>2</v>
      </c>
      <c r="DM147" s="166">
        <v>8000000</v>
      </c>
      <c r="DN147" s="168">
        <f>AVERAGEIFS($M:$M,$L:$L,"&gt;="&amp;DM$139,$L:$L,"&lt;="&amp;DO$139,$O:$O,"="&amp;DM147)</f>
        <v>25691092.375</v>
      </c>
      <c r="DR147" s="167">
        <f>COUNTIFS($L:$L,"&gt;="&amp;DM$139,$L:$L,"&lt;="&amp;DO$139,$O:$O,"="&amp;DM147)</f>
        <v>8</v>
      </c>
      <c r="DT147" s="153" t="s">
        <v>149</v>
      </c>
      <c r="DU147" s="169">
        <f>DO143</f>
        <v>0.10299999999999999</v>
      </c>
      <c r="DV147" s="154"/>
      <c r="DW147" s="154"/>
      <c r="DX147" s="155">
        <f t="shared" si="175"/>
        <v>60</v>
      </c>
      <c r="DY147" s="154"/>
      <c r="DZ147" s="154"/>
      <c r="EA147" s="156">
        <f t="shared" si="176"/>
        <v>82.205459000000005</v>
      </c>
    </row>
    <row r="148" spans="10:131" x14ac:dyDescent="0.25">
      <c r="J148" s="86" t="str" cm="1">
        <f t="array" ref="J148">LOOKUP(2,1/($G$17:$G$33&lt;=$L148)/($H$17:$H$33&gt;=$L148),$F$17:$F$33)</f>
        <v>1H22</v>
      </c>
      <c r="K148" s="86" t="str" cm="1">
        <f t="array" ref="K148">LOOKUP(2,1/($G$6:$G$14&lt;=$L148)/($H$6:$H$14&gt;=$L148),$F$6:$F$14)</f>
        <v>FY22</v>
      </c>
      <c r="L148" s="118">
        <v>44469</v>
      </c>
      <c r="M148" s="49">
        <v>26314209</v>
      </c>
      <c r="N148" s="49">
        <v>31927029</v>
      </c>
      <c r="O148" s="50">
        <v>8000000</v>
      </c>
      <c r="P148" s="119" cm="1">
        <f t="array" ref="P148">LOOKUP(2,1/($B$10:$B$14&lt;=$L148)/($C$10:$C$14&gt;=$L148),$D$10:$D$14)</f>
        <v>1.1000000000000001</v>
      </c>
      <c r="Q148" s="120" cm="1">
        <f t="array" ref="Q148">LOOKUP(2,1/($B$17:$B$21&lt;=$L148)/($C$17:$C$21&gt;=$L148),$D$17:$D$21)</f>
        <v>134.49039999999999</v>
      </c>
      <c r="R148" s="113" t="str">
        <f t="shared" si="128"/>
        <v/>
      </c>
      <c r="S148" s="113" t="str">
        <f t="shared" si="129"/>
        <v>1H22</v>
      </c>
      <c r="T148" s="113" t="str">
        <f t="shared" ca="1" si="130"/>
        <v/>
      </c>
      <c r="U148" s="113" t="str">
        <f t="shared" si="131"/>
        <v/>
      </c>
      <c r="V148" s="113" t="str">
        <f t="shared" si="4"/>
        <v>FY22</v>
      </c>
      <c r="W148" s="113" t="str">
        <f t="shared" ca="1" si="168"/>
        <v/>
      </c>
      <c r="X148" s="50"/>
      <c r="Y148" s="146">
        <v>2</v>
      </c>
      <c r="Z148" s="166">
        <v>20000000</v>
      </c>
      <c r="AA148" s="167">
        <f t="shared" si="181"/>
        <v>40835805.700000003</v>
      </c>
      <c r="AE148" s="167">
        <f t="shared" si="182"/>
        <v>10</v>
      </c>
      <c r="AF148" s="167"/>
      <c r="AG148" s="167"/>
      <c r="AH148" s="167"/>
      <c r="AJ148" s="153" t="s">
        <v>169</v>
      </c>
      <c r="AK148" s="165">
        <f>Z144</f>
        <v>1.2</v>
      </c>
      <c r="AL148" s="154"/>
      <c r="AM148" s="154"/>
      <c r="AN148" s="155">
        <f t="shared" si="171"/>
        <v>100</v>
      </c>
      <c r="AO148" s="154"/>
      <c r="AP148" s="154"/>
      <c r="AQ148" s="156">
        <f t="shared" si="172"/>
        <v>160.3196585</v>
      </c>
      <c r="AT148" s="50"/>
      <c r="AU148" s="146">
        <v>2</v>
      </c>
      <c r="AV148" s="166">
        <v>8000000</v>
      </c>
      <c r="AW148" s="146">
        <f t="shared" ref="AW148:AW154" si="185">AW91</f>
        <v>18997084.701504003</v>
      </c>
      <c r="AY148" s="167"/>
      <c r="BA148" s="153" t="s">
        <v>149</v>
      </c>
      <c r="BB148" s="169">
        <f>AX144</f>
        <v>0.10299999999999999</v>
      </c>
      <c r="BC148" s="154"/>
      <c r="BD148" s="155">
        <f t="shared" si="177"/>
        <v>40</v>
      </c>
      <c r="BE148" s="156">
        <f t="shared" si="178"/>
        <v>44.655295112064003</v>
      </c>
      <c r="BH148" s="50"/>
      <c r="BI148" s="146">
        <v>2</v>
      </c>
      <c r="BJ148" s="166">
        <v>20000000</v>
      </c>
      <c r="BK148" s="167">
        <f t="shared" si="183"/>
        <v>39974862.299999997</v>
      </c>
      <c r="BO148" s="167">
        <f t="shared" si="184"/>
        <v>10</v>
      </c>
      <c r="BQ148" s="153" t="s">
        <v>172</v>
      </c>
      <c r="BR148" s="170">
        <f>BJ145</f>
        <v>134.49039999999999</v>
      </c>
      <c r="BS148" s="154"/>
      <c r="BT148" s="154"/>
      <c r="BU148" s="155">
        <f t="shared" si="173"/>
        <v>100</v>
      </c>
      <c r="BV148" s="154"/>
      <c r="BW148" s="154"/>
      <c r="BX148" s="156">
        <f t="shared" si="174"/>
        <v>183.084473</v>
      </c>
      <c r="CA148" s="50"/>
      <c r="CQ148" s="50"/>
      <c r="CR148" s="146">
        <v>3</v>
      </c>
      <c r="CS148" s="166">
        <v>20000000</v>
      </c>
      <c r="CT148" s="168">
        <f t="shared" si="179"/>
        <v>40841962.200000003</v>
      </c>
      <c r="CU148" s="168"/>
      <c r="CV148" s="145">
        <v>38823000</v>
      </c>
      <c r="CX148" s="167">
        <f t="shared" si="180"/>
        <v>10</v>
      </c>
      <c r="DA148" s="171"/>
      <c r="DC148" s="154"/>
      <c r="DD148" s="154"/>
      <c r="DE148" s="155">
        <f t="shared" si="169"/>
        <v>80</v>
      </c>
      <c r="DF148" s="154"/>
      <c r="DG148" s="154"/>
      <c r="DH148" s="156">
        <f t="shared" si="170"/>
        <v>116.97310725</v>
      </c>
      <c r="DK148" s="50"/>
      <c r="DL148" s="146">
        <v>3</v>
      </c>
      <c r="DM148" s="166">
        <v>20000000</v>
      </c>
      <c r="DN148" s="168">
        <f>AVERAGEIFS($M:$M,$L:$L,"&gt;="&amp;DM$139,$L:$L,"&lt;="&amp;DO$139,$O:$O,"="&amp;DM148)</f>
        <v>41280610</v>
      </c>
      <c r="DR148" s="167">
        <f>COUNTIFS($L:$L,"&gt;="&amp;DM$139,$L:$L,"&lt;="&amp;DO$139,$O:$O,"="&amp;DM148)</f>
        <v>6</v>
      </c>
      <c r="DT148" s="153" t="s">
        <v>172</v>
      </c>
      <c r="DU148" s="170">
        <f>DM144</f>
        <v>134.49039999999999</v>
      </c>
      <c r="DV148" s="154"/>
      <c r="DW148" s="154"/>
      <c r="DX148" s="155">
        <f t="shared" si="175"/>
        <v>80</v>
      </c>
      <c r="DY148" s="154"/>
      <c r="DZ148" s="154"/>
      <c r="EA148" s="156">
        <f t="shared" si="176"/>
        <v>107.121</v>
      </c>
    </row>
    <row r="149" spans="10:131" x14ac:dyDescent="0.25">
      <c r="J149" s="86" t="str" cm="1">
        <f t="array" ref="J149">LOOKUP(2,1/($G$17:$G$33&lt;=$L149)/($H$17:$H$33&gt;=$L149),$F$17:$F$33)</f>
        <v>1H22</v>
      </c>
      <c r="K149" s="86" t="str" cm="1">
        <f t="array" ref="K149">LOOKUP(2,1/($G$6:$G$14&lt;=$L149)/($H$6:$H$14&gt;=$L149),$F$6:$F$14)</f>
        <v>FY22</v>
      </c>
      <c r="L149" s="118">
        <v>44462</v>
      </c>
      <c r="M149" s="49">
        <v>19222718</v>
      </c>
      <c r="N149" s="49">
        <v>23322924</v>
      </c>
      <c r="O149" s="50">
        <v>3000000</v>
      </c>
      <c r="P149" s="119" cm="1">
        <f t="array" ref="P149">LOOKUP(2,1/($B$10:$B$14&lt;=$L149)/($C$10:$C$14&gt;=$L149),$D$10:$D$14)</f>
        <v>1.1000000000000001</v>
      </c>
      <c r="Q149" s="120" cm="1">
        <f t="array" ref="Q149">LOOKUP(2,1/($B$17:$B$21&lt;=$L149)/($C$17:$C$21&gt;=$L149),$D$17:$D$21)</f>
        <v>134.49039999999999</v>
      </c>
      <c r="R149" s="113" t="str">
        <f t="shared" si="128"/>
        <v/>
      </c>
      <c r="S149" s="113" t="str">
        <f t="shared" si="129"/>
        <v>1H22</v>
      </c>
      <c r="T149" s="113" t="str">
        <f t="shared" ca="1" si="130"/>
        <v/>
      </c>
      <c r="U149" s="113" t="str">
        <f t="shared" si="131"/>
        <v/>
      </c>
      <c r="V149" s="113" t="str">
        <f t="shared" si="4"/>
        <v>FY22</v>
      </c>
      <c r="W149" s="113" t="str">
        <f t="shared" ca="1" si="168"/>
        <v/>
      </c>
      <c r="X149" s="50"/>
      <c r="Y149" s="146">
        <v>3</v>
      </c>
      <c r="Z149" s="166">
        <v>30000000</v>
      </c>
      <c r="AA149" s="167">
        <f t="shared" si="181"/>
        <v>49503853</v>
      </c>
      <c r="AE149" s="167">
        <f t="shared" si="182"/>
        <v>4</v>
      </c>
      <c r="AF149" s="167"/>
      <c r="AG149" s="167"/>
      <c r="AH149" s="167"/>
      <c r="AJ149" s="153" t="s">
        <v>149</v>
      </c>
      <c r="AK149" s="169">
        <f>AB144</f>
        <v>0.10299999999999999</v>
      </c>
      <c r="AL149" s="154"/>
      <c r="AM149" s="154"/>
      <c r="AN149" s="155">
        <f t="shared" si="171"/>
        <v>160</v>
      </c>
      <c r="AO149" s="154"/>
      <c r="AP149" s="154"/>
      <c r="AQ149" s="156">
        <f t="shared" si="172"/>
        <v>284.83741400000002</v>
      </c>
      <c r="AT149" s="50"/>
      <c r="AU149" s="146">
        <v>3</v>
      </c>
      <c r="AV149" s="166">
        <v>12000000</v>
      </c>
      <c r="AW149" s="146">
        <f t="shared" si="185"/>
        <v>23954590.243584003</v>
      </c>
      <c r="AY149" s="167"/>
      <c r="BA149" s="153" t="s">
        <v>172</v>
      </c>
      <c r="BB149" s="170">
        <f>AV145</f>
        <v>134.49039999999999</v>
      </c>
      <c r="BC149" s="154"/>
      <c r="BD149" s="155">
        <f t="shared" si="177"/>
        <v>60</v>
      </c>
      <c r="BE149" s="156">
        <f t="shared" si="178"/>
        <v>74.486643678720014</v>
      </c>
      <c r="BH149" s="50"/>
      <c r="BI149" s="146">
        <v>3</v>
      </c>
      <c r="BJ149" s="166">
        <v>30000000</v>
      </c>
      <c r="BK149" s="167">
        <f t="shared" si="183"/>
        <v>47991793</v>
      </c>
      <c r="BO149" s="167">
        <f t="shared" si="184"/>
        <v>3</v>
      </c>
      <c r="BQ149" s="171"/>
      <c r="BS149" s="154"/>
      <c r="BT149" s="154"/>
      <c r="BU149" s="155">
        <f t="shared" si="173"/>
        <v>160</v>
      </c>
      <c r="BV149" s="154"/>
      <c r="BW149" s="154"/>
      <c r="BX149" s="156">
        <f t="shared" si="174"/>
        <v>284.83741400000002</v>
      </c>
      <c r="CA149" s="50"/>
      <c r="CQ149" s="50"/>
      <c r="CR149" s="146">
        <v>4</v>
      </c>
      <c r="CS149" s="166">
        <v>40000000</v>
      </c>
      <c r="CT149" s="168">
        <f t="shared" si="179"/>
        <v>57570524.666666664</v>
      </c>
      <c r="CU149" s="168"/>
      <c r="CV149" s="145">
        <v>61781000</v>
      </c>
      <c r="CX149" s="167">
        <f t="shared" si="180"/>
        <v>6</v>
      </c>
      <c r="DA149" s="153" t="s">
        <v>91</v>
      </c>
      <c r="DB149" s="155">
        <f>CS142/1000000</f>
        <v>60</v>
      </c>
      <c r="DC149" s="154"/>
      <c r="DD149" s="154"/>
      <c r="DE149" s="155">
        <f t="shared" si="169"/>
        <v>120</v>
      </c>
      <c r="DF149" s="154"/>
      <c r="DG149" s="154"/>
      <c r="DH149" s="156">
        <f t="shared" si="170"/>
        <v>244.63164499999999</v>
      </c>
      <c r="DK149" s="50"/>
      <c r="DL149" s="146">
        <v>4</v>
      </c>
      <c r="DM149" s="166">
        <v>40000000</v>
      </c>
      <c r="DN149" s="168">
        <f>AVERAGEIFS($M:$M,$L:$L,"&gt;="&amp;DM$139,$L:$L,"&lt;="&amp;DO$139,$O:$O,"="&amp;DM149)</f>
        <v>60505599.5</v>
      </c>
      <c r="DR149" s="167">
        <f>COUNTIFS($L:$L,"&gt;="&amp;DM$139,$L:$L,"&lt;="&amp;DO$139,$O:$O,"="&amp;DM149)</f>
        <v>2</v>
      </c>
      <c r="DT149" s="172"/>
      <c r="DU149" s="2"/>
      <c r="DV149" s="154"/>
      <c r="DW149" s="154"/>
      <c r="DX149" s="155">
        <f t="shared" si="175"/>
        <v>100</v>
      </c>
      <c r="DY149" s="154"/>
      <c r="DZ149" s="154"/>
      <c r="EA149" s="156">
        <f t="shared" si="176"/>
        <v>162.44874999999999</v>
      </c>
    </row>
    <row r="150" spans="10:131" x14ac:dyDescent="0.25">
      <c r="J150" s="86" t="str" cm="1">
        <f t="array" ref="J150">LOOKUP(2,1/($G$17:$G$33&lt;=$L150)/($H$17:$H$33&gt;=$L150),$F$17:$F$33)</f>
        <v>1H22</v>
      </c>
      <c r="K150" s="86" t="str" cm="1">
        <f t="array" ref="K150">LOOKUP(2,1/($G$6:$G$14&lt;=$L150)/($H$6:$H$14&gt;=$L150),$F$6:$F$14)</f>
        <v>FY22</v>
      </c>
      <c r="L150" s="118">
        <v>44455</v>
      </c>
      <c r="M150" s="49">
        <v>25355455</v>
      </c>
      <c r="N150" s="49">
        <v>30763773</v>
      </c>
      <c r="O150" s="50">
        <v>8000000</v>
      </c>
      <c r="P150" s="119" cm="1">
        <f t="array" ref="P150">LOOKUP(2,1/($B$10:$B$14&lt;=$L150)/($C$10:$C$14&gt;=$L150),$D$10:$D$14)</f>
        <v>1.1000000000000001</v>
      </c>
      <c r="Q150" s="120" cm="1">
        <f t="array" ref="Q150">LOOKUP(2,1/($B$17:$B$21&lt;=$L150)/($C$17:$C$21&gt;=$L150),$D$17:$D$21)</f>
        <v>134.49039999999999</v>
      </c>
      <c r="R150" s="113" t="str">
        <f t="shared" si="128"/>
        <v/>
      </c>
      <c r="S150" s="113" t="str">
        <f t="shared" si="129"/>
        <v>1H22</v>
      </c>
      <c r="T150" s="113" t="str">
        <f t="shared" ca="1" si="130"/>
        <v/>
      </c>
      <c r="U150" s="113" t="str">
        <f t="shared" si="131"/>
        <v/>
      </c>
      <c r="V150" s="113" t="str">
        <f t="shared" si="4"/>
        <v>FY22</v>
      </c>
      <c r="W150" s="113" t="str">
        <f t="shared" ca="1" si="168"/>
        <v/>
      </c>
      <c r="X150" s="50"/>
      <c r="Y150" s="146">
        <v>4</v>
      </c>
      <c r="Z150" s="166">
        <v>50000000</v>
      </c>
      <c r="AA150" s="167">
        <f t="shared" si="181"/>
        <v>74897736</v>
      </c>
      <c r="AE150" s="167">
        <f t="shared" si="182"/>
        <v>3</v>
      </c>
      <c r="AF150" s="167"/>
      <c r="AG150" s="167"/>
      <c r="AH150" s="167"/>
      <c r="AJ150" s="153" t="s">
        <v>172</v>
      </c>
      <c r="AK150" s="170">
        <f>Z145</f>
        <v>134.49039999999999</v>
      </c>
      <c r="AL150" s="154"/>
      <c r="AM150" s="154"/>
      <c r="AN150" s="155">
        <f t="shared" si="171"/>
        <v>200</v>
      </c>
      <c r="AO150" s="154"/>
      <c r="AP150" s="154"/>
      <c r="AQ150" s="156">
        <f t="shared" si="172"/>
        <v>346.96199999999999</v>
      </c>
      <c r="AT150" s="50"/>
      <c r="AU150" s="146">
        <v>4</v>
      </c>
      <c r="AV150" s="166">
        <v>20000000</v>
      </c>
      <c r="AW150" s="146">
        <f t="shared" si="185"/>
        <v>29706800.812416002</v>
      </c>
      <c r="AY150" s="167"/>
      <c r="BA150" s="172"/>
      <c r="BB150" s="2"/>
      <c r="BC150" s="154"/>
      <c r="BD150" s="155">
        <f t="shared" si="177"/>
        <v>80</v>
      </c>
      <c r="BE150" s="156">
        <f t="shared" si="178"/>
        <v>107.54796019968002</v>
      </c>
      <c r="BH150" s="50"/>
      <c r="BI150" s="146">
        <v>4</v>
      </c>
      <c r="BJ150" s="166">
        <v>50000000</v>
      </c>
      <c r="BK150" s="167">
        <f t="shared" si="183"/>
        <v>74479625</v>
      </c>
      <c r="BO150" s="167">
        <f t="shared" si="184"/>
        <v>2</v>
      </c>
      <c r="BQ150" s="153" t="s">
        <v>91</v>
      </c>
      <c r="BR150" s="155">
        <f>BJ143/1000000</f>
        <v>4</v>
      </c>
      <c r="BS150" s="154"/>
      <c r="BT150" s="154"/>
      <c r="BU150" s="155">
        <f t="shared" si="173"/>
        <v>200</v>
      </c>
      <c r="BV150" s="154"/>
      <c r="BW150" s="154"/>
      <c r="BX150" s="156">
        <f t="shared" si="174"/>
        <v>346.96199999999999</v>
      </c>
      <c r="CA150" s="50"/>
      <c r="CQ150" s="50"/>
      <c r="CR150" s="146">
        <v>5</v>
      </c>
      <c r="CS150" s="166">
        <v>60000000</v>
      </c>
      <c r="CT150" s="168">
        <f t="shared" si="179"/>
        <v>79920318.125</v>
      </c>
      <c r="CU150" s="173"/>
      <c r="CV150" s="145">
        <v>84738999.999999985</v>
      </c>
      <c r="CW150" s="145"/>
      <c r="CX150" s="167">
        <f t="shared" si="180"/>
        <v>8</v>
      </c>
      <c r="DA150" s="172" t="s">
        <v>147</v>
      </c>
      <c r="DB150" s="174">
        <f>CS139</f>
        <v>44378</v>
      </c>
      <c r="DC150" s="154"/>
      <c r="DD150" s="154"/>
      <c r="DE150" s="155">
        <f t="shared" si="169"/>
        <v>160</v>
      </c>
      <c r="DF150" s="154"/>
      <c r="DG150" s="154"/>
      <c r="DH150" s="156">
        <f t="shared" si="170"/>
        <v>259.3877</v>
      </c>
      <c r="DK150" s="50"/>
      <c r="DL150" s="146">
        <v>5</v>
      </c>
      <c r="DM150" s="166">
        <v>60000000</v>
      </c>
      <c r="DN150" s="168">
        <f>AVERAGEIFS($M:$M,$L:$L,"&gt;="&amp;DM$139,$L:$L,"&lt;="&amp;DO$139,$O:$O,"="&amp;DM150)</f>
        <v>82205459</v>
      </c>
      <c r="DP150" s="145">
        <v>84283000</v>
      </c>
      <c r="DQ150" s="145">
        <v>84583000</v>
      </c>
      <c r="DR150" s="167">
        <f>COUNTIFS($L:$L,"&gt;="&amp;DM$139,$L:$L,"&lt;="&amp;DO$139,$O:$O,"="&amp;DM150)</f>
        <v>1</v>
      </c>
      <c r="DT150" s="172" t="s">
        <v>147</v>
      </c>
      <c r="DU150" s="174">
        <f>DM139</f>
        <v>44013</v>
      </c>
      <c r="DV150" s="154"/>
      <c r="DW150" s="154"/>
      <c r="DX150" s="155">
        <f t="shared" si="175"/>
        <v>120</v>
      </c>
      <c r="DY150" s="154"/>
      <c r="DZ150" s="154"/>
      <c r="EA150" s="156">
        <f t="shared" si="176"/>
        <v>190.99625</v>
      </c>
    </row>
    <row r="151" spans="10:131" x14ac:dyDescent="0.25">
      <c r="J151" s="86" t="str" cm="1">
        <f t="array" ref="J151">LOOKUP(2,1/($G$17:$G$33&lt;=$L151)/($H$17:$H$33&gt;=$L151),$F$17:$F$33)</f>
        <v>1H22</v>
      </c>
      <c r="K151" s="86" t="str" cm="1">
        <f t="array" ref="K151">LOOKUP(2,1/($G$6:$G$14&lt;=$L151)/($H$6:$H$14&gt;=$L151),$F$6:$F$14)</f>
        <v>FY22</v>
      </c>
      <c r="L151" s="118">
        <v>44448</v>
      </c>
      <c r="M151" s="49">
        <v>19506277</v>
      </c>
      <c r="N151" s="49">
        <v>23666966</v>
      </c>
      <c r="O151" s="50">
        <v>3000000</v>
      </c>
      <c r="P151" s="119" cm="1">
        <f t="array" ref="P151">LOOKUP(2,1/($B$10:$B$14&lt;=$L151)/($C$10:$C$14&gt;=$L151),$D$10:$D$14)</f>
        <v>1.1000000000000001</v>
      </c>
      <c r="Q151" s="120" cm="1">
        <f t="array" ref="Q151">LOOKUP(2,1/($B$17:$B$21&lt;=$L151)/($C$17:$C$21&gt;=$L151),$D$17:$D$21)</f>
        <v>134.49039999999999</v>
      </c>
      <c r="R151" s="113" t="str">
        <f t="shared" si="128"/>
        <v/>
      </c>
      <c r="S151" s="113" t="str">
        <f t="shared" si="129"/>
        <v>1H22</v>
      </c>
      <c r="T151" s="113" t="str">
        <f t="shared" ca="1" si="130"/>
        <v/>
      </c>
      <c r="U151" s="113" t="str">
        <f t="shared" si="131"/>
        <v/>
      </c>
      <c r="V151" s="113" t="str">
        <f t="shared" si="4"/>
        <v>FY22</v>
      </c>
      <c r="W151" s="113" t="str">
        <f t="shared" ca="1" si="168"/>
        <v/>
      </c>
      <c r="X151" s="50"/>
      <c r="Y151" s="146">
        <v>5</v>
      </c>
      <c r="Z151" s="166">
        <v>100000000</v>
      </c>
      <c r="AA151" s="167">
        <f t="shared" si="181"/>
        <v>160319658.5</v>
      </c>
      <c r="AC151" s="145">
        <v>131990000.00000001</v>
      </c>
      <c r="AD151" s="145">
        <v>141620000</v>
      </c>
      <c r="AE151" s="167">
        <f t="shared" si="182"/>
        <v>2</v>
      </c>
      <c r="AF151" s="167"/>
      <c r="AG151" s="167"/>
      <c r="AH151" s="167"/>
      <c r="AJ151" s="172"/>
      <c r="AK151" s="2"/>
      <c r="AL151" s="154"/>
      <c r="AM151" s="154"/>
      <c r="AN151" s="155">
        <f t="shared" si="171"/>
        <v>250</v>
      </c>
      <c r="AO151" s="154"/>
      <c r="AP151" s="154"/>
      <c r="AQ151" s="156">
        <f t="shared" si="172"/>
        <v>428.05</v>
      </c>
      <c r="AT151" s="50"/>
      <c r="AU151" s="146">
        <v>5</v>
      </c>
      <c r="AV151" s="166">
        <v>40000000</v>
      </c>
      <c r="AW151" s="146">
        <f t="shared" si="185"/>
        <v>44655295.112064004</v>
      </c>
      <c r="AY151" s="167"/>
      <c r="BA151" s="172" t="s">
        <v>147</v>
      </c>
      <c r="BB151" s="174" t="str">
        <f>AV140</f>
        <v>EST</v>
      </c>
      <c r="BC151" s="154"/>
      <c r="BD151" s="155">
        <f t="shared" si="177"/>
        <v>100</v>
      </c>
      <c r="BE151" s="156">
        <f t="shared" si="178"/>
        <v>182.73015790848001</v>
      </c>
      <c r="BH151" s="50"/>
      <c r="BI151" s="146">
        <v>5</v>
      </c>
      <c r="BJ151" s="166">
        <v>100000000</v>
      </c>
      <c r="BK151" s="167">
        <f t="shared" si="183"/>
        <v>183084473</v>
      </c>
      <c r="BM151" s="145">
        <v>131990000.00000001</v>
      </c>
      <c r="BN151" s="145">
        <v>141620000</v>
      </c>
      <c r="BO151" s="167">
        <f t="shared" si="184"/>
        <v>1</v>
      </c>
      <c r="BQ151" s="171"/>
      <c r="BS151" s="154"/>
      <c r="BT151" s="154"/>
      <c r="BU151" s="155">
        <f t="shared" si="173"/>
        <v>250</v>
      </c>
      <c r="BV151" s="154"/>
      <c r="BW151" s="154"/>
      <c r="BX151" s="156">
        <f t="shared" si="174"/>
        <v>428.05</v>
      </c>
      <c r="CA151" s="50"/>
      <c r="CQ151" s="50"/>
      <c r="CR151" s="146">
        <v>6</v>
      </c>
      <c r="CS151" s="166">
        <v>80000000</v>
      </c>
      <c r="CT151" s="168">
        <f t="shared" si="179"/>
        <v>116973107.25</v>
      </c>
      <c r="CU151" s="173"/>
      <c r="CV151" s="145">
        <v>107696999.99999999</v>
      </c>
      <c r="CW151" s="145"/>
      <c r="CX151" s="167">
        <f t="shared" si="180"/>
        <v>4</v>
      </c>
      <c r="DA151" s="172" t="s">
        <v>148</v>
      </c>
      <c r="DB151" s="174">
        <f>CU139</f>
        <v>44742</v>
      </c>
      <c r="DC151" s="154"/>
      <c r="DD151" s="154"/>
      <c r="DE151" s="155">
        <f t="shared" si="169"/>
        <v>200</v>
      </c>
      <c r="DF151" s="154"/>
      <c r="DG151" s="154"/>
      <c r="DH151" s="156">
        <f t="shared" si="170"/>
        <v>319.07850000000002</v>
      </c>
      <c r="DK151" s="50"/>
      <c r="DL151" s="146">
        <v>6</v>
      </c>
      <c r="DM151" s="145">
        <v>80000000</v>
      </c>
      <c r="DN151" s="145"/>
      <c r="DO151" s="173">
        <f>IF($DM151&gt;=100000000,$DP$141*DP$144*DP151+$DQ$141*DQ$144*DQ151,DP$144*DP151+DQ$144*DQ151)</f>
        <v>107121000</v>
      </c>
      <c r="DP151" s="145">
        <v>107121000</v>
      </c>
      <c r="DQ151" s="145">
        <v>110883000</v>
      </c>
      <c r="DR151" s="167"/>
      <c r="DT151" s="172" t="s">
        <v>148</v>
      </c>
      <c r="DU151" s="174">
        <f>DO139</f>
        <v>44196</v>
      </c>
      <c r="DV151" s="154"/>
      <c r="DW151" s="154"/>
      <c r="DX151" s="155">
        <f t="shared" si="175"/>
        <v>160</v>
      </c>
      <c r="DY151" s="154"/>
      <c r="DZ151" s="154"/>
      <c r="EA151" s="156">
        <f t="shared" si="176"/>
        <v>248.09124999999997</v>
      </c>
    </row>
    <row r="152" spans="10:131" x14ac:dyDescent="0.25">
      <c r="J152" s="86" t="str" cm="1">
        <f t="array" ref="J152">LOOKUP(2,1/($G$17:$G$33&lt;=$L152)/($H$17:$H$33&gt;=$L152),$F$17:$F$33)</f>
        <v>1H22</v>
      </c>
      <c r="K152" s="86" t="str" cm="1">
        <f t="array" ref="K152">LOOKUP(2,1/($G$6:$G$14&lt;=$L152)/($H$6:$H$14&gt;=$L152),$F$6:$F$14)</f>
        <v>FY22</v>
      </c>
      <c r="L152" s="118">
        <v>44441</v>
      </c>
      <c r="M152" s="49">
        <v>43186218</v>
      </c>
      <c r="N152" s="49">
        <v>52397838</v>
      </c>
      <c r="O152" s="50">
        <v>20000000</v>
      </c>
      <c r="P152" s="119" cm="1">
        <f t="array" ref="P152">LOOKUP(2,1/($B$10:$B$14&lt;=$L152)/($C$10:$C$14&gt;=$L152),$D$10:$D$14)</f>
        <v>1.1000000000000001</v>
      </c>
      <c r="Q152" s="120" cm="1">
        <f t="array" ref="Q152">LOOKUP(2,1/($B$17:$B$21&lt;=$L152)/($C$17:$C$21&gt;=$L152),$D$17:$D$21)</f>
        <v>134.49039999999999</v>
      </c>
      <c r="R152" s="113" t="str">
        <f t="shared" si="128"/>
        <v/>
      </c>
      <c r="S152" s="113" t="str">
        <f t="shared" si="129"/>
        <v>1H22</v>
      </c>
      <c r="T152" s="113" t="str">
        <f t="shared" ca="1" si="130"/>
        <v/>
      </c>
      <c r="U152" s="113" t="str">
        <f t="shared" si="131"/>
        <v/>
      </c>
      <c r="V152" s="113" t="str">
        <f t="shared" si="4"/>
        <v>FY22</v>
      </c>
      <c r="W152" s="113" t="str">
        <f t="shared" ca="1" si="168"/>
        <v/>
      </c>
      <c r="X152" s="50"/>
      <c r="Y152" s="146">
        <v>6</v>
      </c>
      <c r="Z152" s="166">
        <v>160000000</v>
      </c>
      <c r="AA152" s="167">
        <f t="shared" si="181"/>
        <v>284837414</v>
      </c>
      <c r="AC152" s="145">
        <v>201494000.00000003</v>
      </c>
      <c r="AD152" s="145">
        <v>244478000</v>
      </c>
      <c r="AE152" s="167">
        <f t="shared" si="182"/>
        <v>1</v>
      </c>
      <c r="AF152" s="167"/>
      <c r="AG152" s="167"/>
      <c r="AH152" s="167"/>
      <c r="AJ152" s="172" t="s">
        <v>147</v>
      </c>
      <c r="AK152" s="174">
        <f>Z140</f>
        <v>44701</v>
      </c>
      <c r="AL152" s="154"/>
      <c r="AM152" s="154"/>
      <c r="AN152" s="155">
        <f t="shared" si="171"/>
        <v>300</v>
      </c>
      <c r="AO152" s="154"/>
      <c r="AP152" s="154"/>
      <c r="AQ152" s="156">
        <f t="shared" si="172"/>
        <v>509.13799999999992</v>
      </c>
      <c r="AT152" s="50"/>
      <c r="AU152" s="146">
        <v>6</v>
      </c>
      <c r="AV152" s="166">
        <v>60000000</v>
      </c>
      <c r="AW152" s="146">
        <f t="shared" si="185"/>
        <v>74486643.678720012</v>
      </c>
      <c r="AY152" s="167"/>
      <c r="BA152" s="172" t="s">
        <v>148</v>
      </c>
      <c r="BB152" s="174" t="str">
        <f>AX140</f>
        <v>EST</v>
      </c>
      <c r="BC152" s="154"/>
      <c r="BD152" s="155">
        <f t="shared" si="177"/>
        <v>150</v>
      </c>
      <c r="BE152" s="156">
        <f t="shared" si="178"/>
        <v>233.86363636363637</v>
      </c>
      <c r="BH152" s="50"/>
      <c r="BI152" s="146">
        <v>6</v>
      </c>
      <c r="BJ152" s="166">
        <v>160000000</v>
      </c>
      <c r="BK152" s="167">
        <f t="shared" si="183"/>
        <v>284837414</v>
      </c>
      <c r="BM152" s="145">
        <v>201494000.00000003</v>
      </c>
      <c r="BN152" s="145">
        <v>244478000</v>
      </c>
      <c r="BO152" s="167">
        <f t="shared" si="184"/>
        <v>1</v>
      </c>
      <c r="BQ152" s="172" t="s">
        <v>147</v>
      </c>
      <c r="BR152" s="174">
        <f>BJ140</f>
        <v>44524</v>
      </c>
      <c r="BS152" s="154"/>
      <c r="BT152" s="154"/>
      <c r="BU152" s="155">
        <f t="shared" si="173"/>
        <v>300</v>
      </c>
      <c r="BV152" s="154"/>
      <c r="BW152" s="154"/>
      <c r="BX152" s="156">
        <f t="shared" si="174"/>
        <v>509.13799999999992</v>
      </c>
      <c r="CA152" s="50"/>
      <c r="CQ152" s="50"/>
      <c r="CR152" s="146">
        <v>7</v>
      </c>
      <c r="CS152" s="166">
        <v>120000000</v>
      </c>
      <c r="CT152" s="168">
        <f t="shared" si="179"/>
        <v>244631645</v>
      </c>
      <c r="CU152" s="173">
        <f>IF($CS152&gt;=100000000,$CV$141*CV$144*CV152+$CW$141*CW$144*CW152,CV$144*CV152+CW$144*CW152)</f>
        <v>199696900</v>
      </c>
      <c r="CV152" s="145">
        <v>153613000</v>
      </c>
      <c r="CW152" s="145"/>
      <c r="CX152" s="167">
        <f t="shared" si="180"/>
        <v>1</v>
      </c>
      <c r="DA152" s="172" t="s">
        <v>0</v>
      </c>
      <c r="DB152" s="175">
        <f>CU144</f>
        <v>0.77358490566037741</v>
      </c>
      <c r="DC152" s="154"/>
      <c r="DD152" s="154"/>
      <c r="DE152" s="155">
        <f t="shared" si="169"/>
        <v>250</v>
      </c>
      <c r="DF152" s="154"/>
      <c r="DG152" s="154"/>
      <c r="DH152" s="156">
        <f t="shared" si="170"/>
        <v>393.69200000000001</v>
      </c>
      <c r="DK152" s="50"/>
      <c r="DL152" s="146">
        <v>7</v>
      </c>
      <c r="DM152" s="145">
        <v>100000000</v>
      </c>
      <c r="DN152" s="145"/>
      <c r="DO152" s="173">
        <f>IF($DM152&gt;=100000000,$DP$141*DP$144*DP152+$DQ$141*DQ$144*DQ152,DP$144*DP152+DQ$144*DQ152)</f>
        <v>162448750</v>
      </c>
      <c r="DP152" s="145">
        <v>129959000</v>
      </c>
      <c r="DQ152" s="145">
        <v>139102999.99999997</v>
      </c>
      <c r="DR152" s="167"/>
      <c r="DT152" s="172" t="s">
        <v>173</v>
      </c>
      <c r="DU152" s="177">
        <f>DO144</f>
        <v>1</v>
      </c>
      <c r="DV152" s="154"/>
      <c r="DW152" s="154"/>
      <c r="DX152" s="155">
        <f t="shared" si="175"/>
        <v>200</v>
      </c>
      <c r="DY152" s="154"/>
      <c r="DZ152" s="154"/>
      <c r="EA152" s="156">
        <f t="shared" si="176"/>
        <v>305.18624999999997</v>
      </c>
    </row>
    <row r="153" spans="10:131" x14ac:dyDescent="0.25">
      <c r="J153" s="86" t="str" cm="1">
        <f t="array" ref="J153">LOOKUP(2,1/($G$17:$G$33&lt;=$L153)/($H$17:$H$33&gt;=$L153),$F$17:$F$33)</f>
        <v>1H22</v>
      </c>
      <c r="K153" s="86" t="str" cm="1">
        <f t="array" ref="K153">LOOKUP(2,1/($G$6:$G$14&lt;=$L153)/($H$6:$H$14&gt;=$L153),$F$6:$F$14)</f>
        <v>FY22</v>
      </c>
      <c r="L153" s="118">
        <v>44434</v>
      </c>
      <c r="M153" s="49">
        <v>29212562</v>
      </c>
      <c r="N153" s="49">
        <v>35443602</v>
      </c>
      <c r="O153" s="50">
        <v>8000000</v>
      </c>
      <c r="P153" s="119" cm="1">
        <f t="array" ref="P153">LOOKUP(2,1/($B$10:$B$14&lt;=$L153)/($C$10:$C$14&gt;=$L153),$D$10:$D$14)</f>
        <v>1.1000000000000001</v>
      </c>
      <c r="Q153" s="120" cm="1">
        <f t="array" ref="Q153">LOOKUP(2,1/($B$17:$B$21&lt;=$L153)/($C$17:$C$21&gt;=$L153),$D$17:$D$21)</f>
        <v>134.49039999999999</v>
      </c>
      <c r="R153" s="113" t="str">
        <f t="shared" si="128"/>
        <v/>
      </c>
      <c r="S153" s="113" t="str">
        <f t="shared" si="129"/>
        <v>1H22</v>
      </c>
      <c r="T153" s="113" t="str">
        <f t="shared" ca="1" si="130"/>
        <v/>
      </c>
      <c r="U153" s="113" t="str">
        <f t="shared" si="131"/>
        <v/>
      </c>
      <c r="V153" s="113" t="str">
        <f t="shared" si="4"/>
        <v>FY22</v>
      </c>
      <c r="W153" s="113" t="str">
        <f t="shared" ca="1" si="168"/>
        <v/>
      </c>
      <c r="X153" s="50"/>
      <c r="Y153" s="146">
        <v>7</v>
      </c>
      <c r="Z153" s="145">
        <v>200000000</v>
      </c>
      <c r="AA153" s="145"/>
      <c r="AB153" s="173">
        <f>IF($Z153&gt;=100000000,$AC$142*AC$145*AC153+$AD$142*AD$145*AD153,AC$145*AC153+AD$145*AD153)*AB$145</f>
        <v>346962000</v>
      </c>
      <c r="AC153" s="145">
        <v>247830000</v>
      </c>
      <c r="AD153" s="145">
        <v>325050000</v>
      </c>
      <c r="AE153" s="167"/>
      <c r="AF153" s="167"/>
      <c r="AG153" s="167"/>
      <c r="AH153" s="167"/>
      <c r="AJ153" s="172" t="s">
        <v>148</v>
      </c>
      <c r="AK153" s="174">
        <f>AB140</f>
        <v>45066</v>
      </c>
      <c r="AL153" s="154"/>
      <c r="AM153" s="154"/>
      <c r="AN153" s="155">
        <f t="shared" si="171"/>
        <v>350</v>
      </c>
      <c r="AO153" s="154"/>
      <c r="AP153" s="154"/>
      <c r="AQ153" s="156">
        <f t="shared" si="172"/>
        <v>590.226</v>
      </c>
      <c r="AT153" s="50"/>
      <c r="AU153" s="146">
        <v>7</v>
      </c>
      <c r="AV153" s="166">
        <v>80000000</v>
      </c>
      <c r="AW153" s="146">
        <f t="shared" si="185"/>
        <v>107547960.19968002</v>
      </c>
      <c r="AX153" s="168"/>
      <c r="AY153" s="168"/>
      <c r="BA153" s="176"/>
      <c r="BB153" s="85"/>
      <c r="BC153" s="154"/>
      <c r="BD153" s="155">
        <f t="shared" si="177"/>
        <v>200</v>
      </c>
      <c r="BE153" s="156">
        <f>MAX(AW156:AX156)/1000000</f>
        <v>300.68181818181819</v>
      </c>
      <c r="BH153" s="50"/>
      <c r="BI153" s="146">
        <v>7</v>
      </c>
      <c r="BJ153" s="145">
        <v>200000000</v>
      </c>
      <c r="BK153" s="145"/>
      <c r="BL153" s="173">
        <f>IF($BJ153&gt;=100000000,$BM$142*BM$145*BM153+$BN$142*BN$145*BN153,BM$145*BM153+BN$145*BN153)</f>
        <v>346962000</v>
      </c>
      <c r="BM153" s="145">
        <v>247830000</v>
      </c>
      <c r="BN153" s="145">
        <v>325050000</v>
      </c>
      <c r="BO153" s="146"/>
      <c r="BQ153" s="172" t="s">
        <v>148</v>
      </c>
      <c r="BR153" s="174">
        <f>BL140</f>
        <v>44889</v>
      </c>
      <c r="BS153" s="154"/>
      <c r="BT153" s="154"/>
      <c r="BU153" s="155">
        <f t="shared" si="173"/>
        <v>350</v>
      </c>
      <c r="BV153" s="154"/>
      <c r="BW153" s="154"/>
      <c r="BX153" s="156">
        <f t="shared" si="174"/>
        <v>590.226</v>
      </c>
      <c r="CA153" s="50"/>
      <c r="CQ153" s="50"/>
      <c r="CR153" s="146">
        <v>8</v>
      </c>
      <c r="CS153" s="145">
        <v>160000000</v>
      </c>
      <c r="CT153" s="145"/>
      <c r="CU153" s="173">
        <f>IF($CS153&gt;=100000000,$CV$141*CV$144*CV153+$CW$141*CW$144*CW153,CV$144*CV153+CW$144*CW153)</f>
        <v>259387700</v>
      </c>
      <c r="CV153" s="145">
        <v>199529000</v>
      </c>
      <c r="CW153" s="145"/>
      <c r="CX153" s="146"/>
      <c r="DA153" s="179" t="s">
        <v>162</v>
      </c>
      <c r="DB153" s="180">
        <f>CV141</f>
        <v>1.3</v>
      </c>
      <c r="DC153" s="181"/>
      <c r="DD153" s="181"/>
      <c r="DE153" s="181"/>
      <c r="DF153" s="181"/>
      <c r="DG153" s="181"/>
      <c r="DH153" s="182"/>
      <c r="DK153" s="50"/>
      <c r="DL153" s="146">
        <v>8</v>
      </c>
      <c r="DM153" s="145">
        <v>120000000</v>
      </c>
      <c r="DN153" s="145"/>
      <c r="DO153" s="173">
        <f>IF($DM153&gt;=100000000,$DP$141*DP$144*DP153+$DQ$141*DQ$144*DQ153,DP$144*DP153+DQ$144*DQ153)</f>
        <v>190996250</v>
      </c>
      <c r="DP153" s="145">
        <v>152797000</v>
      </c>
      <c r="DQ153" s="145">
        <v>169243000</v>
      </c>
      <c r="DR153" s="146"/>
      <c r="DT153" s="176"/>
      <c r="DU153" s="32"/>
      <c r="DV153" s="32"/>
      <c r="DW153" s="32"/>
      <c r="DX153" s="32"/>
      <c r="DY153" s="32"/>
      <c r="DZ153" s="32"/>
      <c r="EA153" s="183"/>
    </row>
    <row r="154" spans="10:131" x14ac:dyDescent="0.25">
      <c r="J154" s="86" t="str" cm="1">
        <f t="array" ref="J154">LOOKUP(2,1/($G$17:$G$33&lt;=$L154)/($H$17:$H$33&gt;=$L154),$F$17:$F$33)</f>
        <v>1H22</v>
      </c>
      <c r="K154" s="86" t="str" cm="1">
        <f t="array" ref="K154">LOOKUP(2,1/($G$6:$G$14&lt;=$L154)/($H$6:$H$14&gt;=$L154),$F$6:$F$14)</f>
        <v>FY22</v>
      </c>
      <c r="L154" s="118">
        <v>44427</v>
      </c>
      <c r="M154" s="49">
        <v>20220384</v>
      </c>
      <c r="N154" s="49">
        <v>24533391</v>
      </c>
      <c r="O154" s="50">
        <v>3000000</v>
      </c>
      <c r="P154" s="119" cm="1">
        <f t="array" ref="P154">LOOKUP(2,1/($B$10:$B$14&lt;=$L154)/($C$10:$C$14&gt;=$L154),$D$10:$D$14)</f>
        <v>1.1000000000000001</v>
      </c>
      <c r="Q154" s="120" cm="1">
        <f t="array" ref="Q154">LOOKUP(2,1/($B$17:$B$21&lt;=$L154)/($C$17:$C$21&gt;=$L154),$D$17:$D$21)</f>
        <v>134.49039999999999</v>
      </c>
      <c r="R154" s="113" t="str">
        <f t="shared" si="128"/>
        <v/>
      </c>
      <c r="S154" s="113" t="str">
        <f t="shared" si="129"/>
        <v>1H22</v>
      </c>
      <c r="T154" s="113" t="str">
        <f t="shared" ca="1" si="130"/>
        <v/>
      </c>
      <c r="U154" s="113" t="str">
        <f t="shared" si="131"/>
        <v/>
      </c>
      <c r="V154" s="113" t="str">
        <f t="shared" si="4"/>
        <v>FY22</v>
      </c>
      <c r="W154" s="113" t="str">
        <f t="shared" ca="1" si="168"/>
        <v/>
      </c>
      <c r="X154" s="50"/>
      <c r="Y154" s="146">
        <v>8</v>
      </c>
      <c r="Z154" s="145">
        <v>250000000</v>
      </c>
      <c r="AA154" s="145"/>
      <c r="AB154" s="173">
        <f>IF($Z154&gt;=100000000,$AC$142*AC$145*AC154+$AD$142*AD$145*AD154,AC$145*AC154+AD$145*AD154)*AB$145</f>
        <v>428050000</v>
      </c>
      <c r="AC154" s="145">
        <v>305750000</v>
      </c>
      <c r="AD154" s="145">
        <v>439265000.00000006</v>
      </c>
      <c r="AE154" s="146"/>
      <c r="AF154" s="146"/>
      <c r="AG154" s="146"/>
      <c r="AH154" s="146"/>
      <c r="AJ154" s="179" t="s">
        <v>0</v>
      </c>
      <c r="AK154" s="185">
        <f>AB145</f>
        <v>1</v>
      </c>
      <c r="AL154" s="181"/>
      <c r="AM154" s="181"/>
      <c r="AN154" s="181"/>
      <c r="AO154" s="181"/>
      <c r="AP154" s="181"/>
      <c r="AQ154" s="182"/>
      <c r="AT154" s="50"/>
      <c r="AU154" s="146">
        <v>8</v>
      </c>
      <c r="AV154" s="166">
        <v>100000000</v>
      </c>
      <c r="AW154" s="146">
        <f t="shared" si="185"/>
        <v>182730157.90848002</v>
      </c>
      <c r="AX154" s="168"/>
      <c r="AY154" s="168"/>
      <c r="BA154" s="176"/>
      <c r="BB154" s="32"/>
      <c r="BC154" s="32"/>
      <c r="BD154" s="32"/>
      <c r="BE154" s="183"/>
      <c r="BH154" s="50"/>
      <c r="BI154" s="146">
        <v>8</v>
      </c>
      <c r="BJ154" s="145">
        <v>250000000</v>
      </c>
      <c r="BK154" s="145"/>
      <c r="BL154" s="173">
        <f>IF($BJ154&gt;=100000000,$BM$142*BM$145*BM154+$BN$142*BN$145*BN154,BM$145*BM154+BN$145*BN154)</f>
        <v>428050000</v>
      </c>
      <c r="BM154" s="145">
        <v>305750000</v>
      </c>
      <c r="BN154" s="145">
        <v>439265000.00000006</v>
      </c>
      <c r="BO154" s="146"/>
      <c r="BQ154" s="179" t="s">
        <v>0</v>
      </c>
      <c r="BR154" s="185">
        <f>BL145</f>
        <v>1</v>
      </c>
      <c r="BS154" s="181"/>
      <c r="BT154" s="181"/>
      <c r="BU154" s="181"/>
      <c r="BV154" s="181"/>
      <c r="BW154" s="181"/>
      <c r="BX154" s="182"/>
      <c r="CA154" s="50"/>
      <c r="CQ154" s="50"/>
      <c r="CR154" s="146">
        <v>9</v>
      </c>
      <c r="CS154" s="145">
        <v>200000000</v>
      </c>
      <c r="CT154" s="145"/>
      <c r="CU154" s="173">
        <f>IF($CS154&gt;=100000000,$CV$141*CV$144*CV154+$CW$141*CW$144*CW154,CV$144*CV154+CW$144*CW154)</f>
        <v>319078500</v>
      </c>
      <c r="CV154" s="145">
        <v>245445000</v>
      </c>
      <c r="CW154" s="145"/>
      <c r="CX154" s="146"/>
      <c r="DA154" s="2"/>
      <c r="DB154" s="2"/>
      <c r="DC154" s="2"/>
      <c r="DD154" s="2"/>
      <c r="DE154" s="2"/>
      <c r="DF154" s="2"/>
      <c r="DG154" s="2"/>
      <c r="DH154" s="2"/>
      <c r="DK154" s="50"/>
      <c r="DL154" s="146">
        <v>9</v>
      </c>
      <c r="DM154" s="145">
        <v>160000000</v>
      </c>
      <c r="DN154" s="145"/>
      <c r="DO154" s="173">
        <f>IF($DM154&gt;=100000000,$DP$141*DP$144*DP154+$DQ$141*DQ$144*DQ154,DP$144*DP154+DQ$144*DQ154)</f>
        <v>248091249.99999997</v>
      </c>
      <c r="DP154" s="145">
        <v>198472999.99999997</v>
      </c>
      <c r="DQ154" s="145">
        <v>235283000</v>
      </c>
      <c r="DR154" s="146"/>
      <c r="DT154" s="186"/>
      <c r="DU154" s="2"/>
      <c r="DV154" s="2"/>
      <c r="DW154" s="2"/>
      <c r="DX154" s="2"/>
      <c r="DY154" s="2"/>
      <c r="DZ154" s="2"/>
      <c r="EA154" s="187"/>
    </row>
    <row r="155" spans="10:131" x14ac:dyDescent="0.25">
      <c r="J155" s="86" t="str" cm="1">
        <f t="array" ref="J155">LOOKUP(2,1/($G$17:$G$33&lt;=$L155)/($H$17:$H$33&gt;=$L155),$F$17:$F$33)</f>
        <v>1H22</v>
      </c>
      <c r="K155" s="86" t="str" cm="1">
        <f t="array" ref="K155">LOOKUP(2,1/($G$6:$G$14&lt;=$L155)/($H$6:$H$14&gt;=$L155),$F$6:$F$14)</f>
        <v>FY22</v>
      </c>
      <c r="L155" s="118">
        <v>44420</v>
      </c>
      <c r="M155" s="49">
        <v>125405740</v>
      </c>
      <c r="N155" s="49">
        <v>152154784</v>
      </c>
      <c r="O155" s="50">
        <v>80000000</v>
      </c>
      <c r="P155" s="119" cm="1">
        <f t="array" ref="P155">LOOKUP(2,1/($B$10:$B$14&lt;=$L155)/($C$10:$C$14&gt;=$L155),$D$10:$D$14)</f>
        <v>1.1000000000000001</v>
      </c>
      <c r="Q155" s="120" cm="1">
        <f t="array" ref="Q155">LOOKUP(2,1/($B$17:$B$21&lt;=$L155)/($C$17:$C$21&gt;=$L155),$D$17:$D$21)</f>
        <v>134.49039999999999</v>
      </c>
      <c r="R155" s="113" t="str">
        <f t="shared" si="128"/>
        <v/>
      </c>
      <c r="S155" s="113" t="str">
        <f t="shared" si="129"/>
        <v>1H22</v>
      </c>
      <c r="T155" s="113" t="str">
        <f t="shared" ca="1" si="130"/>
        <v/>
      </c>
      <c r="U155" s="113" t="str">
        <f t="shared" si="131"/>
        <v/>
      </c>
      <c r="V155" s="113" t="str">
        <f t="shared" si="4"/>
        <v>FY22</v>
      </c>
      <c r="W155" s="113" t="str">
        <f t="shared" ca="1" si="168"/>
        <v/>
      </c>
      <c r="X155" s="50"/>
      <c r="Y155" s="146">
        <v>9</v>
      </c>
      <c r="Z155" s="145">
        <v>300000000</v>
      </c>
      <c r="AA155" s="145"/>
      <c r="AB155" s="173">
        <f>IF($Z155&gt;=100000000,$AC$142*AC$145*AC155+$AD$142*AD$145*AD155,AC$145*AC155+AD$145*AD155)*AB$145</f>
        <v>509137999.99999994</v>
      </c>
      <c r="AC155" s="145">
        <v>363670000</v>
      </c>
      <c r="AD155" s="145">
        <v>568480000</v>
      </c>
      <c r="AE155" s="146"/>
      <c r="AF155" s="146"/>
      <c r="AG155" s="146"/>
      <c r="AH155" s="146"/>
      <c r="AJ155" s="2"/>
      <c r="AK155" s="2"/>
      <c r="AL155" s="2"/>
      <c r="AM155" s="2"/>
      <c r="AN155" s="2"/>
      <c r="AO155" s="2"/>
      <c r="AP155" s="2"/>
      <c r="AQ155" s="2"/>
      <c r="AT155" s="50"/>
      <c r="AU155" s="146">
        <v>9</v>
      </c>
      <c r="AV155" s="145">
        <v>150000000</v>
      </c>
      <c r="AW155" s="184"/>
      <c r="AX155" s="145">
        <f>AX98</f>
        <v>233863636.36363637</v>
      </c>
      <c r="AY155" s="146"/>
      <c r="BA155" s="186"/>
      <c r="BB155" s="2"/>
      <c r="BC155" s="2"/>
      <c r="BD155" s="2"/>
      <c r="BE155" s="187"/>
      <c r="BH155" s="50"/>
      <c r="BI155" s="146">
        <v>9</v>
      </c>
      <c r="BJ155" s="145">
        <v>300000000</v>
      </c>
      <c r="BK155" s="145"/>
      <c r="BL155" s="173">
        <f>IF($BJ155&gt;=100000000,$BM$142*BM$145*BM155+$BN$142*BN$145*BN155,BM$145*BM155+BN$145*BN155)</f>
        <v>509137999.99999994</v>
      </c>
      <c r="BM155" s="145">
        <v>363670000</v>
      </c>
      <c r="BN155" s="145">
        <v>568480000</v>
      </c>
      <c r="BO155" s="146"/>
      <c r="BQ155" s="2"/>
      <c r="BR155" s="2"/>
      <c r="BS155" s="2"/>
      <c r="BT155" s="2"/>
      <c r="BU155" s="2"/>
      <c r="BV155" s="2"/>
      <c r="BW155" s="2"/>
      <c r="BX155" s="2"/>
      <c r="CA155" s="50"/>
      <c r="CQ155" s="50"/>
      <c r="CR155" s="146">
        <v>10</v>
      </c>
      <c r="CS155" s="145">
        <v>250000000</v>
      </c>
      <c r="CT155" s="145"/>
      <c r="CU155" s="173">
        <f>IF($CS155&gt;=100000000,$CV$141*CV$144*CV155+$CW$141*CW$144*CW155,CV$144*CV155+CW$144*CW155)</f>
        <v>393692000</v>
      </c>
      <c r="CV155" s="145">
        <v>302840000</v>
      </c>
      <c r="CW155" s="145"/>
      <c r="CX155" s="146"/>
      <c r="DA155" s="188"/>
      <c r="DB155" s="188"/>
      <c r="DC155" s="188"/>
      <c r="DD155" s="188"/>
      <c r="DE155" s="188"/>
      <c r="DF155" s="188"/>
      <c r="DG155" s="188"/>
      <c r="DH155" s="188"/>
      <c r="DK155" s="50"/>
      <c r="DL155" s="146">
        <v>10</v>
      </c>
      <c r="DM155" s="145">
        <v>200000000</v>
      </c>
      <c r="DN155" s="145"/>
      <c r="DO155" s="173">
        <f>IF($DM155&gt;=100000000,$DP$141*DP$144*DP155+$DQ$141*DQ$144*DQ155,DP$144*DP155+DQ$144*DQ155)</f>
        <v>305186250</v>
      </c>
      <c r="DP155" s="145">
        <v>244149000</v>
      </c>
      <c r="DQ155" s="145">
        <v>309002999.99999994</v>
      </c>
      <c r="DR155" s="146"/>
      <c r="DT155" s="189"/>
      <c r="DU155" s="190"/>
      <c r="DV155" s="190"/>
      <c r="DW155" s="190"/>
      <c r="DX155" s="190"/>
      <c r="DY155" s="190"/>
      <c r="DZ155" s="190"/>
      <c r="EA155" s="191"/>
    </row>
    <row r="156" spans="10:131" x14ac:dyDescent="0.25">
      <c r="J156" s="86" t="str" cm="1">
        <f t="array" ref="J156">LOOKUP(2,1/($G$17:$G$33&lt;=$L156)/($H$17:$H$33&gt;=$L156),$F$17:$F$33)</f>
        <v>1H22</v>
      </c>
      <c r="K156" s="86" t="str" cm="1">
        <f t="array" ref="K156">LOOKUP(2,1/($G$6:$G$14&lt;=$L156)/($H$6:$H$14&gt;=$L156),$F$6:$F$14)</f>
        <v>FY22</v>
      </c>
      <c r="L156" s="118">
        <v>44413</v>
      </c>
      <c r="M156" s="49">
        <v>80092386</v>
      </c>
      <c r="N156" s="49">
        <v>97176092</v>
      </c>
      <c r="O156" s="50">
        <v>60000000</v>
      </c>
      <c r="P156" s="119" cm="1">
        <f t="array" ref="P156">LOOKUP(2,1/($B$10:$B$14&lt;=$L156)/($C$10:$C$14&gt;=$L156),$D$10:$D$14)</f>
        <v>1.1000000000000001</v>
      </c>
      <c r="Q156" s="120" cm="1">
        <f t="array" ref="Q156">LOOKUP(2,1/($B$17:$B$21&lt;=$L156)/($C$17:$C$21&gt;=$L156),$D$17:$D$21)</f>
        <v>134.49039999999999</v>
      </c>
      <c r="R156" s="113" t="str">
        <f t="shared" si="128"/>
        <v/>
      </c>
      <c r="S156" s="113" t="str">
        <f t="shared" si="129"/>
        <v>1H22</v>
      </c>
      <c r="T156" s="113" t="str">
        <f t="shared" ca="1" si="130"/>
        <v/>
      </c>
      <c r="U156" s="113" t="str">
        <f t="shared" si="131"/>
        <v/>
      </c>
      <c r="V156" s="113" t="str">
        <f t="shared" si="4"/>
        <v>FY22</v>
      </c>
      <c r="W156" s="113" t="str">
        <f t="shared" ca="1" si="168"/>
        <v/>
      </c>
      <c r="X156" s="50"/>
      <c r="Y156" s="146">
        <v>10</v>
      </c>
      <c r="Z156" s="145">
        <v>350000000</v>
      </c>
      <c r="AA156" s="145"/>
      <c r="AB156" s="173">
        <f>IF($Z156&gt;=100000000,$AC$142*AC$145*AC156+$AD$142*AD$145*AD156,AC$145*AC156+AD$145*AD156)*AB$145</f>
        <v>590226000</v>
      </c>
      <c r="AC156" s="145">
        <v>421590000.00000006</v>
      </c>
      <c r="AD156" s="145">
        <v>712695000</v>
      </c>
      <c r="AE156" s="146"/>
      <c r="AF156" s="146"/>
      <c r="AG156" s="146"/>
      <c r="AH156" s="146"/>
      <c r="AJ156" s="188"/>
      <c r="AK156" s="188"/>
      <c r="AL156" s="188"/>
      <c r="AM156" s="188"/>
      <c r="AN156" s="188"/>
      <c r="AO156" s="188"/>
      <c r="AP156" s="188"/>
      <c r="AQ156" s="188"/>
      <c r="AT156" s="50"/>
      <c r="AU156" s="146">
        <v>10</v>
      </c>
      <c r="AV156" s="145">
        <v>200000000</v>
      </c>
      <c r="AW156" s="184"/>
      <c r="AX156" s="145">
        <f>AX99</f>
        <v>300681818.18181819</v>
      </c>
      <c r="AY156" s="146"/>
      <c r="BA156" s="189"/>
      <c r="BB156" s="190"/>
      <c r="BC156" s="190"/>
      <c r="BD156" s="190"/>
      <c r="BE156" s="191"/>
      <c r="BH156" s="50"/>
      <c r="BI156" s="146">
        <v>10</v>
      </c>
      <c r="BJ156" s="145">
        <v>350000000</v>
      </c>
      <c r="BK156" s="145"/>
      <c r="BL156" s="173">
        <f>IF($BJ156&gt;=100000000,$BM$142*BM$145*BM156+$BN$142*BN$145*BN156,BM$145*BM156+BN$145*BN156)</f>
        <v>590226000</v>
      </c>
      <c r="BM156" s="145">
        <v>421590000.00000006</v>
      </c>
      <c r="BN156" s="145">
        <v>712695000</v>
      </c>
      <c r="BO156" s="146"/>
      <c r="BQ156" s="188"/>
      <c r="BR156" s="188"/>
      <c r="BS156" s="188"/>
      <c r="BT156" s="188"/>
      <c r="BU156" s="188"/>
      <c r="BV156" s="188"/>
      <c r="BW156" s="188"/>
      <c r="BX156" s="188"/>
      <c r="CA156" s="50"/>
      <c r="CQ156" s="50"/>
      <c r="DA156" s="106"/>
      <c r="DB156" s="107"/>
      <c r="DC156" s="107"/>
      <c r="DD156" s="107"/>
      <c r="DE156" s="108"/>
      <c r="DF156" s="107"/>
      <c r="DG156" s="107"/>
      <c r="DH156" s="108"/>
      <c r="DK156" s="50"/>
    </row>
    <row r="157" spans="10:131" x14ac:dyDescent="0.25">
      <c r="J157" s="86" t="str" cm="1">
        <f t="array" ref="J157">LOOKUP(2,1/($G$17:$G$33&lt;=$L157)/($H$17:$H$33&gt;=$L157),$F$17:$F$33)</f>
        <v>1H22</v>
      </c>
      <c r="K157" s="86" t="str" cm="1">
        <f t="array" ref="K157">LOOKUP(2,1/($G$6:$G$14&lt;=$L157)/($H$6:$H$14&gt;=$L157),$F$6:$F$14)</f>
        <v>FY22</v>
      </c>
      <c r="L157" s="118">
        <v>44406</v>
      </c>
      <c r="M157" s="49">
        <v>57263651</v>
      </c>
      <c r="N157" s="49">
        <v>69477988</v>
      </c>
      <c r="O157" s="50">
        <v>40000000</v>
      </c>
      <c r="P157" s="119" cm="1">
        <f t="array" ref="P157">LOOKUP(2,1/($B$10:$B$14&lt;=$L157)/($C$10:$C$14&gt;=$L157),$D$10:$D$14)</f>
        <v>1.1000000000000001</v>
      </c>
      <c r="Q157" s="120" cm="1">
        <f t="array" ref="Q157">LOOKUP(2,1/($B$17:$B$21&lt;=$L157)/($C$17:$C$21&gt;=$L157),$D$17:$D$21)</f>
        <v>134.49039999999999</v>
      </c>
      <c r="R157" s="113" t="str">
        <f t="shared" ref="R157:R220" si="186">IF($J157&lt;&gt;$J158,$J157,"")</f>
        <v/>
      </c>
      <c r="S157" s="113" t="str">
        <f t="shared" ref="S157:S220" si="187">IF($O156&lt;$O157,$J157,S156)</f>
        <v>1H22</v>
      </c>
      <c r="T157" s="113" t="str">
        <f t="shared" ref="T157:T220" ca="1" si="188">IF(AND(S157&lt;&gt;S156,ISNUMBER(MATCH($S156,$F$17:$F$33,0))),OFFSET($F$16,MATCH($J157,$F$17:$F$33,0)+1,0),"")</f>
        <v/>
      </c>
      <c r="U157" s="113" t="str">
        <f t="shared" ref="U157:U220" si="189">IF($K157&lt;&gt;$K158,$K157,"")</f>
        <v/>
      </c>
      <c r="V157" s="113" t="str">
        <f t="shared" si="4"/>
        <v>FY22</v>
      </c>
      <c r="W157" s="113" t="str">
        <f t="shared" ca="1" si="168"/>
        <v/>
      </c>
      <c r="X157" s="50"/>
      <c r="AT157" s="50"/>
      <c r="AU157" s="192"/>
      <c r="AZ157" s="105"/>
      <c r="BA157" s="105"/>
      <c r="BB157" s="105"/>
      <c r="BC157" s="105"/>
      <c r="BD157" s="105"/>
      <c r="BE157" s="105"/>
      <c r="BF157" s="105"/>
      <c r="BG157" s="105"/>
      <c r="BH157" s="50"/>
      <c r="CA157" s="50"/>
      <c r="CQ157" s="50"/>
      <c r="CR157" s="125" t="s">
        <v>221</v>
      </c>
      <c r="CS157" s="126"/>
      <c r="CT157" s="126"/>
      <c r="CU157" s="126"/>
      <c r="CV157" s="126"/>
      <c r="CW157" s="126"/>
      <c r="CX157" s="126"/>
      <c r="CY157" s="126"/>
      <c r="CZ157" s="126"/>
      <c r="DA157" s="126"/>
      <c r="DB157" s="126"/>
      <c r="DC157" s="126"/>
      <c r="DD157" s="126"/>
      <c r="DE157" s="126"/>
      <c r="DF157" s="126"/>
      <c r="DG157" s="126"/>
      <c r="DH157" s="126"/>
      <c r="DI157" s="126"/>
      <c r="DJ157" s="126"/>
      <c r="DK157" s="50"/>
      <c r="DL157" s="125" t="s">
        <v>52</v>
      </c>
      <c r="DM157" s="126"/>
      <c r="DN157" s="126"/>
      <c r="DO157" s="126"/>
      <c r="DP157" s="126"/>
      <c r="DQ157" s="126"/>
      <c r="DR157" s="126"/>
      <c r="DS157" s="126"/>
      <c r="DT157" s="126"/>
      <c r="DU157" s="126"/>
      <c r="DV157" s="126"/>
      <c r="DW157" s="126"/>
      <c r="DX157" s="126"/>
      <c r="DY157" s="126"/>
      <c r="DZ157" s="126"/>
      <c r="EA157" s="126"/>
    </row>
    <row r="158" spans="10:131" x14ac:dyDescent="0.25">
      <c r="J158" s="86" t="str" cm="1">
        <f t="array" ref="J158">LOOKUP(2,1/($G$17:$G$33&lt;=$L158)/($H$17:$H$33&gt;=$L158),$F$17:$F$33)</f>
        <v>1H22</v>
      </c>
      <c r="K158" s="86" t="str" cm="1">
        <f t="array" ref="K158">LOOKUP(2,1/($G$6:$G$14&lt;=$L158)/($H$6:$H$14&gt;=$L158),$F$6:$F$14)</f>
        <v>FY22</v>
      </c>
      <c r="L158" s="118">
        <v>44399</v>
      </c>
      <c r="M158" s="49">
        <v>41039353</v>
      </c>
      <c r="N158" s="49">
        <v>49793047</v>
      </c>
      <c r="O158" s="50">
        <v>20000000</v>
      </c>
      <c r="P158" s="119" cm="1">
        <f t="array" ref="P158">LOOKUP(2,1/($B$10:$B$14&lt;=$L158)/($C$10:$C$14&gt;=$L158),$D$10:$D$14)</f>
        <v>1.1000000000000001</v>
      </c>
      <c r="Q158" s="120" cm="1">
        <f t="array" ref="Q158">LOOKUP(2,1/($B$17:$B$21&lt;=$L158)/($C$17:$C$21&gt;=$L158),$D$17:$D$21)</f>
        <v>134.49039999999999</v>
      </c>
      <c r="R158" s="113" t="str">
        <f t="shared" si="186"/>
        <v/>
      </c>
      <c r="S158" s="113" t="str">
        <f t="shared" si="187"/>
        <v>1H22</v>
      </c>
      <c r="T158" s="113" t="str">
        <f t="shared" ca="1" si="188"/>
        <v/>
      </c>
      <c r="U158" s="113" t="str">
        <f t="shared" si="189"/>
        <v/>
      </c>
      <c r="V158" s="113" t="str">
        <f t="shared" si="4"/>
        <v>FY22</v>
      </c>
      <c r="W158" s="113" t="str">
        <f t="shared" ca="1" si="168"/>
        <v/>
      </c>
      <c r="X158" s="50"/>
      <c r="AT158" s="50"/>
      <c r="AU158" s="121" t="s">
        <v>225</v>
      </c>
      <c r="AV158" s="122"/>
      <c r="AW158" s="122"/>
      <c r="AX158" s="122"/>
      <c r="AY158" s="122"/>
      <c r="AZ158" s="122"/>
      <c r="BA158" s="122"/>
      <c r="BB158" s="122"/>
      <c r="BC158" s="122"/>
      <c r="BD158" s="122"/>
      <c r="BE158" s="122"/>
      <c r="BF158" s="122"/>
      <c r="BG158" s="122"/>
      <c r="BH158" s="50"/>
      <c r="CA158" s="50"/>
      <c r="CQ158" s="50"/>
      <c r="CR158" s="114" t="s">
        <v>147</v>
      </c>
      <c r="CS158" s="115">
        <v>44378</v>
      </c>
      <c r="CT158" s="114" t="s">
        <v>148</v>
      </c>
      <c r="CU158" s="115">
        <v>44742</v>
      </c>
      <c r="CV158" s="132"/>
      <c r="CW158" s="132"/>
      <c r="CX158" s="132"/>
      <c r="CY158" s="133"/>
      <c r="CZ158" s="133"/>
      <c r="DA158" s="133"/>
      <c r="DB158" s="133"/>
      <c r="DC158" s="133"/>
      <c r="DD158" s="133"/>
      <c r="DE158" s="133"/>
      <c r="DF158" s="133"/>
      <c r="DG158" s="133"/>
      <c r="DH158" s="133"/>
      <c r="DI158" s="133"/>
      <c r="DJ158" s="133"/>
      <c r="DK158" s="50"/>
      <c r="DL158" s="114" t="s">
        <v>147</v>
      </c>
      <c r="DM158" s="115">
        <v>44197</v>
      </c>
      <c r="DN158" s="114" t="s">
        <v>148</v>
      </c>
      <c r="DO158" s="115">
        <v>44377</v>
      </c>
      <c r="DP158" s="132"/>
      <c r="DQ158" s="132"/>
      <c r="DR158" s="132"/>
      <c r="DS158" s="133"/>
      <c r="DT158" s="133"/>
      <c r="DU158" s="133"/>
      <c r="DV158" s="133"/>
      <c r="DW158" s="133"/>
      <c r="DX158" s="133"/>
      <c r="DY158" s="133"/>
      <c r="DZ158" s="133"/>
      <c r="EA158" s="133"/>
    </row>
    <row r="159" spans="10:131" x14ac:dyDescent="0.25">
      <c r="J159" s="86" t="str" cm="1">
        <f t="array" ref="J159">LOOKUP(2,1/($G$17:$G$33&lt;=$L159)/($H$17:$H$33&gt;=$L159),$F$17:$F$33)</f>
        <v>1H22</v>
      </c>
      <c r="K159" s="86" t="str" cm="1">
        <f t="array" ref="K159">LOOKUP(2,1/($G$6:$G$14&lt;=$L159)/($H$6:$H$14&gt;=$L159),$F$6:$F$14)</f>
        <v>FY22</v>
      </c>
      <c r="L159" s="118">
        <v>44392</v>
      </c>
      <c r="M159" s="49">
        <v>25998846</v>
      </c>
      <c r="N159" s="49">
        <v>31544400</v>
      </c>
      <c r="O159" s="50">
        <v>8000000</v>
      </c>
      <c r="P159" s="119" cm="1">
        <f t="array" ref="P159">LOOKUP(2,1/($B$10:$B$14&lt;=$L159)/($C$10:$C$14&gt;=$L159),$D$10:$D$14)</f>
        <v>1.1000000000000001</v>
      </c>
      <c r="Q159" s="120" cm="1">
        <f t="array" ref="Q159">LOOKUP(2,1/($B$17:$B$21&lt;=$L159)/($C$17:$C$21&gt;=$L159),$D$17:$D$21)</f>
        <v>134.49039999999999</v>
      </c>
      <c r="R159" s="113" t="str">
        <f t="shared" si="186"/>
        <v/>
      </c>
      <c r="S159" s="113" t="str">
        <f t="shared" si="187"/>
        <v>1H22</v>
      </c>
      <c r="T159" s="113" t="str">
        <f t="shared" ca="1" si="188"/>
        <v/>
      </c>
      <c r="U159" s="113" t="str">
        <f t="shared" si="189"/>
        <v/>
      </c>
      <c r="V159" s="113" t="str">
        <f t="shared" si="4"/>
        <v>FY22</v>
      </c>
      <c r="W159" s="113" t="str">
        <f t="shared" ca="1" si="168"/>
        <v/>
      </c>
      <c r="X159" s="50"/>
      <c r="Y159" s="114" t="s">
        <v>147</v>
      </c>
      <c r="Z159" s="115">
        <v>45108</v>
      </c>
      <c r="AA159" s="114" t="s">
        <v>148</v>
      </c>
      <c r="AB159" s="115">
        <v>45473</v>
      </c>
      <c r="AT159" s="50"/>
      <c r="AU159" s="114" t="s">
        <v>147</v>
      </c>
      <c r="AV159" s="115">
        <v>44652</v>
      </c>
      <c r="AW159" s="114" t="s">
        <v>148</v>
      </c>
      <c r="AX159" s="115">
        <v>44868</v>
      </c>
      <c r="AY159" s="132"/>
      <c r="AZ159" s="133"/>
      <c r="BA159" s="133"/>
      <c r="BB159" s="133"/>
      <c r="BC159" s="133"/>
      <c r="BD159" s="133"/>
      <c r="BE159" s="133"/>
      <c r="BF159" s="133"/>
      <c r="BG159" s="133"/>
      <c r="BH159" s="50"/>
      <c r="CA159" s="50"/>
      <c r="CQ159" s="50"/>
      <c r="CR159" s="114" t="s">
        <v>159</v>
      </c>
      <c r="CS159" s="115" t="s">
        <v>22</v>
      </c>
      <c r="CT159" s="114" t="s">
        <v>161</v>
      </c>
      <c r="CU159" s="134" t="str" cm="1">
        <f t="array" ref="CU159">IF(OR(LOOKUP(2,1/($B$10:$B$14&lt;=CU158)/($C$10:$C$14&gt;=CU158),$D$10:$D$14)&lt;&gt;CS162,LOOKUP(2,1/($B$6:$B$7&lt;=CU158)/($C$6:$C$7&gt;=CU158),$D$6:$D$7)&lt;&gt;CU162),"FAIL","PASS")</f>
        <v>PASS</v>
      </c>
      <c r="CV159" s="134" t="s">
        <v>162</v>
      </c>
      <c r="CW159" s="134" t="s">
        <v>162</v>
      </c>
      <c r="CX159" s="134"/>
      <c r="CY159" s="133"/>
      <c r="CZ159" s="133"/>
      <c r="DA159" s="133"/>
      <c r="DB159" s="133"/>
      <c r="DC159" s="133"/>
      <c r="DD159" s="133"/>
      <c r="DE159" s="133"/>
      <c r="DF159" s="133"/>
      <c r="DG159" s="133"/>
      <c r="DH159" s="133"/>
      <c r="DI159" s="133"/>
      <c r="DJ159" s="133"/>
      <c r="DK159" s="50"/>
      <c r="DL159" s="114" t="s">
        <v>159</v>
      </c>
      <c r="DM159" s="115" t="s">
        <v>52</v>
      </c>
      <c r="DN159" s="114" t="s">
        <v>161</v>
      </c>
      <c r="DO159" s="134" t="str" cm="1">
        <f t="array" ref="DO159">IF(OR(LOOKUP(2,1/($B$10:$B$14&lt;=DO158)/($C$10:$C$14&gt;=DO158),$D$10:$D$14)&lt;&gt;DM162,LOOKUP(2,1/($B$6:$B$7&lt;=DO158)/($C$6:$C$7&gt;=DO158),$D$6:$D$7)&lt;&gt;DO162),"FAIL","PASS")</f>
        <v>PASS</v>
      </c>
      <c r="DP159" s="134" t="s">
        <v>162</v>
      </c>
      <c r="DQ159" s="134" t="s">
        <v>162</v>
      </c>
      <c r="DR159" s="134"/>
      <c r="DS159" s="133"/>
      <c r="DT159" s="133"/>
      <c r="DU159" s="133"/>
      <c r="DV159" s="133"/>
      <c r="DW159" s="133"/>
      <c r="DX159" s="133"/>
      <c r="DY159" s="133"/>
      <c r="DZ159" s="133"/>
      <c r="EA159" s="133"/>
    </row>
    <row r="160" spans="10:131" x14ac:dyDescent="0.25">
      <c r="J160" s="86" t="str" cm="1">
        <f t="array" ref="J160">LOOKUP(2,1/($G$17:$G$33&lt;=$L160)/($H$17:$H$33&gt;=$L160),$F$17:$F$33)</f>
        <v>1H22</v>
      </c>
      <c r="K160" s="86" t="str" cm="1">
        <f t="array" ref="K160">LOOKUP(2,1/($G$6:$G$14&lt;=$L160)/($H$6:$H$14&gt;=$L160),$F$6:$F$14)</f>
        <v>FY22</v>
      </c>
      <c r="L160" s="118">
        <v>44385</v>
      </c>
      <c r="M160" s="49">
        <v>18162558</v>
      </c>
      <c r="N160" s="49">
        <v>22036632</v>
      </c>
      <c r="O160" s="50">
        <v>3000000</v>
      </c>
      <c r="P160" s="119" cm="1">
        <f t="array" ref="P160">LOOKUP(2,1/($B$10:$B$14&lt;=$L160)/($C$10:$C$14&gt;=$L160),$D$10:$D$14)</f>
        <v>1.1000000000000001</v>
      </c>
      <c r="Q160" s="120" cm="1">
        <f t="array" ref="Q160">LOOKUP(2,1/($B$17:$B$21&lt;=$L160)/($C$17:$C$21&gt;=$L160),$D$17:$D$21)</f>
        <v>134.49039999999999</v>
      </c>
      <c r="R160" s="113" t="str">
        <f t="shared" si="186"/>
        <v/>
      </c>
      <c r="S160" s="113" t="str">
        <f t="shared" si="187"/>
        <v>1H22</v>
      </c>
      <c r="T160" s="113" t="str">
        <f t="shared" ca="1" si="188"/>
        <v/>
      </c>
      <c r="U160" s="113" t="str">
        <f t="shared" si="189"/>
        <v/>
      </c>
      <c r="V160" s="113" t="str">
        <f t="shared" si="4"/>
        <v>FY22</v>
      </c>
      <c r="W160" s="113" t="str">
        <f t="shared" ca="1" si="168"/>
        <v/>
      </c>
      <c r="X160" s="50"/>
      <c r="AA160" s="114" t="s">
        <v>0</v>
      </c>
      <c r="AB160" s="135">
        <v>1</v>
      </c>
      <c r="AT160" s="50"/>
      <c r="AU160" s="114" t="s">
        <v>159</v>
      </c>
      <c r="AV160" s="115" t="s">
        <v>181</v>
      </c>
      <c r="AW160" s="114" t="s">
        <v>161</v>
      </c>
      <c r="AX160" s="115" t="s">
        <v>163</v>
      </c>
      <c r="AY160" s="132"/>
      <c r="AZ160" s="133"/>
      <c r="BA160" s="133"/>
      <c r="BB160" s="133"/>
      <c r="BC160" s="133"/>
      <c r="BD160" s="133"/>
      <c r="BE160" s="133"/>
      <c r="BF160" s="133"/>
      <c r="BG160" s="133"/>
      <c r="BH160" s="50"/>
      <c r="CA160" s="50"/>
      <c r="CQ160" s="50"/>
      <c r="CR160" s="114" t="s">
        <v>165</v>
      </c>
      <c r="CS160" s="134">
        <f>INDEX($G:$G,MATCH(CS159,$F:$F,0))</f>
        <v>44378</v>
      </c>
      <c r="CT160" s="114" t="s">
        <v>166</v>
      </c>
      <c r="CU160" s="134">
        <f>INDEX($H:$H,MATCH(CS159,$F:$F,0))</f>
        <v>44742</v>
      </c>
      <c r="CV160" s="135">
        <v>1.3</v>
      </c>
      <c r="CW160" s="135">
        <v>1</v>
      </c>
      <c r="CX160" s="134"/>
      <c r="DA160" s="136" t="s">
        <v>167</v>
      </c>
      <c r="DB160" s="137"/>
      <c r="DC160" s="137"/>
      <c r="DD160" s="137"/>
      <c r="DE160" s="138"/>
      <c r="DF160" s="137"/>
      <c r="DG160" s="137"/>
      <c r="DH160" s="139"/>
      <c r="DK160" s="50"/>
      <c r="DL160" s="114" t="s">
        <v>165</v>
      </c>
      <c r="DM160" s="134">
        <f>INDEX($G:$G,MATCH(DM159,$F:$F,0))</f>
        <v>44197</v>
      </c>
      <c r="DN160" s="114" t="s">
        <v>166</v>
      </c>
      <c r="DO160" s="134">
        <f>INDEX($H:$H,MATCH(DM159,$F:$F,0))</f>
        <v>44377</v>
      </c>
      <c r="DP160" s="135">
        <v>1.25</v>
      </c>
      <c r="DQ160" s="135">
        <v>1</v>
      </c>
      <c r="DR160" s="134"/>
      <c r="DT160" s="136" t="s">
        <v>167</v>
      </c>
      <c r="DU160" s="137"/>
      <c r="DV160" s="137"/>
      <c r="DW160" s="137"/>
      <c r="DX160" s="138"/>
      <c r="DY160" s="137"/>
      <c r="DZ160" s="137"/>
      <c r="EA160" s="139"/>
    </row>
    <row r="161" spans="10:131" x14ac:dyDescent="0.25">
      <c r="J161" s="86" t="str" cm="1">
        <f t="array" ref="J161">LOOKUP(2,1/($G$17:$G$33&lt;=$L161)/($H$17:$H$33&gt;=$L161),$F$17:$F$33)</f>
        <v>1H22</v>
      </c>
      <c r="K161" s="86" t="str" cm="1">
        <f t="array" ref="K161">LOOKUP(2,1/($G$6:$G$14&lt;=$L161)/($H$6:$H$14&gt;=$L161),$F$6:$F$14)</f>
        <v>FY22</v>
      </c>
      <c r="L161" s="118">
        <v>44378</v>
      </c>
      <c r="M161" s="49">
        <v>77623219</v>
      </c>
      <c r="N161" s="49">
        <v>94180252</v>
      </c>
      <c r="O161" s="50">
        <v>60000000</v>
      </c>
      <c r="P161" s="119" cm="1">
        <f t="array" ref="P161">LOOKUP(2,1/($B$10:$B$14&lt;=$L161)/($C$10:$C$14&gt;=$L161),$D$10:$D$14)</f>
        <v>1.1000000000000001</v>
      </c>
      <c r="Q161" s="120" cm="1">
        <f t="array" ref="Q161">LOOKUP(2,1/($B$17:$B$21&lt;=$L161)/($C$17:$C$21&gt;=$L161),$D$17:$D$21)</f>
        <v>134.49039999999999</v>
      </c>
      <c r="R161" s="113" t="str">
        <f t="shared" si="186"/>
        <v>1H22</v>
      </c>
      <c r="S161" s="113" t="str">
        <f t="shared" si="187"/>
        <v>1H22</v>
      </c>
      <c r="T161" s="113" t="str">
        <f t="shared" ca="1" si="188"/>
        <v/>
      </c>
      <c r="U161" s="113" t="str">
        <f t="shared" si="189"/>
        <v>FY22</v>
      </c>
      <c r="V161" s="113" t="str">
        <f t="shared" si="4"/>
        <v>FY22</v>
      </c>
      <c r="W161" s="113" t="str">
        <f t="shared" ca="1" si="168"/>
        <v/>
      </c>
      <c r="X161" s="50"/>
      <c r="AT161" s="50"/>
      <c r="AU161" s="114" t="s">
        <v>165</v>
      </c>
      <c r="AV161" s="134">
        <f>INDEX($G:$G,MATCH(AV160,$F:$F,0))</f>
        <v>45108</v>
      </c>
      <c r="AW161" s="114" t="s">
        <v>166</v>
      </c>
      <c r="AX161" s="134">
        <f>INDEX($H:$H,MATCH(AV160,$F:$F,0))</f>
        <v>45473</v>
      </c>
      <c r="AY161" s="134"/>
      <c r="BA161" s="136" t="s">
        <v>167</v>
      </c>
      <c r="BB161" s="137"/>
      <c r="BC161" s="137"/>
      <c r="BD161" s="138"/>
      <c r="BE161" s="139"/>
      <c r="BH161" s="50"/>
      <c r="CA161" s="50"/>
      <c r="CQ161" s="50"/>
      <c r="CR161" s="114" t="s">
        <v>91</v>
      </c>
      <c r="CS161" s="140">
        <f>INDEX($O:$O,MATCH(CS159,$U:$U,0))</f>
        <v>60000000</v>
      </c>
      <c r="CT161" s="114" t="s">
        <v>76</v>
      </c>
      <c r="CU161" s="140">
        <f ca="1">INDEX($O:$O,MATCH(CS159,$W:$W,0))</f>
        <v>8000000</v>
      </c>
      <c r="CV161" s="140"/>
      <c r="CW161" s="140"/>
      <c r="CX161" s="140"/>
      <c r="DA161" s="141" t="s">
        <v>168</v>
      </c>
      <c r="DB161" s="141"/>
      <c r="DC161" s="142"/>
      <c r="DD161" s="142"/>
      <c r="DE161" s="143" t="s">
        <v>15</v>
      </c>
      <c r="DF161" s="142"/>
      <c r="DG161" s="142"/>
      <c r="DH161" s="144" t="s">
        <v>139</v>
      </c>
      <c r="DK161" s="50"/>
      <c r="DL161" s="114" t="s">
        <v>91</v>
      </c>
      <c r="DM161" s="140">
        <f>INDEX($O:$O,MATCH(DM159,$R:$R,0))</f>
        <v>3000000</v>
      </c>
      <c r="DN161" s="114" t="s">
        <v>76</v>
      </c>
      <c r="DO161" s="140">
        <f ca="1">INDEX($O:$O,MATCH(DM159,$T:$T,0))</f>
        <v>8000000</v>
      </c>
      <c r="DP161" s="140"/>
      <c r="DQ161" s="140"/>
      <c r="DR161" s="140"/>
      <c r="DT161" s="147" t="s">
        <v>165</v>
      </c>
      <c r="DU161" s="148">
        <f>DM160</f>
        <v>44197</v>
      </c>
      <c r="DV161" s="142"/>
      <c r="DW161" s="142"/>
      <c r="DX161" s="143" t="s">
        <v>15</v>
      </c>
      <c r="DY161" s="142"/>
      <c r="DZ161" s="142"/>
      <c r="EA161" s="144" t="s">
        <v>139</v>
      </c>
    </row>
    <row r="162" spans="10:131" x14ac:dyDescent="0.25">
      <c r="J162" s="86" t="str" cm="1">
        <f t="array" ref="J162">LOOKUP(2,1/($G$17:$G$33&lt;=$L162)/($H$17:$H$33&gt;=$L162),$F$17:$F$33)</f>
        <v>2H21</v>
      </c>
      <c r="K162" s="86" t="str" cm="1">
        <f t="array" ref="K162">LOOKUP(2,1/($G$6:$G$14&lt;=$L162)/($H$6:$H$14&gt;=$L162),$F$6:$F$14)</f>
        <v>FY21</v>
      </c>
      <c r="L162" s="118">
        <v>44371</v>
      </c>
      <c r="M162" s="49">
        <v>55754455</v>
      </c>
      <c r="N162" s="49">
        <v>67646881</v>
      </c>
      <c r="O162" s="50">
        <v>40000000</v>
      </c>
      <c r="P162" s="119" cm="1">
        <f t="array" ref="P162">LOOKUP(2,1/($B$10:$B$14&lt;=$L162)/($C$10:$C$14&gt;=$L162),$D$10:$D$14)</f>
        <v>1.1000000000000001</v>
      </c>
      <c r="Q162" s="120" cm="1">
        <f t="array" ref="Q162">LOOKUP(2,1/($B$17:$B$21&lt;=$L162)/($C$17:$C$21&gt;=$L162),$D$17:$D$21)</f>
        <v>134.49039999999999</v>
      </c>
      <c r="R162" s="113" t="str">
        <f t="shared" si="186"/>
        <v/>
      </c>
      <c r="S162" s="113" t="str">
        <f t="shared" si="187"/>
        <v>1H22</v>
      </c>
      <c r="T162" s="113" t="str">
        <f t="shared" ca="1" si="188"/>
        <v/>
      </c>
      <c r="U162" s="113" t="str">
        <f t="shared" si="189"/>
        <v/>
      </c>
      <c r="V162" s="113" t="str">
        <f t="shared" si="4"/>
        <v>FY22</v>
      </c>
      <c r="W162" s="113" t="str">
        <f t="shared" ca="1" si="168"/>
        <v/>
      </c>
      <c r="AB162" s="85" t="s">
        <v>226</v>
      </c>
      <c r="AC162" s="85" t="s">
        <v>227</v>
      </c>
      <c r="AG162" s="223">
        <v>-0.1</v>
      </c>
      <c r="AH162" s="223">
        <v>-0.05</v>
      </c>
      <c r="AJ162" s="223">
        <v>0</v>
      </c>
      <c r="AU162" s="114" t="s">
        <v>91</v>
      </c>
      <c r="AV162" s="145">
        <v>20000000</v>
      </c>
      <c r="AW162" s="114" t="s">
        <v>76</v>
      </c>
      <c r="AX162" s="145">
        <v>20000000</v>
      </c>
      <c r="AY162" s="146"/>
      <c r="BA162" s="147" t="s">
        <v>165</v>
      </c>
      <c r="BB162" s="148">
        <f>AV161</f>
        <v>45108</v>
      </c>
      <c r="BC162" s="142"/>
      <c r="BD162" s="143" t="s">
        <v>15</v>
      </c>
      <c r="BE162" s="144" t="s">
        <v>139</v>
      </c>
      <c r="CR162" s="114" t="s">
        <v>169</v>
      </c>
      <c r="CS162" s="119" cm="1">
        <f t="array" ref="CS162">LOOKUP(2,1/($B$10:$B$14&lt;=CS158)/($C$10:$C$14&gt;=CS158),$D$10:$D$14)</f>
        <v>1.1000000000000001</v>
      </c>
      <c r="CT162" s="114" t="s">
        <v>149</v>
      </c>
      <c r="CU162" s="152" cm="1">
        <f t="array" ref="CU162">LOOKUP(2,1/($B$6:$B$7&lt;=CS158)/($C$6:$C$7&gt;=CS158),$D$6:$D$7)</f>
        <v>0.10299999999999999</v>
      </c>
      <c r="CV162" s="152" t="s">
        <v>170</v>
      </c>
      <c r="CW162" s="152" t="s">
        <v>171</v>
      </c>
      <c r="CX162" s="152"/>
      <c r="DA162" s="153" t="s">
        <v>165</v>
      </c>
      <c r="DB162" s="148">
        <f>CS160</f>
        <v>44378</v>
      </c>
      <c r="DC162" s="154"/>
      <c r="DD162" s="154"/>
      <c r="DE162" s="155">
        <f t="shared" ref="DE162:DE171" si="190">CS165/1000000</f>
        <v>4</v>
      </c>
      <c r="DF162" s="154"/>
      <c r="DG162" s="154"/>
      <c r="DH162" s="156">
        <f t="shared" ref="DH162:DH171" si="191">MAX(CT165:CU165)/1000000</f>
        <v>20.916563333333333</v>
      </c>
      <c r="DL162" s="114" t="s">
        <v>169</v>
      </c>
      <c r="DM162" s="119" cm="1">
        <f t="array" ref="DM162">LOOKUP(2,1/($B$10:$B$14&lt;=DM158)/($C$10:$C$14&gt;=DM158),$D$10:$D$14)</f>
        <v>1.1000000000000001</v>
      </c>
      <c r="DN162" s="114" t="s">
        <v>149</v>
      </c>
      <c r="DO162" s="152" cm="1">
        <f t="array" ref="DO162">LOOKUP(2,1/($B$6:$B$7&lt;=DM158)/($C$6:$C$7&gt;=DM158),$D$6:$D$7)</f>
        <v>0.10299999999999999</v>
      </c>
      <c r="DP162" s="152" t="s">
        <v>170</v>
      </c>
      <c r="DQ162" s="152" t="s">
        <v>171</v>
      </c>
      <c r="DR162" s="152"/>
      <c r="DT162" s="153" t="s">
        <v>166</v>
      </c>
      <c r="DU162" s="158">
        <f>DO160</f>
        <v>44377</v>
      </c>
      <c r="DV162" s="154"/>
      <c r="DW162" s="154"/>
      <c r="DX162" s="155">
        <f>DM165/1000000</f>
        <v>3</v>
      </c>
      <c r="DY162" s="154"/>
      <c r="DZ162" s="154"/>
      <c r="EA162" s="156">
        <f>MAX(DN165:DO165)/1000000</f>
        <v>17.794423999999999</v>
      </c>
    </row>
    <row r="163" spans="10:131" x14ac:dyDescent="0.25">
      <c r="J163" s="86" t="str" cm="1">
        <f t="array" ref="J163">LOOKUP(2,1/($G$17:$G$33&lt;=$L163)/($H$17:$H$33&gt;=$L163),$F$17:$F$33)</f>
        <v>2H21</v>
      </c>
      <c r="K163" s="86" t="str" cm="1">
        <f t="array" ref="K163">LOOKUP(2,1/($G$6:$G$14&lt;=$L163)/($H$6:$H$14&gt;=$L163),$F$6:$F$14)</f>
        <v>FY21</v>
      </c>
      <c r="L163" s="118">
        <v>44364</v>
      </c>
      <c r="M163" s="49">
        <v>36861438</v>
      </c>
      <c r="N163" s="49">
        <v>44723983</v>
      </c>
      <c r="O163" s="50">
        <v>20000000</v>
      </c>
      <c r="P163" s="119" cm="1">
        <f t="array" ref="P163">LOOKUP(2,1/($B$10:$B$14&lt;=$L163)/($C$10:$C$14&gt;=$L163),$D$10:$D$14)</f>
        <v>1.1000000000000001</v>
      </c>
      <c r="Q163" s="120" cm="1">
        <f t="array" ref="Q163">LOOKUP(2,1/($B$17:$B$21&lt;=$L163)/($C$17:$C$21&gt;=$L163),$D$17:$D$21)</f>
        <v>134.49039999999999</v>
      </c>
      <c r="R163" s="113" t="str">
        <f t="shared" si="186"/>
        <v/>
      </c>
      <c r="S163" s="113" t="str">
        <f t="shared" si="187"/>
        <v>1H22</v>
      </c>
      <c r="T163" s="113" t="str">
        <f t="shared" ca="1" si="188"/>
        <v/>
      </c>
      <c r="U163" s="113" t="str">
        <f t="shared" si="189"/>
        <v/>
      </c>
      <c r="V163" s="113" t="str">
        <f t="shared" si="4"/>
        <v>FY22</v>
      </c>
      <c r="W163" s="113" t="str">
        <f t="shared" ca="1" si="168"/>
        <v/>
      </c>
      <c r="Y163" s="146">
        <v>1</v>
      </c>
      <c r="Z163" s="145">
        <v>4000000</v>
      </c>
      <c r="AA163" s="167">
        <f>AVERAGEIFS($M:$M,$L:$L,"&gt;="&amp;Z$159,$L:$L,"&lt;="&amp;AB$159,$O:$O,"="&amp;Z163)*AB$160</f>
        <v>20523756.100000001</v>
      </c>
      <c r="AC163" s="145">
        <v>20910800</v>
      </c>
      <c r="AD163" s="203">
        <f t="shared" ref="AD163:AD177" si="192">AA163/1000000</f>
        <v>20.5237561</v>
      </c>
      <c r="AE163" s="167">
        <f>COUNTIFS($L:$L,"&gt;="&amp;Z$159,$L:$L,"&lt;="&amp;AB$159,$O:$O,"="&amp;Z163)</f>
        <v>10</v>
      </c>
      <c r="AF163" s="167">
        <f t="shared" ref="AF163:AF178" si="193">IF(ISNUMBER(AA163),AA163,AC163)</f>
        <v>20523756.100000001</v>
      </c>
      <c r="AG163" s="224">
        <f>AF163*0.9/1000000</f>
        <v>18.471380490000001</v>
      </c>
      <c r="AH163" s="224">
        <f>AF163*0.95/1000000</f>
        <v>19.497568295000001</v>
      </c>
      <c r="AJ163" s="224">
        <f>AF163/1000000</f>
        <v>20.5237561</v>
      </c>
      <c r="AK163" s="205"/>
      <c r="AL163" s="204"/>
      <c r="AM163" s="205"/>
      <c r="AN163" s="57"/>
      <c r="AQ163" s="57"/>
      <c r="AU163" s="114" t="s">
        <v>169</v>
      </c>
      <c r="AV163" s="159">
        <v>1.2</v>
      </c>
      <c r="AW163" s="114" t="s">
        <v>149</v>
      </c>
      <c r="AX163" s="152" cm="1">
        <f t="array" ref="AX163">LOOKUP(2,1/($B$6:$B$7&lt;=AV159)/($C$6:$C$7&gt;=AV159),$D$6:$D$7)</f>
        <v>0.10299999999999999</v>
      </c>
      <c r="AY163" s="157"/>
      <c r="BA163" s="153" t="s">
        <v>166</v>
      </c>
      <c r="BB163" s="158">
        <f>AX161</f>
        <v>45473</v>
      </c>
      <c r="BC163" s="154"/>
      <c r="BD163" s="155">
        <f>AV166/1000000</f>
        <v>4</v>
      </c>
      <c r="BE163" s="156">
        <f>MAX(AW166:AX166)/1000000</f>
        <v>18.899990176233764</v>
      </c>
      <c r="CR163" s="114" t="s">
        <v>172</v>
      </c>
      <c r="CS163" s="119" cm="1">
        <f t="array" ref="CS163">LOOKUP(2,1/($B$17:$B$21&lt;=CS158)/($C$17:$C$21&gt;=CS158),$D$17:$D$21)</f>
        <v>134.49039999999999</v>
      </c>
      <c r="CT163" s="114" t="s">
        <v>173</v>
      </c>
      <c r="CU163" s="162">
        <f>12/53</f>
        <v>0.22641509433962265</v>
      </c>
      <c r="CV163" s="162">
        <v>1</v>
      </c>
      <c r="CW163" s="162">
        <f>1-CV163</f>
        <v>0</v>
      </c>
      <c r="CX163" s="163"/>
      <c r="DA163" s="153" t="s">
        <v>166</v>
      </c>
      <c r="DB163" s="158">
        <f>CU160</f>
        <v>44742</v>
      </c>
      <c r="DC163" s="154"/>
      <c r="DD163" s="154"/>
      <c r="DE163" s="155">
        <f t="shared" si="190"/>
        <v>8</v>
      </c>
      <c r="DF163" s="154"/>
      <c r="DG163" s="154"/>
      <c r="DH163" s="156">
        <f t="shared" si="191"/>
        <v>26.095742090909091</v>
      </c>
      <c r="DL163" s="114" t="s">
        <v>172</v>
      </c>
      <c r="DM163" s="119" cm="1">
        <f t="array" ref="DM163">LOOKUP(2,1/($B$17:$B$21&lt;=DM158)/($C$17:$C$21&gt;=DM158),$D$17:$D$21)</f>
        <v>134.49039999999999</v>
      </c>
      <c r="DN163" s="114" t="s">
        <v>173</v>
      </c>
      <c r="DO163" s="163">
        <f>INT((WEEKDAY(DM158-5)-DM158+DO158)/7)/INT((WEEKDAY(DM160-5)-DM160+DO160)/7)</f>
        <v>1</v>
      </c>
      <c r="DP163" s="162">
        <v>1</v>
      </c>
      <c r="DQ163" s="162">
        <f>1-DP163</f>
        <v>0</v>
      </c>
      <c r="DR163" s="163"/>
      <c r="DT163" s="153" t="s">
        <v>91</v>
      </c>
      <c r="DU163" s="155">
        <f>DM161/1000000</f>
        <v>3</v>
      </c>
      <c r="DV163" s="154"/>
      <c r="DW163" s="154"/>
      <c r="DX163" s="155">
        <f t="shared" ref="DX163:DX171" si="194">DM166/1000000</f>
        <v>8</v>
      </c>
      <c r="DY163" s="154"/>
      <c r="DZ163" s="154"/>
      <c r="EA163" s="156">
        <f t="shared" ref="EA163:EA171" si="195">MAX(DN166:DO166)/1000000</f>
        <v>23.73846542857143</v>
      </c>
    </row>
    <row r="164" spans="10:131" x14ac:dyDescent="0.25">
      <c r="J164" s="86" t="str" cm="1">
        <f t="array" ref="J164">LOOKUP(2,1/($G$17:$G$33&lt;=$L164)/($H$17:$H$33&gt;=$L164),$F$17:$F$33)</f>
        <v>2H21</v>
      </c>
      <c r="K164" s="86" t="str" cm="1">
        <f t="array" ref="K164">LOOKUP(2,1/($G$6:$G$14&lt;=$L164)/($H$6:$H$14&gt;=$L164),$F$6:$F$14)</f>
        <v>FY21</v>
      </c>
      <c r="L164" s="118">
        <v>44357</v>
      </c>
      <c r="M164" s="49">
        <v>23443849</v>
      </c>
      <c r="N164" s="49">
        <v>28444422</v>
      </c>
      <c r="O164" s="50">
        <v>8000000</v>
      </c>
      <c r="P164" s="119" cm="1">
        <f t="array" ref="P164">LOOKUP(2,1/($B$10:$B$14&lt;=$L164)/($C$10:$C$14&gt;=$L164),$D$10:$D$14)</f>
        <v>1.1000000000000001</v>
      </c>
      <c r="Q164" s="120" cm="1">
        <f t="array" ref="Q164">LOOKUP(2,1/($B$17:$B$21&lt;=$L164)/($C$17:$C$21&gt;=$L164),$D$17:$D$21)</f>
        <v>134.49039999999999</v>
      </c>
      <c r="R164" s="113" t="str">
        <f t="shared" si="186"/>
        <v/>
      </c>
      <c r="S164" s="113" t="str">
        <f t="shared" si="187"/>
        <v>1H22</v>
      </c>
      <c r="T164" s="113" t="str">
        <f t="shared" ca="1" si="188"/>
        <v/>
      </c>
      <c r="U164" s="113" t="str">
        <f t="shared" si="189"/>
        <v/>
      </c>
      <c r="V164" s="113" t="str">
        <f t="shared" si="4"/>
        <v>FY22</v>
      </c>
      <c r="W164" s="113" t="str">
        <f t="shared" ca="1" si="168"/>
        <v/>
      </c>
      <c r="X164" s="50"/>
      <c r="Y164" s="146">
        <v>2</v>
      </c>
      <c r="Z164" s="145">
        <v>5000000</v>
      </c>
      <c r="AA164" s="167" t="e">
        <f t="shared" ref="AA164:AA177" si="196">AVERAGEIFS($M:$M,$L:$L,"&gt;="&amp;Z$159,$L:$L,"&lt;="&amp;AB$159,$O:$O,"="&amp;Z164)*AB$160</f>
        <v>#DIV/0!</v>
      </c>
      <c r="AC164" s="145">
        <v>21997000</v>
      </c>
      <c r="AD164" s="203" t="e">
        <f t="shared" si="192"/>
        <v>#DIV/0!</v>
      </c>
      <c r="AE164" s="167">
        <f t="shared" ref="AE164:AE182" si="197">COUNTIFS($L:$L,"&gt;="&amp;Z$159,$L:$L,"&lt;="&amp;AB$159,$O:$O,"="&amp;Z164)</f>
        <v>0</v>
      </c>
      <c r="AF164" s="167">
        <f t="shared" si="193"/>
        <v>21997000</v>
      </c>
      <c r="AG164" s="224">
        <f t="shared" ref="AG164:AG192" si="198">AF164*0.9/1000000</f>
        <v>19.7973</v>
      </c>
      <c r="AH164" s="224">
        <f t="shared" ref="AH164:AH192" si="199">AF164*0.95/1000000</f>
        <v>20.89715</v>
      </c>
      <c r="AJ164" s="224">
        <f t="shared" ref="AJ164:AJ192" si="200">AF164/1000000</f>
        <v>21.997</v>
      </c>
      <c r="AK164" s="205"/>
      <c r="AL164" s="204"/>
      <c r="AM164" s="205"/>
      <c r="AN164" s="57"/>
      <c r="AQ164" s="57"/>
      <c r="AT164" s="50"/>
      <c r="AU164" s="114" t="s">
        <v>172</v>
      </c>
      <c r="AV164" s="119" cm="1">
        <f t="array" ref="AV164">LOOKUP(2,1/($B$17:$B$21&lt;=AV159)/($C$17:$C$21&gt;=AV159),$D$17:$D$21)</f>
        <v>134.49039999999999</v>
      </c>
      <c r="AW164" s="114" t="s">
        <v>0</v>
      </c>
      <c r="AX164" s="135">
        <f>$AX$49*(1+(1.2/1.1-1)*-30%)</f>
        <v>0.92409090909090907</v>
      </c>
      <c r="BA164" s="153" t="s">
        <v>91</v>
      </c>
      <c r="BB164" s="155">
        <f>AV162/1000000</f>
        <v>20</v>
      </c>
      <c r="BC164" s="154"/>
      <c r="BD164" s="155">
        <f t="shared" ref="BD164:BD172" si="201">AV167/1000000</f>
        <v>8</v>
      </c>
      <c r="BE164" s="156">
        <f t="shared" ref="BE164:BE171" si="202">MAX(AW167:AX167)/1000000</f>
        <v>23.476388852613635</v>
      </c>
      <c r="BH164" s="50"/>
      <c r="CA164" s="50"/>
      <c r="CQ164" s="50"/>
      <c r="CR164" s="111" t="s">
        <v>174</v>
      </c>
      <c r="CS164" s="111" t="s">
        <v>175</v>
      </c>
      <c r="CT164" s="111" t="s">
        <v>176</v>
      </c>
      <c r="CU164" s="111" t="s">
        <v>177</v>
      </c>
      <c r="CV164" s="111" t="s">
        <v>178</v>
      </c>
      <c r="CW164" s="111" t="s">
        <v>179</v>
      </c>
      <c r="CX164" s="111" t="s">
        <v>180</v>
      </c>
      <c r="DA164" s="153" t="s">
        <v>169</v>
      </c>
      <c r="DB164" s="165">
        <f>CS162</f>
        <v>1.1000000000000001</v>
      </c>
      <c r="DC164" s="154"/>
      <c r="DD164" s="154"/>
      <c r="DE164" s="155">
        <f t="shared" si="190"/>
        <v>20</v>
      </c>
      <c r="DF164" s="154"/>
      <c r="DG164" s="154"/>
      <c r="DH164" s="156">
        <f t="shared" si="191"/>
        <v>40.841962200000005</v>
      </c>
      <c r="DK164" s="50"/>
      <c r="DL164" s="111" t="s">
        <v>174</v>
      </c>
      <c r="DM164" s="111" t="s">
        <v>175</v>
      </c>
      <c r="DN164" s="111" t="s">
        <v>176</v>
      </c>
      <c r="DO164" s="111" t="s">
        <v>177</v>
      </c>
      <c r="DP164" s="111" t="s">
        <v>178</v>
      </c>
      <c r="DQ164" s="111" t="s">
        <v>179</v>
      </c>
      <c r="DR164" s="111" t="s">
        <v>180</v>
      </c>
      <c r="DT164" s="153" t="s">
        <v>76</v>
      </c>
      <c r="DU164" s="155">
        <f ca="1">DO161/1000000</f>
        <v>8</v>
      </c>
      <c r="DV164" s="154"/>
      <c r="DW164" s="154"/>
      <c r="DX164" s="155">
        <f t="shared" si="194"/>
        <v>20</v>
      </c>
      <c r="DY164" s="154"/>
      <c r="DZ164" s="154"/>
      <c r="EA164" s="156">
        <f t="shared" si="195"/>
        <v>37.375273833333338</v>
      </c>
    </row>
    <row r="165" spans="10:131" x14ac:dyDescent="0.25">
      <c r="J165" s="86" t="str" cm="1">
        <f t="array" ref="J165">LOOKUP(2,1/($G$17:$G$33&lt;=$L165)/($H$17:$H$33&gt;=$L165),$F$17:$F$33)</f>
        <v>2H21</v>
      </c>
      <c r="K165" s="86" t="str" cm="1">
        <f t="array" ref="K165">LOOKUP(2,1/($G$6:$G$14&lt;=$L165)/($H$6:$H$14&gt;=$L165),$F$6:$F$14)</f>
        <v>FY21</v>
      </c>
      <c r="L165" s="118">
        <v>44350</v>
      </c>
      <c r="M165" s="49">
        <v>17730662</v>
      </c>
      <c r="N165" s="49">
        <v>21512612</v>
      </c>
      <c r="O165" s="50">
        <v>3000000</v>
      </c>
      <c r="P165" s="119" cm="1">
        <f t="array" ref="P165">LOOKUP(2,1/($B$10:$B$14&lt;=$L165)/($C$10:$C$14&gt;=$L165),$D$10:$D$14)</f>
        <v>1.1000000000000001</v>
      </c>
      <c r="Q165" s="120" cm="1">
        <f t="array" ref="Q165">LOOKUP(2,1/($B$17:$B$21&lt;=$L165)/($C$17:$C$21&gt;=$L165),$D$17:$D$21)</f>
        <v>134.49039999999999</v>
      </c>
      <c r="R165" s="113" t="str">
        <f t="shared" si="186"/>
        <v/>
      </c>
      <c r="S165" s="113" t="str">
        <f t="shared" si="187"/>
        <v>1H22</v>
      </c>
      <c r="T165" s="113" t="str">
        <f t="shared" ca="1" si="188"/>
        <v/>
      </c>
      <c r="U165" s="113" t="str">
        <f t="shared" si="189"/>
        <v/>
      </c>
      <c r="V165" s="113" t="str">
        <f t="shared" si="4"/>
        <v>FY22</v>
      </c>
      <c r="W165" s="113" t="str">
        <f t="shared" ca="1" si="168"/>
        <v/>
      </c>
      <c r="X165" s="50"/>
      <c r="Y165" s="146">
        <v>3</v>
      </c>
      <c r="Z165" s="145">
        <v>6000000</v>
      </c>
      <c r="AA165" s="167" t="e">
        <f t="shared" si="196"/>
        <v>#DIV/0!</v>
      </c>
      <c r="AC165" s="145">
        <v>23083199.999999996</v>
      </c>
      <c r="AD165" s="203" t="e">
        <f t="shared" si="192"/>
        <v>#DIV/0!</v>
      </c>
      <c r="AE165" s="167">
        <f t="shared" si="197"/>
        <v>0</v>
      </c>
      <c r="AF165" s="167">
        <f t="shared" si="193"/>
        <v>23083199.999999996</v>
      </c>
      <c r="AG165" s="224">
        <f t="shared" si="198"/>
        <v>20.774879999999996</v>
      </c>
      <c r="AH165" s="224">
        <f t="shared" si="199"/>
        <v>21.929039999999997</v>
      </c>
      <c r="AJ165" s="224">
        <f t="shared" si="200"/>
        <v>23.083199999999998</v>
      </c>
      <c r="AK165" s="205"/>
      <c r="AL165" s="204"/>
      <c r="AM165" s="205"/>
      <c r="AN165" s="57"/>
      <c r="AQ165" s="57"/>
      <c r="AT165" s="50"/>
      <c r="AU165" s="111" t="s">
        <v>174</v>
      </c>
      <c r="AV165" s="111" t="s">
        <v>175</v>
      </c>
      <c r="AW165" s="111" t="s">
        <v>176</v>
      </c>
      <c r="AX165" s="111" t="s">
        <v>177</v>
      </c>
      <c r="AY165" s="111" t="s">
        <v>180</v>
      </c>
      <c r="BA165" s="153" t="s">
        <v>76</v>
      </c>
      <c r="BB165" s="155">
        <f>AX162/1000000</f>
        <v>20</v>
      </c>
      <c r="BC165" s="154"/>
      <c r="BD165" s="155">
        <f t="shared" si="201"/>
        <v>20</v>
      </c>
      <c r="BE165" s="156">
        <f t="shared" si="202"/>
        <v>36.87071070590909</v>
      </c>
      <c r="BH165" s="50"/>
      <c r="CA165" s="50"/>
      <c r="CQ165" s="50"/>
      <c r="CR165" s="146">
        <v>1</v>
      </c>
      <c r="CS165" s="166">
        <v>4000000</v>
      </c>
      <c r="CT165" s="168">
        <f t="shared" ref="CT165:CT171" si="203">AVERAGEIFS($M:$M,$L:$L,"&gt;="&amp;CS$158,$L:$L,"&lt;="&amp;CU$158,$O:$O,"="&amp;CS165)</f>
        <v>20916563.333333332</v>
      </c>
      <c r="CU165" s="168"/>
      <c r="CV165" s="145">
        <v>20456600</v>
      </c>
      <c r="CW165" s="168"/>
      <c r="CX165" s="167">
        <f t="shared" ref="CX165:CX171" si="204">COUNTIFS($L:$L,"&gt;="&amp;CS$158,$L:$L,"&lt;="&amp;CU$158,$O:$O,"="&amp;CS165)</f>
        <v>3</v>
      </c>
      <c r="DA165" s="153" t="s">
        <v>149</v>
      </c>
      <c r="DB165" s="169">
        <f>CU162</f>
        <v>0.10299999999999999</v>
      </c>
      <c r="DC165" s="154"/>
      <c r="DD165" s="154"/>
      <c r="DE165" s="155">
        <f t="shared" si="190"/>
        <v>40</v>
      </c>
      <c r="DF165" s="154"/>
      <c r="DG165" s="154"/>
      <c r="DH165" s="156">
        <f t="shared" si="191"/>
        <v>57.570524666666664</v>
      </c>
      <c r="DK165" s="50"/>
      <c r="DL165" s="146">
        <v>1</v>
      </c>
      <c r="DM165" s="166">
        <v>3000000</v>
      </c>
      <c r="DN165" s="168">
        <f t="shared" ref="DN165:DN170" si="205">AVERAGEIFS($M:$M,$L:$L,"&gt;="&amp;DM$158,$L:$L,"&lt;="&amp;DO$158,$O:$O,"="&amp;DM165)</f>
        <v>17794424</v>
      </c>
      <c r="DO165" s="168"/>
      <c r="DP165" s="168"/>
      <c r="DQ165" s="168"/>
      <c r="DR165" s="167">
        <f t="shared" ref="DR165:DR170" si="206">COUNTIFS($L:$L,"&gt;="&amp;DM$158,$L:$L,"&lt;="&amp;DO$158,$O:$O,"="&amp;DM165)</f>
        <v>3</v>
      </c>
      <c r="DT165" s="153" t="s">
        <v>169</v>
      </c>
      <c r="DU165" s="165">
        <f>DM162</f>
        <v>1.1000000000000001</v>
      </c>
      <c r="DV165" s="154"/>
      <c r="DW165" s="154"/>
      <c r="DX165" s="155">
        <f t="shared" si="194"/>
        <v>30</v>
      </c>
      <c r="DY165" s="154"/>
      <c r="DZ165" s="154"/>
      <c r="EA165" s="156">
        <f t="shared" si="195"/>
        <v>46.036330249999999</v>
      </c>
    </row>
    <row r="166" spans="10:131" x14ac:dyDescent="0.25">
      <c r="J166" s="86" t="str" cm="1">
        <f t="array" ref="J166">LOOKUP(2,1/($G$17:$G$33&lt;=$L166)/($H$17:$H$33&gt;=$L166),$F$17:$F$33)</f>
        <v>2H21</v>
      </c>
      <c r="K166" s="86" t="str" cm="1">
        <f t="array" ref="K166">LOOKUP(2,1/($G$6:$G$14&lt;=$L166)/($H$6:$H$14&gt;=$L166),$F$6:$F$14)</f>
        <v>FY21</v>
      </c>
      <c r="L166" s="118">
        <v>44343</v>
      </c>
      <c r="M166" s="49">
        <v>25429040</v>
      </c>
      <c r="N166" s="49">
        <v>30853054</v>
      </c>
      <c r="O166" s="50">
        <v>8000000</v>
      </c>
      <c r="P166" s="119" cm="1">
        <f t="array" ref="P166">LOOKUP(2,1/($B$10:$B$14&lt;=$L166)/($C$10:$C$14&gt;=$L166),$D$10:$D$14)</f>
        <v>1.1000000000000001</v>
      </c>
      <c r="Q166" s="120" cm="1">
        <f t="array" ref="Q166">LOOKUP(2,1/($B$17:$B$21&lt;=$L166)/($C$17:$C$21&gt;=$L166),$D$17:$D$21)</f>
        <v>134.49039999999999</v>
      </c>
      <c r="R166" s="113" t="str">
        <f t="shared" si="186"/>
        <v/>
      </c>
      <c r="S166" s="113" t="str">
        <f t="shared" si="187"/>
        <v>2H21</v>
      </c>
      <c r="T166" s="113" t="str">
        <f t="shared" ca="1" si="188"/>
        <v>1H22</v>
      </c>
      <c r="U166" s="113" t="str">
        <f t="shared" si="189"/>
        <v/>
      </c>
      <c r="V166" s="113" t="str">
        <f t="shared" si="4"/>
        <v>FY21</v>
      </c>
      <c r="W166" s="113" t="str">
        <f t="shared" ca="1" si="168"/>
        <v>FY22</v>
      </c>
      <c r="X166" s="50"/>
      <c r="Y166" s="146">
        <v>4</v>
      </c>
      <c r="Z166" s="145">
        <v>8000000</v>
      </c>
      <c r="AA166" s="167">
        <f t="shared" si="196"/>
        <v>24136841.5</v>
      </c>
      <c r="AC166" s="145">
        <v>25255600</v>
      </c>
      <c r="AD166" s="203">
        <f t="shared" si="192"/>
        <v>24.136841499999999</v>
      </c>
      <c r="AE166" s="167">
        <f t="shared" si="197"/>
        <v>4</v>
      </c>
      <c r="AF166" s="167">
        <f t="shared" si="193"/>
        <v>24136841.5</v>
      </c>
      <c r="AG166" s="224">
        <f t="shared" si="198"/>
        <v>21.723157350000001</v>
      </c>
      <c r="AH166" s="224">
        <f t="shared" si="199"/>
        <v>22.929999425000002</v>
      </c>
      <c r="AJ166" s="224">
        <f t="shared" si="200"/>
        <v>24.136841499999999</v>
      </c>
      <c r="AK166" s="205"/>
      <c r="AL166" s="204"/>
      <c r="AM166" s="205"/>
      <c r="AN166" s="57"/>
      <c r="AQ166" s="57"/>
      <c r="AT166" s="50"/>
      <c r="AU166" s="146">
        <v>1</v>
      </c>
      <c r="AV166" s="166">
        <v>4000000</v>
      </c>
      <c r="AW166" s="167">
        <f t="shared" ref="AW166:AW171" si="207">AVERAGEIFS($M:$M,$L:$L,"&gt;="&amp;AV$159,$L:$L,"&lt;="&amp;AX$159,$O:$O,"="&amp;AV166)*AX$164</f>
        <v>18899990.176233765</v>
      </c>
      <c r="AX166" s="168"/>
      <c r="AY166" s="167">
        <f t="shared" ref="AY166:AY172" si="208">COUNTIFS($L:$L,"&gt;="&amp;AV$6,$L:$L,"&lt;="&amp;AX$6,$O:$O,"="&amp;$AV166)</f>
        <v>7</v>
      </c>
      <c r="BA166" s="153" t="s">
        <v>169</v>
      </c>
      <c r="BB166" s="165">
        <f>AV163</f>
        <v>1.2</v>
      </c>
      <c r="BC166" s="154"/>
      <c r="BD166" s="155">
        <f t="shared" si="201"/>
        <v>40</v>
      </c>
      <c r="BE166" s="156">
        <f t="shared" si="202"/>
        <v>54.506502406363637</v>
      </c>
      <c r="BH166" s="50"/>
      <c r="CA166" s="50"/>
      <c r="CQ166" s="50"/>
      <c r="CR166" s="146">
        <v>2</v>
      </c>
      <c r="CS166" s="166">
        <v>8000000</v>
      </c>
      <c r="CT166" s="168">
        <f t="shared" si="203"/>
        <v>26095742.09090909</v>
      </c>
      <c r="CU166" s="168"/>
      <c r="CV166" s="145">
        <v>25048200</v>
      </c>
      <c r="CX166" s="167">
        <f t="shared" si="204"/>
        <v>11</v>
      </c>
      <c r="DA166" s="153" t="s">
        <v>172</v>
      </c>
      <c r="DB166" s="170">
        <f>CS163</f>
        <v>134.49039999999999</v>
      </c>
      <c r="DC166" s="154"/>
      <c r="DD166" s="154"/>
      <c r="DE166" s="155">
        <f t="shared" si="190"/>
        <v>60</v>
      </c>
      <c r="DF166" s="154"/>
      <c r="DG166" s="154"/>
      <c r="DH166" s="156">
        <f t="shared" si="191"/>
        <v>79.920318124999994</v>
      </c>
      <c r="DK166" s="50"/>
      <c r="DL166" s="146">
        <v>2</v>
      </c>
      <c r="DM166" s="166">
        <v>8000000</v>
      </c>
      <c r="DN166" s="168">
        <f t="shared" si="205"/>
        <v>23738465.428571429</v>
      </c>
      <c r="DR166" s="167">
        <f t="shared" si="206"/>
        <v>7</v>
      </c>
      <c r="DT166" s="153" t="s">
        <v>149</v>
      </c>
      <c r="DU166" s="169">
        <f>DO162</f>
        <v>0.10299999999999999</v>
      </c>
      <c r="DV166" s="154"/>
      <c r="DW166" s="154"/>
      <c r="DX166" s="155">
        <f t="shared" si="194"/>
        <v>50</v>
      </c>
      <c r="DY166" s="154"/>
      <c r="DZ166" s="154"/>
      <c r="EA166" s="156">
        <f t="shared" si="195"/>
        <v>70.639884333333328</v>
      </c>
    </row>
    <row r="167" spans="10:131" x14ac:dyDescent="0.25">
      <c r="J167" s="86" t="str" cm="1">
        <f t="array" ref="J167">LOOKUP(2,1/($G$17:$G$33&lt;=$L167)/($H$17:$H$33&gt;=$L167),$F$17:$F$33)</f>
        <v>2H21</v>
      </c>
      <c r="K167" s="86" t="str" cm="1">
        <f t="array" ref="K167">LOOKUP(2,1/($G$6:$G$14&lt;=$L167)/($H$6:$H$14&gt;=$L167),$F$6:$F$14)</f>
        <v>FY21</v>
      </c>
      <c r="L167" s="118">
        <v>44336</v>
      </c>
      <c r="M167" s="49">
        <v>18569741</v>
      </c>
      <c r="N167" s="49">
        <v>22530666</v>
      </c>
      <c r="O167" s="50">
        <v>3000000</v>
      </c>
      <c r="P167" s="119" cm="1">
        <f t="array" ref="P167">LOOKUP(2,1/($B$10:$B$14&lt;=$L167)/($C$10:$C$14&gt;=$L167),$D$10:$D$14)</f>
        <v>1.1000000000000001</v>
      </c>
      <c r="Q167" s="120" cm="1">
        <f t="array" ref="Q167">LOOKUP(2,1/($B$17:$B$21&lt;=$L167)/($C$17:$C$21&gt;=$L167),$D$17:$D$21)</f>
        <v>134.49039999999999</v>
      </c>
      <c r="R167" s="113" t="str">
        <f t="shared" si="186"/>
        <v/>
      </c>
      <c r="S167" s="113" t="str">
        <f t="shared" si="187"/>
        <v>2H21</v>
      </c>
      <c r="T167" s="113" t="str">
        <f t="shared" ca="1" si="188"/>
        <v/>
      </c>
      <c r="U167" s="113" t="str">
        <f t="shared" si="189"/>
        <v/>
      </c>
      <c r="V167" s="113" t="str">
        <f t="shared" si="4"/>
        <v>FY21</v>
      </c>
      <c r="W167" s="113" t="str">
        <f t="shared" ca="1" si="168"/>
        <v/>
      </c>
      <c r="X167" s="50"/>
      <c r="Y167" s="146">
        <v>5</v>
      </c>
      <c r="Z167" s="145">
        <v>12000000</v>
      </c>
      <c r="AA167" s="167">
        <f t="shared" si="196"/>
        <v>31010189.75</v>
      </c>
      <c r="AC167" s="145">
        <v>29600400</v>
      </c>
      <c r="AD167" s="203">
        <f t="shared" si="192"/>
        <v>31.010189749999999</v>
      </c>
      <c r="AE167" s="167">
        <f t="shared" si="197"/>
        <v>8</v>
      </c>
      <c r="AF167" s="167">
        <f t="shared" si="193"/>
        <v>31010189.75</v>
      </c>
      <c r="AG167" s="224">
        <f t="shared" si="198"/>
        <v>27.909170775000003</v>
      </c>
      <c r="AH167" s="224">
        <f t="shared" si="199"/>
        <v>29.459680262500001</v>
      </c>
      <c r="AJ167" s="224">
        <f t="shared" si="200"/>
        <v>31.010189749999999</v>
      </c>
      <c r="AK167" s="205"/>
      <c r="AL167" s="204"/>
      <c r="AM167" s="205"/>
      <c r="AN167" s="57"/>
      <c r="AQ167" s="57"/>
      <c r="AT167" s="50"/>
      <c r="AU167" s="146">
        <v>2</v>
      </c>
      <c r="AV167" s="166">
        <v>8000000</v>
      </c>
      <c r="AW167" s="167">
        <f t="shared" si="207"/>
        <v>23476388.852613635</v>
      </c>
      <c r="AX167" s="168"/>
      <c r="AY167" s="167">
        <f t="shared" si="208"/>
        <v>8</v>
      </c>
      <c r="BA167" s="153" t="s">
        <v>149</v>
      </c>
      <c r="BB167" s="169">
        <f>AX163</f>
        <v>0.10299999999999999</v>
      </c>
      <c r="BC167" s="154"/>
      <c r="BD167" s="155">
        <f t="shared" si="201"/>
        <v>60</v>
      </c>
      <c r="BE167" s="156">
        <f t="shared" si="202"/>
        <v>74.688107729772739</v>
      </c>
      <c r="BH167" s="50"/>
      <c r="CA167" s="50"/>
      <c r="CQ167" s="50"/>
      <c r="CR167" s="146">
        <v>3</v>
      </c>
      <c r="CS167" s="166">
        <v>20000000</v>
      </c>
      <c r="CT167" s="168">
        <f t="shared" si="203"/>
        <v>40841962.200000003</v>
      </c>
      <c r="CU167" s="168"/>
      <c r="CV167" s="145">
        <v>38823000</v>
      </c>
      <c r="CX167" s="167">
        <f t="shared" si="204"/>
        <v>10</v>
      </c>
      <c r="DA167" s="171"/>
      <c r="DC167" s="154"/>
      <c r="DD167" s="154"/>
      <c r="DE167" s="155">
        <f t="shared" si="190"/>
        <v>80</v>
      </c>
      <c r="DF167" s="154"/>
      <c r="DG167" s="154"/>
      <c r="DH167" s="156">
        <f t="shared" si="191"/>
        <v>116.97310725</v>
      </c>
      <c r="DK167" s="50"/>
      <c r="DL167" s="146">
        <v>3</v>
      </c>
      <c r="DM167" s="166">
        <v>20000000</v>
      </c>
      <c r="DN167" s="168">
        <f t="shared" si="205"/>
        <v>37375273.833333336</v>
      </c>
      <c r="DR167" s="167">
        <f t="shared" si="206"/>
        <v>6</v>
      </c>
      <c r="DT167" s="153" t="s">
        <v>172</v>
      </c>
      <c r="DU167" s="170">
        <f>DM163</f>
        <v>134.49039999999999</v>
      </c>
      <c r="DV167" s="154"/>
      <c r="DW167" s="154"/>
      <c r="DX167" s="155">
        <f t="shared" si="194"/>
        <v>80</v>
      </c>
      <c r="DY167" s="154"/>
      <c r="DZ167" s="154"/>
      <c r="EA167" s="156">
        <f t="shared" si="195"/>
        <v>118.500311</v>
      </c>
    </row>
    <row r="168" spans="10:131" x14ac:dyDescent="0.25">
      <c r="J168" s="86" t="str" cm="1">
        <f t="array" ref="J168">LOOKUP(2,1/($G$17:$G$33&lt;=$L168)/($H$17:$H$33&gt;=$L168),$F$17:$F$33)</f>
        <v>2H21</v>
      </c>
      <c r="K168" s="86" t="str" cm="1">
        <f t="array" ref="K168">LOOKUP(2,1/($G$6:$G$14&lt;=$L168)/($H$6:$H$14&gt;=$L168),$F$6:$F$14)</f>
        <v>FY21</v>
      </c>
      <c r="L168" s="118">
        <v>44329</v>
      </c>
      <c r="M168" s="49">
        <v>47890416</v>
      </c>
      <c r="N168" s="49">
        <v>58105442</v>
      </c>
      <c r="O168" s="50">
        <v>30000000</v>
      </c>
      <c r="P168" s="119" cm="1">
        <f t="array" ref="P168">LOOKUP(2,1/($B$10:$B$14&lt;=$L168)/($C$10:$C$14&gt;=$L168),$D$10:$D$14)</f>
        <v>1.1000000000000001</v>
      </c>
      <c r="Q168" s="120" cm="1">
        <f t="array" ref="Q168">LOOKUP(2,1/($B$17:$B$21&lt;=$L168)/($C$17:$C$21&gt;=$L168),$D$17:$D$21)</f>
        <v>134.49039999999999</v>
      </c>
      <c r="R168" s="113" t="str">
        <f t="shared" si="186"/>
        <v/>
      </c>
      <c r="S168" s="113" t="str">
        <f t="shared" si="187"/>
        <v>2H21</v>
      </c>
      <c r="T168" s="113" t="str">
        <f t="shared" ca="1" si="188"/>
        <v/>
      </c>
      <c r="U168" s="113" t="str">
        <f t="shared" si="189"/>
        <v/>
      </c>
      <c r="V168" s="113" t="str">
        <f t="shared" si="4"/>
        <v>FY21</v>
      </c>
      <c r="W168" s="113" t="str">
        <f t="shared" ca="1" si="168"/>
        <v/>
      </c>
      <c r="X168" s="50"/>
      <c r="Y168" s="146">
        <v>6</v>
      </c>
      <c r="Z168" s="145">
        <v>15000000</v>
      </c>
      <c r="AA168" s="167" t="e">
        <f t="shared" si="196"/>
        <v>#DIV/0!</v>
      </c>
      <c r="AC168" s="145">
        <v>32858999.999999996</v>
      </c>
      <c r="AD168" s="203" t="e">
        <f t="shared" si="192"/>
        <v>#DIV/0!</v>
      </c>
      <c r="AE168" s="167">
        <f t="shared" si="197"/>
        <v>0</v>
      </c>
      <c r="AF168" s="167">
        <f t="shared" si="193"/>
        <v>32858999.999999996</v>
      </c>
      <c r="AG168" s="224">
        <f t="shared" si="198"/>
        <v>29.573099999999997</v>
      </c>
      <c r="AH168" s="224">
        <f t="shared" si="199"/>
        <v>31.216049999999996</v>
      </c>
      <c r="AJ168" s="224">
        <f t="shared" si="200"/>
        <v>32.858999999999995</v>
      </c>
      <c r="AK168" s="205"/>
      <c r="AL168" s="204"/>
      <c r="AM168" s="205"/>
      <c r="AN168" s="57"/>
      <c r="AQ168" s="57"/>
      <c r="AT168" s="50"/>
      <c r="AU168" s="146">
        <v>3</v>
      </c>
      <c r="AV168" s="166">
        <v>20000000</v>
      </c>
      <c r="AW168" s="167">
        <f t="shared" si="207"/>
        <v>36870710.705909088</v>
      </c>
      <c r="AX168" s="168"/>
      <c r="AY168" s="167">
        <f t="shared" si="208"/>
        <v>6</v>
      </c>
      <c r="BA168" s="153" t="s">
        <v>172</v>
      </c>
      <c r="BB168" s="170">
        <f>AV164</f>
        <v>134.49039999999999</v>
      </c>
      <c r="BC168" s="154"/>
      <c r="BD168" s="155">
        <f t="shared" si="201"/>
        <v>80</v>
      </c>
      <c r="BE168" s="156">
        <f t="shared" si="202"/>
        <v>107.86469987818181</v>
      </c>
      <c r="BH168" s="50"/>
      <c r="CA168" s="50"/>
      <c r="CQ168" s="50"/>
      <c r="CR168" s="146">
        <v>4</v>
      </c>
      <c r="CS168" s="166">
        <v>40000000</v>
      </c>
      <c r="CT168" s="168">
        <f t="shared" si="203"/>
        <v>57570524.666666664</v>
      </c>
      <c r="CU168" s="168"/>
      <c r="CV168" s="145">
        <v>61781000</v>
      </c>
      <c r="CX168" s="167">
        <f t="shared" si="204"/>
        <v>6</v>
      </c>
      <c r="DA168" s="153" t="s">
        <v>91</v>
      </c>
      <c r="DB168" s="155">
        <f>CS161/1000000</f>
        <v>60</v>
      </c>
      <c r="DC168" s="154"/>
      <c r="DD168" s="154"/>
      <c r="DE168" s="155">
        <f t="shared" si="190"/>
        <v>120</v>
      </c>
      <c r="DF168" s="154"/>
      <c r="DG168" s="154"/>
      <c r="DH168" s="156">
        <f t="shared" si="191"/>
        <v>244.63164499999999</v>
      </c>
      <c r="DK168" s="50"/>
      <c r="DL168" s="146">
        <v>4</v>
      </c>
      <c r="DM168" s="166">
        <v>30000000</v>
      </c>
      <c r="DN168" s="168">
        <f t="shared" si="205"/>
        <v>46036330.25</v>
      </c>
      <c r="DR168" s="167">
        <f t="shared" si="206"/>
        <v>4</v>
      </c>
      <c r="DT168" s="172"/>
      <c r="DU168" s="2"/>
      <c r="DV168" s="154"/>
      <c r="DW168" s="154"/>
      <c r="DX168" s="155">
        <f t="shared" si="194"/>
        <v>100</v>
      </c>
      <c r="DY168" s="154"/>
      <c r="DZ168" s="154"/>
      <c r="EA168" s="156">
        <f t="shared" si="195"/>
        <v>162.44874999999999</v>
      </c>
    </row>
    <row r="169" spans="10:131" x14ac:dyDescent="0.25">
      <c r="J169" s="86" t="str" cm="1">
        <f t="array" ref="J169">LOOKUP(2,1/($G$17:$G$33&lt;=$L169)/($H$17:$H$33&gt;=$L169),$F$17:$F$33)</f>
        <v>2H21</v>
      </c>
      <c r="K169" s="86" t="str" cm="1">
        <f t="array" ref="K169">LOOKUP(2,1/($G$6:$G$14&lt;=$L169)/($H$6:$H$14&gt;=$L169),$F$6:$F$14)</f>
        <v>FY21</v>
      </c>
      <c r="L169" s="118">
        <v>44322</v>
      </c>
      <c r="M169" s="49">
        <v>37110605</v>
      </c>
      <c r="N169" s="49">
        <v>45026297</v>
      </c>
      <c r="O169" s="50">
        <v>20000000</v>
      </c>
      <c r="P169" s="119" cm="1">
        <f t="array" ref="P169">LOOKUP(2,1/($B$10:$B$14&lt;=$L169)/($C$10:$C$14&gt;=$L169),$D$10:$D$14)</f>
        <v>1.1000000000000001</v>
      </c>
      <c r="Q169" s="120" cm="1">
        <f t="array" ref="Q169">LOOKUP(2,1/($B$17:$B$21&lt;=$L169)/($C$17:$C$21&gt;=$L169),$D$17:$D$21)</f>
        <v>134.49039999999999</v>
      </c>
      <c r="R169" s="113" t="str">
        <f t="shared" si="186"/>
        <v/>
      </c>
      <c r="S169" s="113" t="str">
        <f t="shared" si="187"/>
        <v>2H21</v>
      </c>
      <c r="T169" s="113" t="str">
        <f t="shared" ca="1" si="188"/>
        <v/>
      </c>
      <c r="U169" s="113" t="str">
        <f t="shared" si="189"/>
        <v/>
      </c>
      <c r="V169" s="113" t="str">
        <f t="shared" si="4"/>
        <v>FY21</v>
      </c>
      <c r="W169" s="113" t="str">
        <f t="shared" ca="1" si="168"/>
        <v/>
      </c>
      <c r="X169" s="50"/>
      <c r="Y169" s="146">
        <v>7</v>
      </c>
      <c r="Z169" s="145">
        <v>20000000</v>
      </c>
      <c r="AA169" s="167">
        <f t="shared" si="196"/>
        <v>38671214.272727273</v>
      </c>
      <c r="AC169" s="145">
        <v>38290000</v>
      </c>
      <c r="AD169" s="203">
        <f t="shared" si="192"/>
        <v>38.671214272727276</v>
      </c>
      <c r="AE169" s="167">
        <f t="shared" si="197"/>
        <v>11</v>
      </c>
      <c r="AF169" s="167">
        <f t="shared" si="193"/>
        <v>38671214.272727273</v>
      </c>
      <c r="AG169" s="224">
        <f t="shared" si="198"/>
        <v>34.804092845454541</v>
      </c>
      <c r="AH169" s="224">
        <f t="shared" si="199"/>
        <v>36.737653559090901</v>
      </c>
      <c r="AJ169" s="224">
        <f t="shared" si="200"/>
        <v>38.671214272727276</v>
      </c>
      <c r="AK169" s="205"/>
      <c r="AL169" s="204"/>
      <c r="AM169" s="205"/>
      <c r="AN169" s="57"/>
      <c r="AQ169" s="57"/>
      <c r="AT169" s="50"/>
      <c r="AU169" s="146">
        <v>4</v>
      </c>
      <c r="AV169" s="166">
        <v>40000000</v>
      </c>
      <c r="AW169" s="167">
        <f t="shared" si="207"/>
        <v>54506502.406363636</v>
      </c>
      <c r="AX169" s="168"/>
      <c r="AY169" s="167">
        <f t="shared" si="208"/>
        <v>3</v>
      </c>
      <c r="BA169" s="172"/>
      <c r="BB169" s="2"/>
      <c r="BC169" s="154"/>
      <c r="BD169" s="155">
        <f t="shared" si="201"/>
        <v>120</v>
      </c>
      <c r="BE169" s="156">
        <f t="shared" si="202"/>
        <v>198.5131988212033</v>
      </c>
      <c r="BH169" s="50"/>
      <c r="CA169" s="50"/>
      <c r="CQ169" s="50"/>
      <c r="CR169" s="146">
        <v>5</v>
      </c>
      <c r="CS169" s="166">
        <v>60000000</v>
      </c>
      <c r="CT169" s="168">
        <f t="shared" si="203"/>
        <v>79920318.125</v>
      </c>
      <c r="CU169" s="168"/>
      <c r="CV169" s="145">
        <v>84738999.999999985</v>
      </c>
      <c r="CW169" s="145">
        <v>86029000</v>
      </c>
      <c r="CX169" s="167">
        <f t="shared" si="204"/>
        <v>8</v>
      </c>
      <c r="DA169" s="172" t="s">
        <v>147</v>
      </c>
      <c r="DB169" s="174">
        <f>CS158</f>
        <v>44378</v>
      </c>
      <c r="DC169" s="154"/>
      <c r="DD169" s="154"/>
      <c r="DE169" s="155">
        <f t="shared" si="190"/>
        <v>160</v>
      </c>
      <c r="DF169" s="154"/>
      <c r="DG169" s="154"/>
      <c r="DH169" s="156">
        <f t="shared" si="191"/>
        <v>259.3877</v>
      </c>
      <c r="DK169" s="50"/>
      <c r="DL169" s="146">
        <v>5</v>
      </c>
      <c r="DM169" s="166">
        <v>50000000</v>
      </c>
      <c r="DN169" s="168">
        <f t="shared" si="205"/>
        <v>70639884.333333328</v>
      </c>
      <c r="DR169" s="167">
        <f t="shared" si="206"/>
        <v>3</v>
      </c>
      <c r="DT169" s="172" t="s">
        <v>147</v>
      </c>
      <c r="DU169" s="174">
        <f>DM158</f>
        <v>44197</v>
      </c>
      <c r="DV169" s="154"/>
      <c r="DW169" s="154"/>
      <c r="DX169" s="155">
        <f t="shared" si="194"/>
        <v>120</v>
      </c>
      <c r="DY169" s="154"/>
      <c r="DZ169" s="154"/>
      <c r="EA169" s="156">
        <f t="shared" si="195"/>
        <v>190.99625</v>
      </c>
    </row>
    <row r="170" spans="10:131" x14ac:dyDescent="0.25">
      <c r="J170" s="86" t="str" cm="1">
        <f t="array" ref="J170">LOOKUP(2,1/($G$17:$G$33&lt;=$L170)/($H$17:$H$33&gt;=$L170),$F$17:$F$33)</f>
        <v>2H21</v>
      </c>
      <c r="K170" s="86" t="str" cm="1">
        <f t="array" ref="K170">LOOKUP(2,1/($G$6:$G$14&lt;=$L170)/($H$6:$H$14&gt;=$L170),$F$6:$F$14)</f>
        <v>FY21</v>
      </c>
      <c r="L170" s="118">
        <v>44315</v>
      </c>
      <c r="M170" s="49">
        <v>24573954</v>
      </c>
      <c r="N170" s="49">
        <v>29815578</v>
      </c>
      <c r="O170" s="50">
        <v>8000000</v>
      </c>
      <c r="P170" s="119" cm="1">
        <f t="array" ref="P170">LOOKUP(2,1/($B$10:$B$14&lt;=$L170)/($C$10:$C$14&gt;=$L170),$D$10:$D$14)</f>
        <v>1.1000000000000001</v>
      </c>
      <c r="Q170" s="120" cm="1">
        <f t="array" ref="Q170">LOOKUP(2,1/($B$17:$B$21&lt;=$L170)/($C$17:$C$21&gt;=$L170),$D$17:$D$21)</f>
        <v>134.49039999999999</v>
      </c>
      <c r="R170" s="113" t="str">
        <f t="shared" si="186"/>
        <v/>
      </c>
      <c r="S170" s="113" t="str">
        <f t="shared" si="187"/>
        <v>2H21</v>
      </c>
      <c r="T170" s="113" t="str">
        <f t="shared" ca="1" si="188"/>
        <v/>
      </c>
      <c r="U170" s="113" t="str">
        <f t="shared" si="189"/>
        <v/>
      </c>
      <c r="V170" s="113" t="str">
        <f t="shared" si="4"/>
        <v>FY21</v>
      </c>
      <c r="W170" s="113" t="str">
        <f t="shared" ca="1" si="168"/>
        <v/>
      </c>
      <c r="X170" s="50"/>
      <c r="Y170" s="146">
        <v>8</v>
      </c>
      <c r="Z170" s="145">
        <v>25000000</v>
      </c>
      <c r="AA170" s="167" t="e">
        <f t="shared" si="196"/>
        <v>#DIV/0!</v>
      </c>
      <c r="AC170" s="145">
        <v>43721000</v>
      </c>
      <c r="AD170" s="203" t="e">
        <f t="shared" si="192"/>
        <v>#DIV/0!</v>
      </c>
      <c r="AE170" s="167">
        <f t="shared" si="197"/>
        <v>0</v>
      </c>
      <c r="AF170" s="167">
        <f t="shared" si="193"/>
        <v>43721000</v>
      </c>
      <c r="AG170" s="224">
        <f t="shared" si="198"/>
        <v>39.3489</v>
      </c>
      <c r="AH170" s="224">
        <f t="shared" si="199"/>
        <v>41.534950000000002</v>
      </c>
      <c r="AJ170" s="224">
        <f t="shared" si="200"/>
        <v>43.720999999999997</v>
      </c>
      <c r="AK170" s="205"/>
      <c r="AL170" s="204"/>
      <c r="AM170" s="205"/>
      <c r="AN170" s="57"/>
      <c r="AQ170" s="57"/>
      <c r="AT170" s="50"/>
      <c r="AU170" s="146">
        <v>5</v>
      </c>
      <c r="AV170" s="166">
        <v>60000000</v>
      </c>
      <c r="AW170" s="167">
        <f t="shared" si="207"/>
        <v>74688107.729772732</v>
      </c>
      <c r="AX170" s="168"/>
      <c r="AY170" s="167">
        <f t="shared" si="208"/>
        <v>2</v>
      </c>
      <c r="BA170" s="172" t="s">
        <v>147</v>
      </c>
      <c r="BB170" s="174">
        <f>AV159</f>
        <v>44652</v>
      </c>
      <c r="BC170" s="154"/>
      <c r="BD170" s="155">
        <f t="shared" si="201"/>
        <v>150</v>
      </c>
      <c r="BE170" s="156">
        <f t="shared" si="202"/>
        <v>254.125</v>
      </c>
      <c r="BH170" s="50"/>
      <c r="CA170" s="50"/>
      <c r="CQ170" s="50"/>
      <c r="CR170" s="146">
        <v>6</v>
      </c>
      <c r="CS170" s="166">
        <v>80000000</v>
      </c>
      <c r="CT170" s="168">
        <f t="shared" si="203"/>
        <v>116973107.25</v>
      </c>
      <c r="CU170" s="168"/>
      <c r="CV170" s="145">
        <v>107696999.99999999</v>
      </c>
      <c r="CW170" s="145">
        <v>126083000</v>
      </c>
      <c r="CX170" s="167">
        <f t="shared" si="204"/>
        <v>4</v>
      </c>
      <c r="DA170" s="172" t="s">
        <v>148</v>
      </c>
      <c r="DB170" s="174">
        <f>CU158</f>
        <v>44742</v>
      </c>
      <c r="DC170" s="154"/>
      <c r="DD170" s="154"/>
      <c r="DE170" s="155">
        <f t="shared" si="190"/>
        <v>200</v>
      </c>
      <c r="DF170" s="154"/>
      <c r="DG170" s="154"/>
      <c r="DH170" s="156">
        <f t="shared" si="191"/>
        <v>319.07850000000002</v>
      </c>
      <c r="DK170" s="50"/>
      <c r="DL170" s="146">
        <v>6</v>
      </c>
      <c r="DM170" s="166">
        <v>80000000</v>
      </c>
      <c r="DN170" s="168">
        <f t="shared" si="205"/>
        <v>118500311</v>
      </c>
      <c r="DP170" s="145">
        <v>107121000</v>
      </c>
      <c r="DQ170" s="145">
        <v>110883000</v>
      </c>
      <c r="DR170" s="167">
        <f t="shared" si="206"/>
        <v>1</v>
      </c>
      <c r="DT170" s="172" t="s">
        <v>148</v>
      </c>
      <c r="DU170" s="174">
        <f>DO158</f>
        <v>44377</v>
      </c>
      <c r="DV170" s="154"/>
      <c r="DW170" s="154"/>
      <c r="DX170" s="155">
        <f t="shared" si="194"/>
        <v>160</v>
      </c>
      <c r="DY170" s="154"/>
      <c r="DZ170" s="154"/>
      <c r="EA170" s="156">
        <f t="shared" si="195"/>
        <v>248.09124999999997</v>
      </c>
    </row>
    <row r="171" spans="10:131" x14ac:dyDescent="0.25">
      <c r="J171" s="86" t="str" cm="1">
        <f t="array" ref="J171">LOOKUP(2,1/($G$17:$G$33&lt;=$L171)/($H$17:$H$33&gt;=$L171),$F$17:$F$33)</f>
        <v>2H21</v>
      </c>
      <c r="K171" s="86" t="str" cm="1">
        <f t="array" ref="K171">LOOKUP(2,1/($G$6:$G$14&lt;=$L171)/($H$6:$H$14&gt;=$L171),$F$6:$F$14)</f>
        <v>FY21</v>
      </c>
      <c r="L171" s="118">
        <v>44308</v>
      </c>
      <c r="M171" s="49">
        <v>118500311</v>
      </c>
      <c r="N171" s="49">
        <v>143776427</v>
      </c>
      <c r="O171" s="50">
        <v>80000000</v>
      </c>
      <c r="P171" s="119" cm="1">
        <f t="array" ref="P171">LOOKUP(2,1/($B$10:$B$14&lt;=$L171)/($C$10:$C$14&gt;=$L171),$D$10:$D$14)</f>
        <v>1.1000000000000001</v>
      </c>
      <c r="Q171" s="120" cm="1">
        <f t="array" ref="Q171">LOOKUP(2,1/($B$17:$B$21&lt;=$L171)/($C$17:$C$21&gt;=$L171),$D$17:$D$21)</f>
        <v>134.49039999999999</v>
      </c>
      <c r="R171" s="113" t="str">
        <f t="shared" si="186"/>
        <v/>
      </c>
      <c r="S171" s="113" t="str">
        <f t="shared" si="187"/>
        <v>2H21</v>
      </c>
      <c r="T171" s="113" t="str">
        <f t="shared" ca="1" si="188"/>
        <v/>
      </c>
      <c r="U171" s="113" t="str">
        <f t="shared" si="189"/>
        <v/>
      </c>
      <c r="V171" s="113" t="str">
        <f t="shared" si="4"/>
        <v>FY21</v>
      </c>
      <c r="W171" s="113" t="str">
        <f t="shared" ca="1" si="168"/>
        <v/>
      </c>
      <c r="X171" s="50"/>
      <c r="Y171" s="146">
        <v>9</v>
      </c>
      <c r="Z171" s="145">
        <v>30000000</v>
      </c>
      <c r="AA171" s="167">
        <f t="shared" si="196"/>
        <v>43191841</v>
      </c>
      <c r="AC171" s="145">
        <v>49152000</v>
      </c>
      <c r="AD171" s="203">
        <f t="shared" si="192"/>
        <v>43.191840999999997</v>
      </c>
      <c r="AE171" s="167">
        <f t="shared" si="197"/>
        <v>2</v>
      </c>
      <c r="AF171" s="167">
        <f t="shared" si="193"/>
        <v>43191841</v>
      </c>
      <c r="AG171" s="224">
        <f t="shared" si="198"/>
        <v>38.872656899999996</v>
      </c>
      <c r="AH171" s="224">
        <f t="shared" si="199"/>
        <v>41.032248949999996</v>
      </c>
      <c r="AJ171" s="224">
        <f t="shared" si="200"/>
        <v>43.191840999999997</v>
      </c>
      <c r="AK171" s="205"/>
      <c r="AL171" s="204"/>
      <c r="AM171" s="205"/>
      <c r="AN171" s="57"/>
      <c r="AQ171" s="57"/>
      <c r="AT171" s="50"/>
      <c r="AU171" s="146">
        <v>6</v>
      </c>
      <c r="AV171" s="166">
        <v>80000000</v>
      </c>
      <c r="AW171" s="167">
        <f t="shared" si="207"/>
        <v>107864699.87818182</v>
      </c>
      <c r="AX171" s="168"/>
      <c r="AY171" s="167">
        <f t="shared" si="208"/>
        <v>1</v>
      </c>
      <c r="BA171" s="172" t="s">
        <v>148</v>
      </c>
      <c r="BB171" s="174">
        <f>AX159</f>
        <v>44868</v>
      </c>
      <c r="BC171" s="154"/>
      <c r="BD171" s="155">
        <f t="shared" si="201"/>
        <v>200</v>
      </c>
      <c r="BE171" s="156">
        <f t="shared" si="202"/>
        <v>341.91363636363639</v>
      </c>
      <c r="BH171" s="50"/>
      <c r="CA171" s="50"/>
      <c r="CQ171" s="50"/>
      <c r="CR171" s="146">
        <v>7</v>
      </c>
      <c r="CS171" s="166">
        <v>120000000</v>
      </c>
      <c r="CT171" s="168">
        <f t="shared" si="203"/>
        <v>244631645</v>
      </c>
      <c r="CU171" s="168"/>
      <c r="CV171" s="145">
        <v>153613000</v>
      </c>
      <c r="CW171" s="145">
        <v>234751000</v>
      </c>
      <c r="CX171" s="167">
        <f t="shared" si="204"/>
        <v>1</v>
      </c>
      <c r="DA171" s="172" t="s">
        <v>0</v>
      </c>
      <c r="DB171" s="175">
        <f>CU163</f>
        <v>0.22641509433962265</v>
      </c>
      <c r="DC171" s="154"/>
      <c r="DD171" s="154"/>
      <c r="DE171" s="155">
        <f t="shared" si="190"/>
        <v>250</v>
      </c>
      <c r="DF171" s="154"/>
      <c r="DG171" s="154"/>
      <c r="DH171" s="156">
        <f t="shared" si="191"/>
        <v>393.69200000000001</v>
      </c>
      <c r="DK171" s="50"/>
      <c r="DL171" s="146">
        <v>7</v>
      </c>
      <c r="DM171" s="145">
        <v>100000000</v>
      </c>
      <c r="DN171" s="145"/>
      <c r="DO171" s="173">
        <f>IF($DM171&gt;=100000000,$DP$160*DP$163*DP171+$DQ$160*DQ$163*DQ171,DP$163*DP171+DQ$163*DQ171)</f>
        <v>162448750</v>
      </c>
      <c r="DP171" s="145">
        <v>129959000</v>
      </c>
      <c r="DQ171" s="145">
        <v>139102999.99999997</v>
      </c>
      <c r="DR171" s="146"/>
      <c r="DT171" s="172" t="s">
        <v>173</v>
      </c>
      <c r="DU171" s="177">
        <f>DO163</f>
        <v>1</v>
      </c>
      <c r="DV171" s="154"/>
      <c r="DW171" s="154"/>
      <c r="DX171" s="155">
        <f t="shared" si="194"/>
        <v>200</v>
      </c>
      <c r="DY171" s="154"/>
      <c r="DZ171" s="154"/>
      <c r="EA171" s="156">
        <f t="shared" si="195"/>
        <v>305.18624999999997</v>
      </c>
    </row>
    <row r="172" spans="10:131" x14ac:dyDescent="0.25">
      <c r="J172" s="86" t="str" cm="1">
        <f t="array" ref="J172">LOOKUP(2,1/($G$17:$G$33&lt;=$L172)/($H$17:$H$33&gt;=$L172),$F$17:$F$33)</f>
        <v>2H21</v>
      </c>
      <c r="K172" s="86" t="str" cm="1">
        <f t="array" ref="K172">LOOKUP(2,1/($G$6:$G$14&lt;=$L172)/($H$6:$H$14&gt;=$L172),$F$6:$F$14)</f>
        <v>FY21</v>
      </c>
      <c r="L172" s="118">
        <v>44301</v>
      </c>
      <c r="M172" s="49">
        <v>63615310</v>
      </c>
      <c r="N172" s="49">
        <v>77184455</v>
      </c>
      <c r="O172" s="50">
        <v>50000000</v>
      </c>
      <c r="P172" s="119" cm="1">
        <f t="array" ref="P172">LOOKUP(2,1/($B$10:$B$14&lt;=$L172)/($C$10:$C$14&gt;=$L172),$D$10:$D$14)</f>
        <v>1.1000000000000001</v>
      </c>
      <c r="Q172" s="120" cm="1">
        <f t="array" ref="Q172">LOOKUP(2,1/($B$17:$B$21&lt;=$L172)/($C$17:$C$21&gt;=$L172),$D$17:$D$21)</f>
        <v>134.49039999999999</v>
      </c>
      <c r="R172" s="113" t="str">
        <f t="shared" si="186"/>
        <v/>
      </c>
      <c r="S172" s="113" t="str">
        <f t="shared" si="187"/>
        <v>2H21</v>
      </c>
      <c r="T172" s="113" t="str">
        <f t="shared" ca="1" si="188"/>
        <v/>
      </c>
      <c r="U172" s="113" t="str">
        <f t="shared" si="189"/>
        <v/>
      </c>
      <c r="V172" s="113" t="str">
        <f t="shared" si="4"/>
        <v>FY21</v>
      </c>
      <c r="W172" s="113" t="str">
        <f t="shared" ca="1" si="168"/>
        <v/>
      </c>
      <c r="X172" s="50"/>
      <c r="Y172" s="146">
        <v>10</v>
      </c>
      <c r="Z172" s="145">
        <v>40000000</v>
      </c>
      <c r="AA172" s="167">
        <f t="shared" si="196"/>
        <v>56920915.714285716</v>
      </c>
      <c r="AC172" s="145">
        <v>60013999.999999993</v>
      </c>
      <c r="AD172" s="203">
        <f t="shared" si="192"/>
        <v>56.920915714285719</v>
      </c>
      <c r="AE172" s="167">
        <f t="shared" si="197"/>
        <v>7</v>
      </c>
      <c r="AF172" s="167">
        <f t="shared" si="193"/>
        <v>56920915.714285716</v>
      </c>
      <c r="AG172" s="224">
        <f t="shared" si="198"/>
        <v>51.22882414285715</v>
      </c>
      <c r="AH172" s="224">
        <f t="shared" si="199"/>
        <v>54.074869928571424</v>
      </c>
      <c r="AJ172" s="224">
        <f t="shared" si="200"/>
        <v>56.920915714285719</v>
      </c>
      <c r="AK172" s="205"/>
      <c r="AL172" s="204"/>
      <c r="AM172" s="205"/>
      <c r="AN172" s="57"/>
      <c r="AQ172" s="57"/>
      <c r="AT172" s="50"/>
      <c r="AU172" s="146">
        <v>7</v>
      </c>
      <c r="AV172" s="166">
        <v>120000000</v>
      </c>
      <c r="AW172" s="146">
        <f>AW57*$AX$164</f>
        <v>198513198.82120329</v>
      </c>
      <c r="AX172" s="168"/>
      <c r="AY172" s="167">
        <f t="shared" si="208"/>
        <v>0</v>
      </c>
      <c r="BA172" s="176"/>
      <c r="BB172" s="85"/>
      <c r="BC172" s="154"/>
      <c r="BD172" s="155">
        <f t="shared" si="201"/>
        <v>250</v>
      </c>
      <c r="BE172" s="156">
        <f>MAX(AW175:AX175)/1000000</f>
        <v>443.56363636363636</v>
      </c>
      <c r="BH172" s="50"/>
      <c r="CA172" s="50"/>
      <c r="CQ172" s="50"/>
      <c r="CR172" s="146">
        <v>8</v>
      </c>
      <c r="CS172" s="145">
        <v>160000000</v>
      </c>
      <c r="CT172" s="145"/>
      <c r="CU172" s="173">
        <f>IF($CS172&gt;=100000000,$CV$141*CV$144*CV172+$CW$141*CW$144*CW172,CV$144*CV172+CW$144*CW172)</f>
        <v>259387700</v>
      </c>
      <c r="CV172" s="145">
        <v>199529000</v>
      </c>
      <c r="CW172" s="145">
        <v>381499000.00000006</v>
      </c>
      <c r="CX172" s="146"/>
      <c r="DA172" s="179" t="s">
        <v>162</v>
      </c>
      <c r="DB172" s="180">
        <f>CV160</f>
        <v>1.3</v>
      </c>
      <c r="DC172" s="181"/>
      <c r="DD172" s="181"/>
      <c r="DE172" s="181"/>
      <c r="DF172" s="181"/>
      <c r="DG172" s="181"/>
      <c r="DH172" s="182"/>
      <c r="DK172" s="50"/>
      <c r="DL172" s="146">
        <v>8</v>
      </c>
      <c r="DM172" s="145">
        <v>120000000</v>
      </c>
      <c r="DN172" s="145"/>
      <c r="DO172" s="173">
        <f>IF($DM172&gt;=100000000,$DP$160*DP$163*DP172+$DQ$160*DQ$163*DQ172,DP$163*DP172+DQ$163*DQ172)</f>
        <v>190996250</v>
      </c>
      <c r="DP172" s="145">
        <v>152797000</v>
      </c>
      <c r="DQ172" s="145">
        <v>169243000</v>
      </c>
      <c r="DR172" s="146"/>
      <c r="DT172" s="176"/>
      <c r="DU172" s="32"/>
      <c r="DV172" s="32"/>
      <c r="DW172" s="32"/>
      <c r="DX172" s="32"/>
      <c r="DY172" s="32"/>
      <c r="DZ172" s="32"/>
      <c r="EA172" s="183"/>
    </row>
    <row r="173" spans="10:131" x14ac:dyDescent="0.25">
      <c r="J173" s="86" t="str" cm="1">
        <f t="array" ref="J173">LOOKUP(2,1/($G$17:$G$33&lt;=$L173)/($H$17:$H$33&gt;=$L173),$F$17:$F$33)</f>
        <v>2H21</v>
      </c>
      <c r="K173" s="86" t="str" cm="1">
        <f t="array" ref="K173">LOOKUP(2,1/($G$6:$G$14&lt;=$L173)/($H$6:$H$14&gt;=$L173),$F$6:$F$14)</f>
        <v>FY21</v>
      </c>
      <c r="L173" s="118">
        <v>44294</v>
      </c>
      <c r="M173" s="49">
        <v>41866553</v>
      </c>
      <c r="N173" s="49">
        <v>50796688</v>
      </c>
      <c r="O173" s="50">
        <v>30000000</v>
      </c>
      <c r="P173" s="119" cm="1">
        <f t="array" ref="P173">LOOKUP(2,1/($B$10:$B$14&lt;=$L173)/($C$10:$C$14&gt;=$L173),$D$10:$D$14)</f>
        <v>1.1000000000000001</v>
      </c>
      <c r="Q173" s="120" cm="1">
        <f t="array" ref="Q173">LOOKUP(2,1/($B$17:$B$21&lt;=$L173)/($C$17:$C$21&gt;=$L173),$D$17:$D$21)</f>
        <v>134.49039999999999</v>
      </c>
      <c r="R173" s="113" t="str">
        <f t="shared" si="186"/>
        <v/>
      </c>
      <c r="S173" s="113" t="str">
        <f t="shared" si="187"/>
        <v>2H21</v>
      </c>
      <c r="T173" s="113" t="str">
        <f t="shared" ca="1" si="188"/>
        <v/>
      </c>
      <c r="U173" s="113" t="str">
        <f t="shared" si="189"/>
        <v/>
      </c>
      <c r="V173" s="113" t="str">
        <f t="shared" si="4"/>
        <v>FY21</v>
      </c>
      <c r="W173" s="113" t="str">
        <f t="shared" ca="1" si="168"/>
        <v/>
      </c>
      <c r="X173" s="50"/>
      <c r="Y173" s="146">
        <v>11</v>
      </c>
      <c r="Z173" s="145">
        <v>50000000</v>
      </c>
      <c r="AA173" s="167">
        <f t="shared" si="196"/>
        <v>67199003</v>
      </c>
      <c r="AC173" s="145">
        <v>70876000</v>
      </c>
      <c r="AD173" s="203">
        <f t="shared" si="192"/>
        <v>67.199003000000005</v>
      </c>
      <c r="AE173" s="167">
        <f t="shared" si="197"/>
        <v>1</v>
      </c>
      <c r="AF173" s="167">
        <f t="shared" si="193"/>
        <v>67199003</v>
      </c>
      <c r="AG173" s="224">
        <f t="shared" si="198"/>
        <v>60.479102700000006</v>
      </c>
      <c r="AH173" s="224">
        <f t="shared" si="199"/>
        <v>63.839052849999995</v>
      </c>
      <c r="AJ173" s="224">
        <f t="shared" si="200"/>
        <v>67.199003000000005</v>
      </c>
      <c r="AK173" s="205"/>
      <c r="AL173" s="204"/>
      <c r="AM173" s="205"/>
      <c r="AN173" s="57"/>
      <c r="AQ173" s="57"/>
      <c r="AT173" s="50"/>
      <c r="AU173" s="146">
        <v>8</v>
      </c>
      <c r="AV173" s="145">
        <v>150000000</v>
      </c>
      <c r="AW173" s="145"/>
      <c r="AX173" s="145">
        <f>AX58*$AX$164</f>
        <v>254125000</v>
      </c>
      <c r="AY173" s="146"/>
      <c r="BA173" s="176"/>
      <c r="BB173" s="32"/>
      <c r="BC173" s="32"/>
      <c r="BD173" s="32"/>
      <c r="BE173" s="183"/>
      <c r="BH173" s="50"/>
      <c r="CA173" s="50"/>
      <c r="CQ173" s="50"/>
      <c r="CR173" s="146">
        <v>9</v>
      </c>
      <c r="CS173" s="145">
        <v>200000000</v>
      </c>
      <c r="CT173" s="145"/>
      <c r="CU173" s="173">
        <f>IF($CS173&gt;=100000000,$CV$141*CV$144*CV173+$CW$141*CW$144*CW173,CV$144*CV173+CW$144*CW173)</f>
        <v>319078500</v>
      </c>
      <c r="CV173" s="145">
        <v>245445000</v>
      </c>
      <c r="CW173" s="145">
        <v>566327000</v>
      </c>
      <c r="CX173" s="146"/>
      <c r="DA173" s="2"/>
      <c r="DB173" s="2"/>
      <c r="DC173" s="2"/>
      <c r="DD173" s="2"/>
      <c r="DE173" s="2"/>
      <c r="DF173" s="2"/>
      <c r="DG173" s="2"/>
      <c r="DH173" s="2"/>
      <c r="DK173" s="50"/>
      <c r="DL173" s="146">
        <v>9</v>
      </c>
      <c r="DM173" s="145">
        <v>160000000</v>
      </c>
      <c r="DN173" s="145"/>
      <c r="DO173" s="173">
        <f>IF($DM173&gt;=100000000,$DP$160*DP$163*DP173+$DQ$160*DQ$163*DQ173,DP$163*DP173+DQ$163*DQ173)</f>
        <v>248091249.99999997</v>
      </c>
      <c r="DP173" s="145">
        <v>198472999.99999997</v>
      </c>
      <c r="DQ173" s="145">
        <v>235283000</v>
      </c>
      <c r="DR173" s="146"/>
      <c r="DT173" s="186"/>
      <c r="DU173" s="2"/>
      <c r="DV173" s="2"/>
      <c r="DW173" s="2"/>
      <c r="DX173" s="2"/>
      <c r="DY173" s="2"/>
      <c r="DZ173" s="2"/>
      <c r="EA173" s="187"/>
    </row>
    <row r="174" spans="10:131" x14ac:dyDescent="0.25">
      <c r="J174" s="86" t="str" cm="1">
        <f t="array" ref="J174">LOOKUP(2,1/($G$17:$G$33&lt;=$L174)/($H$17:$H$33&gt;=$L174),$F$17:$F$33)</f>
        <v>2H21</v>
      </c>
      <c r="K174" s="86" t="str" cm="1">
        <f t="array" ref="K174">LOOKUP(2,1/($G$6:$G$14&lt;=$L174)/($H$6:$H$14&gt;=$L174),$F$6:$F$14)</f>
        <v>FY21</v>
      </c>
      <c r="L174" s="118">
        <v>44287</v>
      </c>
      <c r="M174" s="49">
        <v>37212500</v>
      </c>
      <c r="N174" s="49">
        <v>45149927</v>
      </c>
      <c r="O174" s="50">
        <v>20000000</v>
      </c>
      <c r="P174" s="119" cm="1">
        <f t="array" ref="P174">LOOKUP(2,1/($B$10:$B$14&lt;=$L174)/($C$10:$C$14&gt;=$L174),$D$10:$D$14)</f>
        <v>1.1000000000000001</v>
      </c>
      <c r="Q174" s="120" cm="1">
        <f t="array" ref="Q174">LOOKUP(2,1/($B$17:$B$21&lt;=$L174)/($C$17:$C$21&gt;=$L174),$D$17:$D$21)</f>
        <v>134.49039999999999</v>
      </c>
      <c r="R174" s="113" t="str">
        <f t="shared" si="186"/>
        <v/>
      </c>
      <c r="S174" s="113" t="str">
        <f t="shared" si="187"/>
        <v>2H21</v>
      </c>
      <c r="T174" s="113" t="str">
        <f t="shared" ca="1" si="188"/>
        <v/>
      </c>
      <c r="U174" s="113" t="str">
        <f t="shared" si="189"/>
        <v/>
      </c>
      <c r="V174" s="113" t="str">
        <f t="shared" si="4"/>
        <v>FY21</v>
      </c>
      <c r="W174" s="113" t="str">
        <f t="shared" ca="1" si="168"/>
        <v/>
      </c>
      <c r="X174" s="50"/>
      <c r="Y174" s="146">
        <v>12</v>
      </c>
      <c r="Z174" s="145">
        <v>55000000</v>
      </c>
      <c r="AA174" s="167" t="e">
        <f t="shared" si="196"/>
        <v>#DIV/0!</v>
      </c>
      <c r="AC174" s="145">
        <v>76307000</v>
      </c>
      <c r="AD174" s="203" t="e">
        <f t="shared" si="192"/>
        <v>#DIV/0!</v>
      </c>
      <c r="AE174" s="167">
        <f t="shared" si="197"/>
        <v>0</v>
      </c>
      <c r="AF174" s="167">
        <f t="shared" si="193"/>
        <v>76307000</v>
      </c>
      <c r="AG174" s="224">
        <f t="shared" si="198"/>
        <v>68.676299999999998</v>
      </c>
      <c r="AH174" s="224">
        <f t="shared" si="199"/>
        <v>72.491650000000007</v>
      </c>
      <c r="AJ174" s="224">
        <f t="shared" si="200"/>
        <v>76.307000000000002</v>
      </c>
      <c r="AK174" s="205"/>
      <c r="AL174" s="204"/>
      <c r="AM174" s="205"/>
      <c r="AN174" s="57"/>
      <c r="AQ174" s="57"/>
      <c r="AT174" s="50"/>
      <c r="AU174" s="146">
        <v>9</v>
      </c>
      <c r="AV174" s="145">
        <v>200000000</v>
      </c>
      <c r="AW174" s="145"/>
      <c r="AX174" s="145">
        <f>AX59*$AX$164</f>
        <v>341913636.36363637</v>
      </c>
      <c r="AY174" s="146"/>
      <c r="BA174" s="186"/>
      <c r="BB174" s="2"/>
      <c r="BC174" s="2"/>
      <c r="BD174" s="2"/>
      <c r="BE174" s="187"/>
      <c r="BH174" s="50"/>
      <c r="CA174" s="50"/>
      <c r="CQ174" s="50"/>
      <c r="CR174" s="146">
        <v>10</v>
      </c>
      <c r="CS174" s="145">
        <v>250000000</v>
      </c>
      <c r="CT174" s="145"/>
      <c r="CU174" s="173">
        <f>IF($CS174&gt;=100000000,$CV$141*CV$144*CV174+$CW$141*CW$144*CW174,CV$144*CV174+CW$144*CW174)</f>
        <v>393692000</v>
      </c>
      <c r="CV174" s="145">
        <v>302840000</v>
      </c>
      <c r="CW174" s="145">
        <v>850911999.99999988</v>
      </c>
      <c r="CX174" s="146"/>
      <c r="DA174" s="188"/>
      <c r="DB174" s="188"/>
      <c r="DC174" s="188"/>
      <c r="DD174" s="188"/>
      <c r="DE174" s="188"/>
      <c r="DF174" s="188"/>
      <c r="DG174" s="188"/>
      <c r="DH174" s="188"/>
      <c r="DK174" s="50"/>
      <c r="DL174" s="146">
        <v>10</v>
      </c>
      <c r="DM174" s="145">
        <v>200000000</v>
      </c>
      <c r="DN174" s="145"/>
      <c r="DO174" s="173">
        <f>IF($DM174&gt;=100000000,$DP$160*DP$163*DP174+$DQ$160*DQ$163*DQ174,DP$163*DP174+DQ$163*DQ174)</f>
        <v>305186250</v>
      </c>
      <c r="DP174" s="145">
        <v>244149000</v>
      </c>
      <c r="DQ174" s="145">
        <v>309002999.99999994</v>
      </c>
      <c r="DR174" s="146"/>
      <c r="DT174" s="189"/>
      <c r="DU174" s="190"/>
      <c r="DV174" s="190"/>
      <c r="DW174" s="190"/>
      <c r="DX174" s="190"/>
      <c r="DY174" s="190"/>
      <c r="DZ174" s="190"/>
      <c r="EA174" s="191"/>
    </row>
    <row r="175" spans="10:131" x14ac:dyDescent="0.25">
      <c r="J175" s="86" t="str" cm="1">
        <f t="array" ref="J175">LOOKUP(2,1/($G$17:$G$33&lt;=$L175)/($H$17:$H$33&gt;=$L175),$F$17:$F$33)</f>
        <v>2H21</v>
      </c>
      <c r="K175" s="86" t="str" cm="1">
        <f t="array" ref="K175">LOOKUP(2,1/($G$6:$G$14&lt;=$L175)/($H$6:$H$14&gt;=$L175),$F$6:$F$14)</f>
        <v>FY21</v>
      </c>
      <c r="L175" s="118">
        <v>44280</v>
      </c>
      <c r="M175" s="49">
        <v>23504738</v>
      </c>
      <c r="N175" s="49">
        <v>28518299</v>
      </c>
      <c r="O175" s="50">
        <v>8000000</v>
      </c>
      <c r="P175" s="119" cm="1">
        <f t="array" ref="P175">LOOKUP(2,1/($B$10:$B$14&lt;=$L175)/($C$10:$C$14&gt;=$L175),$D$10:$D$14)</f>
        <v>1.1000000000000001</v>
      </c>
      <c r="Q175" s="120" cm="1">
        <f t="array" ref="Q175">LOOKUP(2,1/($B$17:$B$21&lt;=$L175)/($C$17:$C$21&gt;=$L175),$D$17:$D$21)</f>
        <v>134.49039999999999</v>
      </c>
      <c r="R175" s="113" t="str">
        <f t="shared" si="186"/>
        <v/>
      </c>
      <c r="S175" s="113" t="str">
        <f t="shared" si="187"/>
        <v>2H21</v>
      </c>
      <c r="T175" s="113" t="str">
        <f t="shared" ca="1" si="188"/>
        <v/>
      </c>
      <c r="U175" s="113" t="str">
        <f t="shared" si="189"/>
        <v/>
      </c>
      <c r="V175" s="113" t="str">
        <f t="shared" si="4"/>
        <v>FY21</v>
      </c>
      <c r="W175" s="113" t="str">
        <f t="shared" ca="1" si="168"/>
        <v/>
      </c>
      <c r="X175" s="50"/>
      <c r="Y175" s="146">
        <v>13</v>
      </c>
      <c r="Z175" s="145">
        <v>60000000</v>
      </c>
      <c r="AA175" s="167">
        <f t="shared" si="196"/>
        <v>82659230.333333328</v>
      </c>
      <c r="AC175" s="145">
        <v>81738000</v>
      </c>
      <c r="AD175" s="203">
        <f t="shared" si="192"/>
        <v>82.659230333333326</v>
      </c>
      <c r="AE175" s="167">
        <f t="shared" si="197"/>
        <v>3</v>
      </c>
      <c r="AF175" s="167">
        <f t="shared" si="193"/>
        <v>82659230.333333328</v>
      </c>
      <c r="AG175" s="224">
        <f t="shared" si="198"/>
        <v>74.393307300000004</v>
      </c>
      <c r="AH175" s="224">
        <f t="shared" si="199"/>
        <v>78.526268816666658</v>
      </c>
      <c r="AJ175" s="224">
        <f t="shared" si="200"/>
        <v>82.659230333333326</v>
      </c>
      <c r="AK175" s="205"/>
      <c r="AL175" s="204"/>
      <c r="AM175" s="205"/>
      <c r="AN175" s="57"/>
      <c r="AQ175" s="57"/>
      <c r="AT175" s="50"/>
      <c r="AU175" s="146">
        <v>10</v>
      </c>
      <c r="AV175" s="145">
        <v>250000000</v>
      </c>
      <c r="AW175" s="145"/>
      <c r="AX175" s="145">
        <f>AX60*$AX$164</f>
        <v>443563636.36363637</v>
      </c>
      <c r="AY175" s="146"/>
      <c r="BA175" s="189"/>
      <c r="BB175" s="190"/>
      <c r="BC175" s="190"/>
      <c r="BD175" s="190"/>
      <c r="BE175" s="191"/>
      <c r="BH175" s="50"/>
      <c r="CA175" s="50"/>
      <c r="CQ175" s="50"/>
      <c r="DA175" s="106"/>
      <c r="DB175" s="107"/>
      <c r="DC175" s="107"/>
      <c r="DD175" s="107"/>
      <c r="DE175" s="108"/>
      <c r="DF175" s="107"/>
      <c r="DG175" s="107"/>
      <c r="DH175" s="108"/>
      <c r="DK175" s="50"/>
    </row>
    <row r="176" spans="10:131" x14ac:dyDescent="0.25">
      <c r="J176" s="86" t="str" cm="1">
        <f t="array" ref="J176">LOOKUP(2,1/($G$17:$G$33&lt;=$L176)/($H$17:$H$33&gt;=$L176),$F$17:$F$33)</f>
        <v>2H21</v>
      </c>
      <c r="K176" s="86" t="str" cm="1">
        <f t="array" ref="K176">LOOKUP(2,1/($G$6:$G$14&lt;=$L176)/($H$6:$H$14&gt;=$L176),$F$6:$F$14)</f>
        <v>FY21</v>
      </c>
      <c r="L176" s="118">
        <v>44273</v>
      </c>
      <c r="M176" s="49">
        <v>69997466</v>
      </c>
      <c r="N176" s="49">
        <v>84927926</v>
      </c>
      <c r="O176" s="50">
        <v>50000000</v>
      </c>
      <c r="P176" s="119" cm="1">
        <f t="array" ref="P176">LOOKUP(2,1/($B$10:$B$14&lt;=$L176)/($C$10:$C$14&gt;=$L176),$D$10:$D$14)</f>
        <v>1.1000000000000001</v>
      </c>
      <c r="Q176" s="120" cm="1">
        <f t="array" ref="Q176">LOOKUP(2,1/($B$17:$B$21&lt;=$L176)/($C$17:$C$21&gt;=$L176),$D$17:$D$21)</f>
        <v>134.49039999999999</v>
      </c>
      <c r="R176" s="113" t="str">
        <f t="shared" si="186"/>
        <v/>
      </c>
      <c r="S176" s="113" t="str">
        <f t="shared" si="187"/>
        <v>2H21</v>
      </c>
      <c r="T176" s="113" t="str">
        <f t="shared" ca="1" si="188"/>
        <v/>
      </c>
      <c r="U176" s="113" t="str">
        <f t="shared" si="189"/>
        <v/>
      </c>
      <c r="V176" s="113" t="str">
        <f t="shared" si="4"/>
        <v>FY21</v>
      </c>
      <c r="W176" s="113" t="str">
        <f t="shared" ca="1" si="168"/>
        <v/>
      </c>
      <c r="X176" s="50"/>
      <c r="Y176" s="146">
        <v>14</v>
      </c>
      <c r="Z176" s="145">
        <v>65000000</v>
      </c>
      <c r="AA176" s="167" t="e">
        <f t="shared" si="196"/>
        <v>#DIV/0!</v>
      </c>
      <c r="AC176" s="145">
        <v>87169000.000000015</v>
      </c>
      <c r="AD176" s="203" t="e">
        <f t="shared" si="192"/>
        <v>#DIV/0!</v>
      </c>
      <c r="AE176" s="167">
        <f t="shared" si="197"/>
        <v>0</v>
      </c>
      <c r="AF176" s="167">
        <f t="shared" si="193"/>
        <v>87169000.000000015</v>
      </c>
      <c r="AG176" s="224">
        <f t="shared" si="198"/>
        <v>78.452100000000016</v>
      </c>
      <c r="AH176" s="224">
        <f t="shared" si="199"/>
        <v>82.810550000000021</v>
      </c>
      <c r="AJ176" s="224">
        <f t="shared" si="200"/>
        <v>87.169000000000011</v>
      </c>
      <c r="AK176" s="205"/>
      <c r="AL176" s="204"/>
      <c r="AM176" s="205"/>
      <c r="AN176" s="57"/>
      <c r="AQ176" s="57"/>
      <c r="AT176" s="50"/>
      <c r="AU176" s="192"/>
      <c r="AZ176" s="105"/>
      <c r="BA176" s="105"/>
      <c r="BB176" s="105"/>
      <c r="BC176" s="105"/>
      <c r="BD176" s="105"/>
      <c r="BE176" s="105"/>
      <c r="BF176" s="105"/>
      <c r="BG176" s="105"/>
      <c r="BH176" s="50"/>
      <c r="CA176" s="50"/>
      <c r="CQ176" s="50"/>
      <c r="DK176" s="50"/>
      <c r="DL176" s="125" t="s">
        <v>53</v>
      </c>
      <c r="DM176" s="126"/>
      <c r="DN176" s="126"/>
      <c r="DO176" s="126"/>
      <c r="DP176" s="126"/>
      <c r="DQ176" s="126"/>
      <c r="DR176" s="126"/>
      <c r="DS176" s="126"/>
      <c r="DT176" s="126"/>
      <c r="DU176" s="126"/>
      <c r="DV176" s="126"/>
      <c r="DW176" s="126"/>
      <c r="DX176" s="126"/>
      <c r="DY176" s="126"/>
      <c r="DZ176" s="126"/>
      <c r="EA176" s="126"/>
    </row>
    <row r="177" spans="10:131" x14ac:dyDescent="0.25">
      <c r="J177" s="86" t="str" cm="1">
        <f t="array" ref="J177">LOOKUP(2,1/($G$17:$G$33&lt;=$L177)/($H$17:$H$33&gt;=$L177),$F$17:$F$33)</f>
        <v>2H21</v>
      </c>
      <c r="K177" s="86" t="str" cm="1">
        <f t="array" ref="K177">LOOKUP(2,1/($G$6:$G$14&lt;=$L177)/($H$6:$H$14&gt;=$L177),$F$6:$F$14)</f>
        <v>FY21</v>
      </c>
      <c r="L177" s="118">
        <v>44266</v>
      </c>
      <c r="M177" s="49">
        <v>45393461</v>
      </c>
      <c r="N177" s="49">
        <v>55075887</v>
      </c>
      <c r="O177" s="50">
        <v>30000000</v>
      </c>
      <c r="P177" s="119" cm="1">
        <f t="array" ref="P177">LOOKUP(2,1/($B$10:$B$14&lt;=$L177)/($C$10:$C$14&gt;=$L177),$D$10:$D$14)</f>
        <v>1.1000000000000001</v>
      </c>
      <c r="Q177" s="120" cm="1">
        <f t="array" ref="Q177">LOOKUP(2,1/($B$17:$B$21&lt;=$L177)/($C$17:$C$21&gt;=$L177),$D$17:$D$21)</f>
        <v>134.49039999999999</v>
      </c>
      <c r="R177" s="113" t="str">
        <f t="shared" si="186"/>
        <v/>
      </c>
      <c r="S177" s="113" t="str">
        <f t="shared" si="187"/>
        <v>2H21</v>
      </c>
      <c r="T177" s="113" t="str">
        <f t="shared" ca="1" si="188"/>
        <v/>
      </c>
      <c r="U177" s="113" t="str">
        <f t="shared" si="189"/>
        <v/>
      </c>
      <c r="V177" s="113" t="str">
        <f t="shared" si="4"/>
        <v>FY21</v>
      </c>
      <c r="W177" s="113" t="str">
        <f t="shared" ca="1" si="168"/>
        <v/>
      </c>
      <c r="X177" s="50"/>
      <c r="Y177" s="146">
        <v>15</v>
      </c>
      <c r="Z177" s="145">
        <v>80000000</v>
      </c>
      <c r="AA177" s="167" t="e">
        <f t="shared" si="196"/>
        <v>#DIV/0!</v>
      </c>
      <c r="AC177" s="145">
        <v>103462000</v>
      </c>
      <c r="AD177" s="203" t="e">
        <f t="shared" si="192"/>
        <v>#DIV/0!</v>
      </c>
      <c r="AE177" s="167">
        <f t="shared" si="197"/>
        <v>0</v>
      </c>
      <c r="AF177" s="167">
        <f t="shared" si="193"/>
        <v>103462000</v>
      </c>
      <c r="AG177" s="224">
        <f t="shared" si="198"/>
        <v>93.115799999999993</v>
      </c>
      <c r="AH177" s="224">
        <f t="shared" si="199"/>
        <v>98.288899999999998</v>
      </c>
      <c r="AJ177" s="224">
        <f t="shared" si="200"/>
        <v>103.462</v>
      </c>
      <c r="AK177" s="205"/>
      <c r="AL177" s="204"/>
      <c r="AM177" s="205"/>
      <c r="AN177" s="57"/>
      <c r="AQ177" s="57"/>
      <c r="AT177" s="50"/>
      <c r="BH177" s="50"/>
      <c r="CA177" s="50"/>
      <c r="CQ177" s="50"/>
      <c r="DK177" s="50"/>
      <c r="DL177" s="114" t="s">
        <v>147</v>
      </c>
      <c r="DM177" s="115">
        <v>44378</v>
      </c>
      <c r="DN177" s="114" t="s">
        <v>148</v>
      </c>
      <c r="DO177" s="115">
        <v>44561</v>
      </c>
      <c r="DP177" s="132"/>
      <c r="DQ177" s="132"/>
      <c r="DR177" s="132"/>
      <c r="DS177" s="133"/>
      <c r="DT177" s="133"/>
      <c r="DU177" s="133"/>
      <c r="DV177" s="133"/>
      <c r="DW177" s="133"/>
      <c r="DX177" s="133"/>
      <c r="DY177" s="133"/>
      <c r="DZ177" s="133"/>
      <c r="EA177" s="133"/>
    </row>
    <row r="178" spans="10:131" x14ac:dyDescent="0.25">
      <c r="J178" s="86" t="str" cm="1">
        <f t="array" ref="J178">LOOKUP(2,1/($G$17:$G$33&lt;=$L178)/($H$17:$H$33&gt;=$L178),$F$17:$F$33)</f>
        <v>2H21</v>
      </c>
      <c r="K178" s="86" t="str" cm="1">
        <f t="array" ref="K178">LOOKUP(2,1/($G$6:$G$14&lt;=$L178)/($H$6:$H$14&gt;=$L178),$F$6:$F$14)</f>
        <v>FY21</v>
      </c>
      <c r="L178" s="118">
        <v>44259</v>
      </c>
      <c r="M178" s="49">
        <v>37058403</v>
      </c>
      <c r="N178" s="49">
        <v>44962960</v>
      </c>
      <c r="O178" s="50">
        <v>20000000</v>
      </c>
      <c r="P178" s="119" cm="1">
        <f t="array" ref="P178">LOOKUP(2,1/($B$10:$B$14&lt;=$L178)/($C$10:$C$14&gt;=$L178),$D$10:$D$14)</f>
        <v>1.1000000000000001</v>
      </c>
      <c r="Q178" s="120" cm="1">
        <f t="array" ref="Q178">LOOKUP(2,1/($B$17:$B$21&lt;=$L178)/($C$17:$C$21&gt;=$L178),$D$17:$D$21)</f>
        <v>134.49039999999999</v>
      </c>
      <c r="R178" s="113" t="str">
        <f t="shared" si="186"/>
        <v/>
      </c>
      <c r="S178" s="113" t="str">
        <f t="shared" si="187"/>
        <v>2H21</v>
      </c>
      <c r="T178" s="113" t="str">
        <f t="shared" ca="1" si="188"/>
        <v/>
      </c>
      <c r="U178" s="113" t="str">
        <f t="shared" si="189"/>
        <v/>
      </c>
      <c r="V178" s="113" t="str">
        <f t="shared" si="4"/>
        <v>FY21</v>
      </c>
      <c r="W178" s="113" t="str">
        <f t="shared" ca="1" si="168"/>
        <v/>
      </c>
      <c r="X178" s="50"/>
      <c r="Y178" s="146">
        <v>16</v>
      </c>
      <c r="Z178" s="145">
        <v>100000000</v>
      </c>
      <c r="AA178" s="167"/>
      <c r="AC178" s="145">
        <v>125186000</v>
      </c>
      <c r="AD178" s="203"/>
      <c r="AE178" s="167">
        <f t="shared" si="197"/>
        <v>3</v>
      </c>
      <c r="AF178" s="167">
        <f t="shared" si="193"/>
        <v>125186000</v>
      </c>
      <c r="AG178" s="224">
        <f t="shared" si="198"/>
        <v>112.6674</v>
      </c>
      <c r="AH178" s="224">
        <f t="shared" si="199"/>
        <v>118.9267</v>
      </c>
      <c r="AJ178" s="224">
        <f t="shared" si="200"/>
        <v>125.18600000000001</v>
      </c>
      <c r="AK178" s="207"/>
      <c r="AL178" s="207"/>
      <c r="AM178" s="207"/>
      <c r="AT178" s="50"/>
      <c r="AU178" s="197" t="s">
        <v>228</v>
      </c>
      <c r="AV178" s="198"/>
      <c r="AW178" s="198"/>
      <c r="AX178" s="198"/>
      <c r="AY178" s="198"/>
      <c r="AZ178" s="198"/>
      <c r="BA178" s="198"/>
      <c r="BB178" s="198"/>
      <c r="BC178" s="198"/>
      <c r="BD178" s="198"/>
      <c r="BE178" s="198"/>
      <c r="BF178" s="198"/>
      <c r="BG178" s="198"/>
      <c r="BH178" s="50"/>
      <c r="CA178" s="50"/>
      <c r="CQ178" s="50"/>
      <c r="DK178" s="50"/>
      <c r="DL178" s="114" t="s">
        <v>159</v>
      </c>
      <c r="DM178" s="115" t="s">
        <v>53</v>
      </c>
      <c r="DN178" s="114" t="s">
        <v>161</v>
      </c>
      <c r="DO178" s="134" t="str" cm="1">
        <f t="array" ref="DO178">IF(OR(LOOKUP(2,1/($B$10:$B$14&lt;=DO177)/($C$10:$C$14&gt;=DO177),$D$10:$D$14)&lt;&gt;DM181,LOOKUP(2,1/($B$6:$B$7&lt;=DO177)/($C$6:$C$7&gt;=DO177),$D$6:$D$7)&lt;&gt;DO181),"FAIL","PASS")</f>
        <v>PASS</v>
      </c>
      <c r="DP178" s="134" t="s">
        <v>162</v>
      </c>
      <c r="DQ178" s="134" t="s">
        <v>162</v>
      </c>
      <c r="DR178" s="134"/>
      <c r="DS178" s="133"/>
      <c r="DT178" s="133"/>
      <c r="DU178" s="133"/>
      <c r="DV178" s="133"/>
      <c r="DW178" s="133"/>
      <c r="DX178" s="133"/>
      <c r="DY178" s="133"/>
      <c r="DZ178" s="133"/>
      <c r="EA178" s="133"/>
    </row>
    <row r="179" spans="10:131" x14ac:dyDescent="0.25">
      <c r="J179" s="86" t="str" cm="1">
        <f t="array" ref="J179">LOOKUP(2,1/($G$17:$G$33&lt;=$L179)/($H$17:$H$33&gt;=$L179),$F$17:$F$33)</f>
        <v>2H21</v>
      </c>
      <c r="K179" s="86" t="str" cm="1">
        <f t="array" ref="K179">LOOKUP(2,1/($G$6:$G$14&lt;=$L179)/($H$6:$H$14&gt;=$L179),$F$6:$F$14)</f>
        <v>FY21</v>
      </c>
      <c r="L179" s="118">
        <v>44252</v>
      </c>
      <c r="M179" s="49">
        <v>22972674</v>
      </c>
      <c r="N179" s="49">
        <v>27872745</v>
      </c>
      <c r="O179" s="50">
        <v>8000000</v>
      </c>
      <c r="P179" s="119" cm="1">
        <f t="array" ref="P179">LOOKUP(2,1/($B$10:$B$14&lt;=$L179)/($C$10:$C$14&gt;=$L179),$D$10:$D$14)</f>
        <v>1.1000000000000001</v>
      </c>
      <c r="Q179" s="120" cm="1">
        <f t="array" ref="Q179">LOOKUP(2,1/($B$17:$B$21&lt;=$L179)/($C$17:$C$21&gt;=$L179),$D$17:$D$21)</f>
        <v>134.49039999999999</v>
      </c>
      <c r="R179" s="113" t="str">
        <f t="shared" si="186"/>
        <v/>
      </c>
      <c r="S179" s="113" t="str">
        <f t="shared" si="187"/>
        <v>2H21</v>
      </c>
      <c r="T179" s="113" t="str">
        <f t="shared" ca="1" si="188"/>
        <v/>
      </c>
      <c r="U179" s="113" t="str">
        <f t="shared" si="189"/>
        <v/>
      </c>
      <c r="V179" s="113" t="str">
        <f t="shared" si="4"/>
        <v>FY21</v>
      </c>
      <c r="W179" s="113" t="str">
        <f t="shared" ca="1" si="168"/>
        <v/>
      </c>
      <c r="X179" s="50"/>
      <c r="Y179" s="146">
        <v>17</v>
      </c>
      <c r="Z179" s="145">
        <v>120000000</v>
      </c>
      <c r="AA179" s="167"/>
      <c r="AC179" s="145">
        <v>146910000</v>
      </c>
      <c r="AD179" s="203"/>
      <c r="AE179" s="167">
        <f t="shared" si="197"/>
        <v>0</v>
      </c>
      <c r="AF179" s="167">
        <f>IF(ISNUMBER(AA179),AA179,AC179)</f>
        <v>146910000</v>
      </c>
      <c r="AG179" s="224">
        <f t="shared" si="198"/>
        <v>132.21899999999999</v>
      </c>
      <c r="AH179" s="224">
        <f t="shared" si="199"/>
        <v>139.56450000000001</v>
      </c>
      <c r="AJ179" s="224">
        <f t="shared" si="200"/>
        <v>146.91</v>
      </c>
      <c r="AK179" s="205"/>
      <c r="AL179" s="204"/>
      <c r="AM179" s="205"/>
      <c r="AN179" s="57"/>
      <c r="AQ179" s="57"/>
      <c r="AT179" s="50"/>
      <c r="AU179" s="114" t="s">
        <v>147</v>
      </c>
      <c r="AV179" s="115">
        <v>44652</v>
      </c>
      <c r="AW179" s="114" t="s">
        <v>148</v>
      </c>
      <c r="AX179" s="115">
        <v>44868</v>
      </c>
      <c r="AY179" s="132"/>
      <c r="AZ179" s="133"/>
      <c r="BA179" s="133"/>
      <c r="BB179" s="133"/>
      <c r="BC179" s="133"/>
      <c r="BD179" s="133"/>
      <c r="BE179" s="133"/>
      <c r="BF179" s="133"/>
      <c r="BG179" s="133"/>
      <c r="BH179" s="50"/>
      <c r="CA179" s="50"/>
      <c r="CQ179" s="50"/>
      <c r="DK179" s="50"/>
      <c r="DL179" s="114" t="s">
        <v>165</v>
      </c>
      <c r="DM179" s="134">
        <f>INDEX($G:$G,MATCH(DM178,$F:$F,0))</f>
        <v>44378</v>
      </c>
      <c r="DN179" s="114" t="s">
        <v>166</v>
      </c>
      <c r="DO179" s="134">
        <f>INDEX($H:$H,MATCH(DM178,$F:$F,0))</f>
        <v>44561</v>
      </c>
      <c r="DP179" s="135">
        <v>1.25</v>
      </c>
      <c r="DQ179" s="135">
        <v>1</v>
      </c>
      <c r="DR179" s="134"/>
      <c r="DT179" s="136" t="s">
        <v>167</v>
      </c>
      <c r="DU179" s="137"/>
      <c r="DV179" s="137"/>
      <c r="DW179" s="137"/>
      <c r="DX179" s="138"/>
      <c r="DY179" s="137"/>
      <c r="DZ179" s="137"/>
      <c r="EA179" s="139"/>
    </row>
    <row r="180" spans="10:131" x14ac:dyDescent="0.25">
      <c r="J180" s="86" t="str" cm="1">
        <f t="array" ref="J180">LOOKUP(2,1/($G$17:$G$33&lt;=$L180)/($H$17:$H$33&gt;=$L180),$F$17:$F$33)</f>
        <v>2H21</v>
      </c>
      <c r="K180" s="86" t="str" cm="1">
        <f t="array" ref="K180">LOOKUP(2,1/($G$6:$G$14&lt;=$L180)/($H$6:$H$14&gt;=$L180),$F$6:$F$14)</f>
        <v>FY21</v>
      </c>
      <c r="L180" s="118">
        <v>44245</v>
      </c>
      <c r="M180" s="49">
        <v>78306877</v>
      </c>
      <c r="N180" s="49">
        <v>95009734</v>
      </c>
      <c r="O180" s="50">
        <v>50000000</v>
      </c>
      <c r="P180" s="119" cm="1">
        <f t="array" ref="P180">LOOKUP(2,1/($B$10:$B$14&lt;=$L180)/($C$10:$C$14&gt;=$L180),$D$10:$D$14)</f>
        <v>1.1000000000000001</v>
      </c>
      <c r="Q180" s="120" cm="1">
        <f t="array" ref="Q180">LOOKUP(2,1/($B$17:$B$21&lt;=$L180)/($C$17:$C$21&gt;=$L180),$D$17:$D$21)</f>
        <v>134.49039999999999</v>
      </c>
      <c r="R180" s="113" t="str">
        <f t="shared" si="186"/>
        <v/>
      </c>
      <c r="S180" s="113" t="str">
        <f t="shared" si="187"/>
        <v>2H21</v>
      </c>
      <c r="T180" s="113" t="str">
        <f t="shared" ca="1" si="188"/>
        <v/>
      </c>
      <c r="U180" s="113" t="str">
        <f t="shared" si="189"/>
        <v/>
      </c>
      <c r="V180" s="113" t="str">
        <f t="shared" si="4"/>
        <v>FY21</v>
      </c>
      <c r="W180" s="113" t="str">
        <f t="shared" ca="1" si="168"/>
        <v/>
      </c>
      <c r="X180" s="50"/>
      <c r="Y180" s="146">
        <v>18</v>
      </c>
      <c r="Z180" s="145">
        <v>150000000</v>
      </c>
      <c r="AA180" s="167"/>
      <c r="AC180" s="145">
        <v>179496000</v>
      </c>
      <c r="AD180" s="203"/>
      <c r="AE180" s="167">
        <f t="shared" si="197"/>
        <v>2</v>
      </c>
      <c r="AF180" s="167">
        <f>IF(ISNUMBER(AA180),AA180,AC180)</f>
        <v>179496000</v>
      </c>
      <c r="AG180" s="224">
        <f t="shared" si="198"/>
        <v>161.54640000000001</v>
      </c>
      <c r="AH180" s="224">
        <f t="shared" si="199"/>
        <v>170.52119999999999</v>
      </c>
      <c r="AJ180" s="224">
        <f t="shared" si="200"/>
        <v>179.49600000000001</v>
      </c>
      <c r="AK180" s="205"/>
      <c r="AL180" s="204"/>
      <c r="AM180" s="205"/>
      <c r="AN180" s="57"/>
      <c r="AQ180" s="57"/>
      <c r="AT180" s="50"/>
      <c r="AU180" s="114" t="s">
        <v>159</v>
      </c>
      <c r="AV180" s="115" t="s">
        <v>181</v>
      </c>
      <c r="AW180" s="114" t="s">
        <v>161</v>
      </c>
      <c r="AX180" s="115" t="s">
        <v>163</v>
      </c>
      <c r="AY180" s="134"/>
      <c r="AZ180" s="133"/>
      <c r="BA180" s="133"/>
      <c r="BB180" s="133"/>
      <c r="BC180" s="133"/>
      <c r="BD180" s="133"/>
      <c r="BE180" s="133"/>
      <c r="BF180" s="133"/>
      <c r="BG180" s="133"/>
      <c r="BH180" s="50"/>
      <c r="CA180" s="50"/>
      <c r="CQ180" s="50"/>
      <c r="DK180" s="50"/>
      <c r="DL180" s="114" t="s">
        <v>91</v>
      </c>
      <c r="DM180" s="140">
        <f>INDEX($O:$O,MATCH(DM178,$R:$R,0))</f>
        <v>60000000</v>
      </c>
      <c r="DN180" s="114" t="s">
        <v>76</v>
      </c>
      <c r="DO180" s="140">
        <f ca="1">INDEX($O:$O,MATCH(DM178,$T:$T,0))</f>
        <v>8000000</v>
      </c>
      <c r="DP180" s="140"/>
      <c r="DQ180" s="140"/>
      <c r="DR180" s="140"/>
      <c r="DT180" s="147" t="s">
        <v>165</v>
      </c>
      <c r="DU180" s="148">
        <f>DM179</f>
        <v>44378</v>
      </c>
      <c r="DV180" s="142"/>
      <c r="DW180" s="142"/>
      <c r="DX180" s="143" t="s">
        <v>15</v>
      </c>
      <c r="DY180" s="142"/>
      <c r="DZ180" s="142"/>
      <c r="EA180" s="144" t="s">
        <v>139</v>
      </c>
    </row>
    <row r="181" spans="10:131" x14ac:dyDescent="0.25">
      <c r="J181" s="86" t="str" cm="1">
        <f t="array" ref="J181">LOOKUP(2,1/($G$17:$G$33&lt;=$L181)/($H$17:$H$33&gt;=$L181),$F$17:$F$33)</f>
        <v>2H21</v>
      </c>
      <c r="K181" s="86" t="str" cm="1">
        <f t="array" ref="K181">LOOKUP(2,1/($G$6:$G$14&lt;=$L181)/($H$6:$H$14&gt;=$L181),$F$6:$F$14)</f>
        <v>FY21</v>
      </c>
      <c r="L181" s="118">
        <v>44238</v>
      </c>
      <c r="M181" s="49">
        <v>48994891</v>
      </c>
      <c r="N181" s="49">
        <v>59445501</v>
      </c>
      <c r="O181" s="50">
        <v>30000000</v>
      </c>
      <c r="P181" s="119" cm="1">
        <f t="array" ref="P181">LOOKUP(2,1/($B$10:$B$14&lt;=$L181)/($C$10:$C$14&gt;=$L181),$D$10:$D$14)</f>
        <v>1.1000000000000001</v>
      </c>
      <c r="Q181" s="120" cm="1">
        <f t="array" ref="Q181">LOOKUP(2,1/($B$17:$B$21&lt;=$L181)/($C$17:$C$21&gt;=$L181),$D$17:$D$21)</f>
        <v>134.49039999999999</v>
      </c>
      <c r="R181" s="113" t="str">
        <f t="shared" si="186"/>
        <v/>
      </c>
      <c r="S181" s="113" t="str">
        <f t="shared" si="187"/>
        <v>2H21</v>
      </c>
      <c r="T181" s="113" t="str">
        <f t="shared" ca="1" si="188"/>
        <v/>
      </c>
      <c r="U181" s="113" t="str">
        <f t="shared" si="189"/>
        <v/>
      </c>
      <c r="V181" s="113" t="str">
        <f t="shared" si="4"/>
        <v>FY21</v>
      </c>
      <c r="W181" s="113" t="str">
        <f t="shared" ca="1" si="168"/>
        <v/>
      </c>
      <c r="X181" s="50"/>
      <c r="Y181" s="146">
        <v>19</v>
      </c>
      <c r="Z181" s="145">
        <v>160000000</v>
      </c>
      <c r="AA181" s="167"/>
      <c r="AC181" s="145">
        <v>190358000</v>
      </c>
      <c r="AD181" s="203"/>
      <c r="AE181" s="167">
        <f t="shared" si="197"/>
        <v>0</v>
      </c>
      <c r="AF181" s="167">
        <f>IF(ISNUMBER(AA181),AA181,AC181)</f>
        <v>190358000</v>
      </c>
      <c r="AG181" s="224">
        <f t="shared" si="198"/>
        <v>171.32220000000001</v>
      </c>
      <c r="AH181" s="224">
        <f t="shared" si="199"/>
        <v>180.84010000000001</v>
      </c>
      <c r="AJ181" s="224">
        <f t="shared" si="200"/>
        <v>190.358</v>
      </c>
      <c r="AK181" s="205"/>
      <c r="AL181" s="204"/>
      <c r="AM181" s="205"/>
      <c r="AN181" s="57"/>
      <c r="AQ181" s="57"/>
      <c r="AT181" s="50"/>
      <c r="AU181" s="114" t="s">
        <v>165</v>
      </c>
      <c r="AV181" s="134">
        <f>INDEX($G:$G,MATCH(AV180,$F:$F,0))</f>
        <v>45108</v>
      </c>
      <c r="AW181" s="114" t="s">
        <v>166</v>
      </c>
      <c r="AX181" s="134">
        <f>INDEX($H:$H,MATCH(AV180,$F:$F,0))</f>
        <v>45473</v>
      </c>
      <c r="AY181" s="134"/>
      <c r="BA181" s="136" t="s">
        <v>167</v>
      </c>
      <c r="BB181" s="137"/>
      <c r="BC181" s="137"/>
      <c r="BD181" s="138"/>
      <c r="BE181" s="139"/>
      <c r="BH181" s="50"/>
      <c r="CA181" s="50"/>
      <c r="CQ181" s="50"/>
      <c r="DK181" s="50"/>
      <c r="DL181" s="114" t="s">
        <v>169</v>
      </c>
      <c r="DM181" s="119" cm="1">
        <f t="array" ref="DM181">LOOKUP(2,1/($B$10:$B$14&lt;=DM177)/($C$10:$C$14&gt;=DM177),$D$10:$D$14)</f>
        <v>1.1000000000000001</v>
      </c>
      <c r="DN181" s="114" t="s">
        <v>149</v>
      </c>
      <c r="DO181" s="152" cm="1">
        <f t="array" ref="DO181">LOOKUP(2,1/($B$6:$B$7&lt;=DM177)/($C$6:$C$7&gt;=DM177),$D$6:$D$7)</f>
        <v>0.10299999999999999</v>
      </c>
      <c r="DP181" s="152" t="s">
        <v>170</v>
      </c>
      <c r="DQ181" s="152" t="s">
        <v>171</v>
      </c>
      <c r="DR181" s="152"/>
      <c r="DT181" s="153" t="s">
        <v>166</v>
      </c>
      <c r="DU181" s="158">
        <f>DO179</f>
        <v>44561</v>
      </c>
      <c r="DV181" s="154"/>
      <c r="DW181" s="154"/>
      <c r="DX181" s="155">
        <f>DM184/1000000</f>
        <v>3</v>
      </c>
      <c r="DY181" s="154"/>
      <c r="DZ181" s="154"/>
      <c r="EA181" s="156">
        <f>MAX(DN184:DO184)/1000000</f>
        <v>19.147765499999998</v>
      </c>
    </row>
    <row r="182" spans="10:131" x14ac:dyDescent="0.25">
      <c r="J182" s="86" t="str" cm="1">
        <f t="array" ref="J182">LOOKUP(2,1/($G$17:$G$33&lt;=$L182)/($H$17:$H$33&gt;=$L182),$F$17:$F$33)</f>
        <v>2H21</v>
      </c>
      <c r="K182" s="86" t="str" cm="1">
        <f t="array" ref="K182">LOOKUP(2,1/($G$6:$G$14&lt;=$L182)/($H$6:$H$14&gt;=$L182),$F$6:$F$14)</f>
        <v>FY21</v>
      </c>
      <c r="L182" s="118">
        <v>44231</v>
      </c>
      <c r="M182" s="49">
        <v>36953458</v>
      </c>
      <c r="N182" s="49">
        <v>44835630</v>
      </c>
      <c r="O182" s="50">
        <v>20000000</v>
      </c>
      <c r="P182" s="119" cm="1">
        <f t="array" ref="P182">LOOKUP(2,1/($B$10:$B$14&lt;=$L182)/($C$10:$C$14&gt;=$L182),$D$10:$D$14)</f>
        <v>1.1000000000000001</v>
      </c>
      <c r="Q182" s="120" cm="1">
        <f t="array" ref="Q182">LOOKUP(2,1/($B$17:$B$21&lt;=$L182)/($C$17:$C$21&gt;=$L182),$D$17:$D$21)</f>
        <v>134.49039999999999</v>
      </c>
      <c r="R182" s="113" t="str">
        <f t="shared" si="186"/>
        <v/>
      </c>
      <c r="S182" s="113" t="str">
        <f t="shared" si="187"/>
        <v>2H21</v>
      </c>
      <c r="T182" s="113" t="str">
        <f t="shared" ca="1" si="188"/>
        <v/>
      </c>
      <c r="U182" s="113" t="str">
        <f t="shared" si="189"/>
        <v/>
      </c>
      <c r="V182" s="113" t="str">
        <f t="shared" si="4"/>
        <v>FY21</v>
      </c>
      <c r="W182" s="113" t="str">
        <f t="shared" ca="1" si="168"/>
        <v/>
      </c>
      <c r="X182" s="50"/>
      <c r="Y182" s="146">
        <v>20</v>
      </c>
      <c r="Z182" s="145">
        <v>200000000</v>
      </c>
      <c r="AA182" s="167"/>
      <c r="AC182" s="145">
        <v>233806000</v>
      </c>
      <c r="AD182" s="203"/>
      <c r="AE182" s="167">
        <f t="shared" si="197"/>
        <v>1</v>
      </c>
      <c r="AF182" s="167">
        <f>IF(ISNUMBER(AA182),AA182,AC182)</f>
        <v>233806000</v>
      </c>
      <c r="AG182" s="224">
        <f t="shared" si="198"/>
        <v>210.4254</v>
      </c>
      <c r="AH182" s="224">
        <f t="shared" si="199"/>
        <v>222.1157</v>
      </c>
      <c r="AJ182" s="224">
        <f t="shared" si="200"/>
        <v>233.80600000000001</v>
      </c>
      <c r="AK182" s="205"/>
      <c r="AL182" s="204"/>
      <c r="AM182" s="205"/>
      <c r="AN182" s="57"/>
      <c r="AQ182" s="57"/>
      <c r="AT182" s="50"/>
      <c r="AU182" s="114" t="s">
        <v>91</v>
      </c>
      <c r="AV182" s="145">
        <v>40000000</v>
      </c>
      <c r="AW182" s="114" t="s">
        <v>76</v>
      </c>
      <c r="AX182" s="145">
        <v>40000000</v>
      </c>
      <c r="AY182" s="146"/>
      <c r="BA182" s="147" t="s">
        <v>165</v>
      </c>
      <c r="BB182" s="148">
        <f>AV181</f>
        <v>45108</v>
      </c>
      <c r="BC182" s="142"/>
      <c r="BD182" s="143" t="s">
        <v>15</v>
      </c>
      <c r="BE182" s="144" t="s">
        <v>139</v>
      </c>
      <c r="BH182" s="50"/>
      <c r="CA182" s="50"/>
      <c r="CQ182" s="50"/>
      <c r="DK182" s="50"/>
      <c r="DL182" s="114" t="s">
        <v>172</v>
      </c>
      <c r="DM182" s="119" cm="1">
        <f t="array" ref="DM182">LOOKUP(2,1/($B$17:$B$21&lt;=DM177)/($C$17:$C$21&gt;=DM177),$D$17:$D$21)</f>
        <v>134.49039999999999</v>
      </c>
      <c r="DN182" s="114" t="s">
        <v>173</v>
      </c>
      <c r="DO182" s="163">
        <f>INT((WEEKDAY(DM177-5)-DM177+DO177)/7)/INT((WEEKDAY(DM179-5)-DM179+DO179)/7)</f>
        <v>1</v>
      </c>
      <c r="DP182" s="162">
        <v>1</v>
      </c>
      <c r="DQ182" s="162">
        <f>1-DP182</f>
        <v>0</v>
      </c>
      <c r="DR182" s="163"/>
      <c r="DT182" s="153" t="s">
        <v>91</v>
      </c>
      <c r="DU182" s="155">
        <f>DM180/1000000</f>
        <v>60</v>
      </c>
      <c r="DV182" s="154"/>
      <c r="DW182" s="154"/>
      <c r="DX182" s="155">
        <f t="shared" ref="DX182:DX190" si="209">DM185/1000000</f>
        <v>8</v>
      </c>
      <c r="DY182" s="154"/>
      <c r="DZ182" s="154"/>
      <c r="EA182" s="156">
        <f t="shared" ref="EA182:EA190" si="210">MAX(DN185:DO185)/1000000</f>
        <v>26.453199666666666</v>
      </c>
    </row>
    <row r="183" spans="10:131" x14ac:dyDescent="0.25">
      <c r="J183" s="86" t="str" cm="1">
        <f t="array" ref="J183">LOOKUP(2,1/($G$17:$G$33&lt;=$L183)/($H$17:$H$33&gt;=$L183),$F$17:$F$33)</f>
        <v>2H21</v>
      </c>
      <c r="K183" s="86" t="str" cm="1">
        <f t="array" ref="K183">LOOKUP(2,1/($G$6:$G$14&lt;=$L183)/($H$6:$H$14&gt;=$L183),$F$6:$F$14)</f>
        <v>FY21</v>
      </c>
      <c r="L183" s="118">
        <v>44224</v>
      </c>
      <c r="M183" s="49">
        <v>22190279</v>
      </c>
      <c r="N183" s="49">
        <v>26923466</v>
      </c>
      <c r="O183" s="50">
        <v>8000000</v>
      </c>
      <c r="P183" s="119" cm="1">
        <f t="array" ref="P183">LOOKUP(2,1/($B$10:$B$14&lt;=$L183)/($C$10:$C$14&gt;=$L183),$D$10:$D$14)</f>
        <v>1.1000000000000001</v>
      </c>
      <c r="Q183" s="120" cm="1">
        <f t="array" ref="Q183">LOOKUP(2,1/($B$17:$B$21&lt;=$L183)/($C$17:$C$21&gt;=$L183),$D$17:$D$21)</f>
        <v>134.49039999999999</v>
      </c>
      <c r="R183" s="113" t="str">
        <f t="shared" si="186"/>
        <v/>
      </c>
      <c r="S183" s="113" t="str">
        <f t="shared" si="187"/>
        <v>2H21</v>
      </c>
      <c r="T183" s="113" t="str">
        <f t="shared" ca="1" si="188"/>
        <v/>
      </c>
      <c r="U183" s="113" t="str">
        <f t="shared" si="189"/>
        <v/>
      </c>
      <c r="V183" s="113" t="str">
        <f t="shared" si="4"/>
        <v>FY21</v>
      </c>
      <c r="W183" s="113" t="str">
        <f t="shared" ca="1" si="168"/>
        <v/>
      </c>
      <c r="X183" s="50"/>
      <c r="Y183" s="146">
        <v>21</v>
      </c>
      <c r="Z183" s="145">
        <v>220000000</v>
      </c>
      <c r="AA183" s="167"/>
      <c r="AC183" s="145">
        <v>255530000</v>
      </c>
      <c r="AD183" s="203"/>
      <c r="AE183" s="167"/>
      <c r="AF183" s="167">
        <f>IF(ISNUMBER(AA183),AA183,AC183)</f>
        <v>255530000</v>
      </c>
      <c r="AG183" s="224">
        <f t="shared" si="198"/>
        <v>229.977</v>
      </c>
      <c r="AH183" s="224">
        <f t="shared" si="199"/>
        <v>242.7535</v>
      </c>
      <c r="AJ183" s="224">
        <f t="shared" si="200"/>
        <v>255.53</v>
      </c>
      <c r="AK183" s="205"/>
      <c r="AL183" s="204"/>
      <c r="AM183" s="205"/>
      <c r="AN183" s="57"/>
      <c r="AQ183" s="57"/>
      <c r="AT183" s="50"/>
      <c r="AU183" s="114" t="s">
        <v>169</v>
      </c>
      <c r="AV183" s="159">
        <v>1.2</v>
      </c>
      <c r="AW183" s="114" t="s">
        <v>149</v>
      </c>
      <c r="AX183" s="152" cm="1">
        <f t="array" ref="AX183">LOOKUP(2,1/($B$6:$B$7&lt;=AV179)/($C$6:$C$7&gt;=AV179),$D$6:$D$7)</f>
        <v>0.10299999999999999</v>
      </c>
      <c r="AY183" s="152"/>
      <c r="BA183" s="153" t="s">
        <v>166</v>
      </c>
      <c r="BB183" s="158">
        <f>AX181</f>
        <v>45473</v>
      </c>
      <c r="BC183" s="154"/>
      <c r="BD183" s="155">
        <f>AV186/1000000</f>
        <v>8</v>
      </c>
      <c r="BE183" s="156">
        <f>MAX(AW186:AX186)/1000000</f>
        <v>25.173894588636365</v>
      </c>
      <c r="BH183" s="50"/>
      <c r="CA183" s="50"/>
      <c r="CQ183" s="50"/>
      <c r="DK183" s="50"/>
      <c r="DL183" s="111" t="s">
        <v>174</v>
      </c>
      <c r="DM183" s="111" t="s">
        <v>175</v>
      </c>
      <c r="DN183" s="111" t="s">
        <v>176</v>
      </c>
      <c r="DO183" s="111" t="s">
        <v>177</v>
      </c>
      <c r="DP183" s="111" t="s">
        <v>178</v>
      </c>
      <c r="DQ183" s="111" t="s">
        <v>179</v>
      </c>
      <c r="DR183" s="111" t="s">
        <v>180</v>
      </c>
      <c r="DT183" s="153" t="s">
        <v>76</v>
      </c>
      <c r="DU183" s="155">
        <f ca="1">DO180/1000000</f>
        <v>8</v>
      </c>
      <c r="DV183" s="154"/>
      <c r="DW183" s="154"/>
      <c r="DX183" s="155">
        <f t="shared" si="209"/>
        <v>20</v>
      </c>
      <c r="DY183" s="154"/>
      <c r="DZ183" s="154"/>
      <c r="EA183" s="156">
        <f t="shared" si="210"/>
        <v>41.750462599999999</v>
      </c>
    </row>
    <row r="184" spans="10:131" x14ac:dyDescent="0.25">
      <c r="J184" s="86" t="str" cm="1">
        <f t="array" ref="J184">LOOKUP(2,1/($G$17:$G$33&lt;=$L184)/($H$17:$H$33&gt;=$L184),$F$17:$F$33)</f>
        <v>2H21</v>
      </c>
      <c r="K184" s="86" t="str" cm="1">
        <f t="array" ref="K184">LOOKUP(2,1/($G$6:$G$14&lt;=$L184)/($H$6:$H$14&gt;=$L184),$F$6:$F$14)</f>
        <v>FY21</v>
      </c>
      <c r="L184" s="118">
        <v>44217</v>
      </c>
      <c r="M184" s="49">
        <v>39055239</v>
      </c>
      <c r="N184" s="49">
        <v>47385722</v>
      </c>
      <c r="O184" s="50">
        <v>20000000</v>
      </c>
      <c r="P184" s="119" cm="1">
        <f t="array" ref="P184">LOOKUP(2,1/($B$10:$B$14&lt;=$L184)/($C$10:$C$14&gt;=$L184),$D$10:$D$14)</f>
        <v>1.1000000000000001</v>
      </c>
      <c r="Q184" s="120" cm="1">
        <f t="array" ref="Q184">LOOKUP(2,1/($B$17:$B$21&lt;=$L184)/($C$17:$C$21&gt;=$L184),$D$17:$D$21)</f>
        <v>134.49039999999999</v>
      </c>
      <c r="R184" s="113" t="str">
        <f t="shared" si="186"/>
        <v/>
      </c>
      <c r="S184" s="113" t="str">
        <f t="shared" si="187"/>
        <v>2H21</v>
      </c>
      <c r="T184" s="113" t="str">
        <f t="shared" ca="1" si="188"/>
        <v/>
      </c>
      <c r="U184" s="113" t="str">
        <f t="shared" si="189"/>
        <v/>
      </c>
      <c r="V184" s="113" t="str">
        <f t="shared" si="4"/>
        <v>FY21</v>
      </c>
      <c r="W184" s="113" t="str">
        <f t="shared" ca="1" si="168"/>
        <v/>
      </c>
      <c r="X184" s="50"/>
      <c r="Y184" s="146"/>
      <c r="Z184" s="145">
        <v>240000000</v>
      </c>
      <c r="AA184" s="145"/>
      <c r="AC184" s="145">
        <v>277253999.99999994</v>
      </c>
      <c r="AD184" s="203"/>
      <c r="AE184" s="167"/>
      <c r="AF184" s="167">
        <f t="shared" ref="AF184:AF192" si="211">IF(ISNUMBER(AA184),AA184,AC184)</f>
        <v>277253999.99999994</v>
      </c>
      <c r="AG184" s="224">
        <f t="shared" si="198"/>
        <v>249.52859999999993</v>
      </c>
      <c r="AH184" s="224">
        <f t="shared" si="199"/>
        <v>263.39129999999994</v>
      </c>
      <c r="AJ184" s="224">
        <f t="shared" si="200"/>
        <v>277.25399999999996</v>
      </c>
      <c r="AK184" s="205"/>
      <c r="AL184" s="204"/>
      <c r="AM184" s="205"/>
      <c r="AN184" s="57"/>
      <c r="AQ184" s="57"/>
      <c r="AT184" s="50"/>
      <c r="AU184" s="114" t="s">
        <v>172</v>
      </c>
      <c r="AV184" s="119" cm="1">
        <f t="array" ref="AV184">LOOKUP(2,1/($B$17:$B$21&lt;=AV179)/($C$17:$C$21&gt;=AV179),$D$17:$D$21)</f>
        <v>134.49039999999999</v>
      </c>
      <c r="AW184" s="114" t="s">
        <v>0</v>
      </c>
      <c r="AX184" s="135">
        <f>1+(1.2/1.1-1)*-10%</f>
        <v>0.99090909090909096</v>
      </c>
      <c r="BA184" s="153" t="s">
        <v>91</v>
      </c>
      <c r="BB184" s="155">
        <f>AV182/1000000</f>
        <v>40</v>
      </c>
      <c r="BC184" s="154"/>
      <c r="BD184" s="155">
        <f t="shared" ref="BD184:BD192" si="212">AV187/1000000</f>
        <v>20</v>
      </c>
      <c r="BE184" s="156">
        <f t="shared" ref="BE184:BE192" si="213">MAX(AW187:AX187)/1000000</f>
        <v>39.536718809090914</v>
      </c>
      <c r="BH184" s="50"/>
      <c r="CA184" s="50"/>
      <c r="CQ184" s="50"/>
      <c r="DK184" s="50"/>
      <c r="DL184" s="146">
        <v>1</v>
      </c>
      <c r="DM184" s="166">
        <v>3000000</v>
      </c>
      <c r="DN184" s="168">
        <f t="shared" ref="DN184:DN189" si="214">AVERAGEIFS($M:$M,$L:$L,"&gt;="&amp;DM$177,$L:$L,"&lt;="&amp;DO$177,$O:$O,"="&amp;DM184)</f>
        <v>19147765.5</v>
      </c>
      <c r="DO184" s="168"/>
      <c r="DP184" s="168"/>
      <c r="DQ184" s="168"/>
      <c r="DR184" s="167">
        <f t="shared" ref="DR184:DR189" si="215">COUNTIFS($L:$L,"&gt;="&amp;DM$177,$L:$L,"&lt;="&amp;DO$177,$O:$O,"="&amp;DM184)</f>
        <v>6</v>
      </c>
      <c r="DT184" s="153" t="s">
        <v>169</v>
      </c>
      <c r="DU184" s="165">
        <f>DM181</f>
        <v>1.1000000000000001</v>
      </c>
      <c r="DV184" s="154"/>
      <c r="DW184" s="154"/>
      <c r="DX184" s="155">
        <f t="shared" si="209"/>
        <v>40</v>
      </c>
      <c r="DY184" s="154"/>
      <c r="DZ184" s="154"/>
      <c r="EA184" s="156">
        <f t="shared" si="210"/>
        <v>57.879269333333333</v>
      </c>
    </row>
    <row r="185" spans="10:131" x14ac:dyDescent="0.25">
      <c r="J185" s="86" t="str" cm="1">
        <f t="array" ref="J185">LOOKUP(2,1/($G$17:$G$33&lt;=$L185)/($H$17:$H$33&gt;=$L185),$F$17:$F$33)</f>
        <v>2H21</v>
      </c>
      <c r="K185" s="86" t="str" cm="1">
        <f t="array" ref="K185">LOOKUP(2,1/($G$6:$G$14&lt;=$L185)/($H$6:$H$14&gt;=$L185),$F$6:$F$14)</f>
        <v>FY21</v>
      </c>
      <c r="L185" s="118">
        <v>44210</v>
      </c>
      <c r="M185" s="49">
        <v>24054724</v>
      </c>
      <c r="N185" s="49">
        <v>29185596</v>
      </c>
      <c r="O185" s="50">
        <v>8000000</v>
      </c>
      <c r="P185" s="119" cm="1">
        <f t="array" ref="P185">LOOKUP(2,1/($B$10:$B$14&lt;=$L185)/($C$10:$C$14&gt;=$L185),$D$10:$D$14)</f>
        <v>1.1000000000000001</v>
      </c>
      <c r="Q185" s="120" cm="1">
        <f t="array" ref="Q185">LOOKUP(2,1/($B$17:$B$21&lt;=$L185)/($C$17:$C$21&gt;=$L185),$D$17:$D$21)</f>
        <v>134.49039999999999</v>
      </c>
      <c r="R185" s="113" t="str">
        <f t="shared" si="186"/>
        <v/>
      </c>
      <c r="S185" s="113" t="str">
        <f t="shared" si="187"/>
        <v>2H21</v>
      </c>
      <c r="T185" s="113" t="str">
        <f t="shared" ca="1" si="188"/>
        <v/>
      </c>
      <c r="U185" s="113" t="str">
        <f t="shared" si="189"/>
        <v/>
      </c>
      <c r="V185" s="113" t="str">
        <f t="shared" si="4"/>
        <v>FY21</v>
      </c>
      <c r="W185" s="113" t="str">
        <f t="shared" ca="1" si="168"/>
        <v/>
      </c>
      <c r="X185" s="50"/>
      <c r="Y185" s="146"/>
      <c r="Z185" s="145">
        <v>250000000</v>
      </c>
      <c r="AA185" s="145"/>
      <c r="AC185" s="145">
        <v>288116000</v>
      </c>
      <c r="AD185" s="203"/>
      <c r="AE185" s="167"/>
      <c r="AF185" s="167">
        <f t="shared" si="211"/>
        <v>288116000</v>
      </c>
      <c r="AG185" s="224">
        <f t="shared" si="198"/>
        <v>259.30439999999999</v>
      </c>
      <c r="AH185" s="224">
        <f t="shared" si="199"/>
        <v>273.71019999999999</v>
      </c>
      <c r="AJ185" s="224">
        <f t="shared" si="200"/>
        <v>288.11599999999999</v>
      </c>
      <c r="AK185" s="205"/>
      <c r="AL185" s="204"/>
      <c r="AM185" s="205"/>
      <c r="AN185" s="57"/>
      <c r="AQ185" s="57"/>
      <c r="AT185" s="50"/>
      <c r="AU185" s="111" t="s">
        <v>174</v>
      </c>
      <c r="AV185" s="111" t="s">
        <v>175</v>
      </c>
      <c r="AW185" s="111" t="s">
        <v>176</v>
      </c>
      <c r="AX185" s="111" t="s">
        <v>177</v>
      </c>
      <c r="AY185" s="111" t="s">
        <v>180</v>
      </c>
      <c r="BA185" s="153" t="s">
        <v>76</v>
      </c>
      <c r="BB185" s="155">
        <f>AX182/1000000</f>
        <v>40</v>
      </c>
      <c r="BC185" s="154"/>
      <c r="BD185" s="155">
        <f t="shared" si="212"/>
        <v>30</v>
      </c>
      <c r="BE185" s="156">
        <f t="shared" si="213"/>
        <v>46.992061172727269</v>
      </c>
      <c r="BH185" s="50"/>
      <c r="CA185" s="50"/>
      <c r="CQ185" s="50"/>
      <c r="DK185" s="50"/>
      <c r="DL185" s="146">
        <v>2</v>
      </c>
      <c r="DM185" s="166">
        <v>8000000</v>
      </c>
      <c r="DN185" s="168">
        <f t="shared" si="214"/>
        <v>26453199.666666668</v>
      </c>
      <c r="DR185" s="167">
        <f t="shared" si="215"/>
        <v>6</v>
      </c>
      <c r="DT185" s="153" t="s">
        <v>149</v>
      </c>
      <c r="DU185" s="169">
        <f>DO181</f>
        <v>0.10299999999999999</v>
      </c>
      <c r="DV185" s="154"/>
      <c r="DW185" s="154"/>
      <c r="DX185" s="155">
        <f t="shared" si="209"/>
        <v>60</v>
      </c>
      <c r="DY185" s="154"/>
      <c r="DZ185" s="154"/>
      <c r="EA185" s="156">
        <f t="shared" si="210"/>
        <v>80.635272999999998</v>
      </c>
    </row>
    <row r="186" spans="10:131" x14ac:dyDescent="0.25">
      <c r="J186" s="86" t="str" cm="1">
        <f t="array" ref="J186">LOOKUP(2,1/($G$17:$G$33&lt;=$L186)/($H$17:$H$33&gt;=$L186),$F$17:$F$33)</f>
        <v>2H21</v>
      </c>
      <c r="K186" s="86" t="str" cm="1">
        <f t="array" ref="K186">LOOKUP(2,1/($G$6:$G$14&lt;=$L186)/($H$6:$H$14&gt;=$L186),$F$6:$F$14)</f>
        <v>FY21</v>
      </c>
      <c r="L186" s="118">
        <v>44203</v>
      </c>
      <c r="M186" s="49">
        <v>17082869</v>
      </c>
      <c r="N186" s="49">
        <v>20726645</v>
      </c>
      <c r="O186" s="50">
        <v>3000000</v>
      </c>
      <c r="P186" s="119" cm="1">
        <f t="array" ref="P186">LOOKUP(2,1/($B$10:$B$14&lt;=$L186)/($C$10:$C$14&gt;=$L186),$D$10:$D$14)</f>
        <v>1.1000000000000001</v>
      </c>
      <c r="Q186" s="120" cm="1">
        <f t="array" ref="Q186">LOOKUP(2,1/($B$17:$B$21&lt;=$L186)/($C$17:$C$21&gt;=$L186),$D$17:$D$21)</f>
        <v>134.49039999999999</v>
      </c>
      <c r="R186" s="113" t="str">
        <f t="shared" si="186"/>
        <v>2H21</v>
      </c>
      <c r="S186" s="113" t="str">
        <f t="shared" si="187"/>
        <v>2H21</v>
      </c>
      <c r="T186" s="113" t="str">
        <f t="shared" ca="1" si="188"/>
        <v/>
      </c>
      <c r="U186" s="113" t="str">
        <f t="shared" si="189"/>
        <v/>
      </c>
      <c r="V186" s="113" t="str">
        <f t="shared" si="4"/>
        <v>FY21</v>
      </c>
      <c r="W186" s="113" t="str">
        <f t="shared" ca="1" si="168"/>
        <v/>
      </c>
      <c r="X186" s="50"/>
      <c r="Y186" s="146"/>
      <c r="Z186" s="145">
        <v>300000000</v>
      </c>
      <c r="AA186" s="145"/>
      <c r="AC186" s="145">
        <v>342426000</v>
      </c>
      <c r="AD186" s="203"/>
      <c r="AE186" s="167"/>
      <c r="AF186" s="167">
        <f t="shared" si="211"/>
        <v>342426000</v>
      </c>
      <c r="AG186" s="224">
        <f t="shared" si="198"/>
        <v>308.18340000000001</v>
      </c>
      <c r="AH186" s="224">
        <f t="shared" si="199"/>
        <v>325.30470000000003</v>
      </c>
      <c r="AJ186" s="224">
        <f t="shared" si="200"/>
        <v>342.42599999999999</v>
      </c>
      <c r="AK186" s="205"/>
      <c r="AL186" s="204"/>
      <c r="AM186" s="205"/>
      <c r="AN186" s="57"/>
      <c r="AQ186" s="57"/>
      <c r="AT186" s="50"/>
      <c r="AU186" s="146">
        <v>1</v>
      </c>
      <c r="AV186" s="166">
        <v>8000000</v>
      </c>
      <c r="AW186" s="167">
        <f t="shared" ref="AW186:AW191" si="216">AVERAGEIFS($M:$M,$L:$L,"&gt;="&amp;AV$179,$L:$L,"&lt;="&amp;AX$179,$O:$O,"="&amp;AV186)*AX$184</f>
        <v>25173894.588636365</v>
      </c>
      <c r="AX186" s="168"/>
      <c r="AY186" s="167">
        <f t="shared" ref="AY186:AY191" si="217">COUNTIFS($L:$L,"&gt;="&amp;AV$64,$L:$L,"&lt;="&amp;AX$64,$O:$O,"="&amp;$AV186)</f>
        <v>8</v>
      </c>
      <c r="BA186" s="153" t="s">
        <v>169</v>
      </c>
      <c r="BB186" s="165">
        <f>AV183</f>
        <v>1.2</v>
      </c>
      <c r="BC186" s="154"/>
      <c r="BD186" s="155">
        <f t="shared" si="212"/>
        <v>50</v>
      </c>
      <c r="BE186" s="156">
        <f t="shared" si="213"/>
        <v>76.986359127272721</v>
      </c>
      <c r="BH186" s="50"/>
      <c r="CA186" s="50"/>
      <c r="CQ186" s="50"/>
      <c r="DK186" s="50"/>
      <c r="DL186" s="146">
        <v>3</v>
      </c>
      <c r="DM186" s="166">
        <v>20000000</v>
      </c>
      <c r="DN186" s="168">
        <f t="shared" si="214"/>
        <v>41750462.600000001</v>
      </c>
      <c r="DR186" s="167">
        <f t="shared" si="215"/>
        <v>5</v>
      </c>
      <c r="DT186" s="153" t="s">
        <v>172</v>
      </c>
      <c r="DU186" s="170">
        <f>DM182</f>
        <v>134.49039999999999</v>
      </c>
      <c r="DV186" s="154"/>
      <c r="DW186" s="154"/>
      <c r="DX186" s="155">
        <f t="shared" si="209"/>
        <v>80</v>
      </c>
      <c r="DY186" s="154"/>
      <c r="DZ186" s="154"/>
      <c r="EA186" s="156">
        <f t="shared" si="210"/>
        <v>117.6099925</v>
      </c>
    </row>
    <row r="187" spans="10:131" x14ac:dyDescent="0.25">
      <c r="J187" s="86" t="str" cm="1">
        <f t="array" ref="J187">LOOKUP(2,1/($G$17:$G$33&lt;=$L187)/($H$17:$H$33&gt;=$L187),$F$17:$F$33)</f>
        <v>1H21</v>
      </c>
      <c r="K187" s="86" t="str" cm="1">
        <f t="array" ref="K187">LOOKUP(2,1/($G$6:$G$14&lt;=$L187)/($H$6:$H$14&gt;=$L187),$F$6:$F$14)</f>
        <v>FY21</v>
      </c>
      <c r="L187" s="118">
        <v>44196</v>
      </c>
      <c r="M187" s="49">
        <v>25387218</v>
      </c>
      <c r="N187" s="49">
        <v>30802311</v>
      </c>
      <c r="O187" s="50">
        <v>8000000</v>
      </c>
      <c r="P187" s="119" cm="1">
        <f t="array" ref="P187">LOOKUP(2,1/($B$10:$B$14&lt;=$L187)/($C$10:$C$14&gt;=$L187),$D$10:$D$14)</f>
        <v>1.1000000000000001</v>
      </c>
      <c r="Q187" s="120" cm="1">
        <f t="array" ref="Q187">LOOKUP(2,1/($B$17:$B$21&lt;=$L187)/($C$17:$C$21&gt;=$L187),$D$17:$D$21)</f>
        <v>134.49039999999999</v>
      </c>
      <c r="R187" s="113" t="str">
        <f t="shared" si="186"/>
        <v/>
      </c>
      <c r="S187" s="113" t="str">
        <f t="shared" si="187"/>
        <v>1H21</v>
      </c>
      <c r="T187" s="113" t="str">
        <f t="shared" ca="1" si="188"/>
        <v>2H21</v>
      </c>
      <c r="U187" s="113" t="str">
        <f t="shared" si="189"/>
        <v/>
      </c>
      <c r="V187" s="113" t="str">
        <f t="shared" si="4"/>
        <v>FY21</v>
      </c>
      <c r="W187" s="113" t="str">
        <f t="shared" ca="1" si="168"/>
        <v/>
      </c>
      <c r="X187" s="50"/>
      <c r="Y187" s="146"/>
      <c r="Z187" s="145">
        <v>350000000</v>
      </c>
      <c r="AA187" s="145"/>
      <c r="AC187" s="145">
        <v>396736000</v>
      </c>
      <c r="AD187" s="203"/>
      <c r="AE187" s="167"/>
      <c r="AF187" s="167">
        <f t="shared" si="211"/>
        <v>396736000</v>
      </c>
      <c r="AG187" s="224">
        <f t="shared" si="198"/>
        <v>357.06240000000003</v>
      </c>
      <c r="AH187" s="224">
        <f t="shared" si="199"/>
        <v>376.89920000000001</v>
      </c>
      <c r="AJ187" s="224">
        <f t="shared" si="200"/>
        <v>396.73599999999999</v>
      </c>
      <c r="AK187" s="205"/>
      <c r="AL187" s="204"/>
      <c r="AM187" s="205"/>
      <c r="AN187" s="57"/>
      <c r="AQ187" s="57"/>
      <c r="AT187" s="50"/>
      <c r="AU187" s="146">
        <v>2</v>
      </c>
      <c r="AV187" s="166">
        <v>20000000</v>
      </c>
      <c r="AW187" s="167">
        <f t="shared" si="216"/>
        <v>39536718.809090912</v>
      </c>
      <c r="AY187" s="167">
        <f t="shared" si="217"/>
        <v>6</v>
      </c>
      <c r="BA187" s="153" t="s">
        <v>149</v>
      </c>
      <c r="BB187" s="169">
        <f>AX183</f>
        <v>0.10299999999999999</v>
      </c>
      <c r="BC187" s="154"/>
      <c r="BD187" s="155">
        <f t="shared" si="212"/>
        <v>100</v>
      </c>
      <c r="BE187" s="156">
        <f t="shared" si="213"/>
        <v>181.42006870000003</v>
      </c>
      <c r="BH187" s="50"/>
      <c r="CA187" s="50"/>
      <c r="CQ187" s="50"/>
      <c r="DK187" s="50"/>
      <c r="DL187" s="146">
        <v>4</v>
      </c>
      <c r="DM187" s="166">
        <v>40000000</v>
      </c>
      <c r="DN187" s="168">
        <f t="shared" si="214"/>
        <v>57879269.333333336</v>
      </c>
      <c r="DR187" s="167">
        <f t="shared" si="215"/>
        <v>3</v>
      </c>
      <c r="DT187" s="172"/>
      <c r="DU187" s="2"/>
      <c r="DV187" s="154"/>
      <c r="DW187" s="154"/>
      <c r="DX187" s="155">
        <f t="shared" si="209"/>
        <v>120</v>
      </c>
      <c r="DY187" s="154"/>
      <c r="DZ187" s="154"/>
      <c r="EA187" s="156">
        <f t="shared" si="210"/>
        <v>222.2475</v>
      </c>
    </row>
    <row r="188" spans="10:131" x14ac:dyDescent="0.25">
      <c r="J188" s="86" t="str" cm="1">
        <f t="array" ref="J188">LOOKUP(2,1/($G$17:$G$33&lt;=$L188)/($H$17:$H$33&gt;=$L188),$F$17:$F$33)</f>
        <v>1H21</v>
      </c>
      <c r="K188" s="86" t="str" cm="1">
        <f t="array" ref="K188">LOOKUP(2,1/($G$6:$G$14&lt;=$L188)/($H$6:$H$14&gt;=$L188),$F$6:$F$14)</f>
        <v>FY21</v>
      </c>
      <c r="L188" s="118">
        <v>44189</v>
      </c>
      <c r="M188" s="49">
        <v>19022130</v>
      </c>
      <c r="N188" s="49">
        <v>23079551</v>
      </c>
      <c r="O188" s="50">
        <v>3000000</v>
      </c>
      <c r="P188" s="119" cm="1">
        <f t="array" ref="P188">LOOKUP(2,1/($B$10:$B$14&lt;=$L188)/($C$10:$C$14&gt;=$L188),$D$10:$D$14)</f>
        <v>1.1000000000000001</v>
      </c>
      <c r="Q188" s="120" cm="1">
        <f t="array" ref="Q188">LOOKUP(2,1/($B$17:$B$21&lt;=$L188)/($C$17:$C$21&gt;=$L188),$D$17:$D$21)</f>
        <v>134.49039999999999</v>
      </c>
      <c r="R188" s="113" t="str">
        <f t="shared" si="186"/>
        <v/>
      </c>
      <c r="S188" s="113" t="str">
        <f t="shared" si="187"/>
        <v>1H21</v>
      </c>
      <c r="T188" s="113" t="str">
        <f t="shared" ca="1" si="188"/>
        <v/>
      </c>
      <c r="U188" s="113" t="str">
        <f t="shared" si="189"/>
        <v/>
      </c>
      <c r="V188" s="113" t="str">
        <f t="shared" si="4"/>
        <v>FY21</v>
      </c>
      <c r="W188" s="113" t="str">
        <f t="shared" ca="1" si="168"/>
        <v/>
      </c>
      <c r="Y188" s="146"/>
      <c r="Z188" s="145">
        <v>400000000</v>
      </c>
      <c r="AA188" s="145"/>
      <c r="AC188" s="145">
        <v>451046000</v>
      </c>
      <c r="AD188" s="203"/>
      <c r="AE188" s="167"/>
      <c r="AF188" s="167">
        <f t="shared" si="211"/>
        <v>451046000</v>
      </c>
      <c r="AG188" s="224">
        <f t="shared" si="198"/>
        <v>405.94139999999999</v>
      </c>
      <c r="AH188" s="224">
        <f t="shared" si="199"/>
        <v>428.49369999999999</v>
      </c>
      <c r="AJ188" s="224">
        <f t="shared" si="200"/>
        <v>451.04599999999999</v>
      </c>
      <c r="AK188" s="205"/>
      <c r="AL188" s="204"/>
      <c r="AM188" s="205"/>
      <c r="AN188" s="57"/>
      <c r="AQ188" s="57"/>
      <c r="AU188" s="146">
        <v>3</v>
      </c>
      <c r="AV188" s="166">
        <v>30000000</v>
      </c>
      <c r="AW188" s="167">
        <f t="shared" si="216"/>
        <v>46992061.172727272</v>
      </c>
      <c r="AY188" s="167">
        <f t="shared" si="217"/>
        <v>1</v>
      </c>
      <c r="BA188" s="153" t="s">
        <v>172</v>
      </c>
      <c r="BB188" s="170">
        <f>AV184</f>
        <v>134.49039999999999</v>
      </c>
      <c r="BC188" s="154"/>
      <c r="BD188" s="155">
        <f t="shared" si="212"/>
        <v>160</v>
      </c>
      <c r="BE188" s="156">
        <f t="shared" si="213"/>
        <v>282.24798296363639</v>
      </c>
      <c r="DL188" s="146">
        <v>5</v>
      </c>
      <c r="DM188" s="166">
        <v>60000000</v>
      </c>
      <c r="DN188" s="168">
        <f t="shared" si="214"/>
        <v>80635273</v>
      </c>
      <c r="DP188" s="145">
        <v>94830000</v>
      </c>
      <c r="DQ188" s="145">
        <v>86029000</v>
      </c>
      <c r="DR188" s="167">
        <f t="shared" si="215"/>
        <v>4</v>
      </c>
      <c r="DT188" s="172" t="s">
        <v>147</v>
      </c>
      <c r="DU188" s="174">
        <f>DM177</f>
        <v>44378</v>
      </c>
      <c r="DV188" s="154"/>
      <c r="DW188" s="154"/>
      <c r="DX188" s="155">
        <f t="shared" si="209"/>
        <v>160</v>
      </c>
      <c r="DY188" s="154"/>
      <c r="DZ188" s="154"/>
      <c r="EA188" s="156">
        <f t="shared" si="210"/>
        <v>291.38749999999999</v>
      </c>
    </row>
    <row r="189" spans="10:131" x14ac:dyDescent="0.25">
      <c r="J189" s="86" t="str" cm="1">
        <f t="array" ref="J189">LOOKUP(2,1/($G$17:$G$33&lt;=$L189)/($H$17:$H$33&gt;=$L189),$F$17:$F$33)</f>
        <v>1H21</v>
      </c>
      <c r="K189" s="86" t="str" cm="1">
        <f t="array" ref="K189">LOOKUP(2,1/($G$6:$G$14&lt;=$L189)/($H$6:$H$14&gt;=$L189),$F$6:$F$14)</f>
        <v>FY21</v>
      </c>
      <c r="L189" s="118">
        <v>44182</v>
      </c>
      <c r="M189" s="49">
        <v>40397166</v>
      </c>
      <c r="N189" s="49">
        <v>49013881</v>
      </c>
      <c r="O189" s="50">
        <v>20000000</v>
      </c>
      <c r="P189" s="119" cm="1">
        <f t="array" ref="P189">LOOKUP(2,1/($B$10:$B$14&lt;=$L189)/($C$10:$C$14&gt;=$L189),$D$10:$D$14)</f>
        <v>1.1000000000000001</v>
      </c>
      <c r="Q189" s="120" cm="1">
        <f t="array" ref="Q189">LOOKUP(2,1/($B$17:$B$21&lt;=$L189)/($C$17:$C$21&gt;=$L189),$D$17:$D$21)</f>
        <v>134.49039999999999</v>
      </c>
      <c r="R189" s="113" t="str">
        <f t="shared" si="186"/>
        <v/>
      </c>
      <c r="S189" s="113" t="str">
        <f t="shared" si="187"/>
        <v>1H21</v>
      </c>
      <c r="T189" s="113" t="str">
        <f t="shared" ca="1" si="188"/>
        <v/>
      </c>
      <c r="U189" s="113" t="str">
        <f t="shared" si="189"/>
        <v/>
      </c>
      <c r="V189" s="113" t="str">
        <f t="shared" si="4"/>
        <v>FY21</v>
      </c>
      <c r="W189" s="113" t="str">
        <f t="shared" ca="1" si="168"/>
        <v/>
      </c>
      <c r="Y189" s="146"/>
      <c r="Z189" s="145">
        <v>450000000</v>
      </c>
      <c r="AA189" s="145"/>
      <c r="AC189" s="145">
        <v>505356000</v>
      </c>
      <c r="AD189" s="203"/>
      <c r="AE189" s="167"/>
      <c r="AF189" s="167">
        <f t="shared" si="211"/>
        <v>505356000</v>
      </c>
      <c r="AG189" s="224">
        <f t="shared" si="198"/>
        <v>454.82040000000001</v>
      </c>
      <c r="AH189" s="224">
        <f t="shared" si="199"/>
        <v>480.08819999999997</v>
      </c>
      <c r="AJ189" s="224">
        <f t="shared" si="200"/>
        <v>505.35599999999999</v>
      </c>
      <c r="AK189" s="205"/>
      <c r="AL189" s="204"/>
      <c r="AM189" s="205"/>
      <c r="AN189" s="57"/>
      <c r="AQ189" s="57"/>
      <c r="AU189" s="146">
        <v>4</v>
      </c>
      <c r="AV189" s="166">
        <v>50000000</v>
      </c>
      <c r="AW189" s="167">
        <f t="shared" si="216"/>
        <v>76986359.127272725</v>
      </c>
      <c r="AY189" s="167">
        <f t="shared" si="217"/>
        <v>1</v>
      </c>
      <c r="BA189" s="172"/>
      <c r="BB189" s="2"/>
      <c r="BC189" s="154"/>
      <c r="BD189" s="155">
        <f t="shared" si="212"/>
        <v>200</v>
      </c>
      <c r="BE189" s="156">
        <f t="shared" si="213"/>
        <v>396.36363636363637</v>
      </c>
      <c r="DL189" s="146">
        <v>6</v>
      </c>
      <c r="DM189" s="166">
        <v>80000000</v>
      </c>
      <c r="DN189" s="168">
        <f t="shared" si="214"/>
        <v>117609992.5</v>
      </c>
      <c r="DP189" s="145">
        <v>122485999.99999999</v>
      </c>
      <c r="DQ189" s="145">
        <v>126083000</v>
      </c>
      <c r="DR189" s="167">
        <f t="shared" si="215"/>
        <v>2</v>
      </c>
      <c r="DT189" s="172" t="s">
        <v>148</v>
      </c>
      <c r="DU189" s="174">
        <f>DO177</f>
        <v>44561</v>
      </c>
      <c r="DV189" s="154"/>
      <c r="DW189" s="154"/>
      <c r="DX189" s="155">
        <f t="shared" si="209"/>
        <v>200</v>
      </c>
      <c r="DY189" s="154"/>
      <c r="DZ189" s="154"/>
      <c r="EA189" s="156">
        <f t="shared" si="210"/>
        <v>360.52749999999997</v>
      </c>
    </row>
    <row r="190" spans="10:131" x14ac:dyDescent="0.25">
      <c r="J190" s="86" t="str" cm="1">
        <f t="array" ref="J190">LOOKUP(2,1/($G$17:$G$33&lt;=$L190)/($H$17:$H$33&gt;=$L190),$F$17:$F$33)</f>
        <v>1H21</v>
      </c>
      <c r="K190" s="86" t="str" cm="1">
        <f t="array" ref="K190">LOOKUP(2,1/($G$6:$G$14&lt;=$L190)/($H$6:$H$14&gt;=$L190),$F$6:$F$14)</f>
        <v>FY21</v>
      </c>
      <c r="L190" s="118">
        <v>44175</v>
      </c>
      <c r="M190" s="49">
        <v>25066382</v>
      </c>
      <c r="N190" s="49">
        <v>30413041</v>
      </c>
      <c r="O190" s="50">
        <v>8000000</v>
      </c>
      <c r="P190" s="119" cm="1">
        <f t="array" ref="P190">LOOKUP(2,1/($B$10:$B$14&lt;=$L190)/($C$10:$C$14&gt;=$L190),$D$10:$D$14)</f>
        <v>1.1000000000000001</v>
      </c>
      <c r="Q190" s="120" cm="1">
        <f t="array" ref="Q190">LOOKUP(2,1/($B$17:$B$21&lt;=$L190)/($C$17:$C$21&gt;=$L190),$D$17:$D$21)</f>
        <v>134.49039999999999</v>
      </c>
      <c r="R190" s="113" t="str">
        <f t="shared" si="186"/>
        <v/>
      </c>
      <c r="S190" s="113" t="str">
        <f t="shared" si="187"/>
        <v>1H21</v>
      </c>
      <c r="T190" s="113" t="str">
        <f t="shared" ca="1" si="188"/>
        <v/>
      </c>
      <c r="U190" s="113" t="str">
        <f t="shared" si="189"/>
        <v/>
      </c>
      <c r="V190" s="113" t="str">
        <f t="shared" si="4"/>
        <v>FY21</v>
      </c>
      <c r="W190" s="113" t="str">
        <f t="shared" ca="1" si="168"/>
        <v/>
      </c>
      <c r="X190" s="50"/>
      <c r="Y190" s="146"/>
      <c r="Z190" s="145">
        <v>480000000</v>
      </c>
      <c r="AA190" s="145"/>
      <c r="AC190" s="145">
        <v>537942000</v>
      </c>
      <c r="AD190" s="203"/>
      <c r="AE190" s="167"/>
      <c r="AF190" s="167">
        <f t="shared" si="211"/>
        <v>537942000</v>
      </c>
      <c r="AG190" s="224">
        <f t="shared" si="198"/>
        <v>484.14780000000002</v>
      </c>
      <c r="AH190" s="224">
        <f t="shared" si="199"/>
        <v>511.04489999999998</v>
      </c>
      <c r="AJ190" s="224">
        <f t="shared" si="200"/>
        <v>537.94200000000001</v>
      </c>
      <c r="AK190" s="205"/>
      <c r="AL190" s="204"/>
      <c r="AM190" s="205"/>
      <c r="AN190" s="57"/>
      <c r="AQ190" s="57"/>
      <c r="AT190" s="50"/>
      <c r="AU190" s="146">
        <v>5</v>
      </c>
      <c r="AV190" s="166">
        <v>100000000</v>
      </c>
      <c r="AW190" s="167">
        <f t="shared" si="216"/>
        <v>181420068.70000002</v>
      </c>
      <c r="AY190" s="167">
        <f t="shared" si="217"/>
        <v>1</v>
      </c>
      <c r="BA190" s="172" t="s">
        <v>147</v>
      </c>
      <c r="BB190" s="174">
        <f>AV179</f>
        <v>44652</v>
      </c>
      <c r="BC190" s="154"/>
      <c r="BD190" s="155">
        <f t="shared" si="212"/>
        <v>250</v>
      </c>
      <c r="BE190" s="156">
        <f t="shared" si="213"/>
        <v>515.27272727272737</v>
      </c>
      <c r="BH190" s="50"/>
      <c r="CA190" s="50"/>
      <c r="CQ190" s="50"/>
      <c r="DK190" s="50"/>
      <c r="DL190" s="146">
        <v>7</v>
      </c>
      <c r="DM190" s="145">
        <v>120000000</v>
      </c>
      <c r="DN190" s="145"/>
      <c r="DO190" s="173">
        <f>IF($DM190&gt;=100000000,$DP$179*DP$182*DP190+$DQ$179*DQ$182*DQ190,DP$182*DP190+DQ$182*DQ190)</f>
        <v>222247500</v>
      </c>
      <c r="DP190" s="145">
        <v>177798000</v>
      </c>
      <c r="DQ190" s="145">
        <v>234751000</v>
      </c>
      <c r="DR190" s="146"/>
      <c r="DT190" s="172" t="s">
        <v>173</v>
      </c>
      <c r="DU190" s="177">
        <f>DO182</f>
        <v>1</v>
      </c>
      <c r="DV190" s="154"/>
      <c r="DW190" s="154"/>
      <c r="DX190" s="155">
        <f t="shared" si="209"/>
        <v>250</v>
      </c>
      <c r="DY190" s="154"/>
      <c r="DZ190" s="154"/>
      <c r="EA190" s="156">
        <f t="shared" si="210"/>
        <v>446.95249999999999</v>
      </c>
    </row>
    <row r="191" spans="10:131" x14ac:dyDescent="0.25">
      <c r="J191" s="86" t="str" cm="1">
        <f t="array" ref="J191">LOOKUP(2,1/($G$17:$G$33&lt;=$L191)/($H$17:$H$33&gt;=$L191),$F$17:$F$33)</f>
        <v>1H21</v>
      </c>
      <c r="K191" s="86" t="str" cm="1">
        <f t="array" ref="K191">LOOKUP(2,1/($G$6:$G$14&lt;=$L191)/($H$6:$H$14&gt;=$L191),$F$6:$F$14)</f>
        <v>FY21</v>
      </c>
      <c r="L191" s="118">
        <v>44168</v>
      </c>
      <c r="M191" s="49">
        <v>17815227</v>
      </c>
      <c r="N191" s="49">
        <v>21615214</v>
      </c>
      <c r="O191" s="50">
        <v>3000000</v>
      </c>
      <c r="P191" s="119" cm="1">
        <f t="array" ref="P191">LOOKUP(2,1/($B$10:$B$14&lt;=$L191)/($C$10:$C$14&gt;=$L191),$D$10:$D$14)</f>
        <v>1.1000000000000001</v>
      </c>
      <c r="Q191" s="120" cm="1">
        <f t="array" ref="Q191">LOOKUP(2,1/($B$17:$B$21&lt;=$L191)/($C$17:$C$21&gt;=$L191),$D$17:$D$21)</f>
        <v>134.49039999999999</v>
      </c>
      <c r="R191" s="113" t="str">
        <f t="shared" si="186"/>
        <v/>
      </c>
      <c r="S191" s="113" t="str">
        <f t="shared" si="187"/>
        <v>1H21</v>
      </c>
      <c r="T191" s="113" t="str">
        <f t="shared" ca="1" si="188"/>
        <v/>
      </c>
      <c r="U191" s="113" t="str">
        <f t="shared" si="189"/>
        <v/>
      </c>
      <c r="V191" s="113" t="str">
        <f t="shared" si="4"/>
        <v>FY21</v>
      </c>
      <c r="W191" s="113" t="str">
        <f t="shared" ca="1" si="168"/>
        <v/>
      </c>
      <c r="X191" s="50"/>
      <c r="Y191" s="146"/>
      <c r="Z191" s="145">
        <v>500000000</v>
      </c>
      <c r="AA191" s="145"/>
      <c r="AC191" s="145">
        <v>559666000</v>
      </c>
      <c r="AD191" s="203"/>
      <c r="AE191" s="167"/>
      <c r="AF191" s="167">
        <f t="shared" si="211"/>
        <v>559666000</v>
      </c>
      <c r="AG191" s="224">
        <f t="shared" si="198"/>
        <v>503.69940000000003</v>
      </c>
      <c r="AH191" s="224">
        <f t="shared" si="199"/>
        <v>531.68269999999995</v>
      </c>
      <c r="AJ191" s="224">
        <f t="shared" si="200"/>
        <v>559.66600000000005</v>
      </c>
      <c r="AK191" s="205"/>
      <c r="AL191" s="204"/>
      <c r="AM191" s="205"/>
      <c r="AN191" s="57"/>
      <c r="AQ191" s="57"/>
      <c r="AT191" s="50"/>
      <c r="AU191" s="146">
        <v>6</v>
      </c>
      <c r="AV191" s="166">
        <v>160000000</v>
      </c>
      <c r="AW191" s="167">
        <f t="shared" si="216"/>
        <v>282247982.9636364</v>
      </c>
      <c r="AY191" s="167">
        <f t="shared" si="217"/>
        <v>1</v>
      </c>
      <c r="BA191" s="172" t="s">
        <v>148</v>
      </c>
      <c r="BB191" s="174">
        <f>AX179</f>
        <v>44868</v>
      </c>
      <c r="BC191" s="154"/>
      <c r="BD191" s="155">
        <f t="shared" si="212"/>
        <v>300</v>
      </c>
      <c r="BE191" s="156">
        <f t="shared" si="213"/>
        <v>634.18181818181824</v>
      </c>
      <c r="BH191" s="50"/>
      <c r="CA191" s="50"/>
      <c r="CQ191" s="50"/>
      <c r="DK191" s="50"/>
      <c r="DL191" s="146">
        <v>8</v>
      </c>
      <c r="DM191" s="145">
        <v>160000000</v>
      </c>
      <c r="DN191" s="145"/>
      <c r="DO191" s="173">
        <f>IF($DM191&gt;=100000000,$DP$179*DP$182*DP191+$DQ$179*DQ$182*DQ191,DP$182*DP191+DQ$182*DQ191)</f>
        <v>291387500</v>
      </c>
      <c r="DP191" s="145">
        <v>233110000</v>
      </c>
      <c r="DQ191" s="145">
        <v>381499000.00000006</v>
      </c>
      <c r="DR191" s="146"/>
      <c r="DT191" s="176"/>
      <c r="DU191" s="32"/>
      <c r="DV191" s="32"/>
      <c r="DW191" s="32"/>
      <c r="DX191" s="32"/>
      <c r="DY191" s="32"/>
      <c r="DZ191" s="32"/>
      <c r="EA191" s="183"/>
    </row>
    <row r="192" spans="10:131" x14ac:dyDescent="0.25">
      <c r="J192" s="86" t="str" cm="1">
        <f t="array" ref="J192">LOOKUP(2,1/($G$17:$G$33&lt;=$L192)/($H$17:$H$33&gt;=$L192),$F$17:$F$33)</f>
        <v>1H21</v>
      </c>
      <c r="K192" s="86" t="str" cm="1">
        <f t="array" ref="K192">LOOKUP(2,1/($G$6:$G$14&lt;=$L192)/($H$6:$H$14&gt;=$L192),$F$6:$F$14)</f>
        <v>FY21</v>
      </c>
      <c r="L192" s="118">
        <v>44161</v>
      </c>
      <c r="M192" s="49">
        <v>40190380</v>
      </c>
      <c r="N192" s="49">
        <v>48762988</v>
      </c>
      <c r="O192" s="50">
        <v>20000000</v>
      </c>
      <c r="P192" s="119" cm="1">
        <f t="array" ref="P192">LOOKUP(2,1/($B$10:$B$14&lt;=$L192)/($C$10:$C$14&gt;=$L192),$D$10:$D$14)</f>
        <v>1.1000000000000001</v>
      </c>
      <c r="Q192" s="120" cm="1">
        <f t="array" ref="Q192">LOOKUP(2,1/($B$17:$B$21&lt;=$L192)/($C$17:$C$21&gt;=$L192),$D$17:$D$21)</f>
        <v>134.49039999999999</v>
      </c>
      <c r="R192" s="113" t="str">
        <f t="shared" si="186"/>
        <v/>
      </c>
      <c r="S192" s="113" t="str">
        <f t="shared" si="187"/>
        <v>1H21</v>
      </c>
      <c r="T192" s="113" t="str">
        <f t="shared" ca="1" si="188"/>
        <v/>
      </c>
      <c r="U192" s="113" t="str">
        <f t="shared" si="189"/>
        <v/>
      </c>
      <c r="V192" s="113" t="str">
        <f t="shared" si="4"/>
        <v>FY21</v>
      </c>
      <c r="W192" s="113" t="str">
        <f t="shared" ca="1" si="168"/>
        <v/>
      </c>
      <c r="X192" s="50"/>
      <c r="Y192" s="146"/>
      <c r="Z192" s="145">
        <v>600000000</v>
      </c>
      <c r="AA192" s="145"/>
      <c r="AC192" s="145">
        <v>668286000</v>
      </c>
      <c r="AD192" s="203"/>
      <c r="AE192" s="167"/>
      <c r="AF192" s="167">
        <f t="shared" si="211"/>
        <v>668286000</v>
      </c>
      <c r="AG192" s="224">
        <f t="shared" si="198"/>
        <v>601.45740000000001</v>
      </c>
      <c r="AH192" s="224">
        <f t="shared" si="199"/>
        <v>634.87170000000003</v>
      </c>
      <c r="AJ192" s="224">
        <f t="shared" si="200"/>
        <v>668.28599999999994</v>
      </c>
      <c r="AK192" s="205"/>
      <c r="AL192" s="204"/>
      <c r="AM192" s="205"/>
      <c r="AN192" s="57"/>
      <c r="AQ192" s="57"/>
      <c r="AT192" s="50"/>
      <c r="AU192" s="146">
        <v>7</v>
      </c>
      <c r="AV192" s="145">
        <v>200000000</v>
      </c>
      <c r="AW192" s="145"/>
      <c r="AX192" s="145">
        <f>AX77*$AX$184</f>
        <v>396363636.36363637</v>
      </c>
      <c r="AY192" s="146"/>
      <c r="BA192" s="176"/>
      <c r="BB192" s="85"/>
      <c r="BC192" s="154"/>
      <c r="BD192" s="155">
        <f t="shared" si="212"/>
        <v>350</v>
      </c>
      <c r="BE192" s="156">
        <f t="shared" si="213"/>
        <v>763</v>
      </c>
      <c r="BH192" s="50"/>
      <c r="CA192" s="50"/>
      <c r="CQ192" s="50"/>
      <c r="DK192" s="50"/>
      <c r="DL192" s="146">
        <v>9</v>
      </c>
      <c r="DM192" s="145">
        <v>200000000</v>
      </c>
      <c r="DN192" s="145"/>
      <c r="DO192" s="173">
        <f>IF($DM192&gt;=100000000,$DP$179*DP$182*DP192+$DQ$179*DQ$182*DQ192,DP$182*DP192+DQ$182*DQ192)</f>
        <v>360527500</v>
      </c>
      <c r="DP192" s="145">
        <v>288422000</v>
      </c>
      <c r="DQ192" s="145">
        <v>566327000</v>
      </c>
      <c r="DR192" s="146"/>
      <c r="DT192" s="186"/>
      <c r="DU192" s="2"/>
      <c r="DV192" s="2"/>
      <c r="DW192" s="2"/>
      <c r="DX192" s="2"/>
      <c r="DY192" s="2"/>
      <c r="DZ192" s="2"/>
      <c r="EA192" s="187"/>
    </row>
    <row r="193" spans="10:131" x14ac:dyDescent="0.25">
      <c r="J193" s="86" t="str" cm="1">
        <f t="array" ref="J193">LOOKUP(2,1/($G$17:$G$33&lt;=$L193)/($H$17:$H$33&gt;=$L193),$F$17:$F$33)</f>
        <v>1H21</v>
      </c>
      <c r="K193" s="86" t="str" cm="1">
        <f t="array" ref="K193">LOOKUP(2,1/($G$6:$G$14&lt;=$L193)/($H$6:$H$14&gt;=$L193),$F$6:$F$14)</f>
        <v>FY21</v>
      </c>
      <c r="L193" s="118">
        <v>44154</v>
      </c>
      <c r="M193" s="49">
        <v>23485624</v>
      </c>
      <c r="N193" s="49">
        <v>28495108</v>
      </c>
      <c r="O193" s="50">
        <v>8000000</v>
      </c>
      <c r="P193" s="119" cm="1">
        <f t="array" ref="P193">LOOKUP(2,1/($B$10:$B$14&lt;=$L193)/($C$10:$C$14&gt;=$L193),$D$10:$D$14)</f>
        <v>1.1000000000000001</v>
      </c>
      <c r="Q193" s="120" cm="1">
        <f t="array" ref="Q193">LOOKUP(2,1/($B$17:$B$21&lt;=$L193)/($C$17:$C$21&gt;=$L193),$D$17:$D$21)</f>
        <v>134.49039999999999</v>
      </c>
      <c r="R193" s="113" t="str">
        <f t="shared" si="186"/>
        <v/>
      </c>
      <c r="S193" s="113" t="str">
        <f t="shared" si="187"/>
        <v>1H21</v>
      </c>
      <c r="T193" s="113" t="str">
        <f t="shared" ca="1" si="188"/>
        <v/>
      </c>
      <c r="U193" s="113" t="str">
        <f t="shared" si="189"/>
        <v/>
      </c>
      <c r="V193" s="113" t="str">
        <f t="shared" si="4"/>
        <v>FY21</v>
      </c>
      <c r="W193" s="113" t="str">
        <f t="shared" ca="1" si="168"/>
        <v/>
      </c>
      <c r="X193" s="50"/>
      <c r="Y193" s="146"/>
      <c r="Z193" s="145"/>
      <c r="AA193" s="145"/>
      <c r="AB193" s="206"/>
      <c r="AC193" s="145"/>
      <c r="AD193" s="203"/>
      <c r="AE193" s="167"/>
      <c r="AJ193" s="204"/>
      <c r="AK193" s="205"/>
      <c r="AL193" s="204"/>
      <c r="AM193" s="205"/>
      <c r="AN193" s="57"/>
      <c r="AQ193" s="57"/>
      <c r="AT193" s="50"/>
      <c r="AU193" s="146">
        <v>8</v>
      </c>
      <c r="AV193" s="145">
        <v>250000000</v>
      </c>
      <c r="AW193" s="145"/>
      <c r="AX193" s="145">
        <f>AX78*$AX$184</f>
        <v>515272727.27272731</v>
      </c>
      <c r="AY193" s="146"/>
      <c r="BA193" s="176"/>
      <c r="BB193" s="32"/>
      <c r="BC193" s="32"/>
      <c r="BD193" s="32"/>
      <c r="BE193" s="183"/>
      <c r="BH193" s="50"/>
      <c r="CA193" s="50"/>
      <c r="CQ193" s="50"/>
      <c r="DK193" s="50"/>
      <c r="DL193" s="146">
        <v>10</v>
      </c>
      <c r="DM193" s="145">
        <v>250000000</v>
      </c>
      <c r="DN193" s="145"/>
      <c r="DO193" s="173">
        <f>IF($DM193&gt;=100000000,$DP$179*DP$182*DP193+$DQ$179*DQ$182*DQ193,DP$182*DP193+DQ$182*DQ193)</f>
        <v>446952500</v>
      </c>
      <c r="DP193" s="145">
        <v>357562000</v>
      </c>
      <c r="DQ193" s="145">
        <v>850911999.99999988</v>
      </c>
      <c r="DR193" s="146"/>
      <c r="DT193" s="189"/>
      <c r="DU193" s="190"/>
      <c r="DV193" s="190"/>
      <c r="DW193" s="190"/>
      <c r="DX193" s="190"/>
      <c r="DY193" s="190"/>
      <c r="DZ193" s="190"/>
      <c r="EA193" s="191"/>
    </row>
    <row r="194" spans="10:131" x14ac:dyDescent="0.25">
      <c r="J194" s="86" t="str" cm="1">
        <f t="array" ref="J194">LOOKUP(2,1/($G$17:$G$33&lt;=$L194)/($H$17:$H$33&gt;=$L194),$F$17:$F$33)</f>
        <v>1H21</v>
      </c>
      <c r="K194" s="86" t="str" cm="1">
        <f t="array" ref="K194">LOOKUP(2,1/($G$6:$G$14&lt;=$L194)/($H$6:$H$14&gt;=$L194),$F$6:$F$14)</f>
        <v>FY21</v>
      </c>
      <c r="L194" s="118">
        <v>44147</v>
      </c>
      <c r="M194" s="49">
        <v>17490034</v>
      </c>
      <c r="N194" s="49">
        <v>21220659</v>
      </c>
      <c r="O194" s="50">
        <v>3000000</v>
      </c>
      <c r="P194" s="119" cm="1">
        <f t="array" ref="P194">LOOKUP(2,1/($B$10:$B$14&lt;=$L194)/($C$10:$C$14&gt;=$L194),$D$10:$D$14)</f>
        <v>1.1000000000000001</v>
      </c>
      <c r="Q194" s="120" cm="1">
        <f t="array" ref="Q194">LOOKUP(2,1/($B$17:$B$21&lt;=$L194)/($C$17:$C$21&gt;=$L194),$D$17:$D$21)</f>
        <v>134.49039999999999</v>
      </c>
      <c r="R194" s="113" t="str">
        <f t="shared" si="186"/>
        <v/>
      </c>
      <c r="S194" s="113" t="str">
        <f t="shared" si="187"/>
        <v>1H21</v>
      </c>
      <c r="T194" s="113" t="str">
        <f t="shared" ca="1" si="188"/>
        <v/>
      </c>
      <c r="U194" s="113" t="str">
        <f t="shared" si="189"/>
        <v/>
      </c>
      <c r="V194" s="113" t="str">
        <f t="shared" si="4"/>
        <v>FY21</v>
      </c>
      <c r="W194" s="113" t="str">
        <f t="shared" ca="1" si="168"/>
        <v/>
      </c>
      <c r="X194" s="50"/>
      <c r="Y194" s="146"/>
      <c r="Z194" s="145"/>
      <c r="AA194" s="145"/>
      <c r="AB194" s="206"/>
      <c r="AC194" s="145"/>
      <c r="AD194" s="203"/>
      <c r="AE194" s="167"/>
      <c r="AT194" s="50"/>
      <c r="AU194" s="146">
        <v>9</v>
      </c>
      <c r="AV194" s="145">
        <v>300000000</v>
      </c>
      <c r="AW194" s="145"/>
      <c r="AX194" s="145">
        <f>AX79*$AX$184</f>
        <v>634181818.18181825</v>
      </c>
      <c r="AY194" s="146"/>
      <c r="BA194" s="186"/>
      <c r="BB194" s="2"/>
      <c r="BC194" s="2"/>
      <c r="BD194" s="2"/>
      <c r="BE194" s="187"/>
      <c r="BH194" s="50"/>
      <c r="CA194" s="50"/>
      <c r="CQ194" s="50"/>
      <c r="DK194" s="50"/>
    </row>
    <row r="195" spans="10:131" x14ac:dyDescent="0.25">
      <c r="J195" s="86" t="str" cm="1">
        <f t="array" ref="J195">LOOKUP(2,1/($G$17:$G$33&lt;=$L195)/($H$17:$H$33&gt;=$L195),$F$17:$F$33)</f>
        <v>1H21</v>
      </c>
      <c r="K195" s="86" t="str" cm="1">
        <f t="array" ref="K195">LOOKUP(2,1/($G$6:$G$14&lt;=$L195)/($H$6:$H$14&gt;=$L195),$F$6:$F$14)</f>
        <v>FY21</v>
      </c>
      <c r="L195" s="118">
        <v>44140</v>
      </c>
      <c r="M195" s="49">
        <v>39323627</v>
      </c>
      <c r="N195" s="49">
        <v>47711357</v>
      </c>
      <c r="O195" s="50">
        <v>20000000</v>
      </c>
      <c r="P195" s="119" cm="1">
        <f t="array" ref="P195">LOOKUP(2,1/($B$10:$B$14&lt;=$L195)/($C$10:$C$14&gt;=$L195),$D$10:$D$14)</f>
        <v>1.1000000000000001</v>
      </c>
      <c r="Q195" s="120" cm="1">
        <f t="array" ref="Q195">LOOKUP(2,1/($B$17:$B$21&lt;=$L195)/($C$17:$C$21&gt;=$L195),$D$17:$D$21)</f>
        <v>134.49039999999999</v>
      </c>
      <c r="R195" s="113" t="str">
        <f t="shared" si="186"/>
        <v/>
      </c>
      <c r="S195" s="113" t="str">
        <f t="shared" si="187"/>
        <v>1H21</v>
      </c>
      <c r="T195" s="113" t="str">
        <f t="shared" ca="1" si="188"/>
        <v/>
      </c>
      <c r="U195" s="113" t="str">
        <f t="shared" si="189"/>
        <v/>
      </c>
      <c r="V195" s="113" t="str">
        <f t="shared" si="4"/>
        <v>FY21</v>
      </c>
      <c r="W195" s="113" t="str">
        <f t="shared" ca="1" si="168"/>
        <v/>
      </c>
      <c r="X195" s="50"/>
      <c r="Y195" s="146"/>
      <c r="Z195" s="145"/>
      <c r="AA195" s="145"/>
      <c r="AB195" s="206"/>
      <c r="AC195" s="145"/>
      <c r="AD195" s="203"/>
      <c r="AE195" s="167"/>
      <c r="AT195" s="50"/>
      <c r="AU195" s="146">
        <v>10</v>
      </c>
      <c r="AV195" s="145">
        <v>350000000</v>
      </c>
      <c r="AW195" s="145"/>
      <c r="AX195" s="145">
        <f>AX80*$AX$184</f>
        <v>763000000</v>
      </c>
      <c r="AY195" s="146"/>
      <c r="BA195" s="189"/>
      <c r="BB195" s="190"/>
      <c r="BC195" s="190"/>
      <c r="BD195" s="190"/>
      <c r="BE195" s="191"/>
      <c r="BH195" s="50"/>
      <c r="CA195" s="50"/>
      <c r="CQ195" s="50"/>
      <c r="DK195" s="50"/>
      <c r="DL195" s="125" t="s">
        <v>229</v>
      </c>
      <c r="DM195" s="126"/>
      <c r="DN195" s="126"/>
      <c r="DO195" s="126"/>
      <c r="DP195" s="126"/>
      <c r="DQ195" s="126"/>
      <c r="DR195" s="126"/>
      <c r="DS195" s="126"/>
      <c r="DT195" s="126"/>
      <c r="DU195" s="126"/>
      <c r="DV195" s="126"/>
      <c r="DW195" s="126"/>
      <c r="DX195" s="126"/>
      <c r="DY195" s="126"/>
      <c r="DZ195" s="126"/>
      <c r="EA195" s="126"/>
    </row>
    <row r="196" spans="10:131" x14ac:dyDescent="0.25">
      <c r="J196" s="86" t="str" cm="1">
        <f t="array" ref="J196">LOOKUP(2,1/($G$17:$G$33&lt;=$L196)/($H$17:$H$33&gt;=$L196),$F$17:$F$33)</f>
        <v>1H21</v>
      </c>
      <c r="K196" s="86" t="str" cm="1">
        <f t="array" ref="K196">LOOKUP(2,1/($G$6:$G$14&lt;=$L196)/($H$6:$H$14&gt;=$L196),$F$6:$F$14)</f>
        <v>FY21</v>
      </c>
      <c r="L196" s="118">
        <v>44133</v>
      </c>
      <c r="M196" s="49">
        <v>24929902</v>
      </c>
      <c r="N196" s="49">
        <v>30247451</v>
      </c>
      <c r="O196" s="50">
        <v>8000000</v>
      </c>
      <c r="P196" s="119" cm="1">
        <f t="array" ref="P196">LOOKUP(2,1/($B$10:$B$14&lt;=$L196)/($C$10:$C$14&gt;=$L196),$D$10:$D$14)</f>
        <v>1.1000000000000001</v>
      </c>
      <c r="Q196" s="120" cm="1">
        <f t="array" ref="Q196">LOOKUP(2,1/($B$17:$B$21&lt;=$L196)/($C$17:$C$21&gt;=$L196),$D$17:$D$21)</f>
        <v>134.49039999999999</v>
      </c>
      <c r="R196" s="113" t="str">
        <f t="shared" si="186"/>
        <v/>
      </c>
      <c r="S196" s="113" t="str">
        <f t="shared" si="187"/>
        <v>1H21</v>
      </c>
      <c r="T196" s="113" t="str">
        <f t="shared" ca="1" si="188"/>
        <v/>
      </c>
      <c r="U196" s="113" t="str">
        <f t="shared" si="189"/>
        <v/>
      </c>
      <c r="V196" s="113" t="str">
        <f t="shared" si="4"/>
        <v>FY21</v>
      </c>
      <c r="W196" s="113" t="str">
        <f t="shared" ca="1" si="168"/>
        <v/>
      </c>
      <c r="X196" s="50"/>
      <c r="Y196" s="146"/>
      <c r="Z196" s="145"/>
      <c r="AA196" s="145"/>
      <c r="AB196" s="206"/>
      <c r="AC196" s="145"/>
      <c r="AD196" s="203"/>
      <c r="AE196" s="167"/>
      <c r="AT196" s="50"/>
      <c r="BH196" s="50"/>
      <c r="CA196" s="50"/>
      <c r="CQ196" s="50"/>
      <c r="DK196" s="50"/>
      <c r="DL196" s="114" t="s">
        <v>147</v>
      </c>
      <c r="DM196" s="115">
        <v>44562</v>
      </c>
      <c r="DN196" s="114" t="s">
        <v>148</v>
      </c>
      <c r="DO196" s="115">
        <v>44742</v>
      </c>
      <c r="DP196" s="132"/>
      <c r="DQ196" s="132"/>
      <c r="DR196" s="132"/>
      <c r="DS196" s="133"/>
      <c r="DT196" s="133"/>
      <c r="DU196" s="133"/>
      <c r="DV196" s="133"/>
      <c r="DW196" s="133"/>
      <c r="DX196" s="133"/>
      <c r="DY196" s="133"/>
      <c r="DZ196" s="133"/>
      <c r="EA196" s="133"/>
    </row>
    <row r="197" spans="10:131" x14ac:dyDescent="0.25">
      <c r="J197" s="86" t="str" cm="1">
        <f t="array" ref="J197">LOOKUP(2,1/($G$17:$G$33&lt;=$L197)/($H$17:$H$33&gt;=$L197),$F$17:$F$33)</f>
        <v>1H21</v>
      </c>
      <c r="K197" s="86" t="str" cm="1">
        <f t="array" ref="K197">LOOKUP(2,1/($G$6:$G$14&lt;=$L197)/($H$6:$H$14&gt;=$L197),$F$6:$F$14)</f>
        <v>FY21</v>
      </c>
      <c r="L197" s="118">
        <v>44126</v>
      </c>
      <c r="M197" s="49">
        <v>19054888</v>
      </c>
      <c r="N197" s="49">
        <v>23119295</v>
      </c>
      <c r="O197" s="50">
        <v>3000000</v>
      </c>
      <c r="P197" s="119" cm="1">
        <f t="array" ref="P197">LOOKUP(2,1/($B$10:$B$14&lt;=$L197)/($C$10:$C$14&gt;=$L197),$D$10:$D$14)</f>
        <v>1.1000000000000001</v>
      </c>
      <c r="Q197" s="120" cm="1">
        <f t="array" ref="Q197">LOOKUP(2,1/($B$17:$B$21&lt;=$L197)/($C$17:$C$21&gt;=$L197),$D$17:$D$21)</f>
        <v>134.49039999999999</v>
      </c>
      <c r="R197" s="113" t="str">
        <f t="shared" si="186"/>
        <v/>
      </c>
      <c r="S197" s="113" t="str">
        <f t="shared" si="187"/>
        <v>1H21</v>
      </c>
      <c r="T197" s="113" t="str">
        <f t="shared" ca="1" si="188"/>
        <v/>
      </c>
      <c r="U197" s="113" t="str">
        <f t="shared" si="189"/>
        <v/>
      </c>
      <c r="V197" s="113" t="str">
        <f t="shared" ref="V197:V260" si="218">IF($O196&lt;$O197,$K197,V196)</f>
        <v>FY21</v>
      </c>
      <c r="W197" s="113" t="str">
        <f t="shared" ca="1" si="168"/>
        <v/>
      </c>
      <c r="X197" s="50"/>
      <c r="Y197" s="146"/>
      <c r="Z197" s="145"/>
      <c r="AA197" s="145"/>
      <c r="AB197" s="206"/>
      <c r="AC197" s="145"/>
      <c r="AD197" s="203"/>
      <c r="AE197" s="167"/>
      <c r="AT197" s="50"/>
      <c r="AU197" s="208" t="s">
        <v>230</v>
      </c>
      <c r="AV197" s="209"/>
      <c r="AW197" s="209"/>
      <c r="AX197" s="209"/>
      <c r="AY197" s="209"/>
      <c r="AZ197" s="209"/>
      <c r="BA197" s="209"/>
      <c r="BB197" s="209"/>
      <c r="BC197" s="209"/>
      <c r="BD197" s="209"/>
      <c r="BE197" s="209"/>
      <c r="BF197" s="209"/>
      <c r="BG197" s="209"/>
      <c r="BH197" s="50"/>
      <c r="CA197" s="50"/>
      <c r="CQ197" s="50"/>
      <c r="DK197" s="50"/>
      <c r="DL197" s="114" t="s">
        <v>159</v>
      </c>
      <c r="DM197" s="115" t="s">
        <v>54</v>
      </c>
      <c r="DN197" s="114" t="s">
        <v>161</v>
      </c>
      <c r="DO197" s="134" t="str" cm="1">
        <f t="array" ref="DO197">IF(OR(LOOKUP(2,1/($B$10:$B$14&lt;=DO196)/($C$10:$C$14&gt;=DO196),$D$10:$D$14)&lt;&gt;DM200,LOOKUP(2,1/($B$6:$B$7&lt;=DO196)/($C$6:$C$7&gt;=DO196),$D$6:$D$7)&lt;&gt;DO200),"FAIL","PASS")</f>
        <v>PASS</v>
      </c>
      <c r="DP197" s="134" t="s">
        <v>162</v>
      </c>
      <c r="DQ197" s="134" t="s">
        <v>162</v>
      </c>
      <c r="DR197" s="134"/>
      <c r="DS197" s="133"/>
      <c r="DT197" s="133"/>
      <c r="DU197" s="133"/>
      <c r="DV197" s="133"/>
      <c r="DW197" s="133"/>
      <c r="DX197" s="133"/>
      <c r="DY197" s="133"/>
      <c r="DZ197" s="133"/>
      <c r="EA197" s="133"/>
    </row>
    <row r="198" spans="10:131" x14ac:dyDescent="0.25">
      <c r="J198" s="86" t="str" cm="1">
        <f t="array" ref="J198">LOOKUP(2,1/($G$17:$G$33&lt;=$L198)/($H$17:$H$33&gt;=$L198),$F$17:$F$33)</f>
        <v>1H21</v>
      </c>
      <c r="K198" s="86" t="str" cm="1">
        <f t="array" ref="K198">LOOKUP(2,1/($G$6:$G$14&lt;=$L198)/($H$6:$H$14&gt;=$L198),$F$6:$F$14)</f>
        <v>FY21</v>
      </c>
      <c r="L198" s="118">
        <v>44119</v>
      </c>
      <c r="M198" s="49">
        <v>61499424</v>
      </c>
      <c r="N198" s="49">
        <v>74617251</v>
      </c>
      <c r="O198" s="50">
        <v>40000000</v>
      </c>
      <c r="P198" s="119" cm="1">
        <f t="array" ref="P198">LOOKUP(2,1/($B$10:$B$14&lt;=$L198)/($C$10:$C$14&gt;=$L198),$D$10:$D$14)</f>
        <v>1.1000000000000001</v>
      </c>
      <c r="Q198" s="120" cm="1">
        <f t="array" ref="Q198">LOOKUP(2,1/($B$17:$B$21&lt;=$L198)/($C$17:$C$21&gt;=$L198),$D$17:$D$21)</f>
        <v>134.49039999999999</v>
      </c>
      <c r="R198" s="113" t="str">
        <f t="shared" si="186"/>
        <v/>
      </c>
      <c r="S198" s="113" t="str">
        <f t="shared" si="187"/>
        <v>1H21</v>
      </c>
      <c r="T198" s="113" t="str">
        <f t="shared" ca="1" si="188"/>
        <v/>
      </c>
      <c r="U198" s="113" t="str">
        <f t="shared" si="189"/>
        <v/>
      </c>
      <c r="V198" s="113" t="str">
        <f t="shared" si="218"/>
        <v>FY21</v>
      </c>
      <c r="W198" s="113" t="str">
        <f t="shared" ref="W198:W261" ca="1" si="219">IF(AND(V198&lt;&gt;V197,ISNUMBER(MATCH($V197,$F$6:$F$14,0))),OFFSET($F$5,MATCH($K198,$F$6:$F$14,0)+1,0),"")</f>
        <v/>
      </c>
      <c r="X198" s="50"/>
      <c r="Y198" s="146"/>
      <c r="Z198" s="145"/>
      <c r="AA198" s="145"/>
      <c r="AB198" s="206"/>
      <c r="AC198" s="145"/>
      <c r="AD198" s="203"/>
      <c r="AE198" s="167"/>
      <c r="AT198" s="50"/>
      <c r="AU198" s="114" t="s">
        <v>147</v>
      </c>
      <c r="AV198" s="115">
        <v>43282</v>
      </c>
      <c r="AW198" s="114" t="s">
        <v>148</v>
      </c>
      <c r="AX198" s="115">
        <v>43646</v>
      </c>
      <c r="AY198" s="132"/>
      <c r="AZ198" s="133"/>
      <c r="BA198" s="133"/>
      <c r="BB198" s="133"/>
      <c r="BC198" s="133"/>
      <c r="BD198" s="133"/>
      <c r="BE198" s="133"/>
      <c r="BF198" s="133"/>
      <c r="BG198" s="133"/>
      <c r="BH198" s="50"/>
      <c r="CA198" s="50"/>
      <c r="CQ198" s="50"/>
      <c r="DK198" s="50"/>
      <c r="DL198" s="114" t="s">
        <v>165</v>
      </c>
      <c r="DM198" s="134">
        <f>INDEX($G:$G,MATCH(DM197,$F:$F,0))</f>
        <v>44562</v>
      </c>
      <c r="DN198" s="114" t="s">
        <v>166</v>
      </c>
      <c r="DO198" s="134">
        <f>INDEX($H:$H,MATCH(DM197,$F:$F,0))</f>
        <v>44742</v>
      </c>
      <c r="DP198" s="135">
        <v>1.25</v>
      </c>
      <c r="DQ198" s="135">
        <v>1</v>
      </c>
      <c r="DR198" s="134"/>
      <c r="DT198" s="136" t="s">
        <v>167</v>
      </c>
      <c r="DU198" s="137"/>
      <c r="DV198" s="137"/>
      <c r="DW198" s="137"/>
      <c r="DX198" s="138"/>
      <c r="DY198" s="137"/>
      <c r="DZ198" s="137"/>
      <c r="EA198" s="139"/>
    </row>
    <row r="199" spans="10:131" x14ac:dyDescent="0.25">
      <c r="J199" s="86" t="str" cm="1">
        <f t="array" ref="J199">LOOKUP(2,1/($G$17:$G$33&lt;=$L199)/($H$17:$H$33&gt;=$L199),$F$17:$F$33)</f>
        <v>1H21</v>
      </c>
      <c r="K199" s="86" t="str" cm="1">
        <f t="array" ref="K199">LOOKUP(2,1/($G$6:$G$14&lt;=$L199)/($H$6:$H$14&gt;=$L199),$F$6:$F$14)</f>
        <v>FY21</v>
      </c>
      <c r="L199" s="118">
        <v>44112</v>
      </c>
      <c r="M199" s="49">
        <v>42908868</v>
      </c>
      <c r="N199" s="49">
        <v>52061329</v>
      </c>
      <c r="O199" s="50">
        <v>20000000</v>
      </c>
      <c r="P199" s="119" cm="1">
        <f t="array" ref="P199">LOOKUP(2,1/($B$10:$B$14&lt;=$L199)/($C$10:$C$14&gt;=$L199),$D$10:$D$14)</f>
        <v>1.1000000000000001</v>
      </c>
      <c r="Q199" s="120" cm="1">
        <f t="array" ref="Q199">LOOKUP(2,1/($B$17:$B$21&lt;=$L199)/($C$17:$C$21&gt;=$L199),$D$17:$D$21)</f>
        <v>134.49039999999999</v>
      </c>
      <c r="R199" s="113" t="str">
        <f t="shared" si="186"/>
        <v/>
      </c>
      <c r="S199" s="113" t="str">
        <f t="shared" si="187"/>
        <v>1H21</v>
      </c>
      <c r="T199" s="113" t="str">
        <f t="shared" ca="1" si="188"/>
        <v/>
      </c>
      <c r="U199" s="113" t="str">
        <f t="shared" si="189"/>
        <v/>
      </c>
      <c r="V199" s="113" t="str">
        <f t="shared" si="218"/>
        <v>FY21</v>
      </c>
      <c r="W199" s="113" t="str">
        <f t="shared" ca="1" si="219"/>
        <v/>
      </c>
      <c r="X199" s="50"/>
      <c r="Y199" s="146"/>
      <c r="Z199" s="145"/>
      <c r="AA199" s="145"/>
      <c r="AB199" s="206"/>
      <c r="AC199" s="145"/>
      <c r="AD199" s="203"/>
      <c r="AE199" s="167"/>
      <c r="AT199" s="50"/>
      <c r="AU199" s="114" t="s">
        <v>159</v>
      </c>
      <c r="AV199" s="115" t="s">
        <v>22</v>
      </c>
      <c r="AW199" s="114" t="s">
        <v>161</v>
      </c>
      <c r="AX199" s="115" t="s">
        <v>163</v>
      </c>
      <c r="AY199" s="134"/>
      <c r="AZ199" s="133"/>
      <c r="BA199" s="133"/>
      <c r="BB199" s="133"/>
      <c r="BC199" s="133"/>
      <c r="BD199" s="133"/>
      <c r="BE199" s="133"/>
      <c r="BF199" s="133"/>
      <c r="BG199" s="133"/>
      <c r="BH199" s="50"/>
      <c r="CA199" s="50"/>
      <c r="CQ199" s="50"/>
      <c r="DK199" s="50"/>
      <c r="DL199" s="114" t="s">
        <v>91</v>
      </c>
      <c r="DM199" s="140">
        <f>INDEX($O:$O,MATCH(DM197,$R:$R,0))</f>
        <v>60000000</v>
      </c>
      <c r="DN199" s="114" t="s">
        <v>76</v>
      </c>
      <c r="DO199" s="140">
        <f ca="1">INDEX($O:$O,MATCH(DM197,$T:$T,0))</f>
        <v>80000000</v>
      </c>
      <c r="DP199" s="140"/>
      <c r="DQ199" s="140"/>
      <c r="DR199" s="140"/>
      <c r="DT199" s="147" t="s">
        <v>165</v>
      </c>
      <c r="DU199" s="148">
        <f>DM198</f>
        <v>44562</v>
      </c>
      <c r="DV199" s="142"/>
      <c r="DW199" s="142"/>
      <c r="DX199" s="143" t="s">
        <v>15</v>
      </c>
      <c r="DY199" s="142"/>
      <c r="DZ199" s="142"/>
      <c r="EA199" s="144" t="s">
        <v>139</v>
      </c>
    </row>
    <row r="200" spans="10:131" x14ac:dyDescent="0.25">
      <c r="J200" s="86" t="str" cm="1">
        <f t="array" ref="J200">LOOKUP(2,1/($G$17:$G$33&lt;=$L200)/($H$17:$H$33&gt;=$L200),$F$17:$F$33)</f>
        <v>1H21</v>
      </c>
      <c r="K200" s="86" t="str" cm="1">
        <f t="array" ref="K200">LOOKUP(2,1/($G$6:$G$14&lt;=$L200)/($H$6:$H$14&gt;=$L200),$F$6:$F$14)</f>
        <v>FY21</v>
      </c>
      <c r="L200" s="118">
        <v>44105</v>
      </c>
      <c r="M200" s="49">
        <v>27468282</v>
      </c>
      <c r="N200" s="49">
        <v>33327266</v>
      </c>
      <c r="O200" s="50">
        <v>8000000</v>
      </c>
      <c r="P200" s="119" cm="1">
        <f t="array" ref="P200">LOOKUP(2,1/($B$10:$B$14&lt;=$L200)/($C$10:$C$14&gt;=$L200),$D$10:$D$14)</f>
        <v>1.1000000000000001</v>
      </c>
      <c r="Q200" s="120" cm="1">
        <f t="array" ref="Q200">LOOKUP(2,1/($B$17:$B$21&lt;=$L200)/($C$17:$C$21&gt;=$L200),$D$17:$D$21)</f>
        <v>134.49039999999999</v>
      </c>
      <c r="R200" s="113" t="str">
        <f t="shared" si="186"/>
        <v/>
      </c>
      <c r="S200" s="113" t="str">
        <f t="shared" si="187"/>
        <v>1H21</v>
      </c>
      <c r="T200" s="113" t="str">
        <f t="shared" ca="1" si="188"/>
        <v/>
      </c>
      <c r="U200" s="113" t="str">
        <f t="shared" si="189"/>
        <v/>
      </c>
      <c r="V200" s="113" t="str">
        <f t="shared" si="218"/>
        <v>FY21</v>
      </c>
      <c r="W200" s="113" t="str">
        <f t="shared" ca="1" si="219"/>
        <v/>
      </c>
      <c r="X200" s="50"/>
      <c r="Y200" s="146"/>
      <c r="Z200" s="145"/>
      <c r="AA200" s="145"/>
      <c r="AB200" s="206"/>
      <c r="AC200" s="145"/>
      <c r="AD200" s="203"/>
      <c r="AE200" s="167"/>
      <c r="AT200" s="50"/>
      <c r="AU200" s="114" t="s">
        <v>165</v>
      </c>
      <c r="AV200" s="134">
        <f>INDEX($G:$G,MATCH(AV199,$F:$F,0))</f>
        <v>44378</v>
      </c>
      <c r="AW200" s="114" t="s">
        <v>166</v>
      </c>
      <c r="AX200" s="134">
        <f>INDEX($H:$H,MATCH(AV199,$F:$F,0))</f>
        <v>44742</v>
      </c>
      <c r="AY200" s="134"/>
      <c r="BA200" s="136" t="s">
        <v>167</v>
      </c>
      <c r="BB200" s="137"/>
      <c r="BC200" s="137"/>
      <c r="BD200" s="138"/>
      <c r="BE200" s="139"/>
      <c r="BH200" s="50"/>
      <c r="CA200" s="50"/>
      <c r="CQ200" s="50"/>
      <c r="DK200" s="50"/>
      <c r="DL200" s="114" t="s">
        <v>169</v>
      </c>
      <c r="DM200" s="119" cm="1">
        <f t="array" ref="DM200">LOOKUP(2,1/($B$10:$B$14&lt;=DM196)/($C$10:$C$14&gt;=DM196),$D$10:$D$14)</f>
        <v>1.1000000000000001</v>
      </c>
      <c r="DN200" s="114" t="s">
        <v>149</v>
      </c>
      <c r="DO200" s="152" cm="1">
        <f t="array" ref="DO200">LOOKUP(2,1/($B$6:$B$7&lt;=DM196)/($C$6:$C$7&gt;=DM196),$D$6:$D$7)</f>
        <v>0.10299999999999999</v>
      </c>
      <c r="DP200" s="152" t="s">
        <v>170</v>
      </c>
      <c r="DQ200" s="152" t="s">
        <v>171</v>
      </c>
      <c r="DR200" s="152"/>
      <c r="DT200" s="153" t="s">
        <v>166</v>
      </c>
      <c r="DU200" s="158">
        <f>DO198</f>
        <v>44742</v>
      </c>
      <c r="DV200" s="154"/>
      <c r="DW200" s="154"/>
      <c r="DX200" s="155">
        <f>DM203/1000000</f>
        <v>3</v>
      </c>
      <c r="DY200" s="154"/>
      <c r="DZ200" s="154"/>
      <c r="EA200" s="156">
        <f>MAX(DN203:DO203)/1000000</f>
        <v>19.085224333333333</v>
      </c>
    </row>
    <row r="201" spans="10:131" x14ac:dyDescent="0.25">
      <c r="J201" s="86" t="str" cm="1">
        <f t="array" ref="J201">LOOKUP(2,1/($G$17:$G$33&lt;=$L201)/($H$17:$H$33&gt;=$L201),$F$17:$F$33)</f>
        <v>1H21</v>
      </c>
      <c r="K201" s="86" t="str" cm="1">
        <f t="array" ref="K201">LOOKUP(2,1/($G$6:$G$14&lt;=$L201)/($H$6:$H$14&gt;=$L201),$F$6:$F$14)</f>
        <v>FY21</v>
      </c>
      <c r="L201" s="118">
        <v>44098</v>
      </c>
      <c r="M201" s="49">
        <v>19672046</v>
      </c>
      <c r="N201" s="49">
        <v>23868094</v>
      </c>
      <c r="O201" s="50">
        <v>3000000</v>
      </c>
      <c r="P201" s="119" cm="1">
        <f t="array" ref="P201">LOOKUP(2,1/($B$10:$B$14&lt;=$L201)/($C$10:$C$14&gt;=$L201),$D$10:$D$14)</f>
        <v>1.1000000000000001</v>
      </c>
      <c r="Q201" s="120" cm="1">
        <f t="array" ref="Q201">LOOKUP(2,1/($B$17:$B$21&lt;=$L201)/($C$17:$C$21&gt;=$L201),$D$17:$D$21)</f>
        <v>134.49039999999999</v>
      </c>
      <c r="R201" s="113" t="str">
        <f t="shared" si="186"/>
        <v/>
      </c>
      <c r="S201" s="113" t="str">
        <f t="shared" si="187"/>
        <v>1H21</v>
      </c>
      <c r="T201" s="113" t="str">
        <f t="shared" ca="1" si="188"/>
        <v/>
      </c>
      <c r="U201" s="113" t="str">
        <f t="shared" si="189"/>
        <v/>
      </c>
      <c r="V201" s="113" t="str">
        <f t="shared" si="218"/>
        <v>FY21</v>
      </c>
      <c r="W201" s="113" t="str">
        <f t="shared" ca="1" si="219"/>
        <v/>
      </c>
      <c r="X201" s="50"/>
      <c r="Y201" s="146"/>
      <c r="Z201" s="145"/>
      <c r="AA201" s="145"/>
      <c r="AB201" s="206"/>
      <c r="AC201" s="145"/>
      <c r="AD201" s="203"/>
      <c r="AE201" s="167"/>
      <c r="AT201" s="50"/>
      <c r="AU201" s="114" t="s">
        <v>91</v>
      </c>
      <c r="AV201" s="145">
        <v>40000000</v>
      </c>
      <c r="AW201" s="114" t="s">
        <v>76</v>
      </c>
      <c r="AX201" s="145">
        <v>40000000</v>
      </c>
      <c r="AY201" s="146"/>
      <c r="BA201" s="147" t="s">
        <v>165</v>
      </c>
      <c r="BB201" s="148">
        <f>AV200</f>
        <v>44378</v>
      </c>
      <c r="BC201" s="142"/>
      <c r="BD201" s="143" t="s">
        <v>15</v>
      </c>
      <c r="BE201" s="144" t="s">
        <v>139</v>
      </c>
      <c r="BH201" s="50"/>
      <c r="CA201" s="50"/>
      <c r="CQ201" s="50"/>
      <c r="DK201" s="50"/>
      <c r="DL201" s="114" t="s">
        <v>172</v>
      </c>
      <c r="DM201" s="119" cm="1">
        <f t="array" ref="DM201">LOOKUP(2,1/($B$17:$B$21&lt;=DM196)/($C$17:$C$21&gt;=DM196),$D$17:$D$21)</f>
        <v>134.49039999999999</v>
      </c>
      <c r="DN201" s="114" t="s">
        <v>173</v>
      </c>
      <c r="DO201" s="163">
        <f>INT((WEEKDAY(DM196-5)-DM196+DO196)/7)/INT((WEEKDAY(DM198-5)-DM198+DO198)/7)</f>
        <v>1</v>
      </c>
      <c r="DP201" s="162">
        <v>1</v>
      </c>
      <c r="DQ201" s="162">
        <f>1-DP201</f>
        <v>0</v>
      </c>
      <c r="DR201" s="163"/>
      <c r="DT201" s="153" t="s">
        <v>91</v>
      </c>
      <c r="DU201" s="155">
        <f>DM199/1000000</f>
        <v>60</v>
      </c>
      <c r="DV201" s="154"/>
      <c r="DW201" s="154"/>
      <c r="DX201" s="155">
        <f t="shared" ref="DX201:DX209" si="220">DM204/1000000</f>
        <v>8</v>
      </c>
      <c r="DY201" s="154"/>
      <c r="DZ201" s="154"/>
      <c r="EA201" s="156">
        <f t="shared" ref="EA201:EA209" si="221">MAX(DN204:DO204)/1000000</f>
        <v>25.666792999999998</v>
      </c>
    </row>
    <row r="202" spans="10:131" x14ac:dyDescent="0.25">
      <c r="J202" s="86" t="str" cm="1">
        <f t="array" ref="J202">LOOKUP(2,1/($G$17:$G$33&lt;=$L202)/($H$17:$H$33&gt;=$L202),$F$17:$F$33)</f>
        <v>1H21</v>
      </c>
      <c r="K202" s="86" t="str" cm="1">
        <f t="array" ref="K202">LOOKUP(2,1/($G$6:$G$14&lt;=$L202)/($H$6:$H$14&gt;=$L202),$F$6:$F$14)</f>
        <v>FY21</v>
      </c>
      <c r="L202" s="118">
        <v>44091</v>
      </c>
      <c r="M202" s="49">
        <v>82205459</v>
      </c>
      <c r="N202" s="49">
        <v>99739883</v>
      </c>
      <c r="O202" s="50">
        <v>60000000</v>
      </c>
      <c r="P202" s="119" cm="1">
        <f t="array" ref="P202">LOOKUP(2,1/($B$10:$B$14&lt;=$L202)/($C$10:$C$14&gt;=$L202),$D$10:$D$14)</f>
        <v>1.1000000000000001</v>
      </c>
      <c r="Q202" s="120" cm="1">
        <f t="array" ref="Q202">LOOKUP(2,1/($B$17:$B$21&lt;=$L202)/($C$17:$C$21&gt;=$L202),$D$17:$D$21)</f>
        <v>134.49039999999999</v>
      </c>
      <c r="R202" s="113" t="str">
        <f t="shared" si="186"/>
        <v/>
      </c>
      <c r="S202" s="113" t="str">
        <f t="shared" si="187"/>
        <v>1H21</v>
      </c>
      <c r="T202" s="113" t="str">
        <f t="shared" ca="1" si="188"/>
        <v/>
      </c>
      <c r="U202" s="113" t="str">
        <f t="shared" si="189"/>
        <v/>
      </c>
      <c r="V202" s="113" t="str">
        <f t="shared" si="218"/>
        <v>FY21</v>
      </c>
      <c r="W202" s="113" t="str">
        <f t="shared" ca="1" si="219"/>
        <v/>
      </c>
      <c r="X202" s="50"/>
      <c r="AT202" s="50"/>
      <c r="AU202" s="114" t="s">
        <v>169</v>
      </c>
      <c r="AV202" s="159">
        <v>1.2</v>
      </c>
      <c r="AW202" s="114" t="s">
        <v>149</v>
      </c>
      <c r="AX202" s="152" cm="1">
        <f t="array" ref="AX202">LOOKUP(2,1/($B$6:$B$7&lt;=AV198)/($C$6:$C$7&gt;=AV198),$D$6:$D$7)</f>
        <v>9.2999999999999999E-2</v>
      </c>
      <c r="AY202" s="152"/>
      <c r="BA202" s="153" t="s">
        <v>166</v>
      </c>
      <c r="BB202" s="158">
        <f>AX200</f>
        <v>44742</v>
      </c>
      <c r="BC202" s="154"/>
      <c r="BD202" s="155">
        <f>AV205/1000000</f>
        <v>4</v>
      </c>
      <c r="BE202" s="156" t="e">
        <f>MAX(AW205:AX205)/1000000</f>
        <v>#DIV/0!</v>
      </c>
      <c r="BH202" s="50"/>
      <c r="CA202" s="50"/>
      <c r="CQ202" s="50"/>
      <c r="DK202" s="50"/>
      <c r="DL202" s="111" t="s">
        <v>174</v>
      </c>
      <c r="DM202" s="111" t="s">
        <v>175</v>
      </c>
      <c r="DN202" s="111" t="s">
        <v>176</v>
      </c>
      <c r="DO202" s="111" t="s">
        <v>177</v>
      </c>
      <c r="DP202" s="111" t="s">
        <v>178</v>
      </c>
      <c r="DQ202" s="111" t="s">
        <v>179</v>
      </c>
      <c r="DR202" s="111" t="s">
        <v>180</v>
      </c>
      <c r="DT202" s="153" t="s">
        <v>76</v>
      </c>
      <c r="DU202" s="155">
        <f ca="1">DO199/1000000</f>
        <v>80</v>
      </c>
      <c r="DV202" s="154"/>
      <c r="DW202" s="154"/>
      <c r="DX202" s="155">
        <f t="shared" si="220"/>
        <v>20</v>
      </c>
      <c r="DY202" s="154"/>
      <c r="DZ202" s="154"/>
      <c r="EA202" s="156">
        <f t="shared" si="221"/>
        <v>39.933461799999996</v>
      </c>
    </row>
    <row r="203" spans="10:131" x14ac:dyDescent="0.25">
      <c r="J203" s="86" t="str" cm="1">
        <f t="array" ref="J203">LOOKUP(2,1/($G$17:$G$33&lt;=$L203)/($H$17:$H$33&gt;=$L203),$F$17:$F$33)</f>
        <v>1H21</v>
      </c>
      <c r="K203" s="86" t="str" cm="1">
        <f t="array" ref="K203">LOOKUP(2,1/($G$6:$G$14&lt;=$L203)/($H$6:$H$14&gt;=$L203),$F$6:$F$14)</f>
        <v>FY21</v>
      </c>
      <c r="L203" s="118">
        <v>44084</v>
      </c>
      <c r="M203" s="49">
        <v>59511775</v>
      </c>
      <c r="N203" s="49">
        <v>72205636</v>
      </c>
      <c r="O203" s="50">
        <v>40000000</v>
      </c>
      <c r="P203" s="119" cm="1">
        <f t="array" ref="P203">LOOKUP(2,1/($B$10:$B$14&lt;=$L203)/($C$10:$C$14&gt;=$L203),$D$10:$D$14)</f>
        <v>1.1000000000000001</v>
      </c>
      <c r="Q203" s="120" cm="1">
        <f t="array" ref="Q203">LOOKUP(2,1/($B$17:$B$21&lt;=$L203)/($C$17:$C$21&gt;=$L203),$D$17:$D$21)</f>
        <v>134.49039999999999</v>
      </c>
      <c r="R203" s="113" t="str">
        <f t="shared" si="186"/>
        <v/>
      </c>
      <c r="S203" s="113" t="str">
        <f t="shared" si="187"/>
        <v>1H21</v>
      </c>
      <c r="T203" s="113" t="str">
        <f t="shared" ca="1" si="188"/>
        <v/>
      </c>
      <c r="U203" s="113" t="str">
        <f t="shared" si="189"/>
        <v/>
      </c>
      <c r="V203" s="113" t="str">
        <f t="shared" si="218"/>
        <v>FY21</v>
      </c>
      <c r="W203" s="113" t="str">
        <f t="shared" ca="1" si="219"/>
        <v/>
      </c>
      <c r="X203" s="50"/>
      <c r="AT203" s="50"/>
      <c r="AU203" s="114" t="s">
        <v>172</v>
      </c>
      <c r="AV203" s="119" cm="1">
        <f t="array" ref="AV203">LOOKUP(2,1/($B$17:$B$21&lt;=AV198)/($C$17:$C$21&gt;=AV198),$D$17:$D$21)</f>
        <v>134.49039999999999</v>
      </c>
      <c r="AW203" s="114" t="s">
        <v>0</v>
      </c>
      <c r="AX203" s="135">
        <v>1</v>
      </c>
      <c r="BA203" s="153" t="s">
        <v>91</v>
      </c>
      <c r="BB203" s="155">
        <f>AV201/1000000</f>
        <v>40</v>
      </c>
      <c r="BC203" s="154"/>
      <c r="BD203" s="155">
        <f t="shared" ref="BD203:BD211" si="222">AV206/1000000</f>
        <v>8</v>
      </c>
      <c r="BE203" s="156">
        <f t="shared" ref="BE203:BE211" si="223">MAX(AW206:AX206)/1000000</f>
        <v>17.245123875000001</v>
      </c>
      <c r="BH203" s="50"/>
      <c r="CA203" s="50"/>
      <c r="CQ203" s="50"/>
      <c r="DK203" s="50"/>
      <c r="DL203" s="146">
        <v>1</v>
      </c>
      <c r="DM203" s="166">
        <v>3000000</v>
      </c>
      <c r="DN203" s="168">
        <f t="shared" ref="DN203:DN209" si="224">AVERAGEIFS($M:$M,$L:$L,"&gt;="&amp;DM$196,$L:$L,"&lt;="&amp;DO$196,$O:$O,"="&amp;DM203)</f>
        <v>19085224.333333332</v>
      </c>
      <c r="DO203" s="168"/>
      <c r="DP203" s="168"/>
      <c r="DQ203" s="168"/>
      <c r="DR203" s="167">
        <f t="shared" ref="DR203:DR209" si="225">COUNTIFS($L:$L,"&gt;="&amp;DM$196,$L:$L,"&lt;="&amp;DO$196,$O:$O,"="&amp;DM203)</f>
        <v>3</v>
      </c>
      <c r="DT203" s="153" t="s">
        <v>169</v>
      </c>
      <c r="DU203" s="165">
        <f>DM200</f>
        <v>1.1000000000000001</v>
      </c>
      <c r="DV203" s="154"/>
      <c r="DW203" s="154"/>
      <c r="DX203" s="155">
        <f t="shared" si="220"/>
        <v>40</v>
      </c>
      <c r="DY203" s="154"/>
      <c r="DZ203" s="154"/>
      <c r="EA203" s="156">
        <f t="shared" si="221"/>
        <v>57.261780000000002</v>
      </c>
    </row>
    <row r="204" spans="10:131" x14ac:dyDescent="0.25">
      <c r="J204" s="86" t="str" cm="1">
        <f t="array" ref="J204">LOOKUP(2,1/($G$17:$G$33&lt;=$L204)/($H$17:$H$33&gt;=$L204),$F$17:$F$33)</f>
        <v>1H21</v>
      </c>
      <c r="K204" s="86" t="str" cm="1">
        <f t="array" ref="K204">LOOKUP(2,1/($G$6:$G$14&lt;=$L204)/($H$6:$H$14&gt;=$L204),$F$6:$F$14)</f>
        <v>FY21</v>
      </c>
      <c r="L204" s="118">
        <v>44077</v>
      </c>
      <c r="M204" s="49">
        <v>40517600</v>
      </c>
      <c r="N204" s="49">
        <v>49160004</v>
      </c>
      <c r="O204" s="50">
        <v>20000000</v>
      </c>
      <c r="P204" s="119" cm="1">
        <f t="array" ref="P204">LOOKUP(2,1/($B$10:$B$14&lt;=$L204)/($C$10:$C$14&gt;=$L204),$D$10:$D$14)</f>
        <v>1.1000000000000001</v>
      </c>
      <c r="Q204" s="120" cm="1">
        <f t="array" ref="Q204">LOOKUP(2,1/($B$17:$B$21&lt;=$L204)/($C$17:$C$21&gt;=$L204),$D$17:$D$21)</f>
        <v>134.49039999999999</v>
      </c>
      <c r="R204" s="113" t="str">
        <f t="shared" si="186"/>
        <v/>
      </c>
      <c r="S204" s="113" t="str">
        <f t="shared" si="187"/>
        <v>1H21</v>
      </c>
      <c r="T204" s="113" t="str">
        <f t="shared" ca="1" si="188"/>
        <v/>
      </c>
      <c r="U204" s="113" t="str">
        <f t="shared" si="189"/>
        <v/>
      </c>
      <c r="V204" s="113" t="str">
        <f t="shared" si="218"/>
        <v>FY21</v>
      </c>
      <c r="W204" s="113" t="str">
        <f t="shared" ca="1" si="219"/>
        <v/>
      </c>
      <c r="X204" s="50"/>
      <c r="Y204" s="114" t="s">
        <v>147</v>
      </c>
      <c r="Z204" s="115">
        <v>45108</v>
      </c>
      <c r="AA204" s="114" t="s">
        <v>148</v>
      </c>
      <c r="AB204" s="115">
        <v>45473</v>
      </c>
      <c r="AT204" s="50"/>
      <c r="AU204" s="111" t="s">
        <v>174</v>
      </c>
      <c r="AV204" s="111" t="s">
        <v>175</v>
      </c>
      <c r="AW204" s="111" t="s">
        <v>176</v>
      </c>
      <c r="AX204" s="111" t="s">
        <v>177</v>
      </c>
      <c r="AY204" s="111" t="s">
        <v>180</v>
      </c>
      <c r="BA204" s="153" t="s">
        <v>76</v>
      </c>
      <c r="BB204" s="155">
        <f>AX201/1000000</f>
        <v>40</v>
      </c>
      <c r="BC204" s="154"/>
      <c r="BD204" s="155">
        <f t="shared" si="222"/>
        <v>20</v>
      </c>
      <c r="BE204" s="156">
        <f t="shared" si="223"/>
        <v>27.175835500000002</v>
      </c>
      <c r="BH204" s="50"/>
      <c r="CA204" s="50"/>
      <c r="CQ204" s="50"/>
      <c r="DK204" s="50"/>
      <c r="DL204" s="146">
        <v>2</v>
      </c>
      <c r="DM204" s="166">
        <v>8000000</v>
      </c>
      <c r="DN204" s="168">
        <f t="shared" si="224"/>
        <v>25666793</v>
      </c>
      <c r="DR204" s="167">
        <f t="shared" si="225"/>
        <v>5</v>
      </c>
      <c r="DT204" s="153" t="s">
        <v>149</v>
      </c>
      <c r="DU204" s="169">
        <f>DO200</f>
        <v>0.10299999999999999</v>
      </c>
      <c r="DV204" s="154"/>
      <c r="DW204" s="154"/>
      <c r="DX204" s="155">
        <f t="shared" si="220"/>
        <v>60</v>
      </c>
      <c r="DY204" s="154"/>
      <c r="DZ204" s="154"/>
      <c r="EA204" s="156">
        <f t="shared" si="221"/>
        <v>79.205363250000005</v>
      </c>
    </row>
    <row r="205" spans="10:131" x14ac:dyDescent="0.25">
      <c r="J205" s="86" t="str" cm="1">
        <f t="array" ref="J205">LOOKUP(2,1/($G$17:$G$33&lt;=$L205)/($H$17:$H$33&gt;=$L205),$F$17:$F$33)</f>
        <v>1H21</v>
      </c>
      <c r="K205" s="86" t="str" cm="1">
        <f t="array" ref="K205">LOOKUP(2,1/($G$6:$G$14&lt;=$L205)/($H$6:$H$14&gt;=$L205),$F$6:$F$14)</f>
        <v>FY21</v>
      </c>
      <c r="L205" s="118">
        <v>44070</v>
      </c>
      <c r="M205" s="49">
        <v>26767640</v>
      </c>
      <c r="N205" s="49">
        <v>32477178</v>
      </c>
      <c r="O205" s="50">
        <v>8000000</v>
      </c>
      <c r="P205" s="119" cm="1">
        <f t="array" ref="P205">LOOKUP(2,1/($B$10:$B$14&lt;=$L205)/($C$10:$C$14&gt;=$L205),$D$10:$D$14)</f>
        <v>1.1000000000000001</v>
      </c>
      <c r="Q205" s="120" cm="1">
        <f t="array" ref="Q205">LOOKUP(2,1/($B$17:$B$21&lt;=$L205)/($C$17:$C$21&gt;=$L205),$D$17:$D$21)</f>
        <v>134.49039999999999</v>
      </c>
      <c r="R205" s="113" t="str">
        <f t="shared" si="186"/>
        <v/>
      </c>
      <c r="S205" s="113" t="str">
        <f t="shared" si="187"/>
        <v>1H21</v>
      </c>
      <c r="T205" s="113" t="str">
        <f t="shared" ca="1" si="188"/>
        <v/>
      </c>
      <c r="U205" s="113" t="str">
        <f t="shared" si="189"/>
        <v/>
      </c>
      <c r="V205" s="113" t="str">
        <f t="shared" si="218"/>
        <v>FY21</v>
      </c>
      <c r="W205" s="113" t="str">
        <f t="shared" ca="1" si="219"/>
        <v/>
      </c>
      <c r="X205" s="50"/>
      <c r="AA205" s="114" t="s">
        <v>0</v>
      </c>
      <c r="AB205" s="135">
        <v>1</v>
      </c>
      <c r="AT205" s="50"/>
      <c r="AU205" s="146">
        <v>1</v>
      </c>
      <c r="AV205" s="166">
        <v>4000000</v>
      </c>
      <c r="AW205" s="167" t="e">
        <f t="shared" ref="AW205:AW214" si="226">AVERAGEIFS($M:$M,$L:$L,"&gt;="&amp;AV$198,$L:$L,"&lt;="&amp;AX$198,$O:$O,"="&amp;AV205)*AX$203</f>
        <v>#DIV/0!</v>
      </c>
      <c r="AX205" s="168"/>
      <c r="AY205" s="167">
        <f t="shared" ref="AY205:AY212" si="227">COUNTIFS($L:$L,"&gt;="&amp;AV$64,$L:$L,"&lt;="&amp;AX$64,$O:$O,"="&amp;$AV205)</f>
        <v>7</v>
      </c>
      <c r="BA205" s="153" t="s">
        <v>169</v>
      </c>
      <c r="BB205" s="165">
        <f>AV202</f>
        <v>1.2</v>
      </c>
      <c r="BC205" s="154"/>
      <c r="BD205" s="155">
        <f t="shared" si="222"/>
        <v>40</v>
      </c>
      <c r="BE205" s="156">
        <f t="shared" si="223"/>
        <v>41.08902775</v>
      </c>
      <c r="BH205" s="50"/>
      <c r="CA205" s="50"/>
      <c r="CQ205" s="50"/>
      <c r="DK205" s="50"/>
      <c r="DL205" s="146">
        <v>3</v>
      </c>
      <c r="DM205" s="166">
        <v>20000000</v>
      </c>
      <c r="DN205" s="168">
        <f t="shared" si="224"/>
        <v>39933461.799999997</v>
      </c>
      <c r="DR205" s="167">
        <f t="shared" si="225"/>
        <v>5</v>
      </c>
      <c r="DT205" s="153" t="s">
        <v>172</v>
      </c>
      <c r="DU205" s="170">
        <f>DM201</f>
        <v>134.49039999999999</v>
      </c>
      <c r="DV205" s="154"/>
      <c r="DW205" s="154"/>
      <c r="DX205" s="155">
        <f t="shared" si="220"/>
        <v>80</v>
      </c>
      <c r="DY205" s="154"/>
      <c r="DZ205" s="154"/>
      <c r="EA205" s="156">
        <f t="shared" si="221"/>
        <v>116.33622200000001</v>
      </c>
    </row>
    <row r="206" spans="10:131" x14ac:dyDescent="0.25">
      <c r="J206" s="86" t="str" cm="1">
        <f t="array" ref="J206">LOOKUP(2,1/($G$17:$G$33&lt;=$L206)/($H$17:$H$33&gt;=$L206),$F$17:$F$33)</f>
        <v>1H21</v>
      </c>
      <c r="K206" s="86" t="str" cm="1">
        <f t="array" ref="K206">LOOKUP(2,1/($G$6:$G$14&lt;=$L206)/($H$6:$H$14&gt;=$L206),$F$6:$F$14)</f>
        <v>FY21</v>
      </c>
      <c r="L206" s="118">
        <v>44063</v>
      </c>
      <c r="M206" s="49">
        <v>18946346</v>
      </c>
      <c r="N206" s="49">
        <v>22987601</v>
      </c>
      <c r="O206" s="50">
        <v>3000000</v>
      </c>
      <c r="P206" s="119" cm="1">
        <f t="array" ref="P206">LOOKUP(2,1/($B$10:$B$14&lt;=$L206)/($C$10:$C$14&gt;=$L206),$D$10:$D$14)</f>
        <v>1.1000000000000001</v>
      </c>
      <c r="Q206" s="120" cm="1">
        <f t="array" ref="Q206">LOOKUP(2,1/($B$17:$B$21&lt;=$L206)/($C$17:$C$21&gt;=$L206),$D$17:$D$21)</f>
        <v>134.49039999999999</v>
      </c>
      <c r="R206" s="113" t="str">
        <f t="shared" si="186"/>
        <v/>
      </c>
      <c r="S206" s="113" t="str">
        <f t="shared" si="187"/>
        <v>1H21</v>
      </c>
      <c r="T206" s="113" t="str">
        <f t="shared" ca="1" si="188"/>
        <v/>
      </c>
      <c r="U206" s="113" t="str">
        <f t="shared" si="189"/>
        <v/>
      </c>
      <c r="V206" s="113" t="str">
        <f t="shared" si="218"/>
        <v>FY21</v>
      </c>
      <c r="W206" s="113" t="str">
        <f t="shared" ca="1" si="219"/>
        <v/>
      </c>
      <c r="X206" s="50"/>
      <c r="AT206" s="50"/>
      <c r="AU206" s="146">
        <v>2</v>
      </c>
      <c r="AV206" s="166">
        <v>8000000</v>
      </c>
      <c r="AW206" s="167">
        <f t="shared" si="226"/>
        <v>17245123.875</v>
      </c>
      <c r="AY206" s="167">
        <f t="shared" si="227"/>
        <v>8</v>
      </c>
      <c r="BA206" s="153" t="s">
        <v>149</v>
      </c>
      <c r="BB206" s="169">
        <f>AX202</f>
        <v>9.2999999999999999E-2</v>
      </c>
      <c r="BC206" s="154"/>
      <c r="BD206" s="155">
        <f t="shared" si="222"/>
        <v>60</v>
      </c>
      <c r="BE206" s="156">
        <f t="shared" si="223"/>
        <v>70.047528</v>
      </c>
      <c r="BH206" s="50"/>
      <c r="CA206" s="50"/>
      <c r="CQ206" s="50"/>
      <c r="DK206" s="50"/>
      <c r="DL206" s="146">
        <v>4</v>
      </c>
      <c r="DM206" s="166">
        <v>40000000</v>
      </c>
      <c r="DN206" s="168">
        <f t="shared" si="224"/>
        <v>57261780</v>
      </c>
      <c r="DR206" s="167">
        <f t="shared" si="225"/>
        <v>3</v>
      </c>
      <c r="DT206" s="172"/>
      <c r="DU206" s="2"/>
      <c r="DV206" s="154"/>
      <c r="DW206" s="154"/>
      <c r="DX206" s="155">
        <f t="shared" si="220"/>
        <v>120</v>
      </c>
      <c r="DY206" s="154"/>
      <c r="DZ206" s="154"/>
      <c r="EA206" s="156">
        <f t="shared" si="221"/>
        <v>244.63164499999999</v>
      </c>
    </row>
    <row r="207" spans="10:131" x14ac:dyDescent="0.25">
      <c r="J207" s="86" t="str" cm="1">
        <f t="array" ref="J207">LOOKUP(2,1/($G$17:$G$33&lt;=$L207)/($H$17:$H$33&gt;=$L207),$F$17:$F$33)</f>
        <v>1H21</v>
      </c>
      <c r="K207" s="86" t="str" cm="1">
        <f t="array" ref="K207">LOOKUP(2,1/($G$6:$G$14&lt;=$L207)/($H$6:$H$14&gt;=$L207),$F$6:$F$14)</f>
        <v>FY21</v>
      </c>
      <c r="L207" s="118">
        <v>44056</v>
      </c>
      <c r="M207" s="49">
        <v>26811784</v>
      </c>
      <c r="N207" s="49">
        <v>32530737</v>
      </c>
      <c r="O207" s="50">
        <v>8000000</v>
      </c>
      <c r="P207" s="119" cm="1">
        <f t="array" ref="P207">LOOKUP(2,1/($B$10:$B$14&lt;=$L207)/($C$10:$C$14&gt;=$L207),$D$10:$D$14)</f>
        <v>1.1000000000000001</v>
      </c>
      <c r="Q207" s="120" cm="1">
        <f t="array" ref="Q207">LOOKUP(2,1/($B$17:$B$21&lt;=$L207)/($C$17:$C$21&gt;=$L207),$D$17:$D$21)</f>
        <v>134.49039999999999</v>
      </c>
      <c r="R207" s="113" t="str">
        <f t="shared" si="186"/>
        <v/>
      </c>
      <c r="S207" s="113" t="str">
        <f t="shared" si="187"/>
        <v>1H21</v>
      </c>
      <c r="T207" s="113" t="str">
        <f t="shared" ca="1" si="188"/>
        <v/>
      </c>
      <c r="U207" s="113" t="str">
        <f t="shared" si="189"/>
        <v/>
      </c>
      <c r="V207" s="113" t="str">
        <f t="shared" si="218"/>
        <v>FY21</v>
      </c>
      <c r="W207" s="113" t="str">
        <f t="shared" ca="1" si="219"/>
        <v/>
      </c>
      <c r="X207" s="50"/>
      <c r="AB207" s="85" t="s">
        <v>226</v>
      </c>
      <c r="AC207" s="85" t="s">
        <v>227</v>
      </c>
      <c r="AT207" s="50"/>
      <c r="AU207" s="146">
        <v>3</v>
      </c>
      <c r="AV207" s="166">
        <v>20000000</v>
      </c>
      <c r="AW207" s="167">
        <f t="shared" si="226"/>
        <v>27175835.5</v>
      </c>
      <c r="AY207" s="167">
        <f t="shared" si="227"/>
        <v>6</v>
      </c>
      <c r="BA207" s="153" t="s">
        <v>172</v>
      </c>
      <c r="BB207" s="170">
        <f>AV203</f>
        <v>134.49039999999999</v>
      </c>
      <c r="BC207" s="154"/>
      <c r="BD207" s="155">
        <f t="shared" si="222"/>
        <v>80</v>
      </c>
      <c r="BE207" s="156">
        <f t="shared" si="223"/>
        <v>100.9860455</v>
      </c>
      <c r="BH207" s="50"/>
      <c r="CA207" s="50"/>
      <c r="CQ207" s="50"/>
      <c r="DK207" s="50"/>
      <c r="DL207" s="146">
        <v>5</v>
      </c>
      <c r="DM207" s="166">
        <v>60000000</v>
      </c>
      <c r="DN207" s="168">
        <f t="shared" si="224"/>
        <v>79205363.25</v>
      </c>
      <c r="DP207" s="145">
        <v>94830000</v>
      </c>
      <c r="DQ207" s="145">
        <v>86029000</v>
      </c>
      <c r="DR207" s="167">
        <f t="shared" si="225"/>
        <v>4</v>
      </c>
      <c r="DT207" s="172" t="s">
        <v>147</v>
      </c>
      <c r="DU207" s="174">
        <f>DM196</f>
        <v>44562</v>
      </c>
      <c r="DV207" s="154"/>
      <c r="DW207" s="154"/>
      <c r="DX207" s="155">
        <f t="shared" si="220"/>
        <v>160</v>
      </c>
      <c r="DY207" s="154"/>
      <c r="DZ207" s="154"/>
      <c r="EA207" s="156">
        <f t="shared" si="221"/>
        <v>291.38749999999999</v>
      </c>
    </row>
    <row r="208" spans="10:131" x14ac:dyDescent="0.25">
      <c r="J208" s="86" t="str" cm="1">
        <f t="array" ref="J208">LOOKUP(2,1/($G$17:$G$33&lt;=$L208)/($H$17:$H$33&gt;=$L208),$F$17:$F$33)</f>
        <v>1H21</v>
      </c>
      <c r="K208" s="86" t="str" cm="1">
        <f t="array" ref="K208">LOOKUP(2,1/($G$6:$G$14&lt;=$L208)/($H$6:$H$14&gt;=$L208),$F$6:$F$14)</f>
        <v>FY21</v>
      </c>
      <c r="L208" s="118">
        <v>44049</v>
      </c>
      <c r="M208" s="49">
        <v>19730848</v>
      </c>
      <c r="N208" s="49">
        <v>23939438</v>
      </c>
      <c r="O208" s="50">
        <v>3000000</v>
      </c>
      <c r="P208" s="119" cm="1">
        <f t="array" ref="P208">LOOKUP(2,1/($B$10:$B$14&lt;=$L208)/($C$10:$C$14&gt;=$L208),$D$10:$D$14)</f>
        <v>1.1000000000000001</v>
      </c>
      <c r="Q208" s="120" cm="1">
        <f t="array" ref="Q208">LOOKUP(2,1/($B$17:$B$21&lt;=$L208)/($C$17:$C$21&gt;=$L208),$D$17:$D$21)</f>
        <v>134.49039999999999</v>
      </c>
      <c r="R208" s="113" t="str">
        <f t="shared" si="186"/>
        <v/>
      </c>
      <c r="S208" s="113" t="str">
        <f t="shared" si="187"/>
        <v>1H21</v>
      </c>
      <c r="T208" s="113" t="str">
        <f t="shared" ca="1" si="188"/>
        <v/>
      </c>
      <c r="U208" s="113" t="str">
        <f t="shared" si="189"/>
        <v/>
      </c>
      <c r="V208" s="113" t="str">
        <f t="shared" si="218"/>
        <v>FY21</v>
      </c>
      <c r="W208" s="113" t="str">
        <f t="shared" ca="1" si="219"/>
        <v/>
      </c>
      <c r="X208" s="50"/>
      <c r="Y208" s="146">
        <v>1</v>
      </c>
      <c r="Z208" s="202">
        <v>4000000</v>
      </c>
      <c r="AA208" s="167">
        <f t="shared" ref="AA208:AA217" si="228">AVERAGEIFS($M:$M,$L:$L,"&gt;="&amp;Z$204,$L:$L,"&lt;="&amp;AB$204,$O:$O,"="&amp;Z208)*AB$205</f>
        <v>20523756.100000001</v>
      </c>
      <c r="AC208" s="145">
        <v>21004200</v>
      </c>
      <c r="AD208" s="222">
        <f>AA208/1000000</f>
        <v>20.5237561</v>
      </c>
      <c r="AE208" s="167">
        <f t="shared" ref="AE208:AE217" si="229">COUNTIFS($L:$L,"&gt;="&amp;Z$204,$L:$L,"&lt;="&amp;AB$204,$O:$O,"="&amp;Z208)</f>
        <v>10</v>
      </c>
      <c r="AT208" s="50"/>
      <c r="AU208" s="146">
        <v>4</v>
      </c>
      <c r="AV208" s="166">
        <v>40000000</v>
      </c>
      <c r="AW208" s="167">
        <f t="shared" si="226"/>
        <v>41089027.75</v>
      </c>
      <c r="AY208" s="167">
        <f t="shared" si="227"/>
        <v>3</v>
      </c>
      <c r="BA208" s="172"/>
      <c r="BB208" s="2"/>
      <c r="BC208" s="154"/>
      <c r="BD208" s="155">
        <f t="shared" si="222"/>
        <v>120</v>
      </c>
      <c r="BE208" s="156" t="e">
        <f t="shared" si="223"/>
        <v>#DIV/0!</v>
      </c>
      <c r="BH208" s="50"/>
      <c r="CA208" s="50"/>
      <c r="CQ208" s="50"/>
      <c r="DK208" s="50"/>
      <c r="DL208" s="146">
        <v>6</v>
      </c>
      <c r="DM208" s="166">
        <v>80000000</v>
      </c>
      <c r="DN208" s="168">
        <f t="shared" si="224"/>
        <v>116336222</v>
      </c>
      <c r="DP208" s="145">
        <v>122485999.99999999</v>
      </c>
      <c r="DQ208" s="145">
        <v>126083000</v>
      </c>
      <c r="DR208" s="167">
        <f t="shared" si="225"/>
        <v>2</v>
      </c>
      <c r="DT208" s="172" t="s">
        <v>148</v>
      </c>
      <c r="DU208" s="174">
        <f>DO196</f>
        <v>44742</v>
      </c>
      <c r="DV208" s="154"/>
      <c r="DW208" s="154"/>
      <c r="DX208" s="155">
        <f t="shared" si="220"/>
        <v>200</v>
      </c>
      <c r="DY208" s="154"/>
      <c r="DZ208" s="154"/>
      <c r="EA208" s="156">
        <f t="shared" si="221"/>
        <v>360.52749999999997</v>
      </c>
    </row>
    <row r="209" spans="10:131" x14ac:dyDescent="0.25">
      <c r="J209" s="86" t="str" cm="1">
        <f t="array" ref="J209">LOOKUP(2,1/($G$17:$G$33&lt;=$L209)/($H$17:$H$33&gt;=$L209),$F$17:$F$33)</f>
        <v>1H21</v>
      </c>
      <c r="K209" s="86" t="str" cm="1">
        <f t="array" ref="K209">LOOKUP(2,1/($G$6:$G$14&lt;=$L209)/($H$6:$H$14&gt;=$L209),$F$6:$F$14)</f>
        <v>FY21</v>
      </c>
      <c r="L209" s="118">
        <v>44042</v>
      </c>
      <c r="M209" s="49">
        <v>44346019</v>
      </c>
      <c r="N209" s="49">
        <v>53805025</v>
      </c>
      <c r="O209" s="50">
        <v>20000000</v>
      </c>
      <c r="P209" s="119" cm="1">
        <f t="array" ref="P209">LOOKUP(2,1/($B$10:$B$14&lt;=$L209)/($C$10:$C$14&gt;=$L209),$D$10:$D$14)</f>
        <v>1.1000000000000001</v>
      </c>
      <c r="Q209" s="120" cm="1">
        <f t="array" ref="Q209">LOOKUP(2,1/($B$17:$B$21&lt;=$L209)/($C$17:$C$21&gt;=$L209),$D$17:$D$21)</f>
        <v>134.49039999999999</v>
      </c>
      <c r="R209" s="113" t="str">
        <f t="shared" si="186"/>
        <v/>
      </c>
      <c r="S209" s="113" t="str">
        <f t="shared" si="187"/>
        <v>1H21</v>
      </c>
      <c r="T209" s="113" t="str">
        <f t="shared" ca="1" si="188"/>
        <v/>
      </c>
      <c r="U209" s="113" t="str">
        <f t="shared" si="189"/>
        <v/>
      </c>
      <c r="V209" s="113" t="str">
        <f t="shared" si="218"/>
        <v>FY21</v>
      </c>
      <c r="W209" s="113" t="str">
        <f t="shared" ca="1" si="219"/>
        <v/>
      </c>
      <c r="X209" s="50"/>
      <c r="Y209" s="146">
        <v>2</v>
      </c>
      <c r="Z209" s="202">
        <v>12000000</v>
      </c>
      <c r="AA209" s="167">
        <f t="shared" si="228"/>
        <v>31010189.75</v>
      </c>
      <c r="AC209" s="145">
        <v>29366600</v>
      </c>
      <c r="AD209" s="222">
        <f>AA209/1000000</f>
        <v>31.010189749999999</v>
      </c>
      <c r="AE209" s="167">
        <f t="shared" si="229"/>
        <v>8</v>
      </c>
      <c r="AT209" s="50"/>
      <c r="AU209" s="146">
        <v>5</v>
      </c>
      <c r="AV209" s="166">
        <v>60000000</v>
      </c>
      <c r="AW209" s="167">
        <f t="shared" si="226"/>
        <v>70047528</v>
      </c>
      <c r="AY209" s="167">
        <f t="shared" si="227"/>
        <v>2</v>
      </c>
      <c r="BA209" s="172" t="s">
        <v>147</v>
      </c>
      <c r="BB209" s="174">
        <f>AV198</f>
        <v>43282</v>
      </c>
      <c r="BC209" s="154"/>
      <c r="BD209" s="155">
        <f t="shared" si="222"/>
        <v>150</v>
      </c>
      <c r="BE209" s="156" t="e">
        <f t="shared" si="223"/>
        <v>#DIV/0!</v>
      </c>
      <c r="BH209" s="50"/>
      <c r="CA209" s="50"/>
      <c r="CQ209" s="50"/>
      <c r="DK209" s="50"/>
      <c r="DL209" s="146">
        <v>7</v>
      </c>
      <c r="DM209" s="166">
        <v>120000000</v>
      </c>
      <c r="DN209" s="168">
        <f t="shared" si="224"/>
        <v>244631645</v>
      </c>
      <c r="DP209" s="145">
        <v>177798000</v>
      </c>
      <c r="DQ209" s="145">
        <v>234751000</v>
      </c>
      <c r="DR209" s="167">
        <f t="shared" si="225"/>
        <v>1</v>
      </c>
      <c r="DT209" s="172" t="s">
        <v>173</v>
      </c>
      <c r="DU209" s="177">
        <f>DO201</f>
        <v>1</v>
      </c>
      <c r="DV209" s="154"/>
      <c r="DW209" s="154"/>
      <c r="DX209" s="155">
        <f t="shared" si="220"/>
        <v>250</v>
      </c>
      <c r="DY209" s="154"/>
      <c r="DZ209" s="154"/>
      <c r="EA209" s="156">
        <f t="shared" si="221"/>
        <v>446.95249999999999</v>
      </c>
    </row>
    <row r="210" spans="10:131" x14ac:dyDescent="0.25">
      <c r="J210" s="86" t="str" cm="1">
        <f t="array" ref="J210">LOOKUP(2,1/($G$17:$G$33&lt;=$L210)/($H$17:$H$33&gt;=$L210),$F$17:$F$33)</f>
        <v>1H21</v>
      </c>
      <c r="K210" s="86" t="str" cm="1">
        <f t="array" ref="K210">LOOKUP(2,1/($G$6:$G$14&lt;=$L210)/($H$6:$H$14&gt;=$L210),$F$6:$F$14)</f>
        <v>FY21</v>
      </c>
      <c r="L210" s="118">
        <v>44035</v>
      </c>
      <c r="M210" s="49">
        <v>25611907</v>
      </c>
      <c r="N210" s="49">
        <v>31074927</v>
      </c>
      <c r="O210" s="50">
        <v>8000000</v>
      </c>
      <c r="P210" s="119" cm="1">
        <f t="array" ref="P210">LOOKUP(2,1/($B$10:$B$14&lt;=$L210)/($C$10:$C$14&gt;=$L210),$D$10:$D$14)</f>
        <v>1.1000000000000001</v>
      </c>
      <c r="Q210" s="120" cm="1">
        <f t="array" ref="Q210">LOOKUP(2,1/($B$17:$B$21&lt;=$L210)/($C$17:$C$21&gt;=$L210),$D$17:$D$21)</f>
        <v>134.49039999999999</v>
      </c>
      <c r="R210" s="113" t="str">
        <f t="shared" si="186"/>
        <v/>
      </c>
      <c r="S210" s="113" t="str">
        <f t="shared" si="187"/>
        <v>1H21</v>
      </c>
      <c r="T210" s="113" t="str">
        <f t="shared" ca="1" si="188"/>
        <v/>
      </c>
      <c r="U210" s="113" t="str">
        <f t="shared" si="189"/>
        <v/>
      </c>
      <c r="V210" s="113" t="str">
        <f t="shared" si="218"/>
        <v>FY21</v>
      </c>
      <c r="W210" s="113" t="str">
        <f t="shared" ca="1" si="219"/>
        <v/>
      </c>
      <c r="X210" s="50"/>
      <c r="Y210" s="146">
        <v>3</v>
      </c>
      <c r="Z210" s="202">
        <v>20000000</v>
      </c>
      <c r="AA210" s="167">
        <f t="shared" si="228"/>
        <v>38671214.272727273</v>
      </c>
      <c r="AC210" s="145">
        <v>37729000</v>
      </c>
      <c r="AD210" s="222">
        <f>AA210/1000000</f>
        <v>38.671214272727276</v>
      </c>
      <c r="AE210" s="167">
        <f t="shared" si="229"/>
        <v>11</v>
      </c>
      <c r="AT210" s="50"/>
      <c r="AU210" s="146">
        <v>6</v>
      </c>
      <c r="AV210" s="166">
        <v>80000000</v>
      </c>
      <c r="AW210" s="167">
        <f t="shared" si="226"/>
        <v>100986045.5</v>
      </c>
      <c r="AY210" s="167">
        <f t="shared" si="227"/>
        <v>1</v>
      </c>
      <c r="BA210" s="172" t="s">
        <v>148</v>
      </c>
      <c r="BB210" s="174">
        <f>AX198</f>
        <v>43646</v>
      </c>
      <c r="BC210" s="154"/>
      <c r="BD210" s="155">
        <f t="shared" si="222"/>
        <v>200</v>
      </c>
      <c r="BE210" s="156" t="e">
        <f t="shared" si="223"/>
        <v>#DIV/0!</v>
      </c>
      <c r="BH210" s="50"/>
      <c r="CA210" s="50"/>
      <c r="CQ210" s="50"/>
      <c r="DK210" s="50"/>
      <c r="DL210" s="146">
        <v>8</v>
      </c>
      <c r="DM210" s="145">
        <v>160000000</v>
      </c>
      <c r="DN210" s="145"/>
      <c r="DO210" s="173">
        <f>IF($DM210&gt;=100000000,$DP$198*DP$201*DP210+$DQ$198*DQ$201*DQ210,DP$201*DP210+DQ$201*DQ210)</f>
        <v>291387500</v>
      </c>
      <c r="DP210" s="145">
        <v>233110000</v>
      </c>
      <c r="DQ210" s="145">
        <v>381499000.00000006</v>
      </c>
      <c r="DR210" s="146"/>
      <c r="DT210" s="176"/>
      <c r="DU210" s="32"/>
      <c r="DV210" s="32"/>
      <c r="DW210" s="32"/>
      <c r="DX210" s="32"/>
      <c r="DY210" s="32"/>
      <c r="DZ210" s="32"/>
      <c r="EA210" s="183"/>
    </row>
    <row r="211" spans="10:131" x14ac:dyDescent="0.25">
      <c r="J211" s="86" t="str" cm="1">
        <f t="array" ref="J211">LOOKUP(2,1/($G$17:$G$33&lt;=$L211)/($H$17:$H$33&gt;=$L211),$F$17:$F$33)</f>
        <v>1H21</v>
      </c>
      <c r="K211" s="86" t="str" cm="1">
        <f t="array" ref="K211">LOOKUP(2,1/($G$6:$G$14&lt;=$L211)/($H$6:$H$14&gt;=$L211),$F$6:$F$14)</f>
        <v>FY21</v>
      </c>
      <c r="L211" s="118">
        <v>44028</v>
      </c>
      <c r="M211" s="49">
        <v>20009449</v>
      </c>
      <c r="N211" s="49">
        <v>24277464</v>
      </c>
      <c r="O211" s="50">
        <v>3000000</v>
      </c>
      <c r="P211" s="119" cm="1">
        <f t="array" ref="P211">LOOKUP(2,1/($B$10:$B$14&lt;=$L211)/($C$10:$C$14&gt;=$L211),$D$10:$D$14)</f>
        <v>1.1000000000000001</v>
      </c>
      <c r="Q211" s="120" cm="1">
        <f t="array" ref="Q211">LOOKUP(2,1/($B$17:$B$21&lt;=$L211)/($C$17:$C$21&gt;=$L211),$D$17:$D$21)</f>
        <v>134.49039999999999</v>
      </c>
      <c r="R211" s="113" t="str">
        <f t="shared" si="186"/>
        <v/>
      </c>
      <c r="S211" s="113" t="str">
        <f t="shared" si="187"/>
        <v>1H21</v>
      </c>
      <c r="T211" s="113" t="str">
        <f t="shared" ca="1" si="188"/>
        <v/>
      </c>
      <c r="U211" s="113" t="str">
        <f t="shared" si="189"/>
        <v/>
      </c>
      <c r="V211" s="113" t="str">
        <f t="shared" si="218"/>
        <v>FY21</v>
      </c>
      <c r="W211" s="113" t="str">
        <f t="shared" ca="1" si="219"/>
        <v/>
      </c>
      <c r="X211" s="50"/>
      <c r="Y211" s="146">
        <v>4</v>
      </c>
      <c r="Z211" s="202">
        <v>40000000</v>
      </c>
      <c r="AA211" s="167">
        <f t="shared" si="228"/>
        <v>56920915.714285716</v>
      </c>
      <c r="AC211" s="145">
        <v>58635000</v>
      </c>
      <c r="AD211" s="222">
        <f>AA211/1000000</f>
        <v>56.920915714285719</v>
      </c>
      <c r="AE211" s="167">
        <f t="shared" si="229"/>
        <v>7</v>
      </c>
      <c r="AT211" s="50"/>
      <c r="AU211" s="146">
        <v>7</v>
      </c>
      <c r="AV211" s="166">
        <v>120000000</v>
      </c>
      <c r="AW211" s="167" t="e">
        <f t="shared" si="226"/>
        <v>#DIV/0!</v>
      </c>
      <c r="AY211" s="167">
        <f t="shared" si="227"/>
        <v>0</v>
      </c>
      <c r="BA211" s="176"/>
      <c r="BB211" s="85"/>
      <c r="BC211" s="154"/>
      <c r="BD211" s="155">
        <f t="shared" si="222"/>
        <v>250</v>
      </c>
      <c r="BE211" s="156" t="e">
        <f t="shared" si="223"/>
        <v>#DIV/0!</v>
      </c>
      <c r="BH211" s="50"/>
      <c r="CA211" s="50"/>
      <c r="CQ211" s="50"/>
      <c r="DK211" s="50"/>
      <c r="DL211" s="146">
        <v>9</v>
      </c>
      <c r="DM211" s="145">
        <v>200000000</v>
      </c>
      <c r="DN211" s="145"/>
      <c r="DO211" s="173">
        <f>IF($DM211&gt;=100000000,$DP$198*DP$201*DP211+$DQ$198*DQ$201*DQ211,DP$201*DP211+DQ$201*DQ211)</f>
        <v>360527500</v>
      </c>
      <c r="DP211" s="145">
        <v>288422000</v>
      </c>
      <c r="DQ211" s="145">
        <v>566327000</v>
      </c>
      <c r="DR211" s="146"/>
      <c r="DT211" s="186"/>
      <c r="DU211" s="2"/>
      <c r="DV211" s="2"/>
      <c r="DW211" s="2"/>
      <c r="DX211" s="2"/>
      <c r="DY211" s="2"/>
      <c r="DZ211" s="2"/>
      <c r="EA211" s="187"/>
    </row>
    <row r="212" spans="10:131" x14ac:dyDescent="0.25">
      <c r="J212" s="86" t="str" cm="1">
        <f t="array" ref="J212">LOOKUP(2,1/($G$17:$G$33&lt;=$L212)/($H$17:$H$33&gt;=$L212),$F$17:$F$33)</f>
        <v>1H21</v>
      </c>
      <c r="K212" s="86" t="str" cm="1">
        <f t="array" ref="K212">LOOKUP(2,1/($G$6:$G$14&lt;=$L212)/($H$6:$H$14&gt;=$L212),$F$6:$F$14)</f>
        <v>FY21</v>
      </c>
      <c r="L212" s="118">
        <v>44021</v>
      </c>
      <c r="M212" s="49">
        <v>107889410</v>
      </c>
      <c r="N212" s="49">
        <v>130902221</v>
      </c>
      <c r="O212" s="50">
        <v>80000000</v>
      </c>
      <c r="P212" s="119" cm="1">
        <f t="array" ref="P212">LOOKUP(2,1/($B$10:$B$14&lt;=$L212)/($C$10:$C$14&gt;=$L212),$D$10:$D$14)</f>
        <v>1.1000000000000001</v>
      </c>
      <c r="Q212" s="120" cm="1">
        <f t="array" ref="Q212">LOOKUP(2,1/($B$17:$B$21&lt;=$L212)/($C$17:$C$21&gt;=$L212),$D$17:$D$21)</f>
        <v>134.49039999999999</v>
      </c>
      <c r="R212" s="113" t="str">
        <f t="shared" si="186"/>
        <v/>
      </c>
      <c r="S212" s="113" t="str">
        <f t="shared" si="187"/>
        <v>1H21</v>
      </c>
      <c r="T212" s="113" t="str">
        <f t="shared" ca="1" si="188"/>
        <v/>
      </c>
      <c r="U212" s="113" t="str">
        <f t="shared" si="189"/>
        <v/>
      </c>
      <c r="V212" s="113" t="str">
        <f t="shared" si="218"/>
        <v>FY21</v>
      </c>
      <c r="W212" s="113" t="str">
        <f t="shared" ca="1" si="219"/>
        <v/>
      </c>
      <c r="X212" s="50"/>
      <c r="Y212" s="146">
        <v>5</v>
      </c>
      <c r="Z212" s="202">
        <v>60000000</v>
      </c>
      <c r="AA212" s="167">
        <f t="shared" si="228"/>
        <v>82659230.333333328</v>
      </c>
      <c r="AC212" s="145">
        <v>79541000</v>
      </c>
      <c r="AD212" s="222">
        <f>AA212/1000000</f>
        <v>82.659230333333326</v>
      </c>
      <c r="AE212" s="167">
        <f t="shared" si="229"/>
        <v>3</v>
      </c>
      <c r="AT212" s="50"/>
      <c r="AU212" s="146">
        <v>8</v>
      </c>
      <c r="AV212" s="145">
        <v>150000000</v>
      </c>
      <c r="AW212" s="167" t="e">
        <f t="shared" si="226"/>
        <v>#DIV/0!</v>
      </c>
      <c r="AY212" s="167">
        <f t="shared" si="227"/>
        <v>0</v>
      </c>
      <c r="BA212" s="176"/>
      <c r="BB212" s="32"/>
      <c r="BC212" s="32"/>
      <c r="BD212" s="32"/>
      <c r="BE212" s="183"/>
      <c r="BH212" s="50"/>
      <c r="CA212" s="50"/>
      <c r="CQ212" s="50"/>
      <c r="DK212" s="50"/>
      <c r="DL212" s="146">
        <v>10</v>
      </c>
      <c r="DM212" s="145">
        <v>250000000</v>
      </c>
      <c r="DN212" s="145"/>
      <c r="DO212" s="173">
        <f>IF($DM212&gt;=100000000,$DP$198*DP$201*DP212+$DQ$198*DQ$201*DQ212,DP$201*DP212+DQ$201*DQ212)</f>
        <v>446952500</v>
      </c>
      <c r="DP212" s="145">
        <v>357562000</v>
      </c>
      <c r="DQ212" s="145">
        <v>850911999.99999988</v>
      </c>
      <c r="DR212" s="146"/>
      <c r="DT212" s="189"/>
      <c r="DU212" s="190"/>
      <c r="DV212" s="190"/>
      <c r="DW212" s="190"/>
      <c r="DX212" s="190"/>
      <c r="DY212" s="190"/>
      <c r="DZ212" s="190"/>
      <c r="EA212" s="191"/>
    </row>
    <row r="213" spans="10:131" x14ac:dyDescent="0.25">
      <c r="J213" s="86" t="str" cm="1">
        <f t="array" ref="J213">LOOKUP(2,1/($G$17:$G$33&lt;=$L213)/($H$17:$H$33&gt;=$L213),$F$17:$F$33)</f>
        <v>1H21</v>
      </c>
      <c r="K213" s="86" t="str" cm="1">
        <f t="array" ref="K213">LOOKUP(2,1/($G$6:$G$14&lt;=$L213)/($H$6:$H$14&gt;=$L213),$F$6:$F$14)</f>
        <v>FY21</v>
      </c>
      <c r="L213" s="118">
        <v>44014</v>
      </c>
      <c r="M213" s="49">
        <v>69318619</v>
      </c>
      <c r="N213" s="49">
        <v>84104280</v>
      </c>
      <c r="O213" s="50">
        <v>50000000</v>
      </c>
      <c r="P213" s="119" cm="1">
        <f t="array" ref="P213">LOOKUP(2,1/($B$10:$B$14&lt;=$L213)/($C$10:$C$14&gt;=$L213),$D$10:$D$14)</f>
        <v>1.1000000000000001</v>
      </c>
      <c r="Q213" s="120" cm="1">
        <f t="array" ref="Q213">LOOKUP(2,1/($B$17:$B$21&lt;=$L213)/($C$17:$C$21&gt;=$L213),$D$17:$D$21)</f>
        <v>134.49039999999999</v>
      </c>
      <c r="R213" s="113" t="str">
        <f t="shared" si="186"/>
        <v>1H21</v>
      </c>
      <c r="S213" s="113" t="str">
        <f t="shared" si="187"/>
        <v>1H21</v>
      </c>
      <c r="T213" s="113" t="str">
        <f t="shared" ca="1" si="188"/>
        <v/>
      </c>
      <c r="U213" s="113" t="str">
        <f t="shared" si="189"/>
        <v>FY21</v>
      </c>
      <c r="V213" s="113" t="str">
        <f t="shared" si="218"/>
        <v>FY21</v>
      </c>
      <c r="W213" s="113" t="str">
        <f t="shared" ca="1" si="219"/>
        <v/>
      </c>
      <c r="X213" s="50"/>
      <c r="Y213" s="146">
        <v>6</v>
      </c>
      <c r="Z213" s="202">
        <v>100000000</v>
      </c>
      <c r="AA213" s="167">
        <f t="shared" si="228"/>
        <v>150732235</v>
      </c>
      <c r="AC213" s="145">
        <v>121353000</v>
      </c>
      <c r="AD213" s="203">
        <f>AC213*1.3/1000000</f>
        <v>157.75890000000001</v>
      </c>
      <c r="AE213" s="167">
        <f t="shared" si="229"/>
        <v>3</v>
      </c>
      <c r="AT213" s="50"/>
      <c r="AU213" s="146">
        <v>9</v>
      </c>
      <c r="AV213" s="145">
        <v>200000000</v>
      </c>
      <c r="AW213" s="167" t="e">
        <f t="shared" si="226"/>
        <v>#DIV/0!</v>
      </c>
      <c r="AY213" s="146"/>
      <c r="BA213" s="186"/>
      <c r="BB213" s="2"/>
      <c r="BC213" s="2"/>
      <c r="BD213" s="2"/>
      <c r="BE213" s="187"/>
      <c r="BH213" s="50"/>
      <c r="CA213" s="50"/>
      <c r="CQ213" s="50"/>
      <c r="DK213" s="50"/>
    </row>
    <row r="214" spans="10:131" x14ac:dyDescent="0.25">
      <c r="J214" s="86" t="str" cm="1">
        <f t="array" ref="J214">LOOKUP(2,1/($G$17:$G$33&lt;=$L214)/($H$17:$H$33&gt;=$L214),$F$17:$F$33)</f>
        <v>2H20</v>
      </c>
      <c r="K214" s="86" t="str" cm="1">
        <f t="array" ref="K214">LOOKUP(2,1/($G$6:$G$14&lt;=$L214)/($H$6:$H$14&gt;=$L214),$F$6:$F$14)</f>
        <v>FY20</v>
      </c>
      <c r="L214" s="118">
        <v>44007</v>
      </c>
      <c r="M214" s="49">
        <v>48173921</v>
      </c>
      <c r="N214" s="49">
        <v>58449418</v>
      </c>
      <c r="O214" s="50">
        <v>30000000</v>
      </c>
      <c r="P214" s="119" cm="1">
        <f t="array" ref="P214">LOOKUP(2,1/($B$10:$B$14&lt;=$L214)/($C$10:$C$14&gt;=$L214),$D$10:$D$14)</f>
        <v>1.1000000000000001</v>
      </c>
      <c r="Q214" s="120" cm="1">
        <f t="array" ref="Q214">LOOKUP(2,1/($B$17:$B$21&lt;=$L214)/($C$17:$C$21&gt;=$L214),$D$17:$D$21)</f>
        <v>134.49039999999999</v>
      </c>
      <c r="R214" s="113" t="str">
        <f t="shared" si="186"/>
        <v/>
      </c>
      <c r="S214" s="113" t="str">
        <f t="shared" si="187"/>
        <v>1H21</v>
      </c>
      <c r="T214" s="113" t="str">
        <f t="shared" ca="1" si="188"/>
        <v/>
      </c>
      <c r="U214" s="113" t="str">
        <f t="shared" si="189"/>
        <v/>
      </c>
      <c r="V214" s="113" t="str">
        <f t="shared" si="218"/>
        <v>FY21</v>
      </c>
      <c r="W214" s="113" t="str">
        <f t="shared" ca="1" si="219"/>
        <v/>
      </c>
      <c r="Y214" s="146">
        <v>7</v>
      </c>
      <c r="Z214" s="202">
        <v>150000000</v>
      </c>
      <c r="AA214" s="167">
        <f t="shared" si="228"/>
        <v>209612052.5</v>
      </c>
      <c r="AC214" s="145">
        <v>173618000</v>
      </c>
      <c r="AD214" s="203">
        <f>AC214*1.3/1000000</f>
        <v>225.70339999999999</v>
      </c>
      <c r="AE214" s="167">
        <f t="shared" si="229"/>
        <v>2</v>
      </c>
      <c r="AU214" s="146">
        <v>10</v>
      </c>
      <c r="AV214" s="145">
        <v>250000000</v>
      </c>
      <c r="AW214" s="167" t="e">
        <f t="shared" si="226"/>
        <v>#DIV/0!</v>
      </c>
      <c r="AY214" s="146"/>
      <c r="BA214" s="189"/>
      <c r="BB214" s="190"/>
      <c r="BC214" s="190"/>
      <c r="BD214" s="190"/>
      <c r="BE214" s="191"/>
      <c r="DL214" s="125" t="s">
        <v>231</v>
      </c>
      <c r="DM214" s="126"/>
      <c r="DN214" s="126"/>
      <c r="DO214" s="126"/>
      <c r="DP214" s="126"/>
      <c r="DQ214" s="126"/>
      <c r="DR214" s="126"/>
      <c r="DS214" s="126"/>
      <c r="DT214" s="126"/>
      <c r="DU214" s="126"/>
      <c r="DV214" s="126"/>
      <c r="DW214" s="126"/>
      <c r="DX214" s="126"/>
      <c r="DY214" s="126"/>
      <c r="DZ214" s="126"/>
      <c r="EA214" s="126"/>
    </row>
    <row r="215" spans="10:131" x14ac:dyDescent="0.25">
      <c r="J215" s="86" t="str" cm="1">
        <f t="array" ref="J215">LOOKUP(2,1/($G$17:$G$33&lt;=$L215)/($H$17:$H$33&gt;=$L215),$F$17:$F$33)</f>
        <v>2H20</v>
      </c>
      <c r="K215" s="86" t="str" cm="1">
        <f t="array" ref="K215">LOOKUP(2,1/($G$6:$G$14&lt;=$L215)/($H$6:$H$14&gt;=$L215),$F$6:$F$14)</f>
        <v>FY20</v>
      </c>
      <c r="L215" s="118">
        <v>44000</v>
      </c>
      <c r="M215" s="49">
        <v>31885473</v>
      </c>
      <c r="N215" s="49">
        <v>38686644</v>
      </c>
      <c r="O215" s="50">
        <v>15000000</v>
      </c>
      <c r="P215" s="119" cm="1">
        <f t="array" ref="P215">LOOKUP(2,1/($B$10:$B$14&lt;=$L215)/($C$10:$C$14&gt;=$L215),$D$10:$D$14)</f>
        <v>1.1000000000000001</v>
      </c>
      <c r="Q215" s="120" cm="1">
        <f t="array" ref="Q215">LOOKUP(2,1/($B$17:$B$21&lt;=$L215)/($C$17:$C$21&gt;=$L215),$D$17:$D$21)</f>
        <v>134.49039999999999</v>
      </c>
      <c r="R215" s="113" t="str">
        <f t="shared" si="186"/>
        <v/>
      </c>
      <c r="S215" s="113" t="str">
        <f t="shared" si="187"/>
        <v>1H21</v>
      </c>
      <c r="T215" s="113" t="str">
        <f t="shared" ca="1" si="188"/>
        <v/>
      </c>
      <c r="U215" s="113" t="str">
        <f t="shared" si="189"/>
        <v/>
      </c>
      <c r="V215" s="113" t="str">
        <f t="shared" si="218"/>
        <v>FY21</v>
      </c>
      <c r="W215" s="113" t="str">
        <f t="shared" ca="1" si="219"/>
        <v/>
      </c>
      <c r="Y215" s="146">
        <v>8</v>
      </c>
      <c r="Z215" s="202">
        <v>200000000</v>
      </c>
      <c r="AA215" s="167">
        <f t="shared" si="228"/>
        <v>305330546</v>
      </c>
      <c r="AB215" s="203"/>
      <c r="AC215" s="145">
        <v>225883000</v>
      </c>
      <c r="AD215" s="203">
        <f>AC215*1.3/1000000</f>
        <v>293.64789999999999</v>
      </c>
      <c r="AE215" s="167">
        <f t="shared" si="229"/>
        <v>1</v>
      </c>
      <c r="DL215" s="114" t="s">
        <v>147</v>
      </c>
      <c r="DM215" s="115">
        <v>44562</v>
      </c>
      <c r="DN215" s="114" t="s">
        <v>148</v>
      </c>
      <c r="DO215" s="115">
        <v>44742</v>
      </c>
      <c r="DP215" s="132"/>
      <c r="DQ215" s="132"/>
      <c r="DR215" s="132"/>
      <c r="DS215" s="133"/>
      <c r="DT215" s="133"/>
      <c r="DU215" s="133"/>
      <c r="DV215" s="133"/>
      <c r="DW215" s="133"/>
      <c r="DX215" s="133"/>
      <c r="DY215" s="133"/>
      <c r="DZ215" s="133"/>
      <c r="EA215" s="133"/>
    </row>
    <row r="216" spans="10:131" x14ac:dyDescent="0.25">
      <c r="J216" s="86" t="str" cm="1">
        <f t="array" ref="J216">LOOKUP(2,1/($G$17:$G$33&lt;=$L216)/($H$17:$H$33&gt;=$L216),$F$17:$F$33)</f>
        <v>2H20</v>
      </c>
      <c r="K216" s="86" t="str" cm="1">
        <f t="array" ref="K216">LOOKUP(2,1/($G$6:$G$14&lt;=$L216)/($H$6:$H$14&gt;=$L216),$F$6:$F$14)</f>
        <v>FY20</v>
      </c>
      <c r="L216" s="118">
        <v>43993</v>
      </c>
      <c r="M216" s="49">
        <v>24991573</v>
      </c>
      <c r="N216" s="49">
        <v>30322275</v>
      </c>
      <c r="O216" s="50">
        <v>8000000</v>
      </c>
      <c r="P216" s="119" cm="1">
        <f t="array" ref="P216">LOOKUP(2,1/($B$10:$B$14&lt;=$L216)/($C$10:$C$14&gt;=$L216),$D$10:$D$14)</f>
        <v>1.1000000000000001</v>
      </c>
      <c r="Q216" s="120" cm="1">
        <f t="array" ref="Q216">LOOKUP(2,1/($B$17:$B$21&lt;=$L216)/($C$17:$C$21&gt;=$L216),$D$17:$D$21)</f>
        <v>134.49039999999999</v>
      </c>
      <c r="R216" s="113" t="str">
        <f t="shared" si="186"/>
        <v/>
      </c>
      <c r="S216" s="113" t="str">
        <f t="shared" si="187"/>
        <v>1H21</v>
      </c>
      <c r="T216" s="113" t="str">
        <f t="shared" ca="1" si="188"/>
        <v/>
      </c>
      <c r="U216" s="113" t="str">
        <f t="shared" si="189"/>
        <v/>
      </c>
      <c r="V216" s="113" t="str">
        <f t="shared" si="218"/>
        <v>FY21</v>
      </c>
      <c r="W216" s="113" t="str">
        <f t="shared" ca="1" si="219"/>
        <v/>
      </c>
      <c r="X216" s="50"/>
      <c r="Y216" s="146">
        <v>9</v>
      </c>
      <c r="Z216" s="202">
        <v>250000000</v>
      </c>
      <c r="AA216" s="167" t="e">
        <f t="shared" si="228"/>
        <v>#DIV/0!</v>
      </c>
      <c r="AB216" s="203"/>
      <c r="AC216" s="145">
        <v>278148000</v>
      </c>
      <c r="AD216" s="203">
        <f>AC216*1.3/1000000</f>
        <v>361.5924</v>
      </c>
      <c r="AE216" s="167">
        <f t="shared" si="229"/>
        <v>0</v>
      </c>
      <c r="AT216" s="50"/>
      <c r="AU216" s="208" t="s">
        <v>232</v>
      </c>
      <c r="AV216" s="209"/>
      <c r="AW216" s="209"/>
      <c r="AX216" s="209"/>
      <c r="AY216" s="209"/>
      <c r="AZ216" s="209"/>
      <c r="BA216" s="209"/>
      <c r="BB216" s="209"/>
      <c r="BC216" s="209"/>
      <c r="BD216" s="209"/>
      <c r="BE216" s="209"/>
      <c r="BF216" s="209"/>
      <c r="BG216" s="209"/>
      <c r="BH216" s="50"/>
      <c r="CA216" s="50"/>
      <c r="CQ216" s="50"/>
      <c r="DK216" s="50"/>
      <c r="DL216" s="114" t="s">
        <v>159</v>
      </c>
      <c r="DM216" s="115" t="s">
        <v>54</v>
      </c>
      <c r="DN216" s="114" t="s">
        <v>161</v>
      </c>
      <c r="DO216" s="134" t="str" cm="1">
        <f t="array" ref="DO216">IF(OR(LOOKUP(2,1/($B$10:$B$14&lt;=DO215)/($C$10:$C$14&gt;=DO215),$D$10:$D$14)&lt;&gt;DM219,LOOKUP(2,1/($B$6:$B$7&lt;=DO215)/($C$6:$C$7&gt;=DO215),$D$6:$D$7)&lt;&gt;DO219),"FAIL","PASS")</f>
        <v>PASS</v>
      </c>
      <c r="DP216" s="134" t="s">
        <v>162</v>
      </c>
      <c r="DQ216" s="134" t="s">
        <v>162</v>
      </c>
      <c r="DR216" s="134"/>
      <c r="DS216" s="133"/>
      <c r="DT216" s="133"/>
      <c r="DU216" s="133"/>
      <c r="DV216" s="133"/>
      <c r="DW216" s="133"/>
      <c r="DX216" s="133"/>
      <c r="DY216" s="133"/>
      <c r="DZ216" s="133"/>
      <c r="EA216" s="133"/>
    </row>
    <row r="217" spans="10:131" x14ac:dyDescent="0.25">
      <c r="J217" s="86" t="str" cm="1">
        <f t="array" ref="J217">LOOKUP(2,1/($G$17:$G$33&lt;=$L217)/($H$17:$H$33&gt;=$L217),$F$17:$F$33)</f>
        <v>2H20</v>
      </c>
      <c r="K217" s="86" t="str" cm="1">
        <f t="array" ref="K217">LOOKUP(2,1/($G$6:$G$14&lt;=$L217)/($H$6:$H$14&gt;=$L217),$F$6:$F$14)</f>
        <v>FY20</v>
      </c>
      <c r="L217" s="118">
        <v>43986</v>
      </c>
      <c r="M217" s="49">
        <v>18066079</v>
      </c>
      <c r="N217" s="49">
        <v>21919574</v>
      </c>
      <c r="O217" s="50">
        <v>3000000</v>
      </c>
      <c r="P217" s="119" cm="1">
        <f t="array" ref="P217">LOOKUP(2,1/($B$10:$B$14&lt;=$L217)/($C$10:$C$14&gt;=$L217),$D$10:$D$14)</f>
        <v>1.1000000000000001</v>
      </c>
      <c r="Q217" s="120" cm="1">
        <f t="array" ref="Q217">LOOKUP(2,1/($B$17:$B$21&lt;=$L217)/($C$17:$C$21&gt;=$L217),$D$17:$D$21)</f>
        <v>134.49039999999999</v>
      </c>
      <c r="R217" s="113" t="str">
        <f t="shared" si="186"/>
        <v/>
      </c>
      <c r="S217" s="113" t="str">
        <f t="shared" si="187"/>
        <v>1H21</v>
      </c>
      <c r="T217" s="113" t="str">
        <f t="shared" ca="1" si="188"/>
        <v/>
      </c>
      <c r="U217" s="113" t="str">
        <f t="shared" si="189"/>
        <v/>
      </c>
      <c r="V217" s="113" t="str">
        <f t="shared" si="218"/>
        <v>FY21</v>
      </c>
      <c r="W217" s="113" t="str">
        <f t="shared" ca="1" si="219"/>
        <v/>
      </c>
      <c r="X217" s="50"/>
      <c r="Y217" s="146">
        <v>10</v>
      </c>
      <c r="Z217" s="202">
        <v>350000000</v>
      </c>
      <c r="AA217" s="167" t="e">
        <f t="shared" si="228"/>
        <v>#DIV/0!</v>
      </c>
      <c r="AB217" s="203"/>
      <c r="AC217" s="145">
        <v>382678000</v>
      </c>
      <c r="AD217" s="203">
        <f>AC217*1.3/1000000</f>
        <v>497.48140000000001</v>
      </c>
      <c r="AE217" s="167">
        <f t="shared" si="229"/>
        <v>0</v>
      </c>
      <c r="AT217" s="50"/>
      <c r="AU217" s="114" t="s">
        <v>147</v>
      </c>
      <c r="AV217" s="115">
        <v>44652</v>
      </c>
      <c r="AW217" s="114" t="s">
        <v>148</v>
      </c>
      <c r="AX217" s="115">
        <v>44868</v>
      </c>
      <c r="AY217" s="132"/>
      <c r="AZ217" s="133"/>
      <c r="BA217" s="133"/>
      <c r="BB217" s="133"/>
      <c r="BC217" s="133"/>
      <c r="BD217" s="133"/>
      <c r="BE217" s="133"/>
      <c r="BF217" s="133"/>
      <c r="BG217" s="133"/>
      <c r="BH217" s="50"/>
      <c r="CA217" s="50"/>
      <c r="CQ217" s="50"/>
      <c r="DK217" s="50"/>
      <c r="DL217" s="114" t="s">
        <v>165</v>
      </c>
      <c r="DM217" s="134">
        <f>INDEX($G:$G,MATCH(DM216,$F:$F,0))</f>
        <v>44562</v>
      </c>
      <c r="DN217" s="114" t="s">
        <v>166</v>
      </c>
      <c r="DO217" s="134">
        <f>INDEX($H:$H,MATCH(DM216,$F:$F,0))</f>
        <v>44742</v>
      </c>
      <c r="DP217" s="135">
        <v>1.25</v>
      </c>
      <c r="DQ217" s="135">
        <v>1</v>
      </c>
      <c r="DR217" s="134"/>
      <c r="DT217" s="136" t="s">
        <v>167</v>
      </c>
      <c r="DU217" s="137"/>
      <c r="DV217" s="137"/>
      <c r="DW217" s="137"/>
      <c r="DX217" s="138"/>
      <c r="DY217" s="137"/>
      <c r="DZ217" s="137"/>
      <c r="EA217" s="139"/>
    </row>
    <row r="218" spans="10:131" x14ac:dyDescent="0.25">
      <c r="J218" s="86" t="str" cm="1">
        <f t="array" ref="J218">LOOKUP(2,1/($G$17:$G$33&lt;=$L218)/($H$17:$H$33&gt;=$L218),$F$17:$F$33)</f>
        <v>2H20</v>
      </c>
      <c r="K218" s="86" t="str" cm="1">
        <f t="array" ref="K218">LOOKUP(2,1/($G$6:$G$14&lt;=$L218)/($H$6:$H$14&gt;=$L218),$F$6:$F$14)</f>
        <v>FY20</v>
      </c>
      <c r="L218" s="118">
        <v>43979</v>
      </c>
      <c r="M218" s="49">
        <v>37016112</v>
      </c>
      <c r="N218" s="49">
        <v>44911649</v>
      </c>
      <c r="O218" s="50">
        <v>15000000</v>
      </c>
      <c r="P218" s="119" cm="1">
        <f t="array" ref="P218">LOOKUP(2,1/($B$10:$B$14&lt;=$L218)/($C$10:$C$14&gt;=$L218),$D$10:$D$14)</f>
        <v>1.1000000000000001</v>
      </c>
      <c r="Q218" s="120" cm="1">
        <f t="array" ref="Q218">LOOKUP(2,1/($B$17:$B$21&lt;=$L218)/($C$17:$C$21&gt;=$L218),$D$17:$D$21)</f>
        <v>134.49039999999999</v>
      </c>
      <c r="R218" s="113" t="str">
        <f t="shared" si="186"/>
        <v/>
      </c>
      <c r="S218" s="113" t="str">
        <f t="shared" si="187"/>
        <v>2H20</v>
      </c>
      <c r="T218" s="113" t="str">
        <f t="shared" ca="1" si="188"/>
        <v>1H21</v>
      </c>
      <c r="U218" s="113" t="str">
        <f t="shared" si="189"/>
        <v/>
      </c>
      <c r="V218" s="113" t="str">
        <f t="shared" si="218"/>
        <v>FY20</v>
      </c>
      <c r="W218" s="113" t="str">
        <f t="shared" ca="1" si="219"/>
        <v>FY21</v>
      </c>
      <c r="X218" s="50"/>
      <c r="AT218" s="50"/>
      <c r="AU218" s="114" t="s">
        <v>159</v>
      </c>
      <c r="AV218" s="115" t="s">
        <v>22</v>
      </c>
      <c r="AW218" s="114" t="s">
        <v>161</v>
      </c>
      <c r="AX218" s="115" t="s">
        <v>163</v>
      </c>
      <c r="AY218" s="134"/>
      <c r="AZ218" s="133"/>
      <c r="BA218" s="133"/>
      <c r="BB218" s="133"/>
      <c r="BC218" s="133"/>
      <c r="BD218" s="133"/>
      <c r="BE218" s="133"/>
      <c r="BF218" s="133"/>
      <c r="BG218" s="133"/>
      <c r="BH218" s="50"/>
      <c r="CA218" s="50"/>
      <c r="CQ218" s="50"/>
      <c r="DK218" s="50"/>
      <c r="DL218" s="114" t="s">
        <v>91</v>
      </c>
      <c r="DM218" s="140">
        <f>INDEX($O:$O,MATCH(DM216,$R:$R,0))</f>
        <v>60000000</v>
      </c>
      <c r="DN218" s="114" t="s">
        <v>76</v>
      </c>
      <c r="DO218" s="140">
        <f ca="1">INDEX($O:$O,MATCH(DM216,$T:$T,0))</f>
        <v>80000000</v>
      </c>
      <c r="DP218" s="140"/>
      <c r="DQ218" s="140"/>
      <c r="DR218" s="140"/>
      <c r="DT218" s="147" t="s">
        <v>165</v>
      </c>
      <c r="DU218" s="148">
        <f>DM217</f>
        <v>44562</v>
      </c>
      <c r="DV218" s="142"/>
      <c r="DW218" s="142"/>
      <c r="DX218" s="143" t="s">
        <v>15</v>
      </c>
      <c r="DY218" s="142"/>
      <c r="DZ218" s="142"/>
      <c r="EA218" s="144" t="s">
        <v>139</v>
      </c>
    </row>
    <row r="219" spans="10:131" x14ac:dyDescent="0.25">
      <c r="J219" s="86" t="str" cm="1">
        <f t="array" ref="J219">LOOKUP(2,1/($G$17:$G$33&lt;=$L219)/($H$17:$H$33&gt;=$L219),$F$17:$F$33)</f>
        <v>2H20</v>
      </c>
      <c r="K219" s="86" t="str" cm="1">
        <f t="array" ref="K219">LOOKUP(2,1/($G$6:$G$14&lt;=$L219)/($H$6:$H$14&gt;=$L219),$F$6:$F$14)</f>
        <v>FY20</v>
      </c>
      <c r="L219" s="118">
        <v>43972</v>
      </c>
      <c r="M219" s="49">
        <v>24236349</v>
      </c>
      <c r="N219" s="49">
        <v>29405962</v>
      </c>
      <c r="O219" s="50">
        <v>8000000</v>
      </c>
      <c r="P219" s="119" cm="1">
        <f t="array" ref="P219">LOOKUP(2,1/($B$10:$B$14&lt;=$L219)/($C$10:$C$14&gt;=$L219),$D$10:$D$14)</f>
        <v>1.1000000000000001</v>
      </c>
      <c r="Q219" s="120" cm="1">
        <f t="array" ref="Q219">LOOKUP(2,1/($B$17:$B$21&lt;=$L219)/($C$17:$C$21&gt;=$L219),$D$17:$D$21)</f>
        <v>134.49039999999999</v>
      </c>
      <c r="R219" s="113" t="str">
        <f t="shared" si="186"/>
        <v/>
      </c>
      <c r="S219" s="113" t="str">
        <f t="shared" si="187"/>
        <v>2H20</v>
      </c>
      <c r="T219" s="113" t="str">
        <f t="shared" ca="1" si="188"/>
        <v/>
      </c>
      <c r="U219" s="113" t="str">
        <f t="shared" si="189"/>
        <v/>
      </c>
      <c r="V219" s="113" t="str">
        <f t="shared" si="218"/>
        <v>FY20</v>
      </c>
      <c r="W219" s="113" t="str">
        <f t="shared" ca="1" si="219"/>
        <v/>
      </c>
      <c r="X219" s="50"/>
      <c r="AT219" s="50"/>
      <c r="AU219" s="114" t="s">
        <v>165</v>
      </c>
      <c r="AV219" s="134">
        <f>INDEX($G:$G,MATCH(AV218,$F:$F,0))</f>
        <v>44378</v>
      </c>
      <c r="AW219" s="114" t="s">
        <v>166</v>
      </c>
      <c r="AX219" s="134">
        <f>INDEX($H:$H,MATCH(AV218,$F:$F,0))</f>
        <v>44742</v>
      </c>
      <c r="AY219" s="134"/>
      <c r="BA219" s="136" t="s">
        <v>167</v>
      </c>
      <c r="BB219" s="137"/>
      <c r="BC219" s="137"/>
      <c r="BD219" s="138"/>
      <c r="BE219" s="139"/>
      <c r="BH219" s="50"/>
      <c r="CA219" s="50"/>
      <c r="CQ219" s="50"/>
      <c r="DK219" s="50"/>
      <c r="DL219" s="114" t="s">
        <v>169</v>
      </c>
      <c r="DM219" s="119" cm="1">
        <f t="array" ref="DM219">LOOKUP(2,1/($B$10:$B$14&lt;=DM215)/($C$10:$C$14&gt;=DM215),$D$10:$D$14)</f>
        <v>1.1000000000000001</v>
      </c>
      <c r="DN219" s="114" t="s">
        <v>149</v>
      </c>
      <c r="DO219" s="152" cm="1">
        <f t="array" ref="DO219">LOOKUP(2,1/($B$6:$B$7&lt;=DM215)/($C$6:$C$7&gt;=DM215),$D$6:$D$7)</f>
        <v>0.10299999999999999</v>
      </c>
      <c r="DP219" s="152" t="s">
        <v>170</v>
      </c>
      <c r="DQ219" s="152" t="s">
        <v>171</v>
      </c>
      <c r="DR219" s="152"/>
      <c r="DT219" s="153" t="s">
        <v>166</v>
      </c>
      <c r="DU219" s="158">
        <f>DO217</f>
        <v>44742</v>
      </c>
      <c r="DV219" s="154"/>
      <c r="DW219" s="154"/>
      <c r="DX219" s="155">
        <f>DM222/1000000</f>
        <v>4</v>
      </c>
      <c r="DY219" s="154"/>
      <c r="DZ219" s="154"/>
      <c r="EA219" s="156">
        <f>MAX(DN222:DO222)/1000000</f>
        <v>20.916563333333333</v>
      </c>
    </row>
    <row r="220" spans="10:131" x14ac:dyDescent="0.25">
      <c r="J220" s="86" t="str" cm="1">
        <f t="array" ref="J220">LOOKUP(2,1/($G$17:$G$33&lt;=$L220)/($H$17:$H$33&gt;=$L220),$F$17:$F$33)</f>
        <v>2H20</v>
      </c>
      <c r="K220" s="86" t="str" cm="1">
        <f t="array" ref="K220">LOOKUP(2,1/($G$6:$G$14&lt;=$L220)/($H$6:$H$14&gt;=$L220),$F$6:$F$14)</f>
        <v>FY20</v>
      </c>
      <c r="L220" s="118">
        <v>43965</v>
      </c>
      <c r="M220" s="49">
        <v>17170625</v>
      </c>
      <c r="N220" s="49">
        <v>20833119</v>
      </c>
      <c r="O220" s="50">
        <v>3000000</v>
      </c>
      <c r="P220" s="119" cm="1">
        <f t="array" ref="P220">LOOKUP(2,1/($B$10:$B$14&lt;=$L220)/($C$10:$C$14&gt;=$L220),$D$10:$D$14)</f>
        <v>1.1000000000000001</v>
      </c>
      <c r="Q220" s="120" cm="1">
        <f t="array" ref="Q220">LOOKUP(2,1/($B$17:$B$21&lt;=$L220)/($C$17:$C$21&gt;=$L220),$D$17:$D$21)</f>
        <v>134.49039999999999</v>
      </c>
      <c r="R220" s="113" t="str">
        <f t="shared" si="186"/>
        <v/>
      </c>
      <c r="S220" s="113" t="str">
        <f t="shared" si="187"/>
        <v>2H20</v>
      </c>
      <c r="T220" s="113" t="str">
        <f t="shared" ca="1" si="188"/>
        <v/>
      </c>
      <c r="U220" s="113" t="str">
        <f t="shared" si="189"/>
        <v/>
      </c>
      <c r="V220" s="113" t="str">
        <f t="shared" si="218"/>
        <v>FY20</v>
      </c>
      <c r="W220" s="113" t="str">
        <f t="shared" ca="1" si="219"/>
        <v/>
      </c>
      <c r="X220" s="50"/>
      <c r="Y220" s="114" t="s">
        <v>147</v>
      </c>
      <c r="Z220" s="115">
        <v>45108</v>
      </c>
      <c r="AA220" s="114" t="s">
        <v>148</v>
      </c>
      <c r="AB220" s="115">
        <v>45473</v>
      </c>
      <c r="AT220" s="50"/>
      <c r="AU220" s="114" t="s">
        <v>91</v>
      </c>
      <c r="AV220" s="145">
        <v>40000000</v>
      </c>
      <c r="AW220" s="114" t="s">
        <v>76</v>
      </c>
      <c r="AX220" s="145">
        <v>40000000</v>
      </c>
      <c r="AY220" s="146"/>
      <c r="BA220" s="147" t="s">
        <v>165</v>
      </c>
      <c r="BB220" s="148">
        <f>AV219</f>
        <v>44378</v>
      </c>
      <c r="BC220" s="142"/>
      <c r="BD220" s="143" t="s">
        <v>15</v>
      </c>
      <c r="BE220" s="144" t="s">
        <v>139</v>
      </c>
      <c r="BH220" s="50"/>
      <c r="CA220" s="50"/>
      <c r="CQ220" s="50"/>
      <c r="DK220" s="50"/>
      <c r="DL220" s="114" t="s">
        <v>172</v>
      </c>
      <c r="DM220" s="119" cm="1">
        <f t="array" ref="DM220">LOOKUP(2,1/($B$17:$B$21&lt;=DM215)/($C$17:$C$21&gt;=DM215),$D$17:$D$21)</f>
        <v>134.49039999999999</v>
      </c>
      <c r="DN220" s="114" t="s">
        <v>173</v>
      </c>
      <c r="DO220" s="163">
        <f>INT((WEEKDAY(DM215-5)-DM215+DO215)/7)/INT((WEEKDAY(DM217-5)-DM217+DO217)/7)</f>
        <v>1</v>
      </c>
      <c r="DP220" s="162">
        <v>1</v>
      </c>
      <c r="DQ220" s="162">
        <f>1-DP220</f>
        <v>0</v>
      </c>
      <c r="DR220" s="163"/>
      <c r="DT220" s="153" t="s">
        <v>91</v>
      </c>
      <c r="DU220" s="155">
        <f>DM218/1000000</f>
        <v>60</v>
      </c>
      <c r="DV220" s="154"/>
      <c r="DW220" s="154"/>
      <c r="DX220" s="155">
        <f t="shared" ref="DX220:DX228" si="230">DM223/1000000</f>
        <v>8</v>
      </c>
      <c r="DY220" s="154"/>
      <c r="DZ220" s="154"/>
      <c r="EA220" s="156">
        <f t="shared" ref="EA220:EA228" si="231">MAX(DN223:DO223)/1000000</f>
        <v>25.666792999999998</v>
      </c>
    </row>
    <row r="221" spans="10:131" x14ac:dyDescent="0.25">
      <c r="J221" s="86" t="str" cm="1">
        <f t="array" ref="J221">LOOKUP(2,1/($G$17:$G$33&lt;=$L221)/($H$17:$H$33&gt;=$L221),$F$17:$F$33)</f>
        <v>2H20</v>
      </c>
      <c r="K221" s="86" t="str" cm="1">
        <f t="array" ref="K221">LOOKUP(2,1/($G$6:$G$14&lt;=$L221)/($H$6:$H$14&gt;=$L221),$F$6:$F$14)</f>
        <v>FY20</v>
      </c>
      <c r="L221" s="118">
        <v>43958</v>
      </c>
      <c r="M221" s="49">
        <v>22952706</v>
      </c>
      <c r="N221" s="49">
        <v>27848519</v>
      </c>
      <c r="O221" s="50">
        <v>8000000</v>
      </c>
      <c r="P221" s="119" cm="1">
        <f t="array" ref="P221">LOOKUP(2,1/($B$10:$B$14&lt;=$L221)/($C$10:$C$14&gt;=$L221),$D$10:$D$14)</f>
        <v>1.1000000000000001</v>
      </c>
      <c r="Q221" s="120" cm="1">
        <f t="array" ref="Q221">LOOKUP(2,1/($B$17:$B$21&lt;=$L221)/($C$17:$C$21&gt;=$L221),$D$17:$D$21)</f>
        <v>134.49039999999999</v>
      </c>
      <c r="R221" s="113" t="str">
        <f t="shared" ref="R221:R284" si="232">IF($J221&lt;&gt;$J222,$J221,"")</f>
        <v/>
      </c>
      <c r="S221" s="113" t="str">
        <f t="shared" ref="S221:S284" si="233">IF($O220&lt;$O221,$J221,S220)</f>
        <v>2H20</v>
      </c>
      <c r="T221" s="113" t="str">
        <f t="shared" ref="T221:T284" ca="1" si="234">IF(AND(S221&lt;&gt;S220,ISNUMBER(MATCH($S220,$F$17:$F$33,0))),OFFSET($F$16,MATCH($J221,$F$17:$F$33,0)+1,0),"")</f>
        <v/>
      </c>
      <c r="U221" s="113" t="str">
        <f t="shared" ref="U221:U284" si="235">IF($K221&lt;&gt;$K222,$K221,"")</f>
        <v/>
      </c>
      <c r="V221" s="113" t="str">
        <f t="shared" si="218"/>
        <v>FY20</v>
      </c>
      <c r="W221" s="113" t="str">
        <f t="shared" ca="1" si="219"/>
        <v/>
      </c>
      <c r="X221" s="50"/>
      <c r="AA221" s="114" t="s">
        <v>0</v>
      </c>
      <c r="AB221" s="135">
        <v>1</v>
      </c>
      <c r="AT221" s="50"/>
      <c r="AU221" s="114" t="s">
        <v>169</v>
      </c>
      <c r="AV221" s="159">
        <v>1.2</v>
      </c>
      <c r="AW221" s="114" t="s">
        <v>149</v>
      </c>
      <c r="AX221" s="152" cm="1">
        <f t="array" ref="AX221">LOOKUP(2,1/($B$6:$B$7&lt;=AV217)/($C$6:$C$7&gt;=AV217),$D$6:$D$7)</f>
        <v>0.10299999999999999</v>
      </c>
      <c r="AY221" s="152"/>
      <c r="BA221" s="153" t="s">
        <v>166</v>
      </c>
      <c r="BB221" s="158">
        <f>AX219</f>
        <v>44742</v>
      </c>
      <c r="BC221" s="154"/>
      <c r="BD221" s="155">
        <f>AV224/1000000</f>
        <v>3</v>
      </c>
      <c r="BE221" s="156" t="e">
        <f>MAX(AW224:AX224)/1000000</f>
        <v>#DIV/0!</v>
      </c>
      <c r="BH221" s="50"/>
      <c r="CA221" s="50"/>
      <c r="CQ221" s="50"/>
      <c r="DK221" s="50"/>
      <c r="DL221" s="111" t="s">
        <v>174</v>
      </c>
      <c r="DM221" s="111" t="s">
        <v>175</v>
      </c>
      <c r="DN221" s="111" t="s">
        <v>176</v>
      </c>
      <c r="DO221" s="111" t="s">
        <v>177</v>
      </c>
      <c r="DP221" s="111" t="s">
        <v>178</v>
      </c>
      <c r="DQ221" s="111" t="s">
        <v>179</v>
      </c>
      <c r="DR221" s="111" t="s">
        <v>180</v>
      </c>
      <c r="DT221" s="153" t="s">
        <v>76</v>
      </c>
      <c r="DU221" s="155">
        <f ca="1">DO218/1000000</f>
        <v>80</v>
      </c>
      <c r="DV221" s="154"/>
      <c r="DW221" s="154"/>
      <c r="DX221" s="155">
        <f t="shared" si="230"/>
        <v>20</v>
      </c>
      <c r="DY221" s="154"/>
      <c r="DZ221" s="154"/>
      <c r="EA221" s="156">
        <f t="shared" si="231"/>
        <v>39.933461799999996</v>
      </c>
    </row>
    <row r="222" spans="10:131" x14ac:dyDescent="0.25">
      <c r="J222" s="86" t="str" cm="1">
        <f t="array" ref="J222">LOOKUP(2,1/($G$17:$G$33&lt;=$L222)/($H$17:$H$33&gt;=$L222),$F$17:$F$33)</f>
        <v>2H20</v>
      </c>
      <c r="K222" s="86" t="str" cm="1">
        <f t="array" ref="K222">LOOKUP(2,1/($G$6:$G$14&lt;=$L222)/($H$6:$H$14&gt;=$L222),$F$6:$F$14)</f>
        <v>FY20</v>
      </c>
      <c r="L222" s="118">
        <v>43951</v>
      </c>
      <c r="M222" s="49">
        <v>17546634</v>
      </c>
      <c r="N222" s="49">
        <v>21289332</v>
      </c>
      <c r="O222" s="50">
        <v>3000000</v>
      </c>
      <c r="P222" s="119" cm="1">
        <f t="array" ref="P222">LOOKUP(2,1/($B$10:$B$14&lt;=$L222)/($C$10:$C$14&gt;=$L222),$D$10:$D$14)</f>
        <v>1.1000000000000001</v>
      </c>
      <c r="Q222" s="120" cm="1">
        <f t="array" ref="Q222">LOOKUP(2,1/($B$17:$B$21&lt;=$L222)/($C$17:$C$21&gt;=$L222),$D$17:$D$21)</f>
        <v>134.49039999999999</v>
      </c>
      <c r="R222" s="113" t="str">
        <f t="shared" si="232"/>
        <v/>
      </c>
      <c r="S222" s="113" t="str">
        <f t="shared" si="233"/>
        <v>2H20</v>
      </c>
      <c r="T222" s="113" t="str">
        <f t="shared" ca="1" si="234"/>
        <v/>
      </c>
      <c r="U222" s="113" t="str">
        <f t="shared" si="235"/>
        <v/>
      </c>
      <c r="V222" s="113" t="str">
        <f t="shared" si="218"/>
        <v>FY20</v>
      </c>
      <c r="W222" s="113" t="str">
        <f t="shared" ca="1" si="219"/>
        <v/>
      </c>
      <c r="X222" s="50"/>
      <c r="AT222" s="50"/>
      <c r="AU222" s="114" t="s">
        <v>172</v>
      </c>
      <c r="AV222" s="119" cm="1">
        <f t="array" ref="AV222">LOOKUP(2,1/($B$17:$B$21&lt;=AV217)/($C$17:$C$21&gt;=AV217),$D$17:$D$21)</f>
        <v>134.49039999999999</v>
      </c>
      <c r="AW222" s="114" t="s">
        <v>0</v>
      </c>
      <c r="AX222" s="135">
        <v>1</v>
      </c>
      <c r="BA222" s="153" t="s">
        <v>91</v>
      </c>
      <c r="BB222" s="155">
        <f>AV220/1000000</f>
        <v>40</v>
      </c>
      <c r="BC222" s="154"/>
      <c r="BD222" s="155">
        <f t="shared" ref="BD222:BD230" si="236">AV225/1000000</f>
        <v>8</v>
      </c>
      <c r="BE222" s="156">
        <f t="shared" ref="BE222:BE230" si="237">MAX(AW225:AX225)/1000000</f>
        <v>25.404847749999998</v>
      </c>
      <c r="BH222" s="50"/>
      <c r="CA222" s="50"/>
      <c r="CQ222" s="50"/>
      <c r="DK222" s="50"/>
      <c r="DL222" s="146">
        <v>1</v>
      </c>
      <c r="DM222" s="166">
        <v>4000000</v>
      </c>
      <c r="DN222" s="168">
        <f t="shared" ref="DN222:DN228" si="238">AVERAGEIFS($M:$M,$L:$L,"&gt;="&amp;DM$215,$L:$L,"&lt;="&amp;DO$215,$O:$O,"="&amp;DM222)</f>
        <v>20916563.333333332</v>
      </c>
      <c r="DO222" s="168"/>
      <c r="DP222" s="168"/>
      <c r="DQ222" s="168"/>
      <c r="DR222" s="167">
        <f t="shared" ref="DR222:DR228" si="239">COUNTIFS($L:$L,"&gt;="&amp;DM$215,$L:$L,"&lt;="&amp;DO$215,$O:$O,"="&amp;DM222)</f>
        <v>3</v>
      </c>
      <c r="DT222" s="153" t="s">
        <v>169</v>
      </c>
      <c r="DU222" s="165">
        <f>DM219</f>
        <v>1.1000000000000001</v>
      </c>
      <c r="DV222" s="154"/>
      <c r="DW222" s="154"/>
      <c r="DX222" s="155">
        <f t="shared" si="230"/>
        <v>40</v>
      </c>
      <c r="DY222" s="154"/>
      <c r="DZ222" s="154"/>
      <c r="EA222" s="156">
        <f t="shared" si="231"/>
        <v>57.261780000000002</v>
      </c>
    </row>
    <row r="223" spans="10:131" x14ac:dyDescent="0.25">
      <c r="J223" s="86" t="str" cm="1">
        <f t="array" ref="J223">LOOKUP(2,1/($G$17:$G$33&lt;=$L223)/($H$17:$H$33&gt;=$L223),$F$17:$F$33)</f>
        <v>2H20</v>
      </c>
      <c r="K223" s="86" t="str" cm="1">
        <f t="array" ref="K223">LOOKUP(2,1/($G$6:$G$14&lt;=$L223)/($H$6:$H$14&gt;=$L223),$F$6:$F$14)</f>
        <v>FY20</v>
      </c>
      <c r="L223" s="118">
        <v>43944</v>
      </c>
      <c r="M223" s="49">
        <v>40886779</v>
      </c>
      <c r="N223" s="49">
        <v>49607930</v>
      </c>
      <c r="O223" s="50">
        <v>20000000</v>
      </c>
      <c r="P223" s="119" cm="1">
        <f t="array" ref="P223">LOOKUP(2,1/($B$10:$B$14&lt;=$L223)/($C$10:$C$14&gt;=$L223),$D$10:$D$14)</f>
        <v>1.1000000000000001</v>
      </c>
      <c r="Q223" s="120" cm="1">
        <f t="array" ref="Q223">LOOKUP(2,1/($B$17:$B$21&lt;=$L223)/($C$17:$C$21&gt;=$L223),$D$17:$D$21)</f>
        <v>134.49039999999999</v>
      </c>
      <c r="R223" s="113" t="str">
        <f t="shared" si="232"/>
        <v/>
      </c>
      <c r="S223" s="113" t="str">
        <f t="shared" si="233"/>
        <v>2H20</v>
      </c>
      <c r="T223" s="113" t="str">
        <f t="shared" ca="1" si="234"/>
        <v/>
      </c>
      <c r="U223" s="113" t="str">
        <f t="shared" si="235"/>
        <v/>
      </c>
      <c r="V223" s="113" t="str">
        <f t="shared" si="218"/>
        <v>FY20</v>
      </c>
      <c r="W223" s="113" t="str">
        <f t="shared" ca="1" si="219"/>
        <v/>
      </c>
      <c r="X223" s="50"/>
      <c r="AB223" s="85" t="s">
        <v>226</v>
      </c>
      <c r="AC223" s="85" t="s">
        <v>227</v>
      </c>
      <c r="AT223" s="50"/>
      <c r="AU223" s="111" t="s">
        <v>174</v>
      </c>
      <c r="AV223" s="111" t="s">
        <v>175</v>
      </c>
      <c r="AW223" s="111" t="s">
        <v>176</v>
      </c>
      <c r="AX223" s="111" t="s">
        <v>177</v>
      </c>
      <c r="AY223" s="111" t="s">
        <v>180</v>
      </c>
      <c r="BA223" s="153" t="s">
        <v>76</v>
      </c>
      <c r="BB223" s="155">
        <f>AX220/1000000</f>
        <v>40</v>
      </c>
      <c r="BC223" s="154"/>
      <c r="BD223" s="155">
        <f t="shared" si="236"/>
        <v>12</v>
      </c>
      <c r="BE223" s="156" t="e">
        <f t="shared" si="237"/>
        <v>#DIV/0!</v>
      </c>
      <c r="BH223" s="50"/>
      <c r="CA223" s="50"/>
      <c r="CQ223" s="50"/>
      <c r="DK223" s="50"/>
      <c r="DL223" s="146">
        <v>2</v>
      </c>
      <c r="DM223" s="166">
        <v>8000000</v>
      </c>
      <c r="DN223" s="168">
        <f t="shared" si="238"/>
        <v>25666793</v>
      </c>
      <c r="DR223" s="167">
        <f t="shared" si="239"/>
        <v>5</v>
      </c>
      <c r="DT223" s="153" t="s">
        <v>149</v>
      </c>
      <c r="DU223" s="169">
        <f>DO219</f>
        <v>0.10299999999999999</v>
      </c>
      <c r="DV223" s="154"/>
      <c r="DW223" s="154"/>
      <c r="DX223" s="155">
        <f t="shared" si="230"/>
        <v>60</v>
      </c>
      <c r="DY223" s="154"/>
      <c r="DZ223" s="154"/>
      <c r="EA223" s="156">
        <f t="shared" si="231"/>
        <v>79.205363250000005</v>
      </c>
    </row>
    <row r="224" spans="10:131" x14ac:dyDescent="0.25">
      <c r="J224" s="86" t="str" cm="1">
        <f t="array" ref="J224">LOOKUP(2,1/($G$17:$G$33&lt;=$L224)/($H$17:$H$33&gt;=$L224),$F$17:$F$33)</f>
        <v>2H20</v>
      </c>
      <c r="K224" s="86" t="str" cm="1">
        <f t="array" ref="K224">LOOKUP(2,1/($G$6:$G$14&lt;=$L224)/($H$6:$H$14&gt;=$L224),$F$6:$F$14)</f>
        <v>FY20</v>
      </c>
      <c r="L224" s="118">
        <v>43937</v>
      </c>
      <c r="M224" s="49">
        <v>28686509</v>
      </c>
      <c r="N224" s="49">
        <v>34805342</v>
      </c>
      <c r="O224" s="50">
        <v>12000000</v>
      </c>
      <c r="P224" s="119" cm="1">
        <f t="array" ref="P224">LOOKUP(2,1/($B$10:$B$14&lt;=$L224)/($C$10:$C$14&gt;=$L224),$D$10:$D$14)</f>
        <v>1.1000000000000001</v>
      </c>
      <c r="Q224" s="120" cm="1">
        <f t="array" ref="Q224">LOOKUP(2,1/($B$17:$B$21&lt;=$L224)/($C$17:$C$21&gt;=$L224),$D$17:$D$21)</f>
        <v>134.49039999999999</v>
      </c>
      <c r="R224" s="113" t="str">
        <f t="shared" si="232"/>
        <v/>
      </c>
      <c r="S224" s="113" t="str">
        <f t="shared" si="233"/>
        <v>2H20</v>
      </c>
      <c r="T224" s="113" t="str">
        <f t="shared" ca="1" si="234"/>
        <v/>
      </c>
      <c r="U224" s="113" t="str">
        <f t="shared" si="235"/>
        <v/>
      </c>
      <c r="V224" s="113" t="str">
        <f t="shared" si="218"/>
        <v>FY20</v>
      </c>
      <c r="W224" s="113" t="str">
        <f t="shared" ca="1" si="219"/>
        <v/>
      </c>
      <c r="X224" s="50"/>
      <c r="Y224" s="146">
        <v>1</v>
      </c>
      <c r="Z224" s="202">
        <v>8000000</v>
      </c>
      <c r="AA224" s="167">
        <f>AVERAGEIFS($M:$M,$L:$L,"&gt;="&amp;Z$220,$L:$L,"&lt;="&amp;AB$220,$O:$O,"="&amp;Z224)*AB$221</f>
        <v>24136841.5</v>
      </c>
      <c r="AC224" s="145">
        <v>25185400</v>
      </c>
      <c r="AD224" s="222">
        <f>AA224/1000000</f>
        <v>24.136841499999999</v>
      </c>
      <c r="AE224" s="167">
        <f>COUNTIFS($L:$L,"&gt;="&amp;Z$220,$L:$L,"&lt;="&amp;AB$220,$O:$O,"="&amp;Z224)</f>
        <v>4</v>
      </c>
      <c r="AT224" s="50"/>
      <c r="AU224" s="146">
        <v>1</v>
      </c>
      <c r="AV224" s="166">
        <v>3000000</v>
      </c>
      <c r="AW224" s="167" t="e">
        <f t="shared" ref="AW224:AW233" si="240">AVERAGEIFS($M:$M,$L:$L,"&gt;="&amp;AV$217,$L:$L,"&lt;="&amp;AX$217,$O:$O,"="&amp;AV224)*AX$222</f>
        <v>#DIV/0!</v>
      </c>
      <c r="AX224" s="168"/>
      <c r="AY224" s="167">
        <f t="shared" ref="AY224:AY233" si="241">COUNTIFS($L:$L,"&gt;="&amp;AV$64,$L:$L,"&lt;="&amp;AX$64,$O:$O,"="&amp;$AV224)</f>
        <v>0</v>
      </c>
      <c r="BA224" s="153" t="s">
        <v>169</v>
      </c>
      <c r="BB224" s="165">
        <f>AV221</f>
        <v>1.2</v>
      </c>
      <c r="BC224" s="154"/>
      <c r="BD224" s="155">
        <f t="shared" si="236"/>
        <v>20</v>
      </c>
      <c r="BE224" s="156">
        <f t="shared" si="237"/>
        <v>39.899441000000003</v>
      </c>
      <c r="BH224" s="50"/>
      <c r="CA224" s="50"/>
      <c r="CQ224" s="50"/>
      <c r="DK224" s="50"/>
      <c r="DL224" s="146">
        <v>3</v>
      </c>
      <c r="DM224" s="166">
        <v>20000000</v>
      </c>
      <c r="DN224" s="168">
        <f t="shared" si="238"/>
        <v>39933461.799999997</v>
      </c>
      <c r="DR224" s="167">
        <f t="shared" si="239"/>
        <v>5</v>
      </c>
      <c r="DT224" s="153" t="s">
        <v>172</v>
      </c>
      <c r="DU224" s="170">
        <f>DM220</f>
        <v>134.49039999999999</v>
      </c>
      <c r="DV224" s="154"/>
      <c r="DW224" s="154"/>
      <c r="DX224" s="155">
        <f t="shared" si="230"/>
        <v>80</v>
      </c>
      <c r="DY224" s="154"/>
      <c r="DZ224" s="154"/>
      <c r="EA224" s="156">
        <f t="shared" si="231"/>
        <v>116.33622200000001</v>
      </c>
    </row>
    <row r="225" spans="10:131" x14ac:dyDescent="0.25">
      <c r="J225" s="86" t="str" cm="1">
        <f t="array" ref="J225">LOOKUP(2,1/($G$17:$G$33&lt;=$L225)/($H$17:$H$33&gt;=$L225),$F$17:$F$33)</f>
        <v>2H20</v>
      </c>
      <c r="K225" s="86" t="str" cm="1">
        <f t="array" ref="K225">LOOKUP(2,1/($G$6:$G$14&lt;=$L225)/($H$6:$H$14&gt;=$L225),$F$6:$F$14)</f>
        <v>FY20</v>
      </c>
      <c r="L225" s="118">
        <v>43930</v>
      </c>
      <c r="M225" s="49">
        <v>21964243</v>
      </c>
      <c r="N225" s="49">
        <v>26649215</v>
      </c>
      <c r="O225" s="50">
        <v>8000000</v>
      </c>
      <c r="P225" s="119" cm="1">
        <f t="array" ref="P225">LOOKUP(2,1/($B$10:$B$14&lt;=$L225)/($C$10:$C$14&gt;=$L225),$D$10:$D$14)</f>
        <v>1.1000000000000001</v>
      </c>
      <c r="Q225" s="120" cm="1">
        <f t="array" ref="Q225">LOOKUP(2,1/($B$17:$B$21&lt;=$L225)/($C$17:$C$21&gt;=$L225),$D$17:$D$21)</f>
        <v>134.49039999999999</v>
      </c>
      <c r="R225" s="113" t="str">
        <f t="shared" si="232"/>
        <v/>
      </c>
      <c r="S225" s="113" t="str">
        <f t="shared" si="233"/>
        <v>2H20</v>
      </c>
      <c r="T225" s="113" t="str">
        <f t="shared" ca="1" si="234"/>
        <v/>
      </c>
      <c r="U225" s="113" t="str">
        <f t="shared" si="235"/>
        <v/>
      </c>
      <c r="V225" s="113" t="str">
        <f t="shared" si="218"/>
        <v>FY20</v>
      </c>
      <c r="W225" s="113" t="str">
        <f t="shared" ca="1" si="219"/>
        <v/>
      </c>
      <c r="X225" s="50"/>
      <c r="Y225" s="146">
        <v>2</v>
      </c>
      <c r="Z225" s="202">
        <v>20000000</v>
      </c>
      <c r="AA225" s="167">
        <f>AVERAGEIFS($M:$M,$L:$L,"&gt;="&amp;Z$220,$L:$L,"&lt;="&amp;AB$220,$O:$O,"="&amp;Z225)*AB$221</f>
        <v>38671214.272727273</v>
      </c>
      <c r="AC225" s="145">
        <v>37729000</v>
      </c>
      <c r="AD225" s="222">
        <f>AA225/1000000</f>
        <v>38.671214272727276</v>
      </c>
      <c r="AE225" s="167">
        <f>COUNTIFS($L:$L,"&gt;="&amp;Z$220,$L:$L,"&lt;="&amp;AB$220,$O:$O,"="&amp;Z225)</f>
        <v>11</v>
      </c>
      <c r="AT225" s="50"/>
      <c r="AU225" s="146">
        <v>2</v>
      </c>
      <c r="AV225" s="166">
        <v>8000000</v>
      </c>
      <c r="AW225" s="167">
        <f t="shared" si="240"/>
        <v>25404847.75</v>
      </c>
      <c r="AY225" s="167">
        <f t="shared" si="241"/>
        <v>8</v>
      </c>
      <c r="BA225" s="153" t="s">
        <v>149</v>
      </c>
      <c r="BB225" s="169">
        <f>AX221</f>
        <v>0.10299999999999999</v>
      </c>
      <c r="BC225" s="154"/>
      <c r="BD225" s="155">
        <f t="shared" si="236"/>
        <v>40</v>
      </c>
      <c r="BE225" s="156">
        <f t="shared" si="237"/>
        <v>58.983918000000003</v>
      </c>
      <c r="BH225" s="50"/>
      <c r="CA225" s="50"/>
      <c r="CQ225" s="50"/>
      <c r="DK225" s="50"/>
      <c r="DL225" s="146">
        <v>4</v>
      </c>
      <c r="DM225" s="166">
        <v>40000000</v>
      </c>
      <c r="DN225" s="168">
        <f t="shared" si="238"/>
        <v>57261780</v>
      </c>
      <c r="DR225" s="167">
        <f t="shared" si="239"/>
        <v>3</v>
      </c>
      <c r="DT225" s="172"/>
      <c r="DU225" s="2"/>
      <c r="DV225" s="154"/>
      <c r="DW225" s="154"/>
      <c r="DX225" s="155">
        <f t="shared" si="230"/>
        <v>120</v>
      </c>
      <c r="DY225" s="154"/>
      <c r="DZ225" s="154"/>
      <c r="EA225" s="156">
        <f t="shared" si="231"/>
        <v>244.63164499999999</v>
      </c>
    </row>
    <row r="226" spans="10:131" x14ac:dyDescent="0.25">
      <c r="J226" s="86" t="str" cm="1">
        <f t="array" ref="J226">LOOKUP(2,1/($G$17:$G$33&lt;=$L226)/($H$17:$H$33&gt;=$L226),$F$17:$F$33)</f>
        <v>2H20</v>
      </c>
      <c r="K226" s="86" t="str" cm="1">
        <f t="array" ref="K226">LOOKUP(2,1/($G$6:$G$14&lt;=$L226)/($H$6:$H$14&gt;=$L226),$F$6:$F$14)</f>
        <v>FY20</v>
      </c>
      <c r="L226" s="118">
        <v>43923</v>
      </c>
      <c r="M226" s="49">
        <v>15454267</v>
      </c>
      <c r="N226" s="49">
        <v>18750663</v>
      </c>
      <c r="O226" s="50">
        <v>3000000</v>
      </c>
      <c r="P226" s="119" cm="1">
        <f t="array" ref="P226">LOOKUP(2,1/($B$10:$B$14&lt;=$L226)/($C$10:$C$14&gt;=$L226),$D$10:$D$14)</f>
        <v>1.1000000000000001</v>
      </c>
      <c r="Q226" s="120" cm="1">
        <f t="array" ref="Q226">LOOKUP(2,1/($B$17:$B$21&lt;=$L226)/($C$17:$C$21&gt;=$L226),$D$17:$D$21)</f>
        <v>134.49039999999999</v>
      </c>
      <c r="R226" s="113" t="str">
        <f t="shared" si="232"/>
        <v/>
      </c>
      <c r="S226" s="113" t="str">
        <f t="shared" si="233"/>
        <v>2H20</v>
      </c>
      <c r="T226" s="113" t="str">
        <f t="shared" ca="1" si="234"/>
        <v/>
      </c>
      <c r="U226" s="113" t="str">
        <f t="shared" si="235"/>
        <v/>
      </c>
      <c r="V226" s="113" t="str">
        <f t="shared" si="218"/>
        <v>FY20</v>
      </c>
      <c r="W226" s="113" t="str">
        <f t="shared" ca="1" si="219"/>
        <v/>
      </c>
      <c r="X226" s="50"/>
      <c r="Y226" s="146">
        <v>3</v>
      </c>
      <c r="Z226" s="202">
        <v>30000000</v>
      </c>
      <c r="AA226" s="167">
        <f>AVERAGEIFS($M:$M,$L:$L,"&gt;="&amp;Z$220,$L:$L,"&lt;="&amp;AB$220,$O:$O,"="&amp;Z226)*AB$221</f>
        <v>43191841</v>
      </c>
      <c r="AC226" s="145">
        <v>48182000</v>
      </c>
      <c r="AD226" s="222">
        <f>AA226/1000000</f>
        <v>43.191840999999997</v>
      </c>
      <c r="AE226" s="167">
        <f>COUNTIFS($L:$L,"&gt;="&amp;Z$220,$L:$L,"&lt;="&amp;AB$220,$O:$O,"="&amp;Z226)</f>
        <v>2</v>
      </c>
      <c r="AT226" s="50"/>
      <c r="AU226" s="146">
        <v>3</v>
      </c>
      <c r="AV226" s="166">
        <v>12000000</v>
      </c>
      <c r="AW226" s="167" t="e">
        <f t="shared" si="240"/>
        <v>#DIV/0!</v>
      </c>
      <c r="AY226" s="167">
        <f t="shared" si="241"/>
        <v>0</v>
      </c>
      <c r="BA226" s="153" t="s">
        <v>172</v>
      </c>
      <c r="BB226" s="170">
        <f>AV222</f>
        <v>134.49039999999999</v>
      </c>
      <c r="BC226" s="154"/>
      <c r="BD226" s="155">
        <f t="shared" si="236"/>
        <v>60</v>
      </c>
      <c r="BE226" s="156">
        <f t="shared" si="237"/>
        <v>80.823333500000004</v>
      </c>
      <c r="BH226" s="50"/>
      <c r="CA226" s="50"/>
      <c r="CQ226" s="50"/>
      <c r="DK226" s="50"/>
      <c r="DL226" s="146">
        <v>5</v>
      </c>
      <c r="DM226" s="166">
        <v>60000000</v>
      </c>
      <c r="DN226" s="168">
        <f t="shared" si="238"/>
        <v>79205363.25</v>
      </c>
      <c r="DP226" s="145">
        <v>94830000</v>
      </c>
      <c r="DQ226" s="145">
        <v>86029000</v>
      </c>
      <c r="DR226" s="167">
        <f t="shared" si="239"/>
        <v>4</v>
      </c>
      <c r="DT226" s="172" t="s">
        <v>147</v>
      </c>
      <c r="DU226" s="174">
        <f>DM215</f>
        <v>44562</v>
      </c>
      <c r="DV226" s="154"/>
      <c r="DW226" s="154"/>
      <c r="DX226" s="155">
        <f t="shared" si="230"/>
        <v>160</v>
      </c>
      <c r="DY226" s="154"/>
      <c r="DZ226" s="154"/>
      <c r="EA226" s="156">
        <f t="shared" si="231"/>
        <v>291.38749999999999</v>
      </c>
    </row>
    <row r="227" spans="10:131" x14ac:dyDescent="0.25">
      <c r="J227" s="86" t="str" cm="1">
        <f t="array" ref="J227">LOOKUP(2,1/($G$17:$G$33&lt;=$L227)/($H$17:$H$33&gt;=$L227),$F$17:$F$33)</f>
        <v>2H20</v>
      </c>
      <c r="K227" s="86" t="str" cm="1">
        <f t="array" ref="K227">LOOKUP(2,1/($G$6:$G$14&lt;=$L227)/($H$6:$H$14&gt;=$L227),$F$6:$F$14)</f>
        <v>FY20</v>
      </c>
      <c r="L227" s="118">
        <v>43916</v>
      </c>
      <c r="M227" s="49">
        <v>82611428</v>
      </c>
      <c r="N227" s="49">
        <v>100232445</v>
      </c>
      <c r="O227" s="50">
        <v>80000000</v>
      </c>
      <c r="P227" s="119" cm="1">
        <f t="array" ref="P227">LOOKUP(2,1/($B$10:$B$14&lt;=$L227)/($C$10:$C$14&gt;=$L227),$D$10:$D$14)</f>
        <v>1.1000000000000001</v>
      </c>
      <c r="Q227" s="120" cm="1">
        <f t="array" ref="Q227">LOOKUP(2,1/($B$17:$B$21&lt;=$L227)/($C$17:$C$21&gt;=$L227),$D$17:$D$21)</f>
        <v>134.49039999999999</v>
      </c>
      <c r="R227" s="113" t="str">
        <f t="shared" si="232"/>
        <v/>
      </c>
      <c r="S227" s="113" t="str">
        <f t="shared" si="233"/>
        <v>2H20</v>
      </c>
      <c r="T227" s="113" t="str">
        <f t="shared" ca="1" si="234"/>
        <v/>
      </c>
      <c r="U227" s="113" t="str">
        <f t="shared" si="235"/>
        <v/>
      </c>
      <c r="V227" s="113" t="str">
        <f t="shared" si="218"/>
        <v>FY20</v>
      </c>
      <c r="W227" s="113" t="str">
        <f t="shared" ca="1" si="219"/>
        <v/>
      </c>
      <c r="X227" s="50"/>
      <c r="Y227" s="146">
        <v>4</v>
      </c>
      <c r="Z227" s="202">
        <v>50000000</v>
      </c>
      <c r="AA227" s="167">
        <f>AVERAGEIFS($M:$M,$L:$L,"&gt;="&amp;Z$220,$L:$L,"&lt;="&amp;AB$220,$O:$O,"="&amp;Z227)*AB$221</f>
        <v>67199003</v>
      </c>
      <c r="AC227" s="145">
        <v>69088000</v>
      </c>
      <c r="AD227" s="222">
        <f>AA227/1000000</f>
        <v>67.199003000000005</v>
      </c>
      <c r="AE227" s="167">
        <f>COUNTIFS($L:$L,"&gt;="&amp;Z$220,$L:$L,"&lt;="&amp;AB$220,$O:$O,"="&amp;Z227)</f>
        <v>1</v>
      </c>
      <c r="AT227" s="50"/>
      <c r="AU227" s="146">
        <v>4</v>
      </c>
      <c r="AV227" s="166">
        <v>20000000</v>
      </c>
      <c r="AW227" s="167">
        <f t="shared" si="240"/>
        <v>39899441</v>
      </c>
      <c r="AY227" s="167">
        <f t="shared" si="241"/>
        <v>6</v>
      </c>
      <c r="BA227" s="172"/>
      <c r="BB227" s="2"/>
      <c r="BC227" s="154"/>
      <c r="BD227" s="155">
        <f t="shared" si="236"/>
        <v>80</v>
      </c>
      <c r="BE227" s="156">
        <f t="shared" si="237"/>
        <v>116.72520400000001</v>
      </c>
      <c r="BH227" s="50"/>
      <c r="CA227" s="50"/>
      <c r="CQ227" s="50"/>
      <c r="DK227" s="50"/>
      <c r="DL227" s="146">
        <v>6</v>
      </c>
      <c r="DM227" s="166">
        <v>80000000</v>
      </c>
      <c r="DN227" s="168">
        <f t="shared" si="238"/>
        <v>116336222</v>
      </c>
      <c r="DP227" s="145">
        <v>122485999.99999999</v>
      </c>
      <c r="DQ227" s="145">
        <v>126083000</v>
      </c>
      <c r="DR227" s="167">
        <f t="shared" si="239"/>
        <v>2</v>
      </c>
      <c r="DT227" s="172" t="s">
        <v>148</v>
      </c>
      <c r="DU227" s="174">
        <f>DO215</f>
        <v>44742</v>
      </c>
      <c r="DV227" s="154"/>
      <c r="DW227" s="154"/>
      <c r="DX227" s="155">
        <f t="shared" si="230"/>
        <v>200</v>
      </c>
      <c r="DY227" s="154"/>
      <c r="DZ227" s="154"/>
      <c r="EA227" s="156">
        <f t="shared" si="231"/>
        <v>360.52749999999997</v>
      </c>
    </row>
    <row r="228" spans="10:131" x14ac:dyDescent="0.25">
      <c r="J228" s="86" t="str" cm="1">
        <f t="array" ref="J228">LOOKUP(2,1/($G$17:$G$33&lt;=$L228)/($H$17:$H$33&gt;=$L228),$F$17:$F$33)</f>
        <v>2H20</v>
      </c>
      <c r="K228" s="86" t="str" cm="1">
        <f t="array" ref="K228">LOOKUP(2,1/($G$6:$G$14&lt;=$L228)/($H$6:$H$14&gt;=$L228),$F$6:$F$14)</f>
        <v>FY20</v>
      </c>
      <c r="L228" s="118">
        <v>43909</v>
      </c>
      <c r="M228" s="49">
        <v>63680304</v>
      </c>
      <c r="N228" s="49">
        <v>77263312</v>
      </c>
      <c r="O228" s="50">
        <v>60000000</v>
      </c>
      <c r="P228" s="119" cm="1">
        <f t="array" ref="P228">LOOKUP(2,1/($B$10:$B$14&lt;=$L228)/($C$10:$C$14&gt;=$L228),$D$10:$D$14)</f>
        <v>1.1000000000000001</v>
      </c>
      <c r="Q228" s="120" cm="1">
        <f t="array" ref="Q228">LOOKUP(2,1/($B$17:$B$21&lt;=$L228)/($C$17:$C$21&gt;=$L228),$D$17:$D$21)</f>
        <v>134.49039999999999</v>
      </c>
      <c r="R228" s="113" t="str">
        <f t="shared" si="232"/>
        <v/>
      </c>
      <c r="S228" s="113" t="str">
        <f t="shared" si="233"/>
        <v>2H20</v>
      </c>
      <c r="T228" s="113" t="str">
        <f t="shared" ca="1" si="234"/>
        <v/>
      </c>
      <c r="U228" s="113" t="str">
        <f t="shared" si="235"/>
        <v/>
      </c>
      <c r="V228" s="113" t="str">
        <f t="shared" si="218"/>
        <v>FY20</v>
      </c>
      <c r="W228" s="113" t="str">
        <f t="shared" ca="1" si="219"/>
        <v/>
      </c>
      <c r="X228" s="50"/>
      <c r="Y228" s="146">
        <v>5</v>
      </c>
      <c r="Z228" s="202">
        <v>100000000</v>
      </c>
      <c r="AA228" s="167">
        <f>AVERAGEIFS($M:$M,$L:$L,"&gt;="&amp;Z$220,$L:$L,"&lt;="&amp;AB$220,$O:$O,"="&amp;Z228)*AB$221</f>
        <v>150732235</v>
      </c>
      <c r="AC228" s="145">
        <v>121353000</v>
      </c>
      <c r="AD228" s="203">
        <f t="shared" ref="AD228:AD233" si="242">AC228*1.3/1000000</f>
        <v>157.75890000000001</v>
      </c>
      <c r="AE228" s="167">
        <f>COUNTIFS($L:$L,"&gt;="&amp;Z$220,$L:$L,"&lt;="&amp;AB$220,$O:$O,"="&amp;Z228)</f>
        <v>3</v>
      </c>
      <c r="AT228" s="50"/>
      <c r="AU228" s="146">
        <v>5</v>
      </c>
      <c r="AV228" s="166">
        <v>40000000</v>
      </c>
      <c r="AW228" s="167">
        <f t="shared" si="240"/>
        <v>58983918</v>
      </c>
      <c r="AY228" s="167">
        <f t="shared" si="241"/>
        <v>3</v>
      </c>
      <c r="BA228" s="172" t="s">
        <v>147</v>
      </c>
      <c r="BB228" s="174">
        <f>AV217</f>
        <v>44652</v>
      </c>
      <c r="BC228" s="154"/>
      <c r="BD228" s="155">
        <f t="shared" si="236"/>
        <v>100</v>
      </c>
      <c r="BE228" s="156">
        <f t="shared" si="237"/>
        <v>183.084473</v>
      </c>
      <c r="BH228" s="50"/>
      <c r="CA228" s="50"/>
      <c r="CQ228" s="50"/>
      <c r="DK228" s="50"/>
      <c r="DL228" s="146">
        <v>7</v>
      </c>
      <c r="DM228" s="166">
        <v>120000000</v>
      </c>
      <c r="DN228" s="168">
        <f t="shared" si="238"/>
        <v>244631645</v>
      </c>
      <c r="DP228" s="145">
        <v>177798000</v>
      </c>
      <c r="DQ228" s="145">
        <v>234751000</v>
      </c>
      <c r="DR228" s="167">
        <f t="shared" si="239"/>
        <v>1</v>
      </c>
      <c r="DT228" s="172" t="s">
        <v>173</v>
      </c>
      <c r="DU228" s="177">
        <f>DO220</f>
        <v>1</v>
      </c>
      <c r="DV228" s="154"/>
      <c r="DW228" s="154"/>
      <c r="DX228" s="155">
        <f t="shared" si="230"/>
        <v>250</v>
      </c>
      <c r="DY228" s="154"/>
      <c r="DZ228" s="154"/>
      <c r="EA228" s="156">
        <f t="shared" si="231"/>
        <v>446.95249999999999</v>
      </c>
    </row>
    <row r="229" spans="10:131" x14ac:dyDescent="0.25">
      <c r="J229" s="86" t="str" cm="1">
        <f t="array" ref="J229">LOOKUP(2,1/($G$17:$G$33&lt;=$L229)/($H$17:$H$33&gt;=$L229),$F$17:$F$33)</f>
        <v>2H20</v>
      </c>
      <c r="K229" s="86" t="str" cm="1">
        <f t="array" ref="K229">LOOKUP(2,1/($G$6:$G$14&lt;=$L229)/($H$6:$H$14&gt;=$L229),$F$6:$F$14)</f>
        <v>FY20</v>
      </c>
      <c r="L229" s="118">
        <v>43902</v>
      </c>
      <c r="M229" s="49">
        <v>47382249</v>
      </c>
      <c r="N229" s="49">
        <v>57488883</v>
      </c>
      <c r="O229" s="50">
        <v>40000000</v>
      </c>
      <c r="P229" s="119" cm="1">
        <f t="array" ref="P229">LOOKUP(2,1/($B$10:$B$14&lt;=$L229)/($C$10:$C$14&gt;=$L229),$D$10:$D$14)</f>
        <v>1.1000000000000001</v>
      </c>
      <c r="Q229" s="120" cm="1">
        <f t="array" ref="Q229">LOOKUP(2,1/($B$17:$B$21&lt;=$L229)/($C$17:$C$21&gt;=$L229),$D$17:$D$21)</f>
        <v>134.49039999999999</v>
      </c>
      <c r="R229" s="113" t="str">
        <f t="shared" si="232"/>
        <v/>
      </c>
      <c r="S229" s="113" t="str">
        <f t="shared" si="233"/>
        <v>2H20</v>
      </c>
      <c r="T229" s="113" t="str">
        <f t="shared" ca="1" si="234"/>
        <v/>
      </c>
      <c r="U229" s="113" t="str">
        <f t="shared" si="235"/>
        <v/>
      </c>
      <c r="V229" s="113" t="str">
        <f t="shared" si="218"/>
        <v>FY20</v>
      </c>
      <c r="W229" s="113" t="str">
        <f t="shared" ca="1" si="219"/>
        <v/>
      </c>
      <c r="X229" s="50"/>
      <c r="Y229" s="146">
        <v>6</v>
      </c>
      <c r="Z229" s="202">
        <v>150000000</v>
      </c>
      <c r="AA229" s="167"/>
      <c r="AC229" s="145">
        <v>173618000</v>
      </c>
      <c r="AD229" s="203">
        <f t="shared" si="242"/>
        <v>225.70339999999999</v>
      </c>
      <c r="AE229" s="167"/>
      <c r="AT229" s="50"/>
      <c r="AU229" s="146">
        <v>6</v>
      </c>
      <c r="AV229" s="166">
        <v>60000000</v>
      </c>
      <c r="AW229" s="167">
        <f t="shared" si="240"/>
        <v>80823333.5</v>
      </c>
      <c r="AY229" s="167">
        <f t="shared" si="241"/>
        <v>2</v>
      </c>
      <c r="BA229" s="172" t="s">
        <v>148</v>
      </c>
      <c r="BB229" s="174">
        <f>AX217</f>
        <v>44868</v>
      </c>
      <c r="BC229" s="154"/>
      <c r="BD229" s="155">
        <f t="shared" si="236"/>
        <v>150</v>
      </c>
      <c r="BE229" s="156" t="e">
        <f t="shared" si="237"/>
        <v>#DIV/0!</v>
      </c>
      <c r="BH229" s="50"/>
      <c r="CA229" s="50"/>
      <c r="CQ229" s="50"/>
      <c r="DK229" s="50"/>
      <c r="DL229" s="146">
        <v>8</v>
      </c>
      <c r="DM229" s="145">
        <v>160000000</v>
      </c>
      <c r="DN229" s="145"/>
      <c r="DO229" s="173">
        <f>IF($DM229&gt;=100000000,$DP$217*DP$220*DP229+$DQ$217*DQ$220*DQ229,DP$220*DP229+DQ$220*DQ229)</f>
        <v>291387500</v>
      </c>
      <c r="DP229" s="145">
        <v>233110000</v>
      </c>
      <c r="DQ229" s="145">
        <v>381499000.00000006</v>
      </c>
      <c r="DR229" s="146"/>
      <c r="DT229" s="176"/>
      <c r="DU229" s="32"/>
      <c r="DV229" s="32"/>
      <c r="DW229" s="32"/>
      <c r="DX229" s="32"/>
      <c r="DY229" s="32"/>
      <c r="DZ229" s="32"/>
      <c r="EA229" s="183"/>
    </row>
    <row r="230" spans="10:131" x14ac:dyDescent="0.25">
      <c r="J230" s="86" t="str" cm="1">
        <f t="array" ref="J230">LOOKUP(2,1/($G$17:$G$33&lt;=$L230)/($H$17:$H$33&gt;=$L230),$F$17:$F$33)</f>
        <v>2H20</v>
      </c>
      <c r="K230" s="86" t="str" cm="1">
        <f t="array" ref="K230">LOOKUP(2,1/($G$6:$G$14&lt;=$L230)/($H$6:$H$14&gt;=$L230),$F$6:$F$14)</f>
        <v>FY20</v>
      </c>
      <c r="L230" s="118">
        <v>43895</v>
      </c>
      <c r="M230" s="49">
        <v>36338272</v>
      </c>
      <c r="N230" s="49">
        <v>44089225</v>
      </c>
      <c r="O230" s="50">
        <v>20000000</v>
      </c>
      <c r="P230" s="119" cm="1">
        <f t="array" ref="P230">LOOKUP(2,1/($B$10:$B$14&lt;=$L230)/($C$10:$C$14&gt;=$L230),$D$10:$D$14)</f>
        <v>1.1000000000000001</v>
      </c>
      <c r="Q230" s="120" cm="1">
        <f t="array" ref="Q230">LOOKUP(2,1/($B$17:$B$21&lt;=$L230)/($C$17:$C$21&gt;=$L230),$D$17:$D$21)</f>
        <v>134.49039999999999</v>
      </c>
      <c r="R230" s="113" t="str">
        <f t="shared" si="232"/>
        <v/>
      </c>
      <c r="S230" s="113" t="str">
        <f t="shared" si="233"/>
        <v>2H20</v>
      </c>
      <c r="T230" s="113" t="str">
        <f t="shared" ca="1" si="234"/>
        <v/>
      </c>
      <c r="U230" s="113" t="str">
        <f t="shared" si="235"/>
        <v/>
      </c>
      <c r="V230" s="113" t="str">
        <f t="shared" si="218"/>
        <v>FY20</v>
      </c>
      <c r="W230" s="113" t="str">
        <f t="shared" ca="1" si="219"/>
        <v/>
      </c>
      <c r="X230" s="50"/>
      <c r="Y230" s="146">
        <v>7</v>
      </c>
      <c r="Z230" s="202">
        <v>200000000</v>
      </c>
      <c r="AA230" s="167"/>
      <c r="AC230" s="145">
        <v>225883000</v>
      </c>
      <c r="AD230" s="203">
        <f t="shared" si="242"/>
        <v>293.64789999999999</v>
      </c>
      <c r="AE230" s="167"/>
      <c r="AT230" s="50"/>
      <c r="AU230" s="146">
        <v>7</v>
      </c>
      <c r="AV230" s="166">
        <v>80000000</v>
      </c>
      <c r="AW230" s="167">
        <f t="shared" si="240"/>
        <v>116725204</v>
      </c>
      <c r="AY230" s="167">
        <f t="shared" si="241"/>
        <v>1</v>
      </c>
      <c r="BA230" s="176"/>
      <c r="BB230" s="85"/>
      <c r="BC230" s="154"/>
      <c r="BD230" s="155">
        <f t="shared" si="236"/>
        <v>200</v>
      </c>
      <c r="BE230" s="156" t="e">
        <f t="shared" si="237"/>
        <v>#DIV/0!</v>
      </c>
      <c r="BH230" s="50"/>
      <c r="CA230" s="50"/>
      <c r="CQ230" s="50"/>
      <c r="DK230" s="50"/>
      <c r="DL230" s="146">
        <v>9</v>
      </c>
      <c r="DM230" s="145">
        <v>200000000</v>
      </c>
      <c r="DN230" s="145"/>
      <c r="DO230" s="173">
        <f>IF($DM230&gt;=100000000,$DP$217*DP$220*DP230+$DQ$217*DQ$220*DQ230,DP$220*DP230+DQ$220*DQ230)</f>
        <v>360527500</v>
      </c>
      <c r="DP230" s="145">
        <v>288422000</v>
      </c>
      <c r="DQ230" s="145">
        <v>566327000</v>
      </c>
      <c r="DR230" s="146"/>
      <c r="DT230" s="186"/>
      <c r="DU230" s="2"/>
      <c r="DV230" s="2"/>
      <c r="DW230" s="2"/>
      <c r="DX230" s="2"/>
      <c r="DY230" s="2"/>
      <c r="DZ230" s="2"/>
      <c r="EA230" s="187"/>
    </row>
    <row r="231" spans="10:131" x14ac:dyDescent="0.25">
      <c r="J231" s="86" t="str" cm="1">
        <f t="array" ref="J231">LOOKUP(2,1/($G$17:$G$33&lt;=$L231)/($H$17:$H$33&gt;=$L231),$F$17:$F$33)</f>
        <v>2H20</v>
      </c>
      <c r="K231" s="86" t="str" cm="1">
        <f t="array" ref="K231">LOOKUP(2,1/($G$6:$G$14&lt;=$L231)/($H$6:$H$14&gt;=$L231),$F$6:$F$14)</f>
        <v>FY20</v>
      </c>
      <c r="L231" s="118">
        <v>43888</v>
      </c>
      <c r="M231" s="49">
        <v>28132183</v>
      </c>
      <c r="N231" s="49">
        <v>34132778</v>
      </c>
      <c r="O231" s="50">
        <v>12000000</v>
      </c>
      <c r="P231" s="119" cm="1">
        <f t="array" ref="P231">LOOKUP(2,1/($B$10:$B$14&lt;=$L231)/($C$10:$C$14&gt;=$L231),$D$10:$D$14)</f>
        <v>1.1000000000000001</v>
      </c>
      <c r="Q231" s="120" cm="1">
        <f t="array" ref="Q231">LOOKUP(2,1/($B$17:$B$21&lt;=$L231)/($C$17:$C$21&gt;=$L231),$D$17:$D$21)</f>
        <v>134.49039999999999</v>
      </c>
      <c r="R231" s="113" t="str">
        <f t="shared" si="232"/>
        <v/>
      </c>
      <c r="S231" s="113" t="str">
        <f t="shared" si="233"/>
        <v>2H20</v>
      </c>
      <c r="T231" s="113" t="str">
        <f t="shared" ca="1" si="234"/>
        <v/>
      </c>
      <c r="U231" s="113" t="str">
        <f t="shared" si="235"/>
        <v/>
      </c>
      <c r="V231" s="113" t="str">
        <f t="shared" si="218"/>
        <v>FY20</v>
      </c>
      <c r="W231" s="113" t="str">
        <f t="shared" ca="1" si="219"/>
        <v/>
      </c>
      <c r="X231" s="50"/>
      <c r="Y231" s="146">
        <v>8</v>
      </c>
      <c r="Z231" s="202">
        <v>250000000</v>
      </c>
      <c r="AA231" s="167"/>
      <c r="AB231" s="203"/>
      <c r="AC231" s="145">
        <v>278148000</v>
      </c>
      <c r="AD231" s="203">
        <f t="shared" si="242"/>
        <v>361.5924</v>
      </c>
      <c r="AE231" s="167"/>
      <c r="AT231" s="50"/>
      <c r="AU231" s="146">
        <v>8</v>
      </c>
      <c r="AV231" s="166">
        <v>100000000</v>
      </c>
      <c r="AW231" s="167">
        <f t="shared" si="240"/>
        <v>183084473</v>
      </c>
      <c r="AY231" s="167">
        <f t="shared" si="241"/>
        <v>1</v>
      </c>
      <c r="BA231" s="176"/>
      <c r="BB231" s="32"/>
      <c r="BC231" s="32"/>
      <c r="BD231" s="32"/>
      <c r="BE231" s="183"/>
      <c r="BH231" s="50"/>
      <c r="CA231" s="50"/>
      <c r="CQ231" s="50"/>
      <c r="DK231" s="50"/>
      <c r="DL231" s="146">
        <v>10</v>
      </c>
      <c r="DM231" s="145">
        <v>250000000</v>
      </c>
      <c r="DN231" s="145"/>
      <c r="DO231" s="173">
        <f>IF($DM231&gt;=100000000,$DP$217*DP$220*DP231+$DQ$217*DQ$220*DQ231,DP$220*DP231+DQ$220*DQ231)</f>
        <v>446952500</v>
      </c>
      <c r="DP231" s="145">
        <v>357562000</v>
      </c>
      <c r="DQ231" s="145">
        <v>850911999.99999988</v>
      </c>
      <c r="DR231" s="146"/>
      <c r="DT231" s="189"/>
      <c r="DU231" s="190"/>
      <c r="DV231" s="190"/>
      <c r="DW231" s="190"/>
      <c r="DX231" s="190"/>
      <c r="DY231" s="190"/>
      <c r="DZ231" s="190"/>
      <c r="EA231" s="191"/>
    </row>
    <row r="232" spans="10:131" x14ac:dyDescent="0.25">
      <c r="J232" s="86" t="str" cm="1">
        <f t="array" ref="J232">LOOKUP(2,1/($G$17:$G$33&lt;=$L232)/($H$17:$H$33&gt;=$L232),$F$17:$F$33)</f>
        <v>2H20</v>
      </c>
      <c r="K232" s="86" t="str" cm="1">
        <f t="array" ref="K232">LOOKUP(2,1/($G$6:$G$14&lt;=$L232)/($H$6:$H$14&gt;=$L232),$F$6:$F$14)</f>
        <v>FY20</v>
      </c>
      <c r="L232" s="118">
        <v>43881</v>
      </c>
      <c r="M232" s="49">
        <v>21317199</v>
      </c>
      <c r="N232" s="49">
        <v>25864158</v>
      </c>
      <c r="O232" s="50">
        <v>8000000</v>
      </c>
      <c r="P232" s="119" cm="1">
        <f t="array" ref="P232">LOOKUP(2,1/($B$10:$B$14&lt;=$L232)/($C$10:$C$14&gt;=$L232),$D$10:$D$14)</f>
        <v>1.1000000000000001</v>
      </c>
      <c r="Q232" s="120" cm="1">
        <f t="array" ref="Q232">LOOKUP(2,1/($B$17:$B$21&lt;=$L232)/($C$17:$C$21&gt;=$L232),$D$17:$D$21)</f>
        <v>134.49039999999999</v>
      </c>
      <c r="R232" s="113" t="str">
        <f t="shared" si="232"/>
        <v/>
      </c>
      <c r="S232" s="113" t="str">
        <f t="shared" si="233"/>
        <v>2H20</v>
      </c>
      <c r="T232" s="113" t="str">
        <f t="shared" ca="1" si="234"/>
        <v/>
      </c>
      <c r="U232" s="113" t="str">
        <f t="shared" si="235"/>
        <v/>
      </c>
      <c r="V232" s="113" t="str">
        <f t="shared" si="218"/>
        <v>FY20</v>
      </c>
      <c r="W232" s="113" t="str">
        <f t="shared" ca="1" si="219"/>
        <v/>
      </c>
      <c r="X232" s="50"/>
      <c r="Y232" s="146">
        <v>9</v>
      </c>
      <c r="Z232" s="202">
        <v>300000000</v>
      </c>
      <c r="AA232" s="167"/>
      <c r="AB232" s="203"/>
      <c r="AC232" s="145">
        <v>330413000</v>
      </c>
      <c r="AD232" s="203">
        <f t="shared" si="242"/>
        <v>429.5369</v>
      </c>
      <c r="AE232" s="167"/>
      <c r="AT232" s="50"/>
      <c r="AU232" s="146">
        <v>9</v>
      </c>
      <c r="AV232" s="145">
        <v>150000000</v>
      </c>
      <c r="AW232" s="167" t="e">
        <f t="shared" si="240"/>
        <v>#DIV/0!</v>
      </c>
      <c r="AY232" s="167">
        <f t="shared" si="241"/>
        <v>0</v>
      </c>
      <c r="BA232" s="186"/>
      <c r="BB232" s="2"/>
      <c r="BC232" s="2"/>
      <c r="BD232" s="2"/>
      <c r="BE232" s="187"/>
      <c r="BH232" s="50"/>
      <c r="CA232" s="50"/>
      <c r="CQ232" s="50"/>
      <c r="DK232" s="50"/>
    </row>
    <row r="233" spans="10:131" x14ac:dyDescent="0.25">
      <c r="J233" s="86" t="str" cm="1">
        <f t="array" ref="J233">LOOKUP(2,1/($G$17:$G$33&lt;=$L233)/($H$17:$H$33&gt;=$L233),$F$17:$F$33)</f>
        <v>2H20</v>
      </c>
      <c r="K233" s="86" t="str" cm="1">
        <f t="array" ref="K233">LOOKUP(2,1/($G$6:$G$14&lt;=$L233)/($H$6:$H$14&gt;=$L233),$F$6:$F$14)</f>
        <v>FY20</v>
      </c>
      <c r="L233" s="118">
        <v>43874</v>
      </c>
      <c r="M233" s="49">
        <v>14466346</v>
      </c>
      <c r="N233" s="49">
        <v>17552017</v>
      </c>
      <c r="O233" s="50">
        <v>3000000</v>
      </c>
      <c r="P233" s="119" cm="1">
        <f t="array" ref="P233">LOOKUP(2,1/($B$10:$B$14&lt;=$L233)/($C$10:$C$14&gt;=$L233),$D$10:$D$14)</f>
        <v>1.1000000000000001</v>
      </c>
      <c r="Q233" s="120" cm="1">
        <f t="array" ref="Q233">LOOKUP(2,1/($B$17:$B$21&lt;=$L233)/($C$17:$C$21&gt;=$L233),$D$17:$D$21)</f>
        <v>134.49039999999999</v>
      </c>
      <c r="R233" s="113" t="str">
        <f t="shared" si="232"/>
        <v/>
      </c>
      <c r="S233" s="113" t="str">
        <f t="shared" si="233"/>
        <v>2H20</v>
      </c>
      <c r="T233" s="113" t="str">
        <f t="shared" ca="1" si="234"/>
        <v/>
      </c>
      <c r="U233" s="113" t="str">
        <f t="shared" si="235"/>
        <v/>
      </c>
      <c r="V233" s="113" t="str">
        <f t="shared" si="218"/>
        <v>FY20</v>
      </c>
      <c r="W233" s="113" t="str">
        <f t="shared" ca="1" si="219"/>
        <v/>
      </c>
      <c r="X233" s="50"/>
      <c r="Y233" s="146">
        <v>10</v>
      </c>
      <c r="Z233" s="202">
        <v>400000000</v>
      </c>
      <c r="AA233" s="167"/>
      <c r="AB233" s="203"/>
      <c r="AC233" s="145">
        <v>434943000</v>
      </c>
      <c r="AD233" s="203">
        <f t="shared" si="242"/>
        <v>565.42589999999996</v>
      </c>
      <c r="AE233" s="167"/>
      <c r="AT233" s="50"/>
      <c r="AU233" s="146">
        <v>10</v>
      </c>
      <c r="AV233" s="145">
        <v>200000000</v>
      </c>
      <c r="AW233" s="167" t="e">
        <f t="shared" si="240"/>
        <v>#DIV/0!</v>
      </c>
      <c r="AY233" s="167">
        <f t="shared" si="241"/>
        <v>0</v>
      </c>
      <c r="BA233" s="189"/>
      <c r="BB233" s="190"/>
      <c r="BC233" s="190"/>
      <c r="BD233" s="190"/>
      <c r="BE233" s="191"/>
      <c r="BH233" s="50"/>
      <c r="CA233" s="50"/>
      <c r="CQ233" s="50"/>
      <c r="DK233" s="50"/>
      <c r="DL233" s="125" t="s">
        <v>233</v>
      </c>
      <c r="DM233" s="126"/>
      <c r="DN233" s="126"/>
      <c r="DO233" s="126"/>
      <c r="DP233" s="126"/>
      <c r="DQ233" s="126"/>
      <c r="DR233" s="126"/>
      <c r="DS233" s="126"/>
      <c r="DT233" s="126"/>
      <c r="DU233" s="126"/>
      <c r="DV233" s="126"/>
      <c r="DW233" s="126"/>
      <c r="DX233" s="126"/>
      <c r="DY233" s="126"/>
      <c r="DZ233" s="126"/>
      <c r="EA233" s="126"/>
    </row>
    <row r="234" spans="10:131" x14ac:dyDescent="0.25">
      <c r="J234" s="86" t="str" cm="1">
        <f t="array" ref="J234">LOOKUP(2,1/($G$17:$G$33&lt;=$L234)/($H$17:$H$33&gt;=$L234),$F$17:$F$33)</f>
        <v>2H20</v>
      </c>
      <c r="K234" s="86" t="str" cm="1">
        <f t="array" ref="K234">LOOKUP(2,1/($G$6:$G$14&lt;=$L234)/($H$6:$H$14&gt;=$L234),$F$6:$F$14)</f>
        <v>FY20</v>
      </c>
      <c r="L234" s="118">
        <v>43867</v>
      </c>
      <c r="M234" s="49">
        <v>67313625</v>
      </c>
      <c r="N234" s="49">
        <v>81671621</v>
      </c>
      <c r="O234" s="50">
        <v>60000000</v>
      </c>
      <c r="P234" s="119" cm="1">
        <f t="array" ref="P234">LOOKUP(2,1/($B$10:$B$14&lt;=$L234)/($C$10:$C$14&gt;=$L234),$D$10:$D$14)</f>
        <v>1.1000000000000001</v>
      </c>
      <c r="Q234" s="120" cm="1">
        <f t="array" ref="Q234">LOOKUP(2,1/($B$17:$B$21&lt;=$L234)/($C$17:$C$21&gt;=$L234),$D$17:$D$21)</f>
        <v>134.49039999999999</v>
      </c>
      <c r="R234" s="113" t="str">
        <f t="shared" si="232"/>
        <v/>
      </c>
      <c r="S234" s="113" t="str">
        <f t="shared" si="233"/>
        <v>2H20</v>
      </c>
      <c r="T234" s="113" t="str">
        <f t="shared" ca="1" si="234"/>
        <v/>
      </c>
      <c r="U234" s="113" t="str">
        <f t="shared" si="235"/>
        <v/>
      </c>
      <c r="V234" s="113" t="str">
        <f t="shared" si="218"/>
        <v>FY20</v>
      </c>
      <c r="W234" s="113" t="str">
        <f t="shared" ca="1" si="219"/>
        <v/>
      </c>
      <c r="X234" s="50"/>
      <c r="AT234" s="50"/>
      <c r="BH234" s="50"/>
      <c r="CA234" s="50"/>
      <c r="CQ234" s="50"/>
      <c r="DK234" s="50"/>
      <c r="DL234" s="114" t="s">
        <v>147</v>
      </c>
      <c r="DM234" s="115">
        <v>44562</v>
      </c>
      <c r="DN234" s="114" t="s">
        <v>148</v>
      </c>
      <c r="DO234" s="115">
        <v>44926</v>
      </c>
      <c r="DP234" s="132"/>
      <c r="DQ234" s="132"/>
      <c r="DR234" s="132"/>
      <c r="DS234" s="133"/>
      <c r="DT234" s="133"/>
      <c r="DU234" s="133"/>
      <c r="DV234" s="133"/>
      <c r="DW234" s="133"/>
      <c r="DX234" s="133"/>
      <c r="DY234" s="133"/>
      <c r="DZ234" s="133"/>
      <c r="EA234" s="133"/>
    </row>
    <row r="235" spans="10:131" x14ac:dyDescent="0.25">
      <c r="J235" s="86" t="str" cm="1">
        <f t="array" ref="J235">LOOKUP(2,1/($G$17:$G$33&lt;=$L235)/($H$17:$H$33&gt;=$L235),$F$17:$F$33)</f>
        <v>2H20</v>
      </c>
      <c r="K235" s="86" t="str" cm="1">
        <f t="array" ref="K235">LOOKUP(2,1/($G$6:$G$14&lt;=$L235)/($H$6:$H$14&gt;=$L235),$F$6:$F$14)</f>
        <v>FY20</v>
      </c>
      <c r="L235" s="118">
        <v>43860</v>
      </c>
      <c r="M235" s="49">
        <v>45674629</v>
      </c>
      <c r="N235" s="49">
        <v>55417028</v>
      </c>
      <c r="O235" s="50">
        <v>40000000</v>
      </c>
      <c r="P235" s="119" cm="1">
        <f t="array" ref="P235">LOOKUP(2,1/($B$10:$B$14&lt;=$L235)/($C$10:$C$14&gt;=$L235),$D$10:$D$14)</f>
        <v>1.1000000000000001</v>
      </c>
      <c r="Q235" s="120" cm="1">
        <f t="array" ref="Q235">LOOKUP(2,1/($B$17:$B$21&lt;=$L235)/($C$17:$C$21&gt;=$L235),$D$17:$D$21)</f>
        <v>134.49039999999999</v>
      </c>
      <c r="R235" s="113" t="str">
        <f t="shared" si="232"/>
        <v/>
      </c>
      <c r="S235" s="113" t="str">
        <f t="shared" si="233"/>
        <v>2H20</v>
      </c>
      <c r="T235" s="113" t="str">
        <f t="shared" ca="1" si="234"/>
        <v/>
      </c>
      <c r="U235" s="113" t="str">
        <f t="shared" si="235"/>
        <v/>
      </c>
      <c r="V235" s="113" t="str">
        <f t="shared" si="218"/>
        <v>FY20</v>
      </c>
      <c r="W235" s="113" t="str">
        <f t="shared" ca="1" si="219"/>
        <v/>
      </c>
      <c r="X235" s="50"/>
      <c r="AT235" s="50"/>
      <c r="BH235" s="50"/>
      <c r="CA235" s="50"/>
      <c r="CQ235" s="50"/>
      <c r="DK235" s="50"/>
      <c r="DL235" s="114" t="s">
        <v>159</v>
      </c>
      <c r="DM235" s="115" t="s">
        <v>164</v>
      </c>
      <c r="DN235" s="114" t="s">
        <v>161</v>
      </c>
      <c r="DO235" s="134" t="str" cm="1">
        <f t="array" ref="DO235">IF(OR(LOOKUP(2,1/($B$10:$B$14&lt;=DO234)/($C$10:$C$14&gt;=DO234),$D$10:$D$14)&lt;&gt;DM238,LOOKUP(2,1/($B$6:$B$7&lt;=DO234)/($C$6:$C$7&gt;=DO234),$D$6:$D$7)&lt;&gt;DO238),"FAIL","PASS")</f>
        <v>PASS</v>
      </c>
      <c r="DP235" s="134" t="s">
        <v>162</v>
      </c>
      <c r="DQ235" s="134" t="s">
        <v>162</v>
      </c>
      <c r="DR235" s="134"/>
      <c r="DS235" s="133"/>
      <c r="DT235" s="133"/>
      <c r="DU235" s="133"/>
      <c r="DV235" s="133"/>
      <c r="DW235" s="133"/>
      <c r="DX235" s="133"/>
      <c r="DY235" s="133"/>
      <c r="DZ235" s="133"/>
      <c r="EA235" s="133"/>
    </row>
    <row r="236" spans="10:131" x14ac:dyDescent="0.25">
      <c r="J236" s="86" t="str" cm="1">
        <f t="array" ref="J236">LOOKUP(2,1/($G$17:$G$33&lt;=$L236)/($H$17:$H$33&gt;=$L236),$F$17:$F$33)</f>
        <v>2H20</v>
      </c>
      <c r="K236" s="86" t="str" cm="1">
        <f t="array" ref="K236">LOOKUP(2,1/($G$6:$G$14&lt;=$L236)/($H$6:$H$14&gt;=$L236),$F$6:$F$14)</f>
        <v>FY20</v>
      </c>
      <c r="L236" s="118">
        <v>43853</v>
      </c>
      <c r="M236" s="49">
        <v>34282351</v>
      </c>
      <c r="N236" s="49">
        <v>41594777</v>
      </c>
      <c r="O236" s="50">
        <v>20000000</v>
      </c>
      <c r="P236" s="119" cm="1">
        <f t="array" ref="P236">LOOKUP(2,1/($B$10:$B$14&lt;=$L236)/($C$10:$C$14&gt;=$L236),$D$10:$D$14)</f>
        <v>1.1000000000000001</v>
      </c>
      <c r="Q236" s="120" cm="1">
        <f t="array" ref="Q236">LOOKUP(2,1/($B$17:$B$21&lt;=$L236)/($C$17:$C$21&gt;=$L236),$D$17:$D$21)</f>
        <v>134.49039999999999</v>
      </c>
      <c r="R236" s="113" t="str">
        <f t="shared" si="232"/>
        <v/>
      </c>
      <c r="S236" s="113" t="str">
        <f t="shared" si="233"/>
        <v>2H20</v>
      </c>
      <c r="T236" s="113" t="str">
        <f t="shared" ca="1" si="234"/>
        <v/>
      </c>
      <c r="U236" s="113" t="str">
        <f t="shared" si="235"/>
        <v/>
      </c>
      <c r="V236" s="113" t="str">
        <f t="shared" si="218"/>
        <v>FY20</v>
      </c>
      <c r="W236" s="113" t="str">
        <f t="shared" ca="1" si="219"/>
        <v/>
      </c>
      <c r="X236" s="50"/>
      <c r="Y236" s="85" t="s">
        <v>260</v>
      </c>
      <c r="AT236" s="50"/>
      <c r="BH236" s="50"/>
      <c r="CA236" s="50"/>
      <c r="CQ236" s="50"/>
      <c r="DK236" s="50"/>
      <c r="DL236" s="114" t="s">
        <v>165</v>
      </c>
      <c r="DM236" s="115">
        <v>44743</v>
      </c>
      <c r="DN236" s="114" t="s">
        <v>166</v>
      </c>
      <c r="DO236" s="115">
        <v>44818</v>
      </c>
      <c r="DP236" s="135">
        <v>1.35</v>
      </c>
      <c r="DQ236" s="135">
        <v>1.3</v>
      </c>
      <c r="DR236" s="134"/>
      <c r="DT236" s="136" t="s">
        <v>167</v>
      </c>
      <c r="DU236" s="137"/>
      <c r="DV236" s="137"/>
      <c r="DW236" s="137"/>
      <c r="DX236" s="138"/>
      <c r="DY236" s="137"/>
      <c r="DZ236" s="137"/>
      <c r="EA236" s="139"/>
    </row>
    <row r="237" spans="10:131" x14ac:dyDescent="0.25">
      <c r="J237" s="86" t="str" cm="1">
        <f t="array" ref="J237">LOOKUP(2,1/($G$17:$G$33&lt;=$L237)/($H$17:$H$33&gt;=$L237),$F$17:$F$33)</f>
        <v>2H20</v>
      </c>
      <c r="K237" s="86" t="str" cm="1">
        <f t="array" ref="K237">LOOKUP(2,1/($G$6:$G$14&lt;=$L237)/($H$6:$H$14&gt;=$L237),$F$6:$F$14)</f>
        <v>FY20</v>
      </c>
      <c r="L237" s="118">
        <v>43846</v>
      </c>
      <c r="M237" s="49">
        <v>25817218</v>
      </c>
      <c r="N237" s="49">
        <v>31324031</v>
      </c>
      <c r="O237" s="50">
        <v>12000000</v>
      </c>
      <c r="P237" s="119" cm="1">
        <f t="array" ref="P237">LOOKUP(2,1/($B$10:$B$14&lt;=$L237)/($C$10:$C$14&gt;=$L237),$D$10:$D$14)</f>
        <v>1.1000000000000001</v>
      </c>
      <c r="Q237" s="120" cm="1">
        <f t="array" ref="Q237">LOOKUP(2,1/($B$17:$B$21&lt;=$L237)/($C$17:$C$21&gt;=$L237),$D$17:$D$21)</f>
        <v>134.49039999999999</v>
      </c>
      <c r="R237" s="113" t="str">
        <f t="shared" si="232"/>
        <v/>
      </c>
      <c r="S237" s="113" t="str">
        <f t="shared" si="233"/>
        <v>2H20</v>
      </c>
      <c r="T237" s="113" t="str">
        <f t="shared" ca="1" si="234"/>
        <v/>
      </c>
      <c r="U237" s="113" t="str">
        <f t="shared" si="235"/>
        <v/>
      </c>
      <c r="V237" s="113" t="str">
        <f t="shared" si="218"/>
        <v>FY20</v>
      </c>
      <c r="W237" s="113" t="str">
        <f t="shared" ca="1" si="219"/>
        <v/>
      </c>
      <c r="X237" s="50"/>
      <c r="AT237" s="50"/>
      <c r="BH237" s="50"/>
      <c r="CA237" s="50"/>
      <c r="CQ237" s="50"/>
      <c r="DK237" s="50"/>
      <c r="DL237" s="114" t="s">
        <v>91</v>
      </c>
      <c r="DM237" s="140">
        <f>INDEX($O:$O,MATCH(DM235,$R:$R,0))</f>
        <v>4000000</v>
      </c>
      <c r="DN237" s="114" t="s">
        <v>76</v>
      </c>
      <c r="DO237" s="140">
        <f ca="1">INDEX($O:$O,MATCH(DM235,$T:$T,0))</f>
        <v>60000000</v>
      </c>
      <c r="DP237" s="140"/>
      <c r="DQ237" s="140"/>
      <c r="DR237" s="140"/>
      <c r="DT237" s="141" t="s">
        <v>168</v>
      </c>
      <c r="DU237" s="141"/>
      <c r="DV237" s="142"/>
      <c r="DW237" s="142"/>
      <c r="DX237" s="143" t="s">
        <v>15</v>
      </c>
      <c r="DY237" s="142"/>
      <c r="DZ237" s="142"/>
      <c r="EA237" s="144" t="s">
        <v>139</v>
      </c>
    </row>
    <row r="238" spans="10:131" x14ac:dyDescent="0.25">
      <c r="J238" s="86" t="str" cm="1">
        <f t="array" ref="J238">LOOKUP(2,1/($G$17:$G$33&lt;=$L238)/($H$17:$H$33&gt;=$L238),$F$17:$F$33)</f>
        <v>2H20</v>
      </c>
      <c r="K238" s="86" t="str" cm="1">
        <f t="array" ref="K238">LOOKUP(2,1/($G$6:$G$14&lt;=$L238)/($H$6:$H$14&gt;=$L238),$F$6:$F$14)</f>
        <v>FY20</v>
      </c>
      <c r="L238" s="118">
        <v>43839</v>
      </c>
      <c r="M238" s="49">
        <v>20379060</v>
      </c>
      <c r="N238" s="49">
        <v>24725914</v>
      </c>
      <c r="O238" s="50">
        <v>8000000</v>
      </c>
      <c r="P238" s="119" cm="1">
        <f t="array" ref="P238">LOOKUP(2,1/($B$10:$B$14&lt;=$L238)/($C$10:$C$14&gt;=$L238),$D$10:$D$14)</f>
        <v>1.1000000000000001</v>
      </c>
      <c r="Q238" s="120" cm="1">
        <f t="array" ref="Q238">LOOKUP(2,1/($B$17:$B$21&lt;=$L238)/($C$17:$C$21&gt;=$L238),$D$17:$D$21)</f>
        <v>134.49039999999999</v>
      </c>
      <c r="R238" s="113" t="str">
        <f t="shared" si="232"/>
        <v/>
      </c>
      <c r="S238" s="113" t="str">
        <f t="shared" si="233"/>
        <v>2H20</v>
      </c>
      <c r="T238" s="113" t="str">
        <f t="shared" ca="1" si="234"/>
        <v/>
      </c>
      <c r="U238" s="113" t="str">
        <f t="shared" si="235"/>
        <v/>
      </c>
      <c r="V238" s="113" t="str">
        <f t="shared" si="218"/>
        <v>FY20</v>
      </c>
      <c r="W238" s="113" t="str">
        <f t="shared" ca="1" si="219"/>
        <v/>
      </c>
      <c r="X238" s="210"/>
      <c r="AT238" s="210"/>
      <c r="BH238" s="210"/>
      <c r="CA238" s="210"/>
      <c r="CQ238" s="210"/>
      <c r="DK238" s="210"/>
      <c r="DL238" s="114" t="s">
        <v>169</v>
      </c>
      <c r="DM238" s="119" cm="1">
        <f t="array" ref="DM238">LOOKUP(2,1/($B$10:$B$14&lt;=DM234)/($C$10:$C$14&gt;=DM234),$D$10:$D$14)</f>
        <v>1.1000000000000001</v>
      </c>
      <c r="DN238" s="114" t="s">
        <v>149</v>
      </c>
      <c r="DO238" s="152" cm="1">
        <f t="array" ref="DO238">LOOKUP(2,1/($B$6:$B$7&lt;=DM234)/($C$6:$C$7&gt;=DM234),$D$6:$D$7)</f>
        <v>0.10299999999999999</v>
      </c>
      <c r="DP238" s="152" t="s">
        <v>170</v>
      </c>
      <c r="DQ238" s="152" t="s">
        <v>171</v>
      </c>
      <c r="DR238" s="152"/>
      <c r="DT238" s="153" t="s">
        <v>165</v>
      </c>
      <c r="DU238" s="148">
        <f>DM236</f>
        <v>44743</v>
      </c>
      <c r="DV238" s="154"/>
      <c r="DW238" s="154"/>
      <c r="DX238" s="155">
        <f t="shared" ref="DX238:DX247" si="243">DM241/1000000</f>
        <v>4</v>
      </c>
      <c r="DY238" s="154"/>
      <c r="DZ238" s="154"/>
      <c r="EA238" s="156">
        <f t="shared" ref="EA238:EA247" si="244">MAX(DN241:DO241)/1000000</f>
        <v>20.45252257142857</v>
      </c>
    </row>
    <row r="239" spans="10:131" x14ac:dyDescent="0.25">
      <c r="J239" s="86" t="str" cm="1">
        <f t="array" ref="J239">LOOKUP(2,1/($G$17:$G$33&lt;=$L239)/($H$17:$H$33&gt;=$L239),$F$17:$F$33)</f>
        <v>2H20</v>
      </c>
      <c r="K239" s="86" t="str" cm="1">
        <f t="array" ref="K239">LOOKUP(2,1/($G$6:$G$14&lt;=$L239)/($H$6:$H$14&gt;=$L239),$F$6:$F$14)</f>
        <v>FY20</v>
      </c>
      <c r="L239" s="118">
        <v>43832</v>
      </c>
      <c r="M239" s="49">
        <v>14302580</v>
      </c>
      <c r="N239" s="49">
        <v>17353320</v>
      </c>
      <c r="O239" s="50">
        <v>3000000</v>
      </c>
      <c r="P239" s="119" cm="1">
        <f t="array" ref="P239">LOOKUP(2,1/($B$10:$B$14&lt;=$L239)/($C$10:$C$14&gt;=$L239),$D$10:$D$14)</f>
        <v>1.1000000000000001</v>
      </c>
      <c r="Q239" s="120" cm="1">
        <f t="array" ref="Q239">LOOKUP(2,1/($B$17:$B$21&lt;=$L239)/($C$17:$C$21&gt;=$L239),$D$17:$D$21)</f>
        <v>134.49039999999999</v>
      </c>
      <c r="R239" s="113" t="str">
        <f t="shared" si="232"/>
        <v>2H20</v>
      </c>
      <c r="S239" s="113" t="str">
        <f t="shared" si="233"/>
        <v>2H20</v>
      </c>
      <c r="T239" s="113" t="str">
        <f t="shared" ca="1" si="234"/>
        <v/>
      </c>
      <c r="U239" s="113" t="str">
        <f t="shared" si="235"/>
        <v/>
      </c>
      <c r="V239" s="113" t="str">
        <f t="shared" si="218"/>
        <v>FY20</v>
      </c>
      <c r="W239" s="113" t="str">
        <f t="shared" ca="1" si="219"/>
        <v/>
      </c>
      <c r="X239" s="50"/>
      <c r="AT239" s="50"/>
      <c r="BH239" s="50"/>
      <c r="CA239" s="50"/>
      <c r="CQ239" s="50"/>
      <c r="DK239" s="50"/>
      <c r="DL239" s="114" t="s">
        <v>172</v>
      </c>
      <c r="DM239" s="119" cm="1">
        <f t="array" ref="DM239">LOOKUP(2,1/($B$17:$B$21&lt;=DM234)/($C$17:$C$21&gt;=DM234),$D$17:$D$21)</f>
        <v>134.49039999999999</v>
      </c>
      <c r="DN239" s="114" t="s">
        <v>0</v>
      </c>
      <c r="DO239" s="135">
        <v>1</v>
      </c>
      <c r="DP239" s="162">
        <v>1</v>
      </c>
      <c r="DQ239" s="162">
        <f>1-DP239</f>
        <v>0</v>
      </c>
      <c r="DR239" s="163"/>
      <c r="DT239" s="153" t="s">
        <v>166</v>
      </c>
      <c r="DU239" s="158">
        <f>DO236</f>
        <v>44818</v>
      </c>
      <c r="DV239" s="154"/>
      <c r="DW239" s="154"/>
      <c r="DX239" s="155">
        <f t="shared" si="243"/>
        <v>8</v>
      </c>
      <c r="DY239" s="154"/>
      <c r="DZ239" s="154"/>
      <c r="EA239" s="156">
        <f t="shared" si="244"/>
        <v>25.438434166666667</v>
      </c>
    </row>
    <row r="240" spans="10:131" x14ac:dyDescent="0.25">
      <c r="J240" s="86" t="str" cm="1">
        <f t="array" ref="J240">LOOKUP(2,1/($G$17:$G$33&lt;=$L240)/($H$17:$H$33&gt;=$L240),$F$17:$F$33)</f>
        <v>1H20</v>
      </c>
      <c r="K240" s="86" t="str" cm="1">
        <f t="array" ref="K240">LOOKUP(2,1/($G$6:$G$14&lt;=$L240)/($H$6:$H$14&gt;=$L240),$F$6:$F$14)</f>
        <v>FY20</v>
      </c>
      <c r="L240" s="118">
        <v>43825</v>
      </c>
      <c r="M240" s="49">
        <v>25073378</v>
      </c>
      <c r="N240" s="49">
        <v>30421530</v>
      </c>
      <c r="O240" s="50">
        <v>20000000</v>
      </c>
      <c r="P240" s="119" cm="1">
        <f t="array" ref="P240">LOOKUP(2,1/($B$10:$B$14&lt;=$L240)/($C$10:$C$14&gt;=$L240),$D$10:$D$14)</f>
        <v>1.1000000000000001</v>
      </c>
      <c r="Q240" s="120" cm="1">
        <f t="array" ref="Q240">LOOKUP(2,1/($B$17:$B$21&lt;=$L240)/($C$17:$C$21&gt;=$L240),$D$17:$D$21)</f>
        <v>134.49039999999999</v>
      </c>
      <c r="R240" s="113" t="str">
        <f t="shared" si="232"/>
        <v/>
      </c>
      <c r="S240" s="113" t="str">
        <f t="shared" si="233"/>
        <v>1H20</v>
      </c>
      <c r="T240" s="113" t="str">
        <f t="shared" ca="1" si="234"/>
        <v>2H20</v>
      </c>
      <c r="U240" s="113" t="str">
        <f t="shared" si="235"/>
        <v/>
      </c>
      <c r="V240" s="113" t="str">
        <f t="shared" si="218"/>
        <v>FY20</v>
      </c>
      <c r="W240" s="113" t="str">
        <f t="shared" ca="1" si="219"/>
        <v/>
      </c>
      <c r="DL240" s="111" t="s">
        <v>174</v>
      </c>
      <c r="DM240" s="111" t="s">
        <v>175</v>
      </c>
      <c r="DN240" s="111" t="s">
        <v>176</v>
      </c>
      <c r="DO240" s="111" t="s">
        <v>177</v>
      </c>
      <c r="DP240" s="111" t="s">
        <v>178</v>
      </c>
      <c r="DQ240" s="111" t="s">
        <v>179</v>
      </c>
      <c r="DR240" s="111" t="s">
        <v>180</v>
      </c>
      <c r="DT240" s="153" t="s">
        <v>169</v>
      </c>
      <c r="DU240" s="165">
        <f>DM238</f>
        <v>1.1000000000000001</v>
      </c>
      <c r="DV240" s="154"/>
      <c r="DW240" s="154"/>
      <c r="DX240" s="155">
        <f t="shared" si="243"/>
        <v>20</v>
      </c>
      <c r="DY240" s="154"/>
      <c r="DZ240" s="154"/>
      <c r="EA240" s="156">
        <f t="shared" si="244"/>
        <v>39.7435452</v>
      </c>
    </row>
    <row r="241" spans="10:131" x14ac:dyDescent="0.25">
      <c r="J241" s="86" t="str" cm="1">
        <f t="array" ref="J241">LOOKUP(2,1/($G$17:$G$33&lt;=$L241)/($H$17:$H$33&gt;=$L241),$F$17:$F$33)</f>
        <v>1H20</v>
      </c>
      <c r="K241" s="86" t="str" cm="1">
        <f t="array" ref="K241">LOOKUP(2,1/($G$6:$G$14&lt;=$L241)/($H$6:$H$14&gt;=$L241),$F$6:$F$14)</f>
        <v>FY20</v>
      </c>
      <c r="L241" s="118">
        <v>43818</v>
      </c>
      <c r="M241" s="49">
        <v>25742782</v>
      </c>
      <c r="N241" s="49">
        <v>31233717</v>
      </c>
      <c r="O241" s="50">
        <v>15000000</v>
      </c>
      <c r="P241" s="119" cm="1">
        <f t="array" ref="P241">LOOKUP(2,1/($B$10:$B$14&lt;=$L241)/($C$10:$C$14&gt;=$L241),$D$10:$D$14)</f>
        <v>1.1000000000000001</v>
      </c>
      <c r="Q241" s="120" cm="1">
        <f t="array" ref="Q241">LOOKUP(2,1/($B$17:$B$21&lt;=$L241)/($C$17:$C$21&gt;=$L241),$D$17:$D$21)</f>
        <v>134.49039999999999</v>
      </c>
      <c r="R241" s="113" t="str">
        <f t="shared" si="232"/>
        <v/>
      </c>
      <c r="S241" s="113" t="str">
        <f t="shared" si="233"/>
        <v>1H20</v>
      </c>
      <c r="T241" s="113" t="str">
        <f t="shared" ca="1" si="234"/>
        <v/>
      </c>
      <c r="U241" s="113" t="str">
        <f t="shared" si="235"/>
        <v/>
      </c>
      <c r="V241" s="113" t="str">
        <f t="shared" si="218"/>
        <v>FY20</v>
      </c>
      <c r="W241" s="113" t="str">
        <f t="shared" ca="1" si="219"/>
        <v/>
      </c>
      <c r="DL241" s="146">
        <v>1</v>
      </c>
      <c r="DM241" s="166">
        <v>4000000</v>
      </c>
      <c r="DN241" s="168">
        <f t="shared" ref="DN241:DN247" si="245">AVERAGEIFS($M:$M,$L:$L,"&gt;="&amp;DM$234,$L:$L,"&lt;="&amp;DO$234,$O:$O,"="&amp;DM241)*DO$239</f>
        <v>20452522.571428571</v>
      </c>
      <c r="DO241" s="168"/>
      <c r="DP241" s="168"/>
      <c r="DQ241" s="168"/>
      <c r="DR241" s="167">
        <f t="shared" ref="DR241:DR247" si="246">COUNTIFS($L:$L,"&gt;="&amp;DM$234,$L:$L,"&lt;="&amp;DO$234,$O:$O,"="&amp;DM241)</f>
        <v>7</v>
      </c>
      <c r="DT241" s="153" t="s">
        <v>149</v>
      </c>
      <c r="DU241" s="169">
        <f>DO238</f>
        <v>0.10299999999999999</v>
      </c>
      <c r="DV241" s="154"/>
      <c r="DW241" s="154"/>
      <c r="DX241" s="155">
        <f t="shared" si="243"/>
        <v>40</v>
      </c>
      <c r="DY241" s="154"/>
      <c r="DZ241" s="154"/>
      <c r="EA241" s="156">
        <f t="shared" si="244"/>
        <v>58.301478250000002</v>
      </c>
    </row>
    <row r="242" spans="10:131" x14ac:dyDescent="0.25">
      <c r="J242" s="86" t="str" cm="1">
        <f t="array" ref="J242">LOOKUP(2,1/($G$17:$G$33&lt;=$L242)/($H$17:$H$33&gt;=$L242),$F$17:$F$33)</f>
        <v>1H20</v>
      </c>
      <c r="K242" s="86" t="str" cm="1">
        <f t="array" ref="K242">LOOKUP(2,1/($G$6:$G$14&lt;=$L242)/($H$6:$H$14&gt;=$L242),$F$6:$F$14)</f>
        <v>FY20</v>
      </c>
      <c r="L242" s="118">
        <v>43811</v>
      </c>
      <c r="M242" s="49">
        <v>25306949</v>
      </c>
      <c r="N242" s="49">
        <v>30704922</v>
      </c>
      <c r="O242" s="50">
        <v>12000000</v>
      </c>
      <c r="P242" s="119" cm="1">
        <f t="array" ref="P242">LOOKUP(2,1/($B$10:$B$14&lt;=$L242)/($C$10:$C$14&gt;=$L242),$D$10:$D$14)</f>
        <v>1.1000000000000001</v>
      </c>
      <c r="Q242" s="120" cm="1">
        <f t="array" ref="Q242">LOOKUP(2,1/($B$17:$B$21&lt;=$L242)/($C$17:$C$21&gt;=$L242),$D$17:$D$21)</f>
        <v>134.49039999999999</v>
      </c>
      <c r="R242" s="113" t="str">
        <f t="shared" si="232"/>
        <v/>
      </c>
      <c r="S242" s="113" t="str">
        <f t="shared" si="233"/>
        <v>1H20</v>
      </c>
      <c r="T242" s="113" t="str">
        <f t="shared" ca="1" si="234"/>
        <v/>
      </c>
      <c r="U242" s="113" t="str">
        <f t="shared" si="235"/>
        <v/>
      </c>
      <c r="V242" s="113" t="str">
        <f t="shared" si="218"/>
        <v>FY20</v>
      </c>
      <c r="W242" s="113" t="str">
        <f t="shared" ca="1" si="219"/>
        <v/>
      </c>
      <c r="X242" s="50"/>
      <c r="AT242" s="50"/>
      <c r="BH242" s="50"/>
      <c r="CA242" s="50"/>
      <c r="CQ242" s="50"/>
      <c r="DK242" s="50"/>
      <c r="DL242" s="146">
        <v>2</v>
      </c>
      <c r="DM242" s="166">
        <v>8000000</v>
      </c>
      <c r="DN242" s="168">
        <f t="shared" si="245"/>
        <v>25438434.166666668</v>
      </c>
      <c r="DR242" s="167">
        <f t="shared" si="246"/>
        <v>12</v>
      </c>
      <c r="DT242" s="153" t="s">
        <v>172</v>
      </c>
      <c r="DU242" s="170">
        <f>DM239</f>
        <v>134.49039999999999</v>
      </c>
      <c r="DV242" s="154"/>
      <c r="DW242" s="154"/>
      <c r="DX242" s="155">
        <f t="shared" si="243"/>
        <v>60</v>
      </c>
      <c r="DY242" s="154"/>
      <c r="DZ242" s="154"/>
      <c r="EA242" s="156">
        <f t="shared" si="244"/>
        <v>79.205363250000005</v>
      </c>
    </row>
    <row r="243" spans="10:131" x14ac:dyDescent="0.25">
      <c r="J243" s="86" t="str" cm="1">
        <f t="array" ref="J243">LOOKUP(2,1/($G$17:$G$33&lt;=$L243)/($H$17:$H$33&gt;=$L243),$F$17:$F$33)</f>
        <v>1H20</v>
      </c>
      <c r="K243" s="86" t="str" cm="1">
        <f t="array" ref="K243">LOOKUP(2,1/($G$6:$G$14&lt;=$L243)/($H$6:$H$14&gt;=$L243),$F$6:$F$14)</f>
        <v>FY20</v>
      </c>
      <c r="L243" s="118">
        <v>43804</v>
      </c>
      <c r="M243" s="49">
        <v>20501358</v>
      </c>
      <c r="N243" s="49">
        <v>24874298</v>
      </c>
      <c r="O243" s="50">
        <v>8000000</v>
      </c>
      <c r="P243" s="119" cm="1">
        <f t="array" ref="P243">LOOKUP(2,1/($B$10:$B$14&lt;=$L243)/($C$10:$C$14&gt;=$L243),$D$10:$D$14)</f>
        <v>1.1000000000000001</v>
      </c>
      <c r="Q243" s="120" cm="1">
        <f t="array" ref="Q243">LOOKUP(2,1/($B$17:$B$21&lt;=$L243)/($C$17:$C$21&gt;=$L243),$D$17:$D$21)</f>
        <v>134.49039999999999</v>
      </c>
      <c r="R243" s="113" t="str">
        <f t="shared" si="232"/>
        <v/>
      </c>
      <c r="S243" s="113" t="str">
        <f t="shared" si="233"/>
        <v>1H20</v>
      </c>
      <c r="T243" s="113" t="str">
        <f t="shared" ca="1" si="234"/>
        <v/>
      </c>
      <c r="U243" s="113" t="str">
        <f t="shared" si="235"/>
        <v/>
      </c>
      <c r="V243" s="113" t="str">
        <f t="shared" si="218"/>
        <v>FY20</v>
      </c>
      <c r="W243" s="113" t="str">
        <f t="shared" ca="1" si="219"/>
        <v/>
      </c>
      <c r="X243" s="50"/>
      <c r="AT243" s="50"/>
      <c r="BH243" s="50"/>
      <c r="CA243" s="50"/>
      <c r="CQ243" s="50"/>
      <c r="DK243" s="50"/>
      <c r="DL243" s="146">
        <v>3</v>
      </c>
      <c r="DM243" s="166">
        <v>20000000</v>
      </c>
      <c r="DN243" s="168">
        <f t="shared" si="245"/>
        <v>39743545.200000003</v>
      </c>
      <c r="DR243" s="167">
        <f t="shared" si="246"/>
        <v>10</v>
      </c>
      <c r="DT243" s="171"/>
      <c r="DV243" s="154"/>
      <c r="DW243" s="154"/>
      <c r="DX243" s="155">
        <f t="shared" si="243"/>
        <v>80</v>
      </c>
      <c r="DY243" s="154"/>
      <c r="DZ243" s="154"/>
      <c r="EA243" s="156">
        <f t="shared" si="244"/>
        <v>116.33622200000001</v>
      </c>
    </row>
    <row r="244" spans="10:131" x14ac:dyDescent="0.25">
      <c r="J244" s="86" t="str" cm="1">
        <f t="array" ref="J244">LOOKUP(2,1/($G$17:$G$33&lt;=$L244)/($H$17:$H$33&gt;=$L244),$F$17:$F$33)</f>
        <v>1H20</v>
      </c>
      <c r="K244" s="86" t="str" cm="1">
        <f t="array" ref="K244">LOOKUP(2,1/($G$6:$G$14&lt;=$L244)/($H$6:$H$14&gt;=$L244),$F$6:$F$14)</f>
        <v>FY20</v>
      </c>
      <c r="L244" s="118">
        <v>43797</v>
      </c>
      <c r="M244" s="49">
        <v>15126398</v>
      </c>
      <c r="N244" s="49">
        <v>18352859</v>
      </c>
      <c r="O244" s="50">
        <v>3000000</v>
      </c>
      <c r="P244" s="119" cm="1">
        <f t="array" ref="P244">LOOKUP(2,1/($B$10:$B$14&lt;=$L244)/($C$10:$C$14&gt;=$L244),$D$10:$D$14)</f>
        <v>1.1000000000000001</v>
      </c>
      <c r="Q244" s="120" cm="1">
        <f t="array" ref="Q244">LOOKUP(2,1/($B$17:$B$21&lt;=$L244)/($C$17:$C$21&gt;=$L244),$D$17:$D$21)</f>
        <v>134.49039999999999</v>
      </c>
      <c r="R244" s="113" t="str">
        <f t="shared" si="232"/>
        <v/>
      </c>
      <c r="S244" s="113" t="str">
        <f t="shared" si="233"/>
        <v>1H20</v>
      </c>
      <c r="T244" s="113" t="str">
        <f t="shared" ca="1" si="234"/>
        <v/>
      </c>
      <c r="U244" s="113" t="str">
        <f t="shared" si="235"/>
        <v/>
      </c>
      <c r="V244" s="113" t="str">
        <f t="shared" si="218"/>
        <v>FY20</v>
      </c>
      <c r="W244" s="113" t="str">
        <f t="shared" ca="1" si="219"/>
        <v/>
      </c>
      <c r="DL244" s="146">
        <v>4</v>
      </c>
      <c r="DM244" s="166">
        <v>40000000</v>
      </c>
      <c r="DN244" s="168">
        <f t="shared" si="245"/>
        <v>58301478.25</v>
      </c>
      <c r="DR244" s="167">
        <f t="shared" si="246"/>
        <v>4</v>
      </c>
      <c r="DT244" s="153" t="s">
        <v>91</v>
      </c>
      <c r="DU244" s="155">
        <f>DM237/1000000</f>
        <v>4</v>
      </c>
      <c r="DV244" s="154"/>
      <c r="DW244" s="154"/>
      <c r="DX244" s="155">
        <f t="shared" si="243"/>
        <v>120</v>
      </c>
      <c r="DY244" s="154"/>
      <c r="DZ244" s="154"/>
      <c r="EA244" s="156">
        <f t="shared" si="244"/>
        <v>244.63164499999999</v>
      </c>
    </row>
    <row r="245" spans="10:131" x14ac:dyDescent="0.25">
      <c r="J245" s="86" t="str" cm="1">
        <f t="array" ref="J245">LOOKUP(2,1/($G$17:$G$33&lt;=$L245)/($H$17:$H$33&gt;=$L245),$F$17:$F$33)</f>
        <v>1H20</v>
      </c>
      <c r="K245" s="86" t="str" cm="1">
        <f t="array" ref="K245">LOOKUP(2,1/($G$6:$G$14&lt;=$L245)/($H$6:$H$14&gt;=$L245),$F$6:$F$14)</f>
        <v>FY20</v>
      </c>
      <c r="L245" s="118">
        <v>43790</v>
      </c>
      <c r="M245" s="49">
        <v>48609266</v>
      </c>
      <c r="N245" s="49">
        <v>58977623</v>
      </c>
      <c r="O245" s="50">
        <v>40000000</v>
      </c>
      <c r="P245" s="119" cm="1">
        <f t="array" ref="P245">LOOKUP(2,1/($B$10:$B$14&lt;=$L245)/($C$10:$C$14&gt;=$L245),$D$10:$D$14)</f>
        <v>1.1000000000000001</v>
      </c>
      <c r="Q245" s="120" cm="1">
        <f t="array" ref="Q245">LOOKUP(2,1/($B$17:$B$21&lt;=$L245)/($C$17:$C$21&gt;=$L245),$D$17:$D$21)</f>
        <v>134.49039999999999</v>
      </c>
      <c r="R245" s="113" t="str">
        <f t="shared" si="232"/>
        <v/>
      </c>
      <c r="S245" s="113" t="str">
        <f t="shared" si="233"/>
        <v>1H20</v>
      </c>
      <c r="T245" s="113" t="str">
        <f t="shared" ca="1" si="234"/>
        <v/>
      </c>
      <c r="U245" s="113" t="str">
        <f t="shared" si="235"/>
        <v/>
      </c>
      <c r="V245" s="113" t="str">
        <f t="shared" si="218"/>
        <v>FY20</v>
      </c>
      <c r="W245" s="113" t="str">
        <f t="shared" ca="1" si="219"/>
        <v/>
      </c>
      <c r="X245" s="50"/>
      <c r="AC245" s="225">
        <v>21004200</v>
      </c>
      <c r="AT245" s="50"/>
      <c r="BH245" s="50"/>
      <c r="CA245" s="50"/>
      <c r="CQ245" s="50"/>
      <c r="DK245" s="50"/>
      <c r="DL245" s="146">
        <v>5</v>
      </c>
      <c r="DM245" s="166">
        <v>60000000</v>
      </c>
      <c r="DN245" s="168">
        <f t="shared" si="245"/>
        <v>79205363.25</v>
      </c>
      <c r="DP245" s="145">
        <v>85455000.000000015</v>
      </c>
      <c r="DQ245" s="145"/>
      <c r="DR245" s="167">
        <f t="shared" si="246"/>
        <v>4</v>
      </c>
      <c r="DT245" s="172"/>
      <c r="DU245" s="2"/>
      <c r="DV245" s="154"/>
      <c r="DW245" s="154"/>
      <c r="DX245" s="155">
        <f t="shared" si="243"/>
        <v>160</v>
      </c>
      <c r="DY245" s="154"/>
      <c r="DZ245" s="154"/>
      <c r="EA245" s="156">
        <f t="shared" si="244"/>
        <v>271.01925000000006</v>
      </c>
    </row>
    <row r="246" spans="10:131" x14ac:dyDescent="0.25">
      <c r="J246" s="86" t="str" cm="1">
        <f t="array" ref="J246">LOOKUP(2,1/($G$17:$G$33&lt;=$L246)/($H$17:$H$33&gt;=$L246),$F$17:$F$33)</f>
        <v>1H20</v>
      </c>
      <c r="K246" s="86" t="str" cm="1">
        <f t="array" ref="K246">LOOKUP(2,1/($G$6:$G$14&lt;=$L246)/($H$6:$H$14&gt;=$L246),$F$6:$F$14)</f>
        <v>FY20</v>
      </c>
      <c r="L246" s="118">
        <v>43783</v>
      </c>
      <c r="M246" s="49">
        <v>40529244</v>
      </c>
      <c r="N246" s="49">
        <v>49174132</v>
      </c>
      <c r="O246" s="50">
        <v>30000000</v>
      </c>
      <c r="P246" s="119" cm="1">
        <f t="array" ref="P246">LOOKUP(2,1/($B$10:$B$14&lt;=$L246)/($C$10:$C$14&gt;=$L246),$D$10:$D$14)</f>
        <v>1.1000000000000001</v>
      </c>
      <c r="Q246" s="120" cm="1">
        <f t="array" ref="Q246">LOOKUP(2,1/($B$17:$B$21&lt;=$L246)/($C$17:$C$21&gt;=$L246),$D$17:$D$21)</f>
        <v>134.49039999999999</v>
      </c>
      <c r="R246" s="113" t="str">
        <f t="shared" si="232"/>
        <v/>
      </c>
      <c r="S246" s="113" t="str">
        <f t="shared" si="233"/>
        <v>1H20</v>
      </c>
      <c r="T246" s="113" t="str">
        <f t="shared" ca="1" si="234"/>
        <v/>
      </c>
      <c r="U246" s="113" t="str">
        <f t="shared" si="235"/>
        <v/>
      </c>
      <c r="V246" s="113" t="str">
        <f t="shared" si="218"/>
        <v>FY20</v>
      </c>
      <c r="W246" s="113" t="str">
        <f t="shared" ca="1" si="219"/>
        <v/>
      </c>
      <c r="X246" s="50"/>
      <c r="AC246" s="225">
        <v>22049500</v>
      </c>
      <c r="AT246" s="50"/>
      <c r="BH246" s="50"/>
      <c r="CA246" s="50"/>
      <c r="CQ246" s="50"/>
      <c r="DK246" s="50"/>
      <c r="DL246" s="146">
        <v>6</v>
      </c>
      <c r="DM246" s="166">
        <v>80000000</v>
      </c>
      <c r="DN246" s="168">
        <f t="shared" si="245"/>
        <v>116336222</v>
      </c>
      <c r="DP246" s="145">
        <v>108515000.00000001</v>
      </c>
      <c r="DQ246" s="145"/>
      <c r="DR246" s="167">
        <f t="shared" si="246"/>
        <v>2</v>
      </c>
      <c r="DT246" s="172" t="s">
        <v>147</v>
      </c>
      <c r="DU246" s="174">
        <f>DM234</f>
        <v>44562</v>
      </c>
      <c r="DV246" s="154"/>
      <c r="DW246" s="154"/>
      <c r="DX246" s="155">
        <f t="shared" si="243"/>
        <v>200</v>
      </c>
      <c r="DY246" s="154"/>
      <c r="DZ246" s="154"/>
      <c r="EA246" s="156">
        <f t="shared" si="244"/>
        <v>333.28125</v>
      </c>
    </row>
    <row r="247" spans="10:131" x14ac:dyDescent="0.25">
      <c r="J247" s="86" t="str" cm="1">
        <f t="array" ref="J247">LOOKUP(2,1/($G$17:$G$33&lt;=$L247)/($H$17:$H$33&gt;=$L247),$F$17:$F$33)</f>
        <v>1H20</v>
      </c>
      <c r="K247" s="86" t="str" cm="1">
        <f t="array" ref="K247">LOOKUP(2,1/($G$6:$G$14&lt;=$L247)/($H$6:$H$14&gt;=$L247),$F$6:$F$14)</f>
        <v>FY20</v>
      </c>
      <c r="L247" s="118">
        <v>43776</v>
      </c>
      <c r="M247" s="49">
        <v>30483818</v>
      </c>
      <c r="N247" s="49">
        <v>36986017</v>
      </c>
      <c r="O247" s="50">
        <v>20000000</v>
      </c>
      <c r="P247" s="119" cm="1">
        <f t="array" ref="P247">LOOKUP(2,1/($B$10:$B$14&lt;=$L247)/($C$10:$C$14&gt;=$L247),$D$10:$D$14)</f>
        <v>1.1000000000000001</v>
      </c>
      <c r="Q247" s="120" cm="1">
        <f t="array" ref="Q247">LOOKUP(2,1/($B$17:$B$21&lt;=$L247)/($C$17:$C$21&gt;=$L247),$D$17:$D$21)</f>
        <v>134.49039999999999</v>
      </c>
      <c r="R247" s="113" t="str">
        <f t="shared" si="232"/>
        <v/>
      </c>
      <c r="S247" s="113" t="str">
        <f t="shared" si="233"/>
        <v>1H20</v>
      </c>
      <c r="T247" s="113" t="str">
        <f t="shared" ca="1" si="234"/>
        <v/>
      </c>
      <c r="U247" s="113" t="str">
        <f t="shared" si="235"/>
        <v/>
      </c>
      <c r="V247" s="113" t="str">
        <f t="shared" si="218"/>
        <v>FY20</v>
      </c>
      <c r="W247" s="113" t="str">
        <f t="shared" ca="1" si="219"/>
        <v/>
      </c>
      <c r="X247" s="50"/>
      <c r="AC247" s="225">
        <v>23094800</v>
      </c>
      <c r="AT247" s="50"/>
      <c r="BH247" s="50"/>
      <c r="CA247" s="50"/>
      <c r="CQ247" s="50"/>
      <c r="DK247" s="50"/>
      <c r="DL247" s="146">
        <v>7</v>
      </c>
      <c r="DM247" s="166">
        <v>120000000</v>
      </c>
      <c r="DN247" s="168">
        <f t="shared" si="245"/>
        <v>244631645</v>
      </c>
      <c r="DO247" s="173">
        <f>IF($DM247&gt;=100000000,$DP$236*DP$239*DP247+$DQ$236*DQ$239*DQ247,DP$239*DP247+DQ$239*DQ247)*DO$239</f>
        <v>208757250.00000006</v>
      </c>
      <c r="DP247" s="145">
        <v>154635000.00000003</v>
      </c>
      <c r="DQ247" s="145"/>
      <c r="DR247" s="167">
        <f t="shared" si="246"/>
        <v>1</v>
      </c>
      <c r="DT247" s="172" t="s">
        <v>148</v>
      </c>
      <c r="DU247" s="174">
        <f>DO234</f>
        <v>44926</v>
      </c>
      <c r="DV247" s="154"/>
      <c r="DW247" s="154"/>
      <c r="DX247" s="155">
        <f t="shared" si="243"/>
        <v>250</v>
      </c>
      <c r="DY247" s="154"/>
      <c r="DZ247" s="154"/>
      <c r="EA247" s="156">
        <f t="shared" si="244"/>
        <v>411.10874999999999</v>
      </c>
    </row>
    <row r="248" spans="10:131" x14ac:dyDescent="0.25">
      <c r="J248" s="86" t="str" cm="1">
        <f t="array" ref="J248">LOOKUP(2,1/($G$17:$G$33&lt;=$L248)/($H$17:$H$33&gt;=$L248),$F$17:$F$33)</f>
        <v>1H20</v>
      </c>
      <c r="K248" s="86" t="str" cm="1">
        <f t="array" ref="K248">LOOKUP(2,1/($G$6:$G$14&lt;=$L248)/($H$6:$H$14&gt;=$L248),$F$6:$F$14)</f>
        <v>FY20</v>
      </c>
      <c r="L248" s="118">
        <v>43769</v>
      </c>
      <c r="M248" s="49">
        <v>22777251</v>
      </c>
      <c r="N248" s="49">
        <v>27635639</v>
      </c>
      <c r="O248" s="50">
        <v>12000000</v>
      </c>
      <c r="P248" s="119" cm="1">
        <f t="array" ref="P248">LOOKUP(2,1/($B$10:$B$14&lt;=$L248)/($C$10:$C$14&gt;=$L248),$D$10:$D$14)</f>
        <v>1.1000000000000001</v>
      </c>
      <c r="Q248" s="120" cm="1">
        <f t="array" ref="Q248">LOOKUP(2,1/($B$17:$B$21&lt;=$L248)/($C$17:$C$21&gt;=$L248),$D$17:$D$21)</f>
        <v>134.49039999999999</v>
      </c>
      <c r="R248" s="113" t="str">
        <f t="shared" si="232"/>
        <v/>
      </c>
      <c r="S248" s="113" t="str">
        <f t="shared" si="233"/>
        <v>1H20</v>
      </c>
      <c r="T248" s="113" t="str">
        <f t="shared" ca="1" si="234"/>
        <v/>
      </c>
      <c r="U248" s="113" t="str">
        <f t="shared" si="235"/>
        <v/>
      </c>
      <c r="V248" s="113" t="str">
        <f t="shared" si="218"/>
        <v>FY20</v>
      </c>
      <c r="W248" s="113" t="str">
        <f t="shared" ca="1" si="219"/>
        <v/>
      </c>
      <c r="X248" s="50"/>
      <c r="AC248" s="225">
        <v>25185400</v>
      </c>
      <c r="AT248" s="50"/>
      <c r="BH248" s="50"/>
      <c r="CA248" s="50"/>
      <c r="CQ248" s="50"/>
      <c r="DK248" s="50"/>
      <c r="DL248" s="146">
        <v>8</v>
      </c>
      <c r="DM248" s="145">
        <v>160000000</v>
      </c>
      <c r="DN248" s="145"/>
      <c r="DO248" s="173">
        <f>IF($DM248&gt;=100000000,$DP$236*DP$239*DP248+$DQ$236*DQ$239*DQ248,DP$239*DP248+DQ$239*DQ248)*DO$239</f>
        <v>271019250.00000006</v>
      </c>
      <c r="DP248" s="145">
        <v>200755000.00000003</v>
      </c>
      <c r="DQ248" s="145"/>
      <c r="DR248" s="146"/>
      <c r="DT248" s="179" t="s">
        <v>0</v>
      </c>
      <c r="DU248" s="185">
        <f>DO239</f>
        <v>1</v>
      </c>
      <c r="DV248" s="181"/>
      <c r="DW248" s="181"/>
      <c r="DX248" s="181"/>
      <c r="DY248" s="181"/>
      <c r="DZ248" s="181"/>
      <c r="EA248" s="182"/>
    </row>
    <row r="249" spans="10:131" x14ac:dyDescent="0.25">
      <c r="J249" s="86" t="str" cm="1">
        <f t="array" ref="J249">LOOKUP(2,1/($G$17:$G$33&lt;=$L249)/($H$17:$H$33&gt;=$L249),$F$17:$F$33)</f>
        <v>1H20</v>
      </c>
      <c r="K249" s="86" t="str" cm="1">
        <f t="array" ref="K249">LOOKUP(2,1/($G$6:$G$14&lt;=$L249)/($H$6:$H$14&gt;=$L249),$F$6:$F$14)</f>
        <v>FY20</v>
      </c>
      <c r="L249" s="118">
        <v>43762</v>
      </c>
      <c r="M249" s="49">
        <v>19900891</v>
      </c>
      <c r="N249" s="49">
        <v>24145751</v>
      </c>
      <c r="O249" s="50">
        <v>8000000</v>
      </c>
      <c r="P249" s="119" cm="1">
        <f t="array" ref="P249">LOOKUP(2,1/($B$10:$B$14&lt;=$L249)/($C$10:$C$14&gt;=$L249),$D$10:$D$14)</f>
        <v>1.1000000000000001</v>
      </c>
      <c r="Q249" s="120" cm="1">
        <f t="array" ref="Q249">LOOKUP(2,1/($B$17:$B$21&lt;=$L249)/($C$17:$C$21&gt;=$L249),$D$17:$D$21)</f>
        <v>134.49039999999999</v>
      </c>
      <c r="R249" s="113" t="str">
        <f t="shared" si="232"/>
        <v/>
      </c>
      <c r="S249" s="113" t="str">
        <f t="shared" si="233"/>
        <v>1H20</v>
      </c>
      <c r="T249" s="113" t="str">
        <f t="shared" ca="1" si="234"/>
        <v/>
      </c>
      <c r="U249" s="113" t="str">
        <f t="shared" si="235"/>
        <v/>
      </c>
      <c r="V249" s="113" t="str">
        <f t="shared" si="218"/>
        <v>FY20</v>
      </c>
      <c r="W249" s="113" t="str">
        <f t="shared" ca="1" si="219"/>
        <v/>
      </c>
      <c r="X249" s="50"/>
      <c r="AC249" s="225">
        <v>29366600</v>
      </c>
      <c r="AT249" s="50"/>
      <c r="BH249" s="50"/>
      <c r="CA249" s="50"/>
      <c r="CQ249" s="50"/>
      <c r="DK249" s="50"/>
      <c r="DL249" s="146">
        <v>9</v>
      </c>
      <c r="DM249" s="145">
        <v>200000000</v>
      </c>
      <c r="DN249" s="145"/>
      <c r="DO249" s="173">
        <f>IF($DM249&gt;=100000000,$DP$236*DP$239*DP249+$DQ$236*DQ$239*DQ249,DP$239*DP249+DQ$239*DQ249)*DO$239</f>
        <v>333281250</v>
      </c>
      <c r="DP249" s="145">
        <v>246875000</v>
      </c>
      <c r="DQ249" s="145"/>
      <c r="DR249" s="146"/>
      <c r="DT249" s="2"/>
      <c r="DU249" s="2"/>
      <c r="DV249" s="2"/>
      <c r="DW249" s="2"/>
      <c r="DX249" s="2"/>
      <c r="DY249" s="2"/>
      <c r="DZ249" s="2"/>
      <c r="EA249" s="2"/>
    </row>
    <row r="250" spans="10:131" x14ac:dyDescent="0.25">
      <c r="J250" s="86" t="str" cm="1">
        <f t="array" ref="J250">LOOKUP(2,1/($G$17:$G$33&lt;=$L250)/($H$17:$H$33&gt;=$L250),$F$17:$F$33)</f>
        <v>1H20</v>
      </c>
      <c r="K250" s="86" t="str" cm="1">
        <f t="array" ref="K250">LOOKUP(2,1/($G$6:$G$14&lt;=$L250)/($H$6:$H$14&gt;=$L250),$F$6:$F$14)</f>
        <v>FY20</v>
      </c>
      <c r="L250" s="118">
        <v>43755</v>
      </c>
      <c r="M250" s="49">
        <v>14675381</v>
      </c>
      <c r="N250" s="49">
        <v>17805640</v>
      </c>
      <c r="O250" s="50">
        <v>3000000</v>
      </c>
      <c r="P250" s="119" cm="1">
        <f t="array" ref="P250">LOOKUP(2,1/($B$10:$B$14&lt;=$L250)/($C$10:$C$14&gt;=$L250),$D$10:$D$14)</f>
        <v>1.1000000000000001</v>
      </c>
      <c r="Q250" s="120" cm="1">
        <f t="array" ref="Q250">LOOKUP(2,1/($B$17:$B$21&lt;=$L250)/($C$17:$C$21&gt;=$L250),$D$17:$D$21)</f>
        <v>134.49039999999999</v>
      </c>
      <c r="R250" s="113" t="str">
        <f t="shared" si="232"/>
        <v/>
      </c>
      <c r="S250" s="113" t="str">
        <f t="shared" si="233"/>
        <v>1H20</v>
      </c>
      <c r="T250" s="113" t="str">
        <f t="shared" ca="1" si="234"/>
        <v/>
      </c>
      <c r="U250" s="113" t="str">
        <f t="shared" si="235"/>
        <v/>
      </c>
      <c r="V250" s="113" t="str">
        <f t="shared" si="218"/>
        <v>FY20</v>
      </c>
      <c r="W250" s="113" t="str">
        <f t="shared" ca="1" si="219"/>
        <v/>
      </c>
      <c r="X250" s="50"/>
      <c r="AC250" s="225">
        <v>32502500</v>
      </c>
      <c r="AT250" s="50"/>
      <c r="BH250" s="50"/>
      <c r="CA250" s="50"/>
      <c r="CQ250" s="50"/>
      <c r="DK250" s="50"/>
      <c r="DL250" s="146">
        <v>10</v>
      </c>
      <c r="DM250" s="145">
        <v>250000000</v>
      </c>
      <c r="DN250" s="145"/>
      <c r="DO250" s="173">
        <f>IF($DM250&gt;=100000000,$DP$236*DP$239*DP250+$DQ$236*DQ$239*DQ250,DP$239*DP250+DQ$239*DQ250)*DO$239</f>
        <v>411108750</v>
      </c>
      <c r="DP250" s="145">
        <v>304525000</v>
      </c>
      <c r="DQ250" s="145"/>
      <c r="DR250" s="146"/>
      <c r="DT250" s="188"/>
      <c r="DU250" s="188"/>
      <c r="DV250" s="188"/>
      <c r="DW250" s="188"/>
      <c r="DX250" s="188"/>
      <c r="DY250" s="188"/>
      <c r="DZ250" s="188"/>
      <c r="EA250" s="188"/>
    </row>
    <row r="251" spans="10:131" x14ac:dyDescent="0.25">
      <c r="J251" s="86" t="str" cm="1">
        <f t="array" ref="J251">LOOKUP(2,1/($G$17:$G$33&lt;=$L251)/($H$17:$H$33&gt;=$L251),$F$17:$F$33)</f>
        <v>1H20</v>
      </c>
      <c r="K251" s="86" t="str" cm="1">
        <f t="array" ref="K251">LOOKUP(2,1/($G$6:$G$14&lt;=$L251)/($H$6:$H$14&gt;=$L251),$F$6:$F$14)</f>
        <v>FY20</v>
      </c>
      <c r="L251" s="118">
        <v>43748</v>
      </c>
      <c r="M251" s="49">
        <v>21627958</v>
      </c>
      <c r="N251" s="49">
        <v>26241201</v>
      </c>
      <c r="O251" s="50">
        <v>12000000</v>
      </c>
      <c r="P251" s="119" cm="1">
        <f t="array" ref="P251">LOOKUP(2,1/($B$10:$B$14&lt;=$L251)/($C$10:$C$14&gt;=$L251),$D$10:$D$14)</f>
        <v>1.1000000000000001</v>
      </c>
      <c r="Q251" s="120" cm="1">
        <f t="array" ref="Q251">LOOKUP(2,1/($B$17:$B$21&lt;=$L251)/($C$17:$C$21&gt;=$L251),$D$17:$D$21)</f>
        <v>134.49039999999999</v>
      </c>
      <c r="R251" s="113" t="str">
        <f t="shared" si="232"/>
        <v/>
      </c>
      <c r="S251" s="113" t="str">
        <f t="shared" si="233"/>
        <v>1H20</v>
      </c>
      <c r="T251" s="113" t="str">
        <f t="shared" ca="1" si="234"/>
        <v/>
      </c>
      <c r="U251" s="113" t="str">
        <f t="shared" si="235"/>
        <v/>
      </c>
      <c r="V251" s="113" t="str">
        <f t="shared" si="218"/>
        <v>FY20</v>
      </c>
      <c r="W251" s="113" t="str">
        <f t="shared" ca="1" si="219"/>
        <v/>
      </c>
      <c r="X251" s="50"/>
      <c r="AC251" s="225">
        <v>37729000</v>
      </c>
      <c r="AT251" s="50"/>
      <c r="BH251" s="50"/>
      <c r="CA251" s="50"/>
      <c r="CQ251" s="50"/>
      <c r="DK251" s="50"/>
      <c r="DT251" s="106"/>
      <c r="DU251" s="107"/>
      <c r="DV251" s="107"/>
      <c r="DW251" s="107"/>
      <c r="DX251" s="108"/>
      <c r="DY251" s="107"/>
      <c r="DZ251" s="107"/>
      <c r="EA251" s="108"/>
    </row>
    <row r="252" spans="10:131" x14ac:dyDescent="0.25">
      <c r="J252" s="86" t="str" cm="1">
        <f t="array" ref="J252">LOOKUP(2,1/($G$17:$G$33&lt;=$L252)/($H$17:$H$33&gt;=$L252),$F$17:$F$33)</f>
        <v>1H20</v>
      </c>
      <c r="K252" s="86" t="str" cm="1">
        <f t="array" ref="K252">LOOKUP(2,1/($G$6:$G$14&lt;=$L252)/($H$6:$H$14&gt;=$L252),$F$6:$F$14)</f>
        <v>FY20</v>
      </c>
      <c r="L252" s="118">
        <v>43741</v>
      </c>
      <c r="M252" s="49">
        <v>18203091</v>
      </c>
      <c r="N252" s="49">
        <v>22085810</v>
      </c>
      <c r="O252" s="50">
        <v>8000000</v>
      </c>
      <c r="P252" s="119" cm="1">
        <f t="array" ref="P252">LOOKUP(2,1/($B$10:$B$14&lt;=$L252)/($C$10:$C$14&gt;=$L252),$D$10:$D$14)</f>
        <v>1.1000000000000001</v>
      </c>
      <c r="Q252" s="120" cm="1">
        <f t="array" ref="Q252">LOOKUP(2,1/($B$17:$B$21&lt;=$L252)/($C$17:$C$21&gt;=$L252),$D$17:$D$21)</f>
        <v>134.49039999999999</v>
      </c>
      <c r="R252" s="113" t="str">
        <f t="shared" si="232"/>
        <v/>
      </c>
      <c r="S252" s="113" t="str">
        <f t="shared" si="233"/>
        <v>1H20</v>
      </c>
      <c r="T252" s="113" t="str">
        <f t="shared" ca="1" si="234"/>
        <v/>
      </c>
      <c r="U252" s="113" t="str">
        <f t="shared" si="235"/>
        <v/>
      </c>
      <c r="V252" s="113" t="str">
        <f t="shared" si="218"/>
        <v>FY20</v>
      </c>
      <c r="W252" s="113" t="str">
        <f t="shared" ca="1" si="219"/>
        <v/>
      </c>
      <c r="X252" s="50"/>
      <c r="AC252" s="225">
        <v>42955500</v>
      </c>
      <c r="AT252" s="50"/>
      <c r="BH252" s="50"/>
      <c r="CA252" s="50"/>
      <c r="CQ252" s="50"/>
      <c r="DK252" s="50"/>
      <c r="DL252" s="125" t="s">
        <v>234</v>
      </c>
      <c r="DM252" s="126"/>
      <c r="DN252" s="126"/>
      <c r="DO252" s="126"/>
      <c r="DP252" s="126"/>
      <c r="DQ252" s="126"/>
      <c r="DR252" s="126"/>
      <c r="DS252" s="126"/>
      <c r="DT252" s="126"/>
      <c r="DU252" s="126"/>
      <c r="DV252" s="126"/>
      <c r="DW252" s="126"/>
      <c r="DX252" s="126"/>
      <c r="DY252" s="126"/>
      <c r="DZ252" s="126"/>
      <c r="EA252" s="126"/>
    </row>
    <row r="253" spans="10:131" x14ac:dyDescent="0.25">
      <c r="J253" s="86" t="str" cm="1">
        <f t="array" ref="J253">LOOKUP(2,1/($G$17:$G$33&lt;=$L253)/($H$17:$H$33&gt;=$L253),$F$17:$F$33)</f>
        <v>1H20</v>
      </c>
      <c r="K253" s="86" t="str" cm="1">
        <f t="array" ref="K253">LOOKUP(2,1/($G$6:$G$14&lt;=$L253)/($H$6:$H$14&gt;=$L253),$F$6:$F$14)</f>
        <v>FY20</v>
      </c>
      <c r="L253" s="118">
        <v>43734</v>
      </c>
      <c r="M253" s="49">
        <v>15306640</v>
      </c>
      <c r="N253" s="49">
        <v>18403173</v>
      </c>
      <c r="O253" s="50">
        <v>3000000</v>
      </c>
      <c r="P253" s="119" cm="1">
        <f t="array" ref="P253">LOOKUP(2,1/($B$10:$B$14&lt;=$L253)/($C$10:$C$14&gt;=$L253),$D$10:$D$14)</f>
        <v>1.1000000000000001</v>
      </c>
      <c r="Q253" s="120" cm="1">
        <f t="array" ref="Q253">LOOKUP(2,1/($B$17:$B$21&lt;=$L253)/($C$17:$C$21&gt;=$L253),$D$17:$D$21)</f>
        <v>134.49039999999999</v>
      </c>
      <c r="R253" s="113" t="str">
        <f t="shared" si="232"/>
        <v/>
      </c>
      <c r="S253" s="113" t="str">
        <f t="shared" si="233"/>
        <v>1H20</v>
      </c>
      <c r="T253" s="113" t="str">
        <f t="shared" ca="1" si="234"/>
        <v/>
      </c>
      <c r="U253" s="113" t="str">
        <f t="shared" si="235"/>
        <v/>
      </c>
      <c r="V253" s="113" t="str">
        <f t="shared" si="218"/>
        <v>FY20</v>
      </c>
      <c r="W253" s="113" t="str">
        <f t="shared" ca="1" si="219"/>
        <v/>
      </c>
      <c r="X253" s="50"/>
      <c r="AC253" s="225">
        <v>48182000</v>
      </c>
      <c r="AT253" s="50"/>
      <c r="BH253" s="50"/>
      <c r="CA253" s="50"/>
      <c r="CQ253" s="50"/>
      <c r="DK253" s="50"/>
      <c r="DL253" s="114" t="s">
        <v>147</v>
      </c>
      <c r="DM253" s="115">
        <v>44562</v>
      </c>
      <c r="DN253" s="114" t="s">
        <v>148</v>
      </c>
      <c r="DO253" s="115">
        <v>44926</v>
      </c>
      <c r="DP253" s="132"/>
      <c r="DQ253" s="132"/>
      <c r="DR253" s="132"/>
      <c r="DS253" s="133"/>
      <c r="DT253" s="133"/>
      <c r="DU253" s="133"/>
      <c r="DV253" s="133"/>
      <c r="DW253" s="133"/>
      <c r="DX253" s="133"/>
      <c r="DY253" s="133"/>
      <c r="DZ253" s="133"/>
      <c r="EA253" s="133"/>
    </row>
    <row r="254" spans="10:131" x14ac:dyDescent="0.25">
      <c r="J254" s="86" t="str" cm="1">
        <f t="array" ref="J254">LOOKUP(2,1/($G$17:$G$33&lt;=$L254)/($H$17:$H$33&gt;=$L254),$F$17:$F$33)</f>
        <v>1H20</v>
      </c>
      <c r="K254" s="86" t="str" cm="1">
        <f t="array" ref="K254">LOOKUP(2,1/($G$6:$G$14&lt;=$L254)/($H$6:$H$14&gt;=$L254),$F$6:$F$14)</f>
        <v>FY20</v>
      </c>
      <c r="L254" s="118">
        <v>43727</v>
      </c>
      <c r="M254" s="49">
        <v>202664967</v>
      </c>
      <c r="N254" s="49">
        <v>243664090</v>
      </c>
      <c r="O254" s="50">
        <v>150000000</v>
      </c>
      <c r="P254" s="119" cm="1">
        <f t="array" ref="P254">LOOKUP(2,1/($B$10:$B$14&lt;=$L254)/($C$10:$C$14&gt;=$L254),$D$10:$D$14)</f>
        <v>1.1000000000000001</v>
      </c>
      <c r="Q254" s="120" cm="1">
        <f t="array" ref="Q254">LOOKUP(2,1/($B$17:$B$21&lt;=$L254)/($C$17:$C$21&gt;=$L254),$D$17:$D$21)</f>
        <v>134.49039999999999</v>
      </c>
      <c r="R254" s="113" t="str">
        <f t="shared" si="232"/>
        <v/>
      </c>
      <c r="S254" s="113" t="str">
        <f t="shared" si="233"/>
        <v>1H20</v>
      </c>
      <c r="T254" s="113" t="str">
        <f t="shared" ca="1" si="234"/>
        <v/>
      </c>
      <c r="U254" s="113" t="str">
        <f t="shared" si="235"/>
        <v/>
      </c>
      <c r="V254" s="113" t="str">
        <f t="shared" si="218"/>
        <v>FY20</v>
      </c>
      <c r="W254" s="113" t="str">
        <f t="shared" ca="1" si="219"/>
        <v/>
      </c>
      <c r="X254" s="50"/>
      <c r="AC254" s="225">
        <v>58635000</v>
      </c>
      <c r="AT254" s="50"/>
      <c r="BH254" s="50"/>
      <c r="CA254" s="50"/>
      <c r="CQ254" s="50"/>
      <c r="DK254" s="50"/>
      <c r="DL254" s="114" t="s">
        <v>159</v>
      </c>
      <c r="DM254" s="115" t="s">
        <v>164</v>
      </c>
      <c r="DN254" s="114" t="s">
        <v>161</v>
      </c>
      <c r="DO254" s="134" t="str" cm="1">
        <f t="array" ref="DO254">IF(OR(LOOKUP(2,1/($B$10:$B$14&lt;=DO253)/($C$10:$C$14&gt;=DO253),$D$10:$D$14)&lt;&gt;DM257,LOOKUP(2,1/($B$6:$B$7&lt;=DO253)/($C$6:$C$7&gt;=DO253),$D$6:$D$7)&lt;&gt;DO257),"FAIL","PASS")</f>
        <v>PASS</v>
      </c>
      <c r="DP254" s="134" t="s">
        <v>162</v>
      </c>
      <c r="DQ254" s="134" t="s">
        <v>162</v>
      </c>
      <c r="DR254" s="134"/>
      <c r="DS254" s="133"/>
      <c r="DT254" s="133"/>
      <c r="DU254" s="133"/>
      <c r="DV254" s="133"/>
      <c r="DW254" s="133"/>
      <c r="DX254" s="133"/>
      <c r="DY254" s="133"/>
      <c r="DZ254" s="133"/>
      <c r="EA254" s="133"/>
    </row>
    <row r="255" spans="10:131" x14ac:dyDescent="0.25">
      <c r="J255" s="86" t="str" cm="1">
        <f t="array" ref="J255">LOOKUP(2,1/($G$17:$G$33&lt;=$L255)/($H$17:$H$33&gt;=$L255),$F$17:$F$33)</f>
        <v>1H20</v>
      </c>
      <c r="K255" s="86" t="str" cm="1">
        <f t="array" ref="K255">LOOKUP(2,1/($G$6:$G$14&lt;=$L255)/($H$6:$H$14&gt;=$L255),$F$6:$F$14)</f>
        <v>FY20</v>
      </c>
      <c r="L255" s="118">
        <v>43720</v>
      </c>
      <c r="M255" s="49">
        <v>124361859</v>
      </c>
      <c r="N255" s="49">
        <v>149520263</v>
      </c>
      <c r="O255" s="50">
        <v>100000000</v>
      </c>
      <c r="P255" s="119" cm="1">
        <f t="array" ref="P255">LOOKUP(2,1/($B$10:$B$14&lt;=$L255)/($C$10:$C$14&gt;=$L255),$D$10:$D$14)</f>
        <v>1.1000000000000001</v>
      </c>
      <c r="Q255" s="120" cm="1">
        <f t="array" ref="Q255">LOOKUP(2,1/($B$17:$B$21&lt;=$L255)/($C$17:$C$21&gt;=$L255),$D$17:$D$21)</f>
        <v>134.49039999999999</v>
      </c>
      <c r="R255" s="113" t="str">
        <f t="shared" si="232"/>
        <v/>
      </c>
      <c r="S255" s="113" t="str">
        <f t="shared" si="233"/>
        <v>1H20</v>
      </c>
      <c r="T255" s="113" t="str">
        <f t="shared" ca="1" si="234"/>
        <v/>
      </c>
      <c r="U255" s="113" t="str">
        <f t="shared" si="235"/>
        <v/>
      </c>
      <c r="V255" s="113" t="str">
        <f t="shared" si="218"/>
        <v>FY20</v>
      </c>
      <c r="W255" s="113" t="str">
        <f t="shared" ca="1" si="219"/>
        <v/>
      </c>
      <c r="X255" s="50"/>
      <c r="AC255" s="225">
        <v>69088000</v>
      </c>
      <c r="AT255" s="50"/>
      <c r="BH255" s="50"/>
      <c r="CA255" s="50"/>
      <c r="CQ255" s="50"/>
      <c r="DK255" s="50"/>
      <c r="DL255" s="114" t="s">
        <v>165</v>
      </c>
      <c r="DM255" s="115">
        <v>44819</v>
      </c>
      <c r="DN255" s="114" t="s">
        <v>166</v>
      </c>
      <c r="DO255" s="115">
        <v>44926</v>
      </c>
      <c r="DP255" s="135">
        <v>1.35</v>
      </c>
      <c r="DQ255" s="135">
        <v>1.3</v>
      </c>
      <c r="DR255" s="134"/>
      <c r="DT255" s="136" t="s">
        <v>167</v>
      </c>
      <c r="DU255" s="137"/>
      <c r="DV255" s="137"/>
      <c r="DW255" s="137"/>
      <c r="DX255" s="138"/>
      <c r="DY255" s="137"/>
      <c r="DZ255" s="137"/>
      <c r="EA255" s="139"/>
    </row>
    <row r="256" spans="10:131" x14ac:dyDescent="0.25">
      <c r="J256" s="86" t="str" cm="1">
        <f t="array" ref="J256">LOOKUP(2,1/($G$17:$G$33&lt;=$L256)/($H$17:$H$33&gt;=$L256),$F$17:$F$33)</f>
        <v>1H20</v>
      </c>
      <c r="K256" s="86" t="str" cm="1">
        <f t="array" ref="K256">LOOKUP(2,1/($G$6:$G$14&lt;=$L256)/($H$6:$H$14&gt;=$L256),$F$6:$F$14)</f>
        <v>FY20</v>
      </c>
      <c r="L256" s="118">
        <v>43713</v>
      </c>
      <c r="M256" s="49">
        <v>82565533</v>
      </c>
      <c r="N256" s="49">
        <v>99268540</v>
      </c>
      <c r="O256" s="50">
        <v>80000000</v>
      </c>
      <c r="P256" s="119" cm="1">
        <f t="array" ref="P256">LOOKUP(2,1/($B$10:$B$14&lt;=$L256)/($C$10:$C$14&gt;=$L256),$D$10:$D$14)</f>
        <v>1.1000000000000001</v>
      </c>
      <c r="Q256" s="120" cm="1">
        <f t="array" ref="Q256">LOOKUP(2,1/($B$17:$B$21&lt;=$L256)/($C$17:$C$21&gt;=$L256),$D$17:$D$21)</f>
        <v>134.49039999999999</v>
      </c>
      <c r="R256" s="113" t="str">
        <f t="shared" si="232"/>
        <v/>
      </c>
      <c r="S256" s="113" t="str">
        <f t="shared" si="233"/>
        <v>1H20</v>
      </c>
      <c r="T256" s="113" t="str">
        <f t="shared" ca="1" si="234"/>
        <v/>
      </c>
      <c r="U256" s="113" t="str">
        <f t="shared" si="235"/>
        <v/>
      </c>
      <c r="V256" s="113" t="str">
        <f t="shared" si="218"/>
        <v>FY20</v>
      </c>
      <c r="W256" s="113" t="str">
        <f t="shared" ca="1" si="219"/>
        <v/>
      </c>
      <c r="X256" s="50"/>
      <c r="AC256" s="225">
        <v>74314500</v>
      </c>
      <c r="AT256" s="50"/>
      <c r="BH256" s="50"/>
      <c r="CA256" s="50"/>
      <c r="CQ256" s="50"/>
      <c r="DK256" s="50"/>
      <c r="DL256" s="114" t="s">
        <v>91</v>
      </c>
      <c r="DM256" s="135" t="s">
        <v>235</v>
      </c>
      <c r="DN256" s="114" t="s">
        <v>76</v>
      </c>
      <c r="DO256" s="135" t="s">
        <v>235</v>
      </c>
      <c r="DP256" s="140"/>
      <c r="DQ256" s="140"/>
      <c r="DR256" s="140"/>
      <c r="DT256" s="141" t="s">
        <v>168</v>
      </c>
      <c r="DU256" s="141"/>
      <c r="DV256" s="142"/>
      <c r="DW256" s="142"/>
      <c r="DX256" s="143" t="s">
        <v>15</v>
      </c>
      <c r="DY256" s="142"/>
      <c r="DZ256" s="142"/>
      <c r="EA256" s="144" t="s">
        <v>139</v>
      </c>
    </row>
    <row r="257" spans="10:131" x14ac:dyDescent="0.25">
      <c r="J257" s="86" t="str" cm="1">
        <f t="array" ref="J257">LOOKUP(2,1/($G$17:$G$33&lt;=$L257)/($H$17:$H$33&gt;=$L257),$F$17:$F$33)</f>
        <v>1H20</v>
      </c>
      <c r="K257" s="86" t="str" cm="1">
        <f t="array" ref="K257">LOOKUP(2,1/($G$6:$G$14&lt;=$L257)/($H$6:$H$14&gt;=$L257),$F$6:$F$14)</f>
        <v>FY20</v>
      </c>
      <c r="L257" s="118">
        <v>43706</v>
      </c>
      <c r="M257" s="49">
        <v>55027958</v>
      </c>
      <c r="N257" s="49">
        <v>66160114</v>
      </c>
      <c r="O257" s="50">
        <v>60000000</v>
      </c>
      <c r="P257" s="119" cm="1">
        <f t="array" ref="P257">LOOKUP(2,1/($B$10:$B$14&lt;=$L257)/($C$10:$C$14&gt;=$L257),$D$10:$D$14)</f>
        <v>1.1000000000000001</v>
      </c>
      <c r="Q257" s="120" cm="1">
        <f t="array" ref="Q257">LOOKUP(2,1/($B$17:$B$21&lt;=$L257)/($C$17:$C$21&gt;=$L257),$D$17:$D$21)</f>
        <v>134.49039999999999</v>
      </c>
      <c r="R257" s="113" t="str">
        <f t="shared" si="232"/>
        <v/>
      </c>
      <c r="S257" s="113" t="str">
        <f t="shared" si="233"/>
        <v>1H20</v>
      </c>
      <c r="T257" s="113" t="str">
        <f t="shared" ca="1" si="234"/>
        <v/>
      </c>
      <c r="U257" s="113" t="str">
        <f t="shared" si="235"/>
        <v/>
      </c>
      <c r="V257" s="113" t="str">
        <f t="shared" si="218"/>
        <v>FY20</v>
      </c>
      <c r="W257" s="113" t="str">
        <f t="shared" ca="1" si="219"/>
        <v/>
      </c>
      <c r="X257" s="50"/>
      <c r="AC257" s="225">
        <v>79541000</v>
      </c>
      <c r="AT257" s="50"/>
      <c r="BH257" s="50"/>
      <c r="CA257" s="50"/>
      <c r="CQ257" s="50"/>
      <c r="DK257" s="50"/>
      <c r="DL257" s="114" t="s">
        <v>169</v>
      </c>
      <c r="DM257" s="119" cm="1">
        <f t="array" ref="DM257">LOOKUP(2,1/($B$10:$B$14&lt;=DM253)/($C$10:$C$14&gt;=DM253),$D$10:$D$14)</f>
        <v>1.1000000000000001</v>
      </c>
      <c r="DN257" s="114" t="s">
        <v>149</v>
      </c>
      <c r="DO257" s="152" cm="1">
        <f t="array" ref="DO257">LOOKUP(2,1/($B$6:$B$7&lt;=DM253)/($C$6:$C$7&gt;=DM253),$D$6:$D$7)</f>
        <v>0.10299999999999999</v>
      </c>
      <c r="DP257" s="152" t="s">
        <v>170</v>
      </c>
      <c r="DQ257" s="152" t="s">
        <v>171</v>
      </c>
      <c r="DR257" s="152"/>
      <c r="DT257" s="153" t="s">
        <v>165</v>
      </c>
      <c r="DU257" s="148">
        <f>DM255</f>
        <v>44819</v>
      </c>
      <c r="DV257" s="154"/>
      <c r="DW257" s="154"/>
      <c r="DX257" s="155">
        <f t="shared" ref="DX257:DX266" si="247">DM260/1000000</f>
        <v>8</v>
      </c>
      <c r="DY257" s="154"/>
      <c r="DZ257" s="154"/>
      <c r="EA257" s="156">
        <f t="shared" ref="EA257:EA266" si="248">MAX(DN260:DO260)/1000000</f>
        <v>25.438434166666667</v>
      </c>
    </row>
    <row r="258" spans="10:131" x14ac:dyDescent="0.25">
      <c r="J258" s="86" t="str" cm="1">
        <f t="array" ref="J258">LOOKUP(2,1/($G$17:$G$33&lt;=$L258)/($H$17:$H$33&gt;=$L258),$F$17:$F$33)</f>
        <v>1H20</v>
      </c>
      <c r="K258" s="86" t="str" cm="1">
        <f t="array" ref="K258">LOOKUP(2,1/($G$6:$G$14&lt;=$L258)/($H$6:$H$14&gt;=$L258),$F$6:$F$14)</f>
        <v>FY20</v>
      </c>
      <c r="L258" s="118">
        <v>43699</v>
      </c>
      <c r="M258" s="49">
        <v>39864963</v>
      </c>
      <c r="N258" s="49">
        <v>47929645</v>
      </c>
      <c r="O258" s="50">
        <v>40000000</v>
      </c>
      <c r="P258" s="119" cm="1">
        <f t="array" ref="P258">LOOKUP(2,1/($B$10:$B$14&lt;=$L258)/($C$10:$C$14&gt;=$L258),$D$10:$D$14)</f>
        <v>1.1000000000000001</v>
      </c>
      <c r="Q258" s="120" cm="1">
        <f t="array" ref="Q258">LOOKUP(2,1/($B$17:$B$21&lt;=$L258)/($C$17:$C$21&gt;=$L258),$D$17:$D$21)</f>
        <v>134.49039999999999</v>
      </c>
      <c r="R258" s="113" t="str">
        <f t="shared" si="232"/>
        <v/>
      </c>
      <c r="S258" s="113" t="str">
        <f t="shared" si="233"/>
        <v>1H20</v>
      </c>
      <c r="T258" s="113" t="str">
        <f t="shared" ca="1" si="234"/>
        <v/>
      </c>
      <c r="U258" s="113" t="str">
        <f t="shared" si="235"/>
        <v/>
      </c>
      <c r="V258" s="113" t="str">
        <f t="shared" si="218"/>
        <v>FY20</v>
      </c>
      <c r="W258" s="113" t="str">
        <f t="shared" ca="1" si="219"/>
        <v/>
      </c>
      <c r="X258" s="50"/>
      <c r="AC258" s="225">
        <v>84767500</v>
      </c>
      <c r="AT258" s="50"/>
      <c r="BH258" s="50"/>
      <c r="CA258" s="50"/>
      <c r="CQ258" s="50"/>
      <c r="DK258" s="50"/>
      <c r="DL258" s="114" t="s">
        <v>172</v>
      </c>
      <c r="DM258" s="119" cm="1">
        <f t="array" ref="DM258">LOOKUP(2,1/($B$17:$B$21&lt;=DM253)/($C$17:$C$21&gt;=DM253),$D$17:$D$21)</f>
        <v>134.49039999999999</v>
      </c>
      <c r="DN258" s="114" t="s">
        <v>0</v>
      </c>
      <c r="DO258" s="135">
        <v>1</v>
      </c>
      <c r="DP258" s="162">
        <v>1</v>
      </c>
      <c r="DQ258" s="162">
        <f>1-DP258</f>
        <v>0</v>
      </c>
      <c r="DR258" s="163"/>
      <c r="DT258" s="153" t="s">
        <v>166</v>
      </c>
      <c r="DU258" s="158">
        <f>DO255</f>
        <v>44926</v>
      </c>
      <c r="DV258" s="154"/>
      <c r="DW258" s="154"/>
      <c r="DX258" s="155">
        <f t="shared" si="247"/>
        <v>20</v>
      </c>
      <c r="DY258" s="154"/>
      <c r="DZ258" s="154"/>
      <c r="EA258" s="156">
        <f t="shared" si="248"/>
        <v>39.7435452</v>
      </c>
    </row>
    <row r="259" spans="10:131" x14ac:dyDescent="0.25">
      <c r="J259" s="86" t="str" cm="1">
        <f t="array" ref="J259">LOOKUP(2,1/($G$17:$G$33&lt;=$L259)/($H$17:$H$33&gt;=$L259),$F$17:$F$33)</f>
        <v>1H20</v>
      </c>
      <c r="K259" s="86" t="str" cm="1">
        <f t="array" ref="K259">LOOKUP(2,1/($G$6:$G$14&lt;=$L259)/($H$6:$H$14&gt;=$L259),$F$6:$F$14)</f>
        <v>FY20</v>
      </c>
      <c r="L259" s="118">
        <v>43692</v>
      </c>
      <c r="M259" s="49">
        <v>29967447</v>
      </c>
      <c r="N259" s="49">
        <v>36029862</v>
      </c>
      <c r="O259" s="50">
        <v>20000000</v>
      </c>
      <c r="P259" s="119" cm="1">
        <f t="array" ref="P259">LOOKUP(2,1/($B$10:$B$14&lt;=$L259)/($C$10:$C$14&gt;=$L259),$D$10:$D$14)</f>
        <v>1.1000000000000001</v>
      </c>
      <c r="Q259" s="120" cm="1">
        <f t="array" ref="Q259">LOOKUP(2,1/($B$17:$B$21&lt;=$L259)/($C$17:$C$21&gt;=$L259),$D$17:$D$21)</f>
        <v>134.49039999999999</v>
      </c>
      <c r="R259" s="113" t="str">
        <f t="shared" si="232"/>
        <v/>
      </c>
      <c r="S259" s="113" t="str">
        <f t="shared" si="233"/>
        <v>1H20</v>
      </c>
      <c r="T259" s="113" t="str">
        <f t="shared" ca="1" si="234"/>
        <v/>
      </c>
      <c r="U259" s="113" t="str">
        <f t="shared" si="235"/>
        <v/>
      </c>
      <c r="V259" s="113" t="str">
        <f t="shared" si="218"/>
        <v>FY20</v>
      </c>
      <c r="W259" s="113" t="str">
        <f t="shared" ca="1" si="219"/>
        <v/>
      </c>
      <c r="X259" s="50"/>
      <c r="AC259" s="225">
        <v>100447000</v>
      </c>
      <c r="AT259" s="50"/>
      <c r="BH259" s="50"/>
      <c r="CA259" s="50"/>
      <c r="CQ259" s="50"/>
      <c r="DK259" s="50"/>
      <c r="DL259" s="111" t="s">
        <v>174</v>
      </c>
      <c r="DM259" s="111" t="s">
        <v>175</v>
      </c>
      <c r="DN259" s="111" t="s">
        <v>176</v>
      </c>
      <c r="DO259" s="111" t="s">
        <v>177</v>
      </c>
      <c r="DP259" s="111" t="s">
        <v>178</v>
      </c>
      <c r="DQ259" s="111" t="s">
        <v>179</v>
      </c>
      <c r="DR259" s="111" t="s">
        <v>180</v>
      </c>
      <c r="DT259" s="153" t="s">
        <v>169</v>
      </c>
      <c r="DU259" s="165">
        <f>DM257</f>
        <v>1.1000000000000001</v>
      </c>
      <c r="DV259" s="154"/>
      <c r="DW259" s="154"/>
      <c r="DX259" s="155">
        <f t="shared" si="247"/>
        <v>30</v>
      </c>
      <c r="DY259" s="154"/>
      <c r="DZ259" s="154"/>
      <c r="EA259" s="156">
        <f t="shared" si="248"/>
        <v>49.514571333333336</v>
      </c>
    </row>
    <row r="260" spans="10:131" x14ac:dyDescent="0.25">
      <c r="J260" s="86" t="str" cm="1">
        <f t="array" ref="J260">LOOKUP(2,1/($G$17:$G$33&lt;=$L260)/($H$17:$H$33&gt;=$L260),$F$17:$F$33)</f>
        <v>1H20</v>
      </c>
      <c r="K260" s="86" t="str" cm="1">
        <f t="array" ref="K260">LOOKUP(2,1/($G$6:$G$14&lt;=$L260)/($H$6:$H$14&gt;=$L260),$F$6:$F$14)</f>
        <v>FY20</v>
      </c>
      <c r="L260" s="118">
        <v>43685</v>
      </c>
      <c r="M260" s="49">
        <v>22977947</v>
      </c>
      <c r="N260" s="49">
        <v>27626386</v>
      </c>
      <c r="O260" s="50">
        <v>12000000</v>
      </c>
      <c r="P260" s="119" cm="1">
        <f t="array" ref="P260">LOOKUP(2,1/($B$10:$B$14&lt;=$L260)/($C$10:$C$14&gt;=$L260),$D$10:$D$14)</f>
        <v>1.1000000000000001</v>
      </c>
      <c r="Q260" s="120" cm="1">
        <f t="array" ref="Q260">LOOKUP(2,1/($B$17:$B$21&lt;=$L260)/($C$17:$C$21&gt;=$L260),$D$17:$D$21)</f>
        <v>134.49039999999999</v>
      </c>
      <c r="R260" s="113" t="str">
        <f t="shared" si="232"/>
        <v/>
      </c>
      <c r="S260" s="113" t="str">
        <f t="shared" si="233"/>
        <v>1H20</v>
      </c>
      <c r="T260" s="113" t="str">
        <f t="shared" ca="1" si="234"/>
        <v/>
      </c>
      <c r="U260" s="113" t="str">
        <f t="shared" si="235"/>
        <v/>
      </c>
      <c r="V260" s="113" t="str">
        <f t="shared" si="218"/>
        <v>FY20</v>
      </c>
      <c r="W260" s="113" t="str">
        <f t="shared" ca="1" si="219"/>
        <v/>
      </c>
      <c r="X260" s="50"/>
      <c r="AC260" s="225">
        <v>121353000</v>
      </c>
      <c r="AT260" s="50"/>
      <c r="BH260" s="50"/>
      <c r="CA260" s="50"/>
      <c r="CQ260" s="50"/>
      <c r="DK260" s="50"/>
      <c r="DL260" s="146">
        <v>1</v>
      </c>
      <c r="DM260" s="166">
        <v>8000000</v>
      </c>
      <c r="DN260" s="168">
        <f t="shared" ref="DN260:DN265" si="249">AVERAGEIFS($M:$M,$L:$L,"&gt;="&amp;DM$253,$L:$L,"&lt;="&amp;DO$253,$O:$O,"="&amp;DM260)*DO$258</f>
        <v>25438434.166666668</v>
      </c>
      <c r="DO260" s="168"/>
      <c r="DP260" s="168"/>
      <c r="DQ260" s="168"/>
      <c r="DR260" s="167">
        <f t="shared" ref="DR260:DR265" si="250">COUNTIFS($L:$L,"&gt;="&amp;DM$253,$L:$L,"&lt;="&amp;DO$253,$O:$O,"="&amp;DM260)</f>
        <v>12</v>
      </c>
      <c r="DT260" s="153" t="s">
        <v>149</v>
      </c>
      <c r="DU260" s="169">
        <f>DO257</f>
        <v>0.10299999999999999</v>
      </c>
      <c r="DV260" s="154"/>
      <c r="DW260" s="154"/>
      <c r="DX260" s="155">
        <f t="shared" si="247"/>
        <v>50</v>
      </c>
      <c r="DY260" s="154"/>
      <c r="DZ260" s="154"/>
      <c r="EA260" s="156">
        <f t="shared" si="248"/>
        <v>74.897735999999995</v>
      </c>
    </row>
    <row r="261" spans="10:131" x14ac:dyDescent="0.25">
      <c r="J261" s="86" t="str" cm="1">
        <f t="array" ref="J261">LOOKUP(2,1/($G$17:$G$33&lt;=$L261)/($H$17:$H$33&gt;=$L261),$F$17:$F$33)</f>
        <v>1H20</v>
      </c>
      <c r="K261" s="86" t="str" cm="1">
        <f t="array" ref="K261">LOOKUP(2,1/($G$6:$G$14&lt;=$L261)/($H$6:$H$14&gt;=$L261),$F$6:$F$14)</f>
        <v>FY20</v>
      </c>
      <c r="L261" s="118">
        <v>43678</v>
      </c>
      <c r="M261" s="49">
        <v>17621574</v>
      </c>
      <c r="N261" s="49">
        <v>21186418</v>
      </c>
      <c r="O261" s="50">
        <v>8000000</v>
      </c>
      <c r="P261" s="119" cm="1">
        <f t="array" ref="P261">LOOKUP(2,1/($B$10:$B$14&lt;=$L261)/($C$10:$C$14&gt;=$L261),$D$10:$D$14)</f>
        <v>1.1000000000000001</v>
      </c>
      <c r="Q261" s="120" cm="1">
        <f t="array" ref="Q261">LOOKUP(2,1/($B$17:$B$21&lt;=$L261)/($C$17:$C$21&gt;=$L261),$D$17:$D$21)</f>
        <v>134.49039999999999</v>
      </c>
      <c r="R261" s="113" t="str">
        <f t="shared" si="232"/>
        <v/>
      </c>
      <c r="S261" s="113" t="str">
        <f t="shared" si="233"/>
        <v>1H20</v>
      </c>
      <c r="T261" s="113" t="str">
        <f t="shared" ca="1" si="234"/>
        <v/>
      </c>
      <c r="U261" s="113" t="str">
        <f t="shared" si="235"/>
        <v/>
      </c>
      <c r="V261" s="113" t="str">
        <f t="shared" ref="V261:V324" si="251">IF($O260&lt;$O261,$K261,V260)</f>
        <v>FY20</v>
      </c>
      <c r="W261" s="113" t="str">
        <f t="shared" ca="1" si="219"/>
        <v/>
      </c>
      <c r="X261" s="50"/>
      <c r="AC261" s="225">
        <v>142259000</v>
      </c>
      <c r="AT261" s="50"/>
      <c r="BH261" s="50"/>
      <c r="CA261" s="50"/>
      <c r="CQ261" s="50"/>
      <c r="DK261" s="50"/>
      <c r="DL261" s="146">
        <v>2</v>
      </c>
      <c r="DM261" s="166">
        <v>20000000</v>
      </c>
      <c r="DN261" s="168">
        <f t="shared" si="249"/>
        <v>39743545.200000003</v>
      </c>
      <c r="DR261" s="167">
        <f t="shared" si="250"/>
        <v>10</v>
      </c>
      <c r="DT261" s="153" t="s">
        <v>172</v>
      </c>
      <c r="DU261" s="170">
        <f>DM258</f>
        <v>134.49039999999999</v>
      </c>
      <c r="DV261" s="154"/>
      <c r="DW261" s="154"/>
      <c r="DX261" s="155">
        <f t="shared" si="247"/>
        <v>100</v>
      </c>
      <c r="DY261" s="154"/>
      <c r="DZ261" s="154"/>
      <c r="EA261" s="156">
        <f t="shared" si="248"/>
        <v>177.62625</v>
      </c>
    </row>
    <row r="262" spans="10:131" x14ac:dyDescent="0.25">
      <c r="J262" s="86" t="str" cm="1">
        <f t="array" ref="J262">LOOKUP(2,1/($G$17:$G$33&lt;=$L262)/($H$17:$H$33&gt;=$L262),$F$17:$F$33)</f>
        <v>1H20</v>
      </c>
      <c r="K262" s="86" t="str" cm="1">
        <f t="array" ref="K262">LOOKUP(2,1/($G$6:$G$14&lt;=$L262)/($H$6:$H$14&gt;=$L262),$F$6:$F$14)</f>
        <v>FY20</v>
      </c>
      <c r="L262" s="118">
        <v>43671</v>
      </c>
      <c r="M262" s="49">
        <v>14254130</v>
      </c>
      <c r="N262" s="49">
        <v>17137741</v>
      </c>
      <c r="O262" s="50">
        <v>3000000</v>
      </c>
      <c r="P262" s="119" cm="1">
        <f t="array" ref="P262">LOOKUP(2,1/($B$10:$B$14&lt;=$L262)/($C$10:$C$14&gt;=$L262),$D$10:$D$14)</f>
        <v>1.1000000000000001</v>
      </c>
      <c r="Q262" s="120" cm="1">
        <f t="array" ref="Q262">LOOKUP(2,1/($B$17:$B$21&lt;=$L262)/($C$17:$C$21&gt;=$L262),$D$17:$D$21)</f>
        <v>134.49039999999999</v>
      </c>
      <c r="R262" s="113" t="str">
        <f t="shared" si="232"/>
        <v/>
      </c>
      <c r="S262" s="113" t="str">
        <f t="shared" si="233"/>
        <v>1H20</v>
      </c>
      <c r="T262" s="113" t="str">
        <f t="shared" ca="1" si="234"/>
        <v/>
      </c>
      <c r="U262" s="113" t="str">
        <f t="shared" si="235"/>
        <v/>
      </c>
      <c r="V262" s="113" t="str">
        <f t="shared" si="251"/>
        <v>FY20</v>
      </c>
      <c r="W262" s="113" t="str">
        <f t="shared" ref="W262:W325" ca="1" si="252">IF(AND(V262&lt;&gt;V261,ISNUMBER(MATCH($V261,$F$6:$F$14,0))),OFFSET($F$5,MATCH($K262,$F$6:$F$14,0)+1,0),"")</f>
        <v/>
      </c>
      <c r="X262" s="50"/>
      <c r="AC262" s="225">
        <v>173618000</v>
      </c>
      <c r="AT262" s="50"/>
      <c r="BH262" s="50"/>
      <c r="CA262" s="50"/>
      <c r="CQ262" s="50"/>
      <c r="DK262" s="50"/>
      <c r="DL262" s="146">
        <v>3</v>
      </c>
      <c r="DM262" s="166">
        <v>30000000</v>
      </c>
      <c r="DN262" s="168">
        <f t="shared" si="249"/>
        <v>49514571.333333336</v>
      </c>
      <c r="DR262" s="167">
        <f t="shared" si="250"/>
        <v>3</v>
      </c>
      <c r="DT262" s="171"/>
      <c r="DV262" s="154"/>
      <c r="DW262" s="154"/>
      <c r="DX262" s="155">
        <f t="shared" si="247"/>
        <v>160</v>
      </c>
      <c r="DY262" s="154"/>
      <c r="DZ262" s="154"/>
      <c r="EA262" s="156">
        <f t="shared" si="248"/>
        <v>284.83741400000002</v>
      </c>
    </row>
    <row r="263" spans="10:131" x14ac:dyDescent="0.25">
      <c r="J263" s="86" t="str" cm="1">
        <f t="array" ref="J263">LOOKUP(2,1/($G$17:$G$33&lt;=$L263)/($H$17:$H$33&gt;=$L263),$F$17:$F$33)</f>
        <v>1H20</v>
      </c>
      <c r="K263" s="86" t="str" cm="1">
        <f t="array" ref="K263">LOOKUP(2,1/($G$6:$G$14&lt;=$L263)/($H$6:$H$14&gt;=$L263),$F$6:$F$14)</f>
        <v>FY20</v>
      </c>
      <c r="L263" s="118">
        <v>43664</v>
      </c>
      <c r="M263" s="49">
        <v>149659729</v>
      </c>
      <c r="N263" s="49">
        <v>179935892</v>
      </c>
      <c r="O263" s="50">
        <v>110000000</v>
      </c>
      <c r="P263" s="119" cm="1">
        <f t="array" ref="P263">LOOKUP(2,1/($B$10:$B$14&lt;=$L263)/($C$10:$C$14&gt;=$L263),$D$10:$D$14)</f>
        <v>1.1000000000000001</v>
      </c>
      <c r="Q263" s="120" cm="1">
        <f t="array" ref="Q263">LOOKUP(2,1/($B$17:$B$21&lt;=$L263)/($C$17:$C$21&gt;=$L263),$D$17:$D$21)</f>
        <v>134.49039999999999</v>
      </c>
      <c r="R263" s="113" t="str">
        <f t="shared" si="232"/>
        <v/>
      </c>
      <c r="S263" s="113" t="str">
        <f t="shared" si="233"/>
        <v>1H20</v>
      </c>
      <c r="T263" s="113" t="str">
        <f t="shared" ca="1" si="234"/>
        <v/>
      </c>
      <c r="U263" s="113" t="str">
        <f t="shared" si="235"/>
        <v/>
      </c>
      <c r="V263" s="113" t="str">
        <f t="shared" si="251"/>
        <v>FY20</v>
      </c>
      <c r="W263" s="113" t="str">
        <f t="shared" ca="1" si="252"/>
        <v/>
      </c>
      <c r="X263" s="50"/>
      <c r="AC263" s="225">
        <v>184071000</v>
      </c>
      <c r="AT263" s="50"/>
      <c r="BH263" s="50"/>
      <c r="CA263" s="50"/>
      <c r="CQ263" s="50"/>
      <c r="DK263" s="50"/>
      <c r="DL263" s="146">
        <v>4</v>
      </c>
      <c r="DM263" s="166">
        <v>50000000</v>
      </c>
      <c r="DN263" s="168">
        <f t="shared" si="249"/>
        <v>74897736</v>
      </c>
      <c r="DR263" s="167">
        <f t="shared" si="250"/>
        <v>3</v>
      </c>
      <c r="DT263" s="153" t="s">
        <v>91</v>
      </c>
      <c r="DU263" s="155" t="e">
        <f>DM256/1000000</f>
        <v>#VALUE!</v>
      </c>
      <c r="DV263" s="154"/>
      <c r="DW263" s="154"/>
      <c r="DX263" s="155">
        <f t="shared" si="247"/>
        <v>200</v>
      </c>
      <c r="DY263" s="154"/>
      <c r="DZ263" s="154"/>
      <c r="EA263" s="156">
        <f t="shared" si="248"/>
        <v>333.28125</v>
      </c>
    </row>
    <row r="264" spans="10:131" x14ac:dyDescent="0.25">
      <c r="J264" s="86" t="str" cm="1">
        <f t="array" ref="J264">LOOKUP(2,1/($G$17:$G$33&lt;=$L264)/($H$17:$H$33&gt;=$L264),$F$17:$F$33)</f>
        <v>1H20</v>
      </c>
      <c r="K264" s="86" t="str" cm="1">
        <f t="array" ref="K264">LOOKUP(2,1/($G$6:$G$14&lt;=$L264)/($H$6:$H$14&gt;=$L264),$F$6:$F$14)</f>
        <v>FY20</v>
      </c>
      <c r="L264" s="118">
        <v>43657</v>
      </c>
      <c r="M264" s="49">
        <v>73766786</v>
      </c>
      <c r="N264" s="49">
        <v>88689807</v>
      </c>
      <c r="O264" s="50">
        <v>80000000</v>
      </c>
      <c r="P264" s="119" cm="1">
        <f t="array" ref="P264">LOOKUP(2,1/($B$10:$B$14&lt;=$L264)/($C$10:$C$14&gt;=$L264),$D$10:$D$14)</f>
        <v>1.1000000000000001</v>
      </c>
      <c r="Q264" s="120" cm="1">
        <f t="array" ref="Q264">LOOKUP(2,1/($B$17:$B$21&lt;=$L264)/($C$17:$C$21&gt;=$L264),$D$17:$D$21)</f>
        <v>134.49039999999999</v>
      </c>
      <c r="R264" s="113" t="str">
        <f t="shared" si="232"/>
        <v/>
      </c>
      <c r="S264" s="113" t="str">
        <f t="shared" si="233"/>
        <v>1H20</v>
      </c>
      <c r="T264" s="113" t="str">
        <f t="shared" ca="1" si="234"/>
        <v/>
      </c>
      <c r="U264" s="113" t="str">
        <f t="shared" si="235"/>
        <v/>
      </c>
      <c r="V264" s="113" t="str">
        <f t="shared" si="251"/>
        <v>FY20</v>
      </c>
      <c r="W264" s="113" t="str">
        <f t="shared" ca="1" si="252"/>
        <v/>
      </c>
      <c r="X264" s="50"/>
      <c r="AC264" s="225">
        <v>225883000</v>
      </c>
      <c r="AT264" s="50"/>
      <c r="BH264" s="50"/>
      <c r="CA264" s="50"/>
      <c r="CQ264" s="50"/>
      <c r="DK264" s="50"/>
      <c r="DL264" s="146">
        <v>5</v>
      </c>
      <c r="DM264" s="166">
        <v>100000000</v>
      </c>
      <c r="DN264" s="168">
        <f t="shared" si="249"/>
        <v>160319658.5</v>
      </c>
      <c r="DO264" s="173">
        <f t="shared" ref="DO264:DO269" si="253">IF($DM264&gt;=100000000,$DP$255*DP$258*DP264+$DQ$255*DQ$258*DQ264,DP$258*DP264+DQ$258*DQ264)*DO$258</f>
        <v>177626250</v>
      </c>
      <c r="DP264" s="145">
        <v>131574999.99999999</v>
      </c>
      <c r="DQ264" s="145"/>
      <c r="DR264" s="167">
        <f t="shared" si="250"/>
        <v>2</v>
      </c>
      <c r="DT264" s="172"/>
      <c r="DU264" s="2"/>
      <c r="DV264" s="154"/>
      <c r="DW264" s="154"/>
      <c r="DX264" s="155">
        <f t="shared" si="247"/>
        <v>250</v>
      </c>
      <c r="DY264" s="154"/>
      <c r="DZ264" s="154"/>
      <c r="EA264" s="156">
        <f t="shared" si="248"/>
        <v>411.10874999999999</v>
      </c>
    </row>
    <row r="265" spans="10:131" x14ac:dyDescent="0.25">
      <c r="J265" s="86" t="str" cm="1">
        <f t="array" ref="J265">LOOKUP(2,1/($G$17:$G$33&lt;=$L265)/($H$17:$H$33&gt;=$L265),$F$17:$F$33)</f>
        <v>1H20</v>
      </c>
      <c r="K265" s="86" t="str" cm="1">
        <f t="array" ref="K265">LOOKUP(2,1/($G$6:$G$14&lt;=$L265)/($H$6:$H$14&gt;=$L265),$F$6:$F$14)</f>
        <v>FY20</v>
      </c>
      <c r="L265" s="118">
        <v>43650</v>
      </c>
      <c r="M265" s="49">
        <v>52868605</v>
      </c>
      <c r="N265" s="49">
        <v>63563924</v>
      </c>
      <c r="O265" s="50">
        <v>60000000</v>
      </c>
      <c r="P265" s="119" cm="1">
        <f t="array" ref="P265">LOOKUP(2,1/($B$10:$B$14&lt;=$L265)/($C$10:$C$14&gt;=$L265),$D$10:$D$14)</f>
        <v>1.1000000000000001</v>
      </c>
      <c r="Q265" s="120" cm="1">
        <f t="array" ref="Q265">LOOKUP(2,1/($B$17:$B$21&lt;=$L265)/($C$17:$C$21&gt;=$L265),$D$17:$D$21)</f>
        <v>134.49039999999999</v>
      </c>
      <c r="R265" s="113" t="str">
        <f t="shared" si="232"/>
        <v>1H20</v>
      </c>
      <c r="S265" s="113" t="str">
        <f t="shared" si="233"/>
        <v>1H20</v>
      </c>
      <c r="T265" s="113" t="str">
        <f t="shared" ca="1" si="234"/>
        <v/>
      </c>
      <c r="U265" s="113" t="str">
        <f t="shared" si="235"/>
        <v>FY20</v>
      </c>
      <c r="V265" s="113" t="str">
        <f t="shared" si="251"/>
        <v>FY20</v>
      </c>
      <c r="W265" s="113" t="str">
        <f t="shared" ca="1" si="252"/>
        <v/>
      </c>
      <c r="X265" s="50"/>
      <c r="AC265" s="225">
        <v>246789000</v>
      </c>
      <c r="AT265" s="50"/>
      <c r="BH265" s="50"/>
      <c r="CA265" s="50"/>
      <c r="CQ265" s="50"/>
      <c r="DK265" s="50"/>
      <c r="DL265" s="146">
        <v>6</v>
      </c>
      <c r="DM265" s="166">
        <v>160000000</v>
      </c>
      <c r="DN265" s="168">
        <f t="shared" si="249"/>
        <v>284837414</v>
      </c>
      <c r="DO265" s="173">
        <f t="shared" si="253"/>
        <v>271019250.00000006</v>
      </c>
      <c r="DP265" s="145">
        <v>200755000.00000003</v>
      </c>
      <c r="DQ265" s="145"/>
      <c r="DR265" s="167">
        <f t="shared" si="250"/>
        <v>1</v>
      </c>
      <c r="DT265" s="172" t="s">
        <v>147</v>
      </c>
      <c r="DU265" s="174">
        <f>DM253</f>
        <v>44562</v>
      </c>
      <c r="DV265" s="154"/>
      <c r="DW265" s="154"/>
      <c r="DX265" s="155">
        <f t="shared" si="247"/>
        <v>300</v>
      </c>
      <c r="DY265" s="154"/>
      <c r="DZ265" s="154"/>
      <c r="EA265" s="156">
        <f t="shared" si="248"/>
        <v>488.93625000000009</v>
      </c>
    </row>
    <row r="266" spans="10:131" x14ac:dyDescent="0.25">
      <c r="J266" s="86" t="str" cm="1">
        <f t="array" ref="J266">LOOKUP(2,1/($G$17:$G$33&lt;=$L266)/($H$17:$H$33&gt;=$L266),$F$17:$F$33)</f>
        <v>2H19</v>
      </c>
      <c r="K266" s="86" t="str" cm="1">
        <f t="array" ref="K266">LOOKUP(2,1/($G$6:$G$14&lt;=$L266)/($H$6:$H$14&gt;=$L266),$F$6:$F$14)</f>
        <v>FY19</v>
      </c>
      <c r="L266" s="118">
        <v>43643</v>
      </c>
      <c r="M266" s="49">
        <v>37957463</v>
      </c>
      <c r="N266" s="49">
        <v>45636257</v>
      </c>
      <c r="O266" s="50">
        <v>40000000</v>
      </c>
      <c r="P266" s="119" cm="1">
        <f t="array" ref="P266">LOOKUP(2,1/($B$10:$B$14&lt;=$L266)/($C$10:$C$14&gt;=$L266),$D$10:$D$14)</f>
        <v>1.1000000000000001</v>
      </c>
      <c r="Q266" s="120" cm="1">
        <f t="array" ref="Q266">LOOKUP(2,1/($B$17:$B$21&lt;=$L266)/($C$17:$C$21&gt;=$L266),$D$17:$D$21)</f>
        <v>134.49039999999999</v>
      </c>
      <c r="R266" s="113" t="str">
        <f t="shared" si="232"/>
        <v/>
      </c>
      <c r="S266" s="113" t="str">
        <f t="shared" si="233"/>
        <v>1H20</v>
      </c>
      <c r="T266" s="113" t="str">
        <f t="shared" ca="1" si="234"/>
        <v/>
      </c>
      <c r="U266" s="113" t="str">
        <f t="shared" si="235"/>
        <v/>
      </c>
      <c r="V266" s="113" t="str">
        <f t="shared" si="251"/>
        <v>FY20</v>
      </c>
      <c r="W266" s="113" t="str">
        <f t="shared" ca="1" si="252"/>
        <v/>
      </c>
      <c r="X266" s="50"/>
      <c r="AC266" s="225">
        <v>267695000</v>
      </c>
      <c r="AT266" s="50"/>
      <c r="BH266" s="50"/>
      <c r="CA266" s="50"/>
      <c r="CQ266" s="50"/>
      <c r="DK266" s="50"/>
      <c r="DL266" s="146">
        <v>7</v>
      </c>
      <c r="DM266" s="166">
        <v>200000000</v>
      </c>
      <c r="DN266" s="168"/>
      <c r="DO266" s="173">
        <f t="shared" si="253"/>
        <v>333281250</v>
      </c>
      <c r="DP266" s="145">
        <v>246875000</v>
      </c>
      <c r="DQ266" s="145"/>
      <c r="DR266" s="167"/>
      <c r="DT266" s="172" t="s">
        <v>148</v>
      </c>
      <c r="DU266" s="174">
        <f>DO253</f>
        <v>44926</v>
      </c>
      <c r="DV266" s="154"/>
      <c r="DW266" s="154"/>
      <c r="DX266" s="155">
        <f t="shared" si="247"/>
        <v>350</v>
      </c>
      <c r="DY266" s="154"/>
      <c r="DZ266" s="154"/>
      <c r="EA266" s="156">
        <f t="shared" si="248"/>
        <v>566.76374999999996</v>
      </c>
    </row>
    <row r="267" spans="10:131" x14ac:dyDescent="0.25">
      <c r="J267" s="86" t="str" cm="1">
        <f t="array" ref="J267">LOOKUP(2,1/($G$17:$G$33&lt;=$L267)/($H$17:$H$33&gt;=$L267),$F$17:$F$33)</f>
        <v>2H19</v>
      </c>
      <c r="K267" s="86" t="str" cm="1">
        <f t="array" ref="K267">LOOKUP(2,1/($G$6:$G$14&lt;=$L267)/($H$6:$H$14&gt;=$L267),$F$6:$F$14)</f>
        <v>FY19</v>
      </c>
      <c r="L267" s="118">
        <v>43636</v>
      </c>
      <c r="M267" s="49">
        <v>27826067</v>
      </c>
      <c r="N267" s="49">
        <v>33455281</v>
      </c>
      <c r="O267" s="50">
        <v>30000000</v>
      </c>
      <c r="P267" s="119" cm="1">
        <f t="array" ref="P267">LOOKUP(2,1/($B$10:$B$14&lt;=$L267)/($C$10:$C$14&gt;=$L267),$D$10:$D$14)</f>
        <v>1.1000000000000001</v>
      </c>
      <c r="Q267" s="120" cm="1">
        <f t="array" ref="Q267">LOOKUP(2,1/($B$17:$B$21&lt;=$L267)/($C$17:$C$21&gt;=$L267),$D$17:$D$21)</f>
        <v>134.49039999999999</v>
      </c>
      <c r="R267" s="113" t="str">
        <f t="shared" si="232"/>
        <v/>
      </c>
      <c r="S267" s="113" t="str">
        <f t="shared" si="233"/>
        <v>1H20</v>
      </c>
      <c r="T267" s="113" t="str">
        <f t="shared" ca="1" si="234"/>
        <v/>
      </c>
      <c r="U267" s="113" t="str">
        <f t="shared" si="235"/>
        <v/>
      </c>
      <c r="V267" s="113" t="str">
        <f t="shared" si="251"/>
        <v>FY20</v>
      </c>
      <c r="W267" s="113" t="str">
        <f t="shared" ca="1" si="252"/>
        <v/>
      </c>
      <c r="X267" s="50"/>
      <c r="AC267" s="225">
        <v>278148000</v>
      </c>
      <c r="AT267" s="50"/>
      <c r="BH267" s="50"/>
      <c r="CA267" s="50"/>
      <c r="CQ267" s="50"/>
      <c r="DK267" s="50"/>
      <c r="DL267" s="146">
        <v>8</v>
      </c>
      <c r="DM267" s="145">
        <v>250000000</v>
      </c>
      <c r="DN267" s="145"/>
      <c r="DO267" s="173">
        <f t="shared" si="253"/>
        <v>411108750</v>
      </c>
      <c r="DP267" s="145">
        <v>304525000</v>
      </c>
      <c r="DQ267" s="145"/>
      <c r="DR267" s="146"/>
      <c r="DT267" s="179" t="s">
        <v>0</v>
      </c>
      <c r="DU267" s="185">
        <f>DO258</f>
        <v>1</v>
      </c>
      <c r="DV267" s="181"/>
      <c r="DW267" s="181"/>
      <c r="DX267" s="181"/>
      <c r="DY267" s="181"/>
      <c r="DZ267" s="181"/>
      <c r="EA267" s="182"/>
    </row>
    <row r="268" spans="10:131" x14ac:dyDescent="0.25">
      <c r="J268" s="86" t="str" cm="1">
        <f t="array" ref="J268">LOOKUP(2,1/($G$17:$G$33&lt;=$L268)/($H$17:$H$33&gt;=$L268),$F$17:$F$33)</f>
        <v>2H19</v>
      </c>
      <c r="K268" s="86" t="str" cm="1">
        <f t="array" ref="K268">LOOKUP(2,1/($G$6:$G$14&lt;=$L268)/($H$6:$H$14&gt;=$L268),$F$6:$F$14)</f>
        <v>FY19</v>
      </c>
      <c r="L268" s="118">
        <v>43629</v>
      </c>
      <c r="M268" s="49">
        <v>22750507</v>
      </c>
      <c r="N268" s="49">
        <v>27352935</v>
      </c>
      <c r="O268" s="50">
        <v>20000000</v>
      </c>
      <c r="P268" s="119" cm="1">
        <f t="array" ref="P268">LOOKUP(2,1/($B$10:$B$14&lt;=$L268)/($C$10:$C$14&gt;=$L268),$D$10:$D$14)</f>
        <v>1.1000000000000001</v>
      </c>
      <c r="Q268" s="120" cm="1">
        <f t="array" ref="Q268">LOOKUP(2,1/($B$17:$B$21&lt;=$L268)/($C$17:$C$21&gt;=$L268),$D$17:$D$21)</f>
        <v>134.49039999999999</v>
      </c>
      <c r="R268" s="113" t="str">
        <f t="shared" si="232"/>
        <v/>
      </c>
      <c r="S268" s="113" t="str">
        <f t="shared" si="233"/>
        <v>1H20</v>
      </c>
      <c r="T268" s="113" t="str">
        <f t="shared" ca="1" si="234"/>
        <v/>
      </c>
      <c r="U268" s="113" t="str">
        <f t="shared" si="235"/>
        <v/>
      </c>
      <c r="V268" s="113" t="str">
        <f t="shared" si="251"/>
        <v>FY20</v>
      </c>
      <c r="W268" s="113" t="str">
        <f t="shared" ca="1" si="252"/>
        <v/>
      </c>
      <c r="X268" s="50"/>
      <c r="AC268" s="225">
        <v>330413000</v>
      </c>
      <c r="AT268" s="50"/>
      <c r="BH268" s="50"/>
      <c r="CA268" s="50"/>
      <c r="CQ268" s="50"/>
      <c r="DK268" s="50"/>
      <c r="DL268" s="146">
        <v>9</v>
      </c>
      <c r="DM268" s="145">
        <v>300000000</v>
      </c>
      <c r="DN268" s="145"/>
      <c r="DO268" s="173">
        <f t="shared" si="253"/>
        <v>488936250.00000006</v>
      </c>
      <c r="DP268" s="145">
        <v>362175000</v>
      </c>
      <c r="DQ268" s="145"/>
      <c r="DR268" s="146"/>
      <c r="DT268" s="2"/>
      <c r="DU268" s="2"/>
      <c r="DV268" s="2"/>
      <c r="DW268" s="2"/>
      <c r="DX268" s="2"/>
      <c r="DY268" s="2"/>
      <c r="DZ268" s="2"/>
      <c r="EA268" s="2"/>
    </row>
    <row r="269" spans="10:131" x14ac:dyDescent="0.25">
      <c r="J269" s="86" t="str" cm="1">
        <f t="array" ref="J269">LOOKUP(2,1/($G$17:$G$33&lt;=$L269)/($H$17:$H$33&gt;=$L269),$F$17:$F$33)</f>
        <v>2H19</v>
      </c>
      <c r="K269" s="86" t="str" cm="1">
        <f t="array" ref="K269">LOOKUP(2,1/($G$6:$G$14&lt;=$L269)/($H$6:$H$14&gt;=$L269),$F$6:$F$14)</f>
        <v>FY19</v>
      </c>
      <c r="L269" s="118">
        <v>43622</v>
      </c>
      <c r="M269" s="49">
        <v>18797419</v>
      </c>
      <c r="N269" s="49">
        <v>22600137</v>
      </c>
      <c r="O269" s="50">
        <v>12000000</v>
      </c>
      <c r="P269" s="119" cm="1">
        <f t="array" ref="P269">LOOKUP(2,1/($B$10:$B$14&lt;=$L269)/($C$10:$C$14&gt;=$L269),$D$10:$D$14)</f>
        <v>1.1000000000000001</v>
      </c>
      <c r="Q269" s="120" cm="1">
        <f t="array" ref="Q269">LOOKUP(2,1/($B$17:$B$21&lt;=$L269)/($C$17:$C$21&gt;=$L269),$D$17:$D$21)</f>
        <v>134.49039999999999</v>
      </c>
      <c r="R269" s="113" t="str">
        <f t="shared" si="232"/>
        <v/>
      </c>
      <c r="S269" s="113" t="str">
        <f t="shared" si="233"/>
        <v>1H20</v>
      </c>
      <c r="T269" s="113" t="str">
        <f t="shared" ca="1" si="234"/>
        <v/>
      </c>
      <c r="U269" s="113" t="str">
        <f t="shared" si="235"/>
        <v/>
      </c>
      <c r="V269" s="113" t="str">
        <f t="shared" si="251"/>
        <v>FY20</v>
      </c>
      <c r="W269" s="113" t="str">
        <f t="shared" ca="1" si="252"/>
        <v/>
      </c>
      <c r="X269" s="50"/>
      <c r="AC269" s="225">
        <v>382678000</v>
      </c>
      <c r="AT269" s="50"/>
      <c r="BH269" s="50"/>
      <c r="CA269" s="50"/>
      <c r="CQ269" s="50"/>
      <c r="DK269" s="50"/>
      <c r="DL269" s="146">
        <v>10</v>
      </c>
      <c r="DM269" s="145">
        <v>350000000</v>
      </c>
      <c r="DN269" s="145"/>
      <c r="DO269" s="173">
        <f t="shared" si="253"/>
        <v>566763750</v>
      </c>
      <c r="DP269" s="145">
        <v>419825000</v>
      </c>
      <c r="DQ269" s="145"/>
      <c r="DR269" s="146"/>
      <c r="DT269" s="188"/>
      <c r="DU269" s="188"/>
      <c r="DV269" s="188"/>
      <c r="DW269" s="188"/>
      <c r="DX269" s="188"/>
      <c r="DY269" s="188"/>
      <c r="DZ269" s="188"/>
      <c r="EA269" s="188"/>
    </row>
    <row r="270" spans="10:131" x14ac:dyDescent="0.25">
      <c r="J270" s="86" t="str" cm="1">
        <f t="array" ref="J270">LOOKUP(2,1/($G$17:$G$33&lt;=$L270)/($H$17:$H$33&gt;=$L270),$F$17:$F$33)</f>
        <v>2H19</v>
      </c>
      <c r="K270" s="86" t="str" cm="1">
        <f t="array" ref="K270">LOOKUP(2,1/($G$6:$G$14&lt;=$L270)/($H$6:$H$14&gt;=$L270),$F$6:$F$14)</f>
        <v>FY19</v>
      </c>
      <c r="L270" s="118">
        <v>43615</v>
      </c>
      <c r="M270" s="49">
        <v>15336386</v>
      </c>
      <c r="N270" s="49">
        <v>18438937</v>
      </c>
      <c r="O270" s="50">
        <v>8000000</v>
      </c>
      <c r="P270" s="119" cm="1">
        <f t="array" ref="P270">LOOKUP(2,1/($B$10:$B$14&lt;=$L270)/($C$10:$C$14&gt;=$L270),$D$10:$D$14)</f>
        <v>1.1000000000000001</v>
      </c>
      <c r="Q270" s="120" cm="1">
        <f t="array" ref="Q270">LOOKUP(2,1/($B$17:$B$21&lt;=$L270)/($C$17:$C$21&gt;=$L270),$D$17:$D$21)</f>
        <v>134.49039999999999</v>
      </c>
      <c r="R270" s="113" t="str">
        <f t="shared" si="232"/>
        <v/>
      </c>
      <c r="S270" s="113" t="str">
        <f t="shared" si="233"/>
        <v>1H20</v>
      </c>
      <c r="T270" s="113" t="str">
        <f t="shared" ca="1" si="234"/>
        <v/>
      </c>
      <c r="U270" s="113" t="str">
        <f t="shared" si="235"/>
        <v/>
      </c>
      <c r="V270" s="113" t="str">
        <f t="shared" si="251"/>
        <v>FY20</v>
      </c>
      <c r="W270" s="113" t="str">
        <f t="shared" ca="1" si="252"/>
        <v/>
      </c>
      <c r="X270" s="50"/>
      <c r="AT270" s="50"/>
      <c r="BH270" s="50"/>
      <c r="CA270" s="50"/>
      <c r="CQ270" s="50"/>
      <c r="DK270" s="50"/>
      <c r="DT270" s="106"/>
      <c r="DU270" s="107"/>
      <c r="DV270" s="107"/>
      <c r="DW270" s="107"/>
      <c r="DX270" s="108"/>
      <c r="DY270" s="107"/>
      <c r="DZ270" s="107"/>
      <c r="EA270" s="108"/>
    </row>
    <row r="271" spans="10:131" x14ac:dyDescent="0.25">
      <c r="J271" s="86" t="str" cm="1">
        <f t="array" ref="J271">LOOKUP(2,1/($G$17:$G$33&lt;=$L271)/($H$17:$H$33&gt;=$L271),$F$17:$F$33)</f>
        <v>2H19</v>
      </c>
      <c r="K271" s="86" t="str" cm="1">
        <f t="array" ref="K271">LOOKUP(2,1/($G$6:$G$14&lt;=$L271)/($H$6:$H$14&gt;=$L271),$F$6:$F$14)</f>
        <v>FY19</v>
      </c>
      <c r="L271" s="118">
        <v>43608</v>
      </c>
      <c r="M271" s="49">
        <v>12325590</v>
      </c>
      <c r="N271" s="49">
        <v>14819056</v>
      </c>
      <c r="O271" s="50">
        <v>3000000</v>
      </c>
      <c r="P271" s="119" cm="1">
        <f t="array" ref="P271">LOOKUP(2,1/($B$10:$B$14&lt;=$L271)/($C$10:$C$14&gt;=$L271),$D$10:$D$14)</f>
        <v>1.1000000000000001</v>
      </c>
      <c r="Q271" s="120" cm="1">
        <f t="array" ref="Q271">LOOKUP(2,1/($B$17:$B$21&lt;=$L271)/($C$17:$C$21&gt;=$L271),$D$17:$D$21)</f>
        <v>134.49039999999999</v>
      </c>
      <c r="R271" s="113" t="str">
        <f t="shared" si="232"/>
        <v/>
      </c>
      <c r="S271" s="113" t="str">
        <f t="shared" si="233"/>
        <v>1H20</v>
      </c>
      <c r="T271" s="113" t="str">
        <f t="shared" ca="1" si="234"/>
        <v/>
      </c>
      <c r="U271" s="113" t="str">
        <f t="shared" si="235"/>
        <v/>
      </c>
      <c r="V271" s="113" t="str">
        <f t="shared" si="251"/>
        <v>FY20</v>
      </c>
      <c r="W271" s="113" t="str">
        <f t="shared" ca="1" si="252"/>
        <v/>
      </c>
      <c r="X271" s="50"/>
      <c r="AT271" s="50"/>
      <c r="BH271" s="50"/>
      <c r="CA271" s="50"/>
      <c r="CQ271" s="50"/>
      <c r="DK271" s="50"/>
    </row>
    <row r="272" spans="10:131" x14ac:dyDescent="0.25">
      <c r="J272" s="86" t="str" cm="1">
        <f t="array" ref="J272">LOOKUP(2,1/($G$17:$G$33&lt;=$L272)/($H$17:$H$33&gt;=$L272),$F$17:$F$33)</f>
        <v>2H19</v>
      </c>
      <c r="K272" s="86" t="str" cm="1">
        <f t="array" ref="K272">LOOKUP(2,1/($G$6:$G$14&lt;=$L272)/($H$6:$H$14&gt;=$L272),$F$6:$F$14)</f>
        <v>FY19</v>
      </c>
      <c r="L272" s="118">
        <v>43601</v>
      </c>
      <c r="M272" s="49">
        <v>16704122</v>
      </c>
      <c r="N272" s="49">
        <v>20083365</v>
      </c>
      <c r="O272" s="50">
        <v>8000000</v>
      </c>
      <c r="P272" s="119" cm="1">
        <f t="array" ref="P272">LOOKUP(2,1/($B$10:$B$14&lt;=$L272)/($C$10:$C$14&gt;=$L272),$D$10:$D$14)</f>
        <v>1.1000000000000001</v>
      </c>
      <c r="Q272" s="120" cm="1">
        <f t="array" ref="Q272">LOOKUP(2,1/($B$17:$B$21&lt;=$L272)/($C$17:$C$21&gt;=$L272),$D$17:$D$21)</f>
        <v>134.49039999999999</v>
      </c>
      <c r="R272" s="113" t="str">
        <f t="shared" si="232"/>
        <v/>
      </c>
      <c r="S272" s="113" t="str">
        <f t="shared" si="233"/>
        <v>2H19</v>
      </c>
      <c r="T272" s="113" t="str">
        <f t="shared" ca="1" si="234"/>
        <v>1H20</v>
      </c>
      <c r="U272" s="113" t="str">
        <f t="shared" si="235"/>
        <v/>
      </c>
      <c r="V272" s="113" t="str">
        <f t="shared" si="251"/>
        <v>FY19</v>
      </c>
      <c r="W272" s="113" t="str">
        <f t="shared" ca="1" si="252"/>
        <v>FY20</v>
      </c>
      <c r="X272" s="50"/>
      <c r="AT272" s="50"/>
      <c r="BH272" s="50"/>
      <c r="CA272" s="50"/>
      <c r="CQ272" s="50"/>
      <c r="DK272" s="50"/>
    </row>
    <row r="273" spans="10:23" x14ac:dyDescent="0.25">
      <c r="J273" s="86" t="str" cm="1">
        <f t="array" ref="J273">LOOKUP(2,1/($G$17:$G$33&lt;=$L273)/($H$17:$H$33&gt;=$L273),$F$17:$F$33)</f>
        <v>2H19</v>
      </c>
      <c r="K273" s="86" t="str" cm="1">
        <f t="array" ref="K273">LOOKUP(2,1/($G$6:$G$14&lt;=$L273)/($H$6:$H$14&gt;=$L273),$F$6:$F$14)</f>
        <v>FY19</v>
      </c>
      <c r="L273" s="118">
        <v>43594</v>
      </c>
      <c r="M273" s="49">
        <v>12230605</v>
      </c>
      <c r="N273" s="49">
        <v>14704856</v>
      </c>
      <c r="O273" s="50">
        <v>3000000</v>
      </c>
      <c r="P273" s="119" cm="1">
        <f t="array" ref="P273">LOOKUP(2,1/($B$10:$B$14&lt;=$L273)/($C$10:$C$14&gt;=$L273),$D$10:$D$14)</f>
        <v>1.1000000000000001</v>
      </c>
      <c r="Q273" s="120" cm="1">
        <f t="array" ref="Q273">LOOKUP(2,1/($B$17:$B$21&lt;=$L273)/($C$17:$C$21&gt;=$L273),$D$17:$D$21)</f>
        <v>134.49039999999999</v>
      </c>
      <c r="R273" s="113" t="str">
        <f t="shared" si="232"/>
        <v/>
      </c>
      <c r="S273" s="113" t="str">
        <f t="shared" si="233"/>
        <v>2H19</v>
      </c>
      <c r="T273" s="113" t="str">
        <f t="shared" ca="1" si="234"/>
        <v/>
      </c>
      <c r="U273" s="113" t="str">
        <f t="shared" si="235"/>
        <v/>
      </c>
      <c r="V273" s="113" t="str">
        <f t="shared" si="251"/>
        <v>FY19</v>
      </c>
      <c r="W273" s="113" t="str">
        <f t="shared" ca="1" si="252"/>
        <v/>
      </c>
    </row>
    <row r="274" spans="10:23" x14ac:dyDescent="0.25">
      <c r="J274" s="86" t="str" cm="1">
        <f t="array" ref="J274">LOOKUP(2,1/($G$17:$G$33&lt;=$L274)/($H$17:$H$33&gt;=$L274),$F$17:$F$33)</f>
        <v>2H19</v>
      </c>
      <c r="K274" s="86" t="str" cm="1">
        <f t="array" ref="K274">LOOKUP(2,1/($G$6:$G$14&lt;=$L274)/($H$6:$H$14&gt;=$L274),$F$6:$F$14)</f>
        <v>FY19</v>
      </c>
      <c r="L274" s="118">
        <v>43587</v>
      </c>
      <c r="M274" s="49">
        <v>34273410</v>
      </c>
      <c r="N274" s="49">
        <v>41206921</v>
      </c>
      <c r="O274" s="50">
        <v>30000000</v>
      </c>
      <c r="P274" s="119" cm="1">
        <f t="array" ref="P274">LOOKUP(2,1/($B$10:$B$14&lt;=$L274)/($C$10:$C$14&gt;=$L274),$D$10:$D$14)</f>
        <v>1.1000000000000001</v>
      </c>
      <c r="Q274" s="120" cm="1">
        <f t="array" ref="Q274">LOOKUP(2,1/($B$17:$B$21&lt;=$L274)/($C$17:$C$21&gt;=$L274),$D$17:$D$21)</f>
        <v>134.49039999999999</v>
      </c>
      <c r="R274" s="113" t="str">
        <f t="shared" si="232"/>
        <v/>
      </c>
      <c r="S274" s="113" t="str">
        <f t="shared" si="233"/>
        <v>2H19</v>
      </c>
      <c r="T274" s="113" t="str">
        <f t="shared" ca="1" si="234"/>
        <v/>
      </c>
      <c r="U274" s="113" t="str">
        <f t="shared" si="235"/>
        <v/>
      </c>
      <c r="V274" s="113" t="str">
        <f t="shared" si="251"/>
        <v>FY19</v>
      </c>
      <c r="W274" s="113" t="str">
        <f t="shared" ca="1" si="252"/>
        <v/>
      </c>
    </row>
    <row r="275" spans="10:23" x14ac:dyDescent="0.25">
      <c r="J275" s="86" t="str" cm="1">
        <f t="array" ref="J275">LOOKUP(2,1/($G$17:$G$33&lt;=$L275)/($H$17:$H$33&gt;=$L275),$F$17:$F$33)</f>
        <v>2H19</v>
      </c>
      <c r="K275" s="86" t="str" cm="1">
        <f t="array" ref="K275">LOOKUP(2,1/($G$6:$G$14&lt;=$L275)/($H$6:$H$14&gt;=$L275),$F$6:$F$14)</f>
        <v>FY19</v>
      </c>
      <c r="L275" s="118">
        <v>43580</v>
      </c>
      <c r="M275" s="49">
        <v>22688576</v>
      </c>
      <c r="N275" s="49">
        <v>27278475</v>
      </c>
      <c r="O275" s="50">
        <v>20000000</v>
      </c>
      <c r="P275" s="119" cm="1">
        <f t="array" ref="P275">LOOKUP(2,1/($B$10:$B$14&lt;=$L275)/($C$10:$C$14&gt;=$L275),$D$10:$D$14)</f>
        <v>1.1000000000000001</v>
      </c>
      <c r="Q275" s="120" cm="1">
        <f t="array" ref="Q275">LOOKUP(2,1/($B$17:$B$21&lt;=$L275)/($C$17:$C$21&gt;=$L275),$D$17:$D$21)</f>
        <v>134.49039999999999</v>
      </c>
      <c r="R275" s="113" t="str">
        <f t="shared" si="232"/>
        <v/>
      </c>
      <c r="S275" s="113" t="str">
        <f t="shared" si="233"/>
        <v>2H19</v>
      </c>
      <c r="T275" s="113" t="str">
        <f t="shared" ca="1" si="234"/>
        <v/>
      </c>
      <c r="U275" s="113" t="str">
        <f t="shared" si="235"/>
        <v/>
      </c>
      <c r="V275" s="113" t="str">
        <f t="shared" si="251"/>
        <v>FY19</v>
      </c>
      <c r="W275" s="113" t="str">
        <f t="shared" ca="1" si="252"/>
        <v/>
      </c>
    </row>
    <row r="276" spans="10:23" x14ac:dyDescent="0.25">
      <c r="J276" s="86" t="str" cm="1">
        <f t="array" ref="J276">LOOKUP(2,1/($G$17:$G$33&lt;=$L276)/($H$17:$H$33&gt;=$L276),$F$17:$F$33)</f>
        <v>2H19</v>
      </c>
      <c r="K276" s="86" t="str" cm="1">
        <f t="array" ref="K276">LOOKUP(2,1/($G$6:$G$14&lt;=$L276)/($H$6:$H$14&gt;=$L276),$F$6:$F$14)</f>
        <v>FY19</v>
      </c>
      <c r="L276" s="118">
        <v>43573</v>
      </c>
      <c r="M276" s="49">
        <v>22274509</v>
      </c>
      <c r="N276" s="49">
        <v>26780642</v>
      </c>
      <c r="O276" s="50">
        <v>12000000</v>
      </c>
      <c r="P276" s="119" cm="1">
        <f t="array" ref="P276">LOOKUP(2,1/($B$10:$B$14&lt;=$L276)/($C$10:$C$14&gt;=$L276),$D$10:$D$14)</f>
        <v>1.1000000000000001</v>
      </c>
      <c r="Q276" s="120" cm="1">
        <f t="array" ref="Q276">LOOKUP(2,1/($B$17:$B$21&lt;=$L276)/($C$17:$C$21&gt;=$L276),$D$17:$D$21)</f>
        <v>134.49039999999999</v>
      </c>
      <c r="R276" s="113" t="str">
        <f t="shared" si="232"/>
        <v/>
      </c>
      <c r="S276" s="113" t="str">
        <f t="shared" si="233"/>
        <v>2H19</v>
      </c>
      <c r="T276" s="113" t="str">
        <f t="shared" ca="1" si="234"/>
        <v/>
      </c>
      <c r="U276" s="113" t="str">
        <f t="shared" si="235"/>
        <v/>
      </c>
      <c r="V276" s="113" t="str">
        <f t="shared" si="251"/>
        <v>FY19</v>
      </c>
      <c r="W276" s="113" t="str">
        <f t="shared" ca="1" si="252"/>
        <v/>
      </c>
    </row>
    <row r="277" spans="10:23" x14ac:dyDescent="0.25">
      <c r="J277" s="86" t="str" cm="1">
        <f t="array" ref="J277">LOOKUP(2,1/($G$17:$G$33&lt;=$L277)/($H$17:$H$33&gt;=$L277),$F$17:$F$33)</f>
        <v>2H19</v>
      </c>
      <c r="K277" s="86" t="str" cm="1">
        <f t="array" ref="K277">LOOKUP(2,1/($G$6:$G$14&lt;=$L277)/($H$6:$H$14&gt;=$L277),$F$6:$F$14)</f>
        <v>FY19</v>
      </c>
      <c r="L277" s="118">
        <v>43566</v>
      </c>
      <c r="M277" s="49">
        <v>17744064</v>
      </c>
      <c r="N277" s="49">
        <v>21333688</v>
      </c>
      <c r="O277" s="50">
        <v>8000000</v>
      </c>
      <c r="P277" s="119" cm="1">
        <f t="array" ref="P277">LOOKUP(2,1/($B$10:$B$14&lt;=$L277)/($C$10:$C$14&gt;=$L277),$D$10:$D$14)</f>
        <v>1.1000000000000001</v>
      </c>
      <c r="Q277" s="120" cm="1">
        <f t="array" ref="Q277">LOOKUP(2,1/($B$17:$B$21&lt;=$L277)/($C$17:$C$21&gt;=$L277),$D$17:$D$21)</f>
        <v>134.49039999999999</v>
      </c>
      <c r="R277" s="113" t="str">
        <f t="shared" si="232"/>
        <v/>
      </c>
      <c r="S277" s="113" t="str">
        <f t="shared" si="233"/>
        <v>2H19</v>
      </c>
      <c r="T277" s="113" t="str">
        <f t="shared" ca="1" si="234"/>
        <v/>
      </c>
      <c r="U277" s="113" t="str">
        <f t="shared" si="235"/>
        <v/>
      </c>
      <c r="V277" s="113" t="str">
        <f t="shared" si="251"/>
        <v>FY19</v>
      </c>
      <c r="W277" s="113" t="str">
        <f t="shared" ca="1" si="252"/>
        <v/>
      </c>
    </row>
    <row r="278" spans="10:23" x14ac:dyDescent="0.25">
      <c r="J278" s="86" t="str" cm="1">
        <f t="array" ref="J278">LOOKUP(2,1/($G$17:$G$33&lt;=$L278)/($H$17:$H$33&gt;=$L278),$F$17:$F$33)</f>
        <v>2H19</v>
      </c>
      <c r="K278" s="86" t="str" cm="1">
        <f t="array" ref="K278">LOOKUP(2,1/($G$6:$G$14&lt;=$L278)/($H$6:$H$14&gt;=$L278),$F$6:$F$14)</f>
        <v>FY19</v>
      </c>
      <c r="L278" s="118">
        <v>43559</v>
      </c>
      <c r="M278" s="49">
        <v>13585178</v>
      </c>
      <c r="N278" s="49">
        <v>16333459</v>
      </c>
      <c r="O278" s="50">
        <v>3000000</v>
      </c>
      <c r="P278" s="119" cm="1">
        <f t="array" ref="P278">LOOKUP(2,1/($B$10:$B$14&lt;=$L278)/($C$10:$C$14&gt;=$L278),$D$10:$D$14)</f>
        <v>1.1000000000000001</v>
      </c>
      <c r="Q278" s="120" cm="1">
        <f t="array" ref="Q278">LOOKUP(2,1/($B$17:$B$21&lt;=$L278)/($C$17:$C$21&gt;=$L278),$D$17:$D$21)</f>
        <v>134.49039999999999</v>
      </c>
      <c r="R278" s="113" t="str">
        <f t="shared" si="232"/>
        <v/>
      </c>
      <c r="S278" s="113" t="str">
        <f t="shared" si="233"/>
        <v>2H19</v>
      </c>
      <c r="T278" s="113" t="str">
        <f t="shared" ca="1" si="234"/>
        <v/>
      </c>
      <c r="U278" s="113" t="str">
        <f t="shared" si="235"/>
        <v/>
      </c>
      <c r="V278" s="113" t="str">
        <f t="shared" si="251"/>
        <v>FY19</v>
      </c>
      <c r="W278" s="113" t="str">
        <f t="shared" ca="1" si="252"/>
        <v/>
      </c>
    </row>
    <row r="279" spans="10:23" x14ac:dyDescent="0.25">
      <c r="J279" s="86" t="str" cm="1">
        <f t="array" ref="J279">LOOKUP(2,1/($G$17:$G$33&lt;=$L279)/($H$17:$H$33&gt;=$L279),$F$17:$F$33)</f>
        <v>2H19</v>
      </c>
      <c r="K279" s="86" t="str" cm="1">
        <f t="array" ref="K279">LOOKUP(2,1/($G$6:$G$14&lt;=$L279)/($H$6:$H$14&gt;=$L279),$F$6:$F$14)</f>
        <v>FY19</v>
      </c>
      <c r="L279" s="118">
        <v>43552</v>
      </c>
      <c r="M279" s="49">
        <v>26225645</v>
      </c>
      <c r="N279" s="49">
        <v>31531093</v>
      </c>
      <c r="O279" s="50">
        <v>20000000</v>
      </c>
      <c r="P279" s="119" cm="1">
        <f t="array" ref="P279">LOOKUP(2,1/($B$10:$B$14&lt;=$L279)/($C$10:$C$14&gt;=$L279),$D$10:$D$14)</f>
        <v>1.1000000000000001</v>
      </c>
      <c r="Q279" s="120" cm="1">
        <f t="array" ref="Q279">LOOKUP(2,1/($B$17:$B$21&lt;=$L279)/($C$17:$C$21&gt;=$L279),$D$17:$D$21)</f>
        <v>134.49039999999999</v>
      </c>
      <c r="R279" s="113" t="str">
        <f t="shared" si="232"/>
        <v/>
      </c>
      <c r="S279" s="113" t="str">
        <f t="shared" si="233"/>
        <v>2H19</v>
      </c>
      <c r="T279" s="113" t="str">
        <f t="shared" ca="1" si="234"/>
        <v/>
      </c>
      <c r="U279" s="113" t="str">
        <f t="shared" si="235"/>
        <v/>
      </c>
      <c r="V279" s="113" t="str">
        <f t="shared" si="251"/>
        <v>FY19</v>
      </c>
      <c r="W279" s="113" t="str">
        <f t="shared" ca="1" si="252"/>
        <v/>
      </c>
    </row>
    <row r="280" spans="10:23" x14ac:dyDescent="0.25">
      <c r="J280" s="86" t="str" cm="1">
        <f t="array" ref="J280">LOOKUP(2,1/($G$17:$G$33&lt;=$L280)/($H$17:$H$33&gt;=$L280),$F$17:$F$33)</f>
        <v>2H19</v>
      </c>
      <c r="K280" s="86" t="str" cm="1">
        <f t="array" ref="K280">LOOKUP(2,1/($G$6:$G$14&lt;=$L280)/($H$6:$H$14&gt;=$L280),$F$6:$F$14)</f>
        <v>FY19</v>
      </c>
      <c r="L280" s="118">
        <v>43545</v>
      </c>
      <c r="M280" s="49">
        <v>20282530</v>
      </c>
      <c r="N280" s="49">
        <v>24385686</v>
      </c>
      <c r="O280" s="50">
        <v>12000000</v>
      </c>
      <c r="P280" s="119" cm="1">
        <f t="array" ref="P280">LOOKUP(2,1/($B$10:$B$14&lt;=$L280)/($C$10:$C$14&gt;=$L280),$D$10:$D$14)</f>
        <v>1.1000000000000001</v>
      </c>
      <c r="Q280" s="120" cm="1">
        <f t="array" ref="Q280">LOOKUP(2,1/($B$17:$B$21&lt;=$L280)/($C$17:$C$21&gt;=$L280),$D$17:$D$21)</f>
        <v>134.49039999999999</v>
      </c>
      <c r="R280" s="113" t="str">
        <f t="shared" si="232"/>
        <v/>
      </c>
      <c r="S280" s="113" t="str">
        <f t="shared" si="233"/>
        <v>2H19</v>
      </c>
      <c r="T280" s="113" t="str">
        <f t="shared" ca="1" si="234"/>
        <v/>
      </c>
      <c r="U280" s="113" t="str">
        <f t="shared" si="235"/>
        <v/>
      </c>
      <c r="V280" s="113" t="str">
        <f t="shared" si="251"/>
        <v>FY19</v>
      </c>
      <c r="W280" s="113" t="str">
        <f t="shared" ca="1" si="252"/>
        <v/>
      </c>
    </row>
    <row r="281" spans="10:23" x14ac:dyDescent="0.25">
      <c r="J281" s="86" t="str" cm="1">
        <f t="array" ref="J281">LOOKUP(2,1/($G$17:$G$33&lt;=$L281)/($H$17:$H$33&gt;=$L281),$F$17:$F$33)</f>
        <v>2H19</v>
      </c>
      <c r="K281" s="86" t="str" cm="1">
        <f t="array" ref="K281">LOOKUP(2,1/($G$6:$G$14&lt;=$L281)/($H$6:$H$14&gt;=$L281),$F$6:$F$14)</f>
        <v>FY19</v>
      </c>
      <c r="L281" s="118">
        <v>43538</v>
      </c>
      <c r="M281" s="49">
        <v>16484336</v>
      </c>
      <c r="N281" s="49">
        <v>19819117</v>
      </c>
      <c r="O281" s="50">
        <v>8000000</v>
      </c>
      <c r="P281" s="119" cm="1">
        <f t="array" ref="P281">LOOKUP(2,1/($B$10:$B$14&lt;=$L281)/($C$10:$C$14&gt;=$L281),$D$10:$D$14)</f>
        <v>1.1000000000000001</v>
      </c>
      <c r="Q281" s="120" cm="1">
        <f t="array" ref="Q281">LOOKUP(2,1/($B$17:$B$21&lt;=$L281)/($C$17:$C$21&gt;=$L281),$D$17:$D$21)</f>
        <v>134.49039999999999</v>
      </c>
      <c r="R281" s="113" t="str">
        <f t="shared" si="232"/>
        <v/>
      </c>
      <c r="S281" s="113" t="str">
        <f t="shared" si="233"/>
        <v>2H19</v>
      </c>
      <c r="T281" s="113" t="str">
        <f t="shared" ca="1" si="234"/>
        <v/>
      </c>
      <c r="U281" s="113" t="str">
        <f t="shared" si="235"/>
        <v/>
      </c>
      <c r="V281" s="113" t="str">
        <f t="shared" si="251"/>
        <v>FY19</v>
      </c>
      <c r="W281" s="113" t="str">
        <f t="shared" ca="1" si="252"/>
        <v/>
      </c>
    </row>
    <row r="282" spans="10:23" x14ac:dyDescent="0.25">
      <c r="J282" s="86" t="str" cm="1">
        <f t="array" ref="J282">LOOKUP(2,1/($G$17:$G$33&lt;=$L282)/($H$17:$H$33&gt;=$L282),$F$17:$F$33)</f>
        <v>2H19</v>
      </c>
      <c r="K282" s="86" t="str" cm="1">
        <f t="array" ref="K282">LOOKUP(2,1/($G$6:$G$14&lt;=$L282)/($H$6:$H$14&gt;=$L282),$F$6:$F$14)</f>
        <v>FY19</v>
      </c>
      <c r="L282" s="118">
        <v>43531</v>
      </c>
      <c r="M282" s="49">
        <v>13444205</v>
      </c>
      <c r="N282" s="49">
        <v>16163968</v>
      </c>
      <c r="O282" s="50">
        <v>3000000</v>
      </c>
      <c r="P282" s="119" cm="1">
        <f t="array" ref="P282">LOOKUP(2,1/($B$10:$B$14&lt;=$L282)/($C$10:$C$14&gt;=$L282),$D$10:$D$14)</f>
        <v>1.1000000000000001</v>
      </c>
      <c r="Q282" s="120" cm="1">
        <f t="array" ref="Q282">LOOKUP(2,1/($B$17:$B$21&lt;=$L282)/($C$17:$C$21&gt;=$L282),$D$17:$D$21)</f>
        <v>134.49039999999999</v>
      </c>
      <c r="R282" s="113" t="str">
        <f t="shared" si="232"/>
        <v/>
      </c>
      <c r="S282" s="113" t="str">
        <f t="shared" si="233"/>
        <v>2H19</v>
      </c>
      <c r="T282" s="113" t="str">
        <f t="shared" ca="1" si="234"/>
        <v/>
      </c>
      <c r="U282" s="113" t="str">
        <f t="shared" si="235"/>
        <v/>
      </c>
      <c r="V282" s="113" t="str">
        <f t="shared" si="251"/>
        <v>FY19</v>
      </c>
      <c r="W282" s="113" t="str">
        <f t="shared" ca="1" si="252"/>
        <v/>
      </c>
    </row>
    <row r="283" spans="10:23" x14ac:dyDescent="0.25">
      <c r="J283" s="86" t="str" cm="1">
        <f t="array" ref="J283">LOOKUP(2,1/($G$17:$G$33&lt;=$L283)/($H$17:$H$33&gt;=$L283),$F$17:$F$33)</f>
        <v>2H19</v>
      </c>
      <c r="K283" s="86" t="str" cm="1">
        <f t="array" ref="K283">LOOKUP(2,1/($G$6:$G$14&lt;=$L283)/($H$6:$H$14&gt;=$L283),$F$6:$F$14)</f>
        <v>FY19</v>
      </c>
      <c r="L283" s="118">
        <v>43524</v>
      </c>
      <c r="M283" s="49">
        <v>44982119</v>
      </c>
      <c r="N283" s="49">
        <v>54082002</v>
      </c>
      <c r="O283" s="50">
        <v>40000000</v>
      </c>
      <c r="P283" s="119" cm="1">
        <f t="array" ref="P283">LOOKUP(2,1/($B$10:$B$14&lt;=$L283)/($C$10:$C$14&gt;=$L283),$D$10:$D$14)</f>
        <v>1.1000000000000001</v>
      </c>
      <c r="Q283" s="120" cm="1">
        <f t="array" ref="Q283">LOOKUP(2,1/($B$17:$B$21&lt;=$L283)/($C$17:$C$21&gt;=$L283),$D$17:$D$21)</f>
        <v>134.49039999999999</v>
      </c>
      <c r="R283" s="113" t="str">
        <f t="shared" si="232"/>
        <v/>
      </c>
      <c r="S283" s="113" t="str">
        <f t="shared" si="233"/>
        <v>2H19</v>
      </c>
      <c r="T283" s="113" t="str">
        <f t="shared" ca="1" si="234"/>
        <v/>
      </c>
      <c r="U283" s="113" t="str">
        <f t="shared" si="235"/>
        <v/>
      </c>
      <c r="V283" s="113" t="str">
        <f t="shared" si="251"/>
        <v>FY19</v>
      </c>
      <c r="W283" s="113" t="str">
        <f t="shared" ca="1" si="252"/>
        <v/>
      </c>
    </row>
    <row r="284" spans="10:23" x14ac:dyDescent="0.25">
      <c r="J284" s="86" t="str" cm="1">
        <f t="array" ref="J284">LOOKUP(2,1/($G$17:$G$33&lt;=$L284)/($H$17:$H$33&gt;=$L284),$F$17:$F$33)</f>
        <v>2H19</v>
      </c>
      <c r="K284" s="86" t="str" cm="1">
        <f t="array" ref="K284">LOOKUP(2,1/($G$6:$G$14&lt;=$L284)/($H$6:$H$14&gt;=$L284),$F$6:$F$14)</f>
        <v>FY19</v>
      </c>
      <c r="L284" s="118">
        <v>43517</v>
      </c>
      <c r="M284" s="49">
        <v>38283031</v>
      </c>
      <c r="N284" s="49">
        <v>46027688</v>
      </c>
      <c r="O284" s="50">
        <v>30000000</v>
      </c>
      <c r="P284" s="119" cm="1">
        <f t="array" ref="P284">LOOKUP(2,1/($B$10:$B$14&lt;=$L284)/($C$10:$C$14&gt;=$L284),$D$10:$D$14)</f>
        <v>1.1000000000000001</v>
      </c>
      <c r="Q284" s="120" cm="1">
        <f t="array" ref="Q284">LOOKUP(2,1/($B$17:$B$21&lt;=$L284)/($C$17:$C$21&gt;=$L284),$D$17:$D$21)</f>
        <v>134.49039999999999</v>
      </c>
      <c r="R284" s="113" t="str">
        <f t="shared" si="232"/>
        <v/>
      </c>
      <c r="S284" s="113" t="str">
        <f t="shared" si="233"/>
        <v>2H19</v>
      </c>
      <c r="T284" s="113" t="str">
        <f t="shared" ca="1" si="234"/>
        <v/>
      </c>
      <c r="U284" s="113" t="str">
        <f t="shared" si="235"/>
        <v/>
      </c>
      <c r="V284" s="113" t="str">
        <f t="shared" si="251"/>
        <v>FY19</v>
      </c>
      <c r="W284" s="113" t="str">
        <f t="shared" ca="1" si="252"/>
        <v/>
      </c>
    </row>
    <row r="285" spans="10:23" x14ac:dyDescent="0.25">
      <c r="J285" s="86" t="str" cm="1">
        <f t="array" ref="J285">LOOKUP(2,1/($G$17:$G$33&lt;=$L285)/($H$17:$H$33&gt;=$L285),$F$17:$F$33)</f>
        <v>2H19</v>
      </c>
      <c r="K285" s="86" t="str" cm="1">
        <f t="array" ref="K285">LOOKUP(2,1/($G$6:$G$14&lt;=$L285)/($H$6:$H$14&gt;=$L285),$F$6:$F$14)</f>
        <v>FY19</v>
      </c>
      <c r="L285" s="118">
        <v>43510</v>
      </c>
      <c r="M285" s="49">
        <v>31354337</v>
      </c>
      <c r="N285" s="49">
        <v>37697319</v>
      </c>
      <c r="O285" s="50">
        <v>20000000</v>
      </c>
      <c r="P285" s="119" cm="1">
        <f t="array" ref="P285">LOOKUP(2,1/($B$10:$B$14&lt;=$L285)/($C$10:$C$14&gt;=$L285),$D$10:$D$14)</f>
        <v>1.1000000000000001</v>
      </c>
      <c r="Q285" s="120" cm="1">
        <f t="array" ref="Q285">LOOKUP(2,1/($B$17:$B$21&lt;=$L285)/($C$17:$C$21&gt;=$L285),$D$17:$D$21)</f>
        <v>134.49039999999999</v>
      </c>
      <c r="R285" s="113" t="str">
        <f t="shared" ref="R285:R348" si="254">IF($J285&lt;&gt;$J286,$J285,"")</f>
        <v/>
      </c>
      <c r="S285" s="113" t="str">
        <f t="shared" ref="S285:S348" si="255">IF($O284&lt;$O285,$J285,S284)</f>
        <v>2H19</v>
      </c>
      <c r="T285" s="113" t="str">
        <f t="shared" ref="T285:T348" ca="1" si="256">IF(AND(S285&lt;&gt;S284,ISNUMBER(MATCH($S284,$F$17:$F$33,0))),OFFSET($F$16,MATCH($J285,$F$17:$F$33,0)+1,0),"")</f>
        <v/>
      </c>
      <c r="U285" s="113" t="str">
        <f t="shared" ref="U285:U348" si="257">IF($K285&lt;&gt;$K286,$K285,"")</f>
        <v/>
      </c>
      <c r="V285" s="113" t="str">
        <f t="shared" si="251"/>
        <v>FY19</v>
      </c>
      <c r="W285" s="113" t="str">
        <f t="shared" ca="1" si="252"/>
        <v/>
      </c>
    </row>
    <row r="286" spans="10:23" x14ac:dyDescent="0.25">
      <c r="J286" s="86" t="str" cm="1">
        <f t="array" ref="J286">LOOKUP(2,1/($G$17:$G$33&lt;=$L286)/($H$17:$H$33&gt;=$L286),$F$17:$F$33)</f>
        <v>2H19</v>
      </c>
      <c r="K286" s="86" t="str" cm="1">
        <f t="array" ref="K286">LOOKUP(2,1/($G$6:$G$14&lt;=$L286)/($H$6:$H$14&gt;=$L286),$F$6:$F$14)</f>
        <v>FY19</v>
      </c>
      <c r="L286" s="118">
        <v>43503</v>
      </c>
      <c r="M286" s="49">
        <v>25118955</v>
      </c>
      <c r="N286" s="49">
        <v>30200520</v>
      </c>
      <c r="O286" s="50">
        <v>12000000</v>
      </c>
      <c r="P286" s="119" cm="1">
        <f t="array" ref="P286">LOOKUP(2,1/($B$10:$B$14&lt;=$L286)/($C$10:$C$14&gt;=$L286),$D$10:$D$14)</f>
        <v>1.1000000000000001</v>
      </c>
      <c r="Q286" s="120" cm="1">
        <f t="array" ref="Q286">LOOKUP(2,1/($B$17:$B$21&lt;=$L286)/($C$17:$C$21&gt;=$L286),$D$17:$D$21)</f>
        <v>134.49039999999999</v>
      </c>
      <c r="R286" s="113" t="str">
        <f t="shared" si="254"/>
        <v/>
      </c>
      <c r="S286" s="113" t="str">
        <f t="shared" si="255"/>
        <v>2H19</v>
      </c>
      <c r="T286" s="113" t="str">
        <f t="shared" ca="1" si="256"/>
        <v/>
      </c>
      <c r="U286" s="113" t="str">
        <f t="shared" si="257"/>
        <v/>
      </c>
      <c r="V286" s="113" t="str">
        <f t="shared" si="251"/>
        <v>FY19</v>
      </c>
      <c r="W286" s="113" t="str">
        <f t="shared" ca="1" si="252"/>
        <v/>
      </c>
    </row>
    <row r="287" spans="10:23" x14ac:dyDescent="0.25">
      <c r="J287" s="86" t="str" cm="1">
        <f t="array" ref="J287">LOOKUP(2,1/($G$17:$G$33&lt;=$L287)/($H$17:$H$33&gt;=$L287),$F$17:$F$33)</f>
        <v>2H19</v>
      </c>
      <c r="K287" s="86" t="str" cm="1">
        <f t="array" ref="K287">LOOKUP(2,1/($G$6:$G$14&lt;=$L287)/($H$6:$H$14&gt;=$L287),$F$6:$F$14)</f>
        <v>FY19</v>
      </c>
      <c r="L287" s="118">
        <v>43496</v>
      </c>
      <c r="M287" s="49">
        <v>18140343</v>
      </c>
      <c r="N287" s="49">
        <v>21810134</v>
      </c>
      <c r="O287" s="50">
        <v>8000000</v>
      </c>
      <c r="P287" s="119" cm="1">
        <f t="array" ref="P287">LOOKUP(2,1/($B$10:$B$14&lt;=$L287)/($C$10:$C$14&gt;=$L287),$D$10:$D$14)</f>
        <v>1.1000000000000001</v>
      </c>
      <c r="Q287" s="120" cm="1">
        <f t="array" ref="Q287">LOOKUP(2,1/($B$17:$B$21&lt;=$L287)/($C$17:$C$21&gt;=$L287),$D$17:$D$21)</f>
        <v>134.49039999999999</v>
      </c>
      <c r="R287" s="113" t="str">
        <f t="shared" si="254"/>
        <v/>
      </c>
      <c r="S287" s="113" t="str">
        <f t="shared" si="255"/>
        <v>2H19</v>
      </c>
      <c r="T287" s="113" t="str">
        <f t="shared" ca="1" si="256"/>
        <v/>
      </c>
      <c r="U287" s="113" t="str">
        <f t="shared" si="257"/>
        <v/>
      </c>
      <c r="V287" s="113" t="str">
        <f t="shared" si="251"/>
        <v>FY19</v>
      </c>
      <c r="W287" s="113" t="str">
        <f t="shared" ca="1" si="252"/>
        <v/>
      </c>
    </row>
    <row r="288" spans="10:23" x14ac:dyDescent="0.25">
      <c r="J288" s="86" t="str" cm="1">
        <f t="array" ref="J288">LOOKUP(2,1/($G$17:$G$33&lt;=$L288)/($H$17:$H$33&gt;=$L288),$F$17:$F$33)</f>
        <v>2H19</v>
      </c>
      <c r="K288" s="86" t="str" cm="1">
        <f t="array" ref="K288">LOOKUP(2,1/($G$6:$G$14&lt;=$L288)/($H$6:$H$14&gt;=$L288),$F$6:$F$14)</f>
        <v>FY19</v>
      </c>
      <c r="L288" s="118">
        <v>43489</v>
      </c>
      <c r="M288" s="49">
        <v>13937890</v>
      </c>
      <c r="N288" s="49">
        <v>16757525</v>
      </c>
      <c r="O288" s="50">
        <v>3000000</v>
      </c>
      <c r="P288" s="119" cm="1">
        <f t="array" ref="P288">LOOKUP(2,1/($B$10:$B$14&lt;=$L288)/($C$10:$C$14&gt;=$L288),$D$10:$D$14)</f>
        <v>1.1000000000000001</v>
      </c>
      <c r="Q288" s="120" cm="1">
        <f t="array" ref="Q288">LOOKUP(2,1/($B$17:$B$21&lt;=$L288)/($C$17:$C$21&gt;=$L288),$D$17:$D$21)</f>
        <v>134.49039999999999</v>
      </c>
      <c r="R288" s="113" t="str">
        <f t="shared" si="254"/>
        <v/>
      </c>
      <c r="S288" s="113" t="str">
        <f t="shared" si="255"/>
        <v>2H19</v>
      </c>
      <c r="T288" s="113" t="str">
        <f t="shared" ca="1" si="256"/>
        <v/>
      </c>
      <c r="U288" s="113" t="str">
        <f t="shared" si="257"/>
        <v/>
      </c>
      <c r="V288" s="113" t="str">
        <f t="shared" si="251"/>
        <v>FY19</v>
      </c>
      <c r="W288" s="113" t="str">
        <f t="shared" ca="1" si="252"/>
        <v/>
      </c>
    </row>
    <row r="289" spans="10:23" x14ac:dyDescent="0.25">
      <c r="J289" s="86" t="str" cm="1">
        <f t="array" ref="J289">LOOKUP(2,1/($G$17:$G$33&lt;=$L289)/($H$17:$H$33&gt;=$L289),$F$17:$F$33)</f>
        <v>2H19</v>
      </c>
      <c r="K289" s="86" t="str" cm="1">
        <f t="array" ref="K289">LOOKUP(2,1/($G$6:$G$14&lt;=$L289)/($H$6:$H$14&gt;=$L289),$F$6:$F$14)</f>
        <v>FY19</v>
      </c>
      <c r="L289" s="118">
        <v>43482</v>
      </c>
      <c r="M289" s="49">
        <v>174145592</v>
      </c>
      <c r="N289" s="49">
        <v>209375245</v>
      </c>
      <c r="O289" s="50">
        <v>100000000</v>
      </c>
      <c r="P289" s="119" cm="1">
        <f t="array" ref="P289">LOOKUP(2,1/($B$10:$B$14&lt;=$L289)/($C$10:$C$14&gt;=$L289),$D$10:$D$14)</f>
        <v>1.1000000000000001</v>
      </c>
      <c r="Q289" s="120" cm="1">
        <f t="array" ref="Q289">LOOKUP(2,1/($B$17:$B$21&lt;=$L289)/($C$17:$C$21&gt;=$L289),$D$17:$D$21)</f>
        <v>134.49039999999999</v>
      </c>
      <c r="R289" s="113" t="str">
        <f t="shared" si="254"/>
        <v/>
      </c>
      <c r="S289" s="113" t="str">
        <f t="shared" si="255"/>
        <v>2H19</v>
      </c>
      <c r="T289" s="113" t="str">
        <f t="shared" ca="1" si="256"/>
        <v/>
      </c>
      <c r="U289" s="113" t="str">
        <f t="shared" si="257"/>
        <v/>
      </c>
      <c r="V289" s="113" t="str">
        <f t="shared" si="251"/>
        <v>FY19</v>
      </c>
      <c r="W289" s="113" t="str">
        <f t="shared" ca="1" si="252"/>
        <v/>
      </c>
    </row>
    <row r="290" spans="10:23" x14ac:dyDescent="0.25">
      <c r="J290" s="86" t="str" cm="1">
        <f t="array" ref="J290">LOOKUP(2,1/($G$17:$G$33&lt;=$L290)/($H$17:$H$33&gt;=$L290),$F$17:$F$33)</f>
        <v>2H19</v>
      </c>
      <c r="K290" s="86" t="str" cm="1">
        <f t="array" ref="K290">LOOKUP(2,1/($G$6:$G$14&lt;=$L290)/($H$6:$H$14&gt;=$L290),$F$6:$F$14)</f>
        <v>FY19</v>
      </c>
      <c r="L290" s="118">
        <v>43475</v>
      </c>
      <c r="M290" s="49">
        <v>112313239</v>
      </c>
      <c r="N290" s="49">
        <v>135034207</v>
      </c>
      <c r="O290" s="50">
        <v>80000000</v>
      </c>
      <c r="P290" s="119" cm="1">
        <f t="array" ref="P290">LOOKUP(2,1/($B$10:$B$14&lt;=$L290)/($C$10:$C$14&gt;=$L290),$D$10:$D$14)</f>
        <v>1.1000000000000001</v>
      </c>
      <c r="Q290" s="120" cm="1">
        <f t="array" ref="Q290">LOOKUP(2,1/($B$17:$B$21&lt;=$L290)/($C$17:$C$21&gt;=$L290),$D$17:$D$21)</f>
        <v>134.49039999999999</v>
      </c>
      <c r="R290" s="113" t="str">
        <f t="shared" si="254"/>
        <v/>
      </c>
      <c r="S290" s="113" t="str">
        <f t="shared" si="255"/>
        <v>2H19</v>
      </c>
      <c r="T290" s="113" t="str">
        <f t="shared" ca="1" si="256"/>
        <v/>
      </c>
      <c r="U290" s="113" t="str">
        <f t="shared" si="257"/>
        <v/>
      </c>
      <c r="V290" s="113" t="str">
        <f t="shared" si="251"/>
        <v>FY19</v>
      </c>
      <c r="W290" s="113" t="str">
        <f t="shared" ca="1" si="252"/>
        <v/>
      </c>
    </row>
    <row r="291" spans="10:23" x14ac:dyDescent="0.25">
      <c r="J291" s="86" t="str" cm="1">
        <f t="array" ref="J291">LOOKUP(2,1/($G$17:$G$33&lt;=$L291)/($H$17:$H$33&gt;=$L291),$F$17:$F$33)</f>
        <v>2H19</v>
      </c>
      <c r="K291" s="86" t="str" cm="1">
        <f t="array" ref="K291">LOOKUP(2,1/($G$6:$G$14&lt;=$L291)/($H$6:$H$14&gt;=$L291),$F$6:$F$14)</f>
        <v>FY19</v>
      </c>
      <c r="L291" s="118">
        <v>43468</v>
      </c>
      <c r="M291" s="49">
        <v>63766762</v>
      </c>
      <c r="N291" s="49">
        <v>76666777</v>
      </c>
      <c r="O291" s="50">
        <v>50000000</v>
      </c>
      <c r="P291" s="119" cm="1">
        <f t="array" ref="P291">LOOKUP(2,1/($B$10:$B$14&lt;=$L291)/($C$10:$C$14&gt;=$L291),$D$10:$D$14)</f>
        <v>1.1000000000000001</v>
      </c>
      <c r="Q291" s="120" cm="1">
        <f t="array" ref="Q291">LOOKUP(2,1/($B$17:$B$21&lt;=$L291)/($C$17:$C$21&gt;=$L291),$D$17:$D$21)</f>
        <v>134.49039999999999</v>
      </c>
      <c r="R291" s="113" t="str">
        <f t="shared" si="254"/>
        <v>2H19</v>
      </c>
      <c r="S291" s="113" t="str">
        <f t="shared" si="255"/>
        <v>2H19</v>
      </c>
      <c r="T291" s="113" t="str">
        <f t="shared" ca="1" si="256"/>
        <v/>
      </c>
      <c r="U291" s="113" t="str">
        <f t="shared" si="257"/>
        <v/>
      </c>
      <c r="V291" s="113" t="str">
        <f t="shared" si="251"/>
        <v>FY19</v>
      </c>
      <c r="W291" s="113" t="str">
        <f t="shared" ca="1" si="252"/>
        <v/>
      </c>
    </row>
    <row r="292" spans="10:23" x14ac:dyDescent="0.25">
      <c r="J292" s="86" t="str" cm="1">
        <f t="array" ref="J292">LOOKUP(2,1/($G$17:$G$33&lt;=$L292)/($H$17:$H$33&gt;=$L292),$F$17:$F$33)</f>
        <v>1H19</v>
      </c>
      <c r="K292" s="86" t="str" cm="1">
        <f t="array" ref="K292">LOOKUP(2,1/($G$6:$G$14&lt;=$L292)/($H$6:$H$14&gt;=$L292),$F$6:$F$14)</f>
        <v>FY19</v>
      </c>
      <c r="L292" s="118">
        <v>43461</v>
      </c>
      <c r="M292" s="49">
        <v>36354828</v>
      </c>
      <c r="N292" s="49">
        <v>43709410</v>
      </c>
      <c r="O292" s="50">
        <v>30000000</v>
      </c>
      <c r="P292" s="119" cm="1">
        <f t="array" ref="P292">LOOKUP(2,1/($B$10:$B$14&lt;=$L292)/($C$10:$C$14&gt;=$L292),$D$10:$D$14)</f>
        <v>1.1000000000000001</v>
      </c>
      <c r="Q292" s="120" cm="1">
        <f t="array" ref="Q292">LOOKUP(2,1/($B$17:$B$21&lt;=$L292)/($C$17:$C$21&gt;=$L292),$D$17:$D$21)</f>
        <v>134.49039999999999</v>
      </c>
      <c r="R292" s="113" t="str">
        <f t="shared" si="254"/>
        <v/>
      </c>
      <c r="S292" s="113" t="str">
        <f t="shared" si="255"/>
        <v>2H19</v>
      </c>
      <c r="T292" s="113" t="str">
        <f t="shared" ca="1" si="256"/>
        <v/>
      </c>
      <c r="U292" s="113" t="str">
        <f t="shared" si="257"/>
        <v/>
      </c>
      <c r="V292" s="113" t="str">
        <f t="shared" si="251"/>
        <v>FY19</v>
      </c>
      <c r="W292" s="113" t="str">
        <f t="shared" ca="1" si="252"/>
        <v/>
      </c>
    </row>
    <row r="293" spans="10:23" x14ac:dyDescent="0.25">
      <c r="J293" s="86" t="str" cm="1">
        <f t="array" ref="J293">LOOKUP(2,1/($G$17:$G$33&lt;=$L293)/($H$17:$H$33&gt;=$L293),$F$17:$F$33)</f>
        <v>1H19</v>
      </c>
      <c r="K293" s="86" t="str" cm="1">
        <f t="array" ref="K293">LOOKUP(2,1/($G$6:$G$14&lt;=$L293)/($H$6:$H$14&gt;=$L293),$F$6:$F$14)</f>
        <v>FY19</v>
      </c>
      <c r="L293" s="118">
        <v>43454</v>
      </c>
      <c r="M293" s="49">
        <v>32972327</v>
      </c>
      <c r="N293" s="49">
        <v>39642629</v>
      </c>
      <c r="O293" s="50">
        <v>25000000</v>
      </c>
      <c r="P293" s="119" cm="1">
        <f t="array" ref="P293">LOOKUP(2,1/($B$10:$B$14&lt;=$L293)/($C$10:$C$14&gt;=$L293),$D$10:$D$14)</f>
        <v>1.1000000000000001</v>
      </c>
      <c r="Q293" s="120" cm="1">
        <f t="array" ref="Q293">LOOKUP(2,1/($B$17:$B$21&lt;=$L293)/($C$17:$C$21&gt;=$L293),$D$17:$D$21)</f>
        <v>134.49039999999999</v>
      </c>
      <c r="R293" s="113" t="str">
        <f t="shared" si="254"/>
        <v/>
      </c>
      <c r="S293" s="113" t="str">
        <f t="shared" si="255"/>
        <v>2H19</v>
      </c>
      <c r="T293" s="113" t="str">
        <f t="shared" ca="1" si="256"/>
        <v/>
      </c>
      <c r="U293" s="113" t="str">
        <f t="shared" si="257"/>
        <v/>
      </c>
      <c r="V293" s="113" t="str">
        <f t="shared" si="251"/>
        <v>FY19</v>
      </c>
      <c r="W293" s="113" t="str">
        <f t="shared" ca="1" si="252"/>
        <v/>
      </c>
    </row>
    <row r="294" spans="10:23" x14ac:dyDescent="0.25">
      <c r="J294" s="86" t="str" cm="1">
        <f t="array" ref="J294">LOOKUP(2,1/($G$17:$G$33&lt;=$L294)/($H$17:$H$33&gt;=$L294),$F$17:$F$33)</f>
        <v>1H19</v>
      </c>
      <c r="K294" s="86" t="str" cm="1">
        <f t="array" ref="K294">LOOKUP(2,1/($G$6:$G$14&lt;=$L294)/($H$6:$H$14&gt;=$L294),$F$6:$F$14)</f>
        <v>FY19</v>
      </c>
      <c r="L294" s="118">
        <v>43447</v>
      </c>
      <c r="M294" s="49">
        <v>30784708</v>
      </c>
      <c r="N294" s="49">
        <v>37012455</v>
      </c>
      <c r="O294" s="50">
        <v>20000000</v>
      </c>
      <c r="P294" s="119" cm="1">
        <f t="array" ref="P294">LOOKUP(2,1/($B$10:$B$14&lt;=$L294)/($C$10:$C$14&gt;=$L294),$D$10:$D$14)</f>
        <v>1.1000000000000001</v>
      </c>
      <c r="Q294" s="120" cm="1">
        <f t="array" ref="Q294">LOOKUP(2,1/($B$17:$B$21&lt;=$L294)/($C$17:$C$21&gt;=$L294),$D$17:$D$21)</f>
        <v>134.49039999999999</v>
      </c>
      <c r="R294" s="113" t="str">
        <f t="shared" si="254"/>
        <v/>
      </c>
      <c r="S294" s="113" t="str">
        <f t="shared" si="255"/>
        <v>2H19</v>
      </c>
      <c r="T294" s="113" t="str">
        <f t="shared" ca="1" si="256"/>
        <v/>
      </c>
      <c r="U294" s="113" t="str">
        <f t="shared" si="257"/>
        <v/>
      </c>
      <c r="V294" s="113" t="str">
        <f t="shared" si="251"/>
        <v>FY19</v>
      </c>
      <c r="W294" s="113" t="str">
        <f t="shared" ca="1" si="252"/>
        <v/>
      </c>
    </row>
    <row r="295" spans="10:23" x14ac:dyDescent="0.25">
      <c r="J295" s="86" t="str" cm="1">
        <f t="array" ref="J295">LOOKUP(2,1/($G$17:$G$33&lt;=$L295)/($H$17:$H$33&gt;=$L295),$F$17:$F$33)</f>
        <v>1H19</v>
      </c>
      <c r="K295" s="86" t="str" cm="1">
        <f t="array" ref="K295">LOOKUP(2,1/($G$6:$G$14&lt;=$L295)/($H$6:$H$14&gt;=$L295),$F$6:$F$14)</f>
        <v>FY19</v>
      </c>
      <c r="L295" s="118">
        <v>43440</v>
      </c>
      <c r="M295" s="49">
        <v>24628369</v>
      </c>
      <c r="N295" s="49">
        <v>29610688</v>
      </c>
      <c r="O295" s="50">
        <v>12000000</v>
      </c>
      <c r="P295" s="119" cm="1">
        <f t="array" ref="P295">LOOKUP(2,1/($B$10:$B$14&lt;=$L295)/($C$10:$C$14&gt;=$L295),$D$10:$D$14)</f>
        <v>1.1000000000000001</v>
      </c>
      <c r="Q295" s="120" cm="1">
        <f t="array" ref="Q295">LOOKUP(2,1/($B$17:$B$21&lt;=$L295)/($C$17:$C$21&gt;=$L295),$D$17:$D$21)</f>
        <v>134.49039999999999</v>
      </c>
      <c r="R295" s="113" t="str">
        <f t="shared" si="254"/>
        <v/>
      </c>
      <c r="S295" s="113" t="str">
        <f t="shared" si="255"/>
        <v>2H19</v>
      </c>
      <c r="T295" s="113" t="str">
        <f t="shared" ca="1" si="256"/>
        <v/>
      </c>
      <c r="U295" s="113" t="str">
        <f t="shared" si="257"/>
        <v/>
      </c>
      <c r="V295" s="113" t="str">
        <f t="shared" si="251"/>
        <v>FY19</v>
      </c>
      <c r="W295" s="113" t="str">
        <f t="shared" ca="1" si="252"/>
        <v/>
      </c>
    </row>
    <row r="296" spans="10:23" x14ac:dyDescent="0.25">
      <c r="J296" s="86" t="str" cm="1">
        <f t="array" ref="J296">LOOKUP(2,1/($G$17:$G$33&lt;=$L296)/($H$17:$H$33&gt;=$L296),$F$17:$F$33)</f>
        <v>1H19</v>
      </c>
      <c r="K296" s="86" t="str" cm="1">
        <f t="array" ref="K296">LOOKUP(2,1/($G$6:$G$14&lt;=$L296)/($H$6:$H$14&gt;=$L296),$F$6:$F$14)</f>
        <v>FY19</v>
      </c>
      <c r="L296" s="118">
        <v>43433</v>
      </c>
      <c r="M296" s="49">
        <v>19569770</v>
      </c>
      <c r="N296" s="49">
        <v>23528735</v>
      </c>
      <c r="O296" s="50">
        <v>8000000</v>
      </c>
      <c r="P296" s="119" cm="1">
        <f t="array" ref="P296">LOOKUP(2,1/($B$10:$B$14&lt;=$L296)/($C$10:$C$14&gt;=$L296),$D$10:$D$14)</f>
        <v>1.1000000000000001</v>
      </c>
      <c r="Q296" s="120" cm="1">
        <f t="array" ref="Q296">LOOKUP(2,1/($B$17:$B$21&lt;=$L296)/($C$17:$C$21&gt;=$L296),$D$17:$D$21)</f>
        <v>134.49039999999999</v>
      </c>
      <c r="R296" s="113" t="str">
        <f t="shared" si="254"/>
        <v/>
      </c>
      <c r="S296" s="113" t="str">
        <f t="shared" si="255"/>
        <v>2H19</v>
      </c>
      <c r="T296" s="113" t="str">
        <f t="shared" ca="1" si="256"/>
        <v/>
      </c>
      <c r="U296" s="113" t="str">
        <f t="shared" si="257"/>
        <v/>
      </c>
      <c r="V296" s="113" t="str">
        <f t="shared" si="251"/>
        <v>FY19</v>
      </c>
      <c r="W296" s="113" t="str">
        <f t="shared" ca="1" si="252"/>
        <v/>
      </c>
    </row>
    <row r="297" spans="10:23" x14ac:dyDescent="0.25">
      <c r="J297" s="86" t="str" cm="1">
        <f t="array" ref="J297">LOOKUP(2,1/($G$17:$G$33&lt;=$L297)/($H$17:$H$33&gt;=$L297),$F$17:$F$33)</f>
        <v>1H19</v>
      </c>
      <c r="K297" s="86" t="str" cm="1">
        <f t="array" ref="K297">LOOKUP(2,1/($G$6:$G$14&lt;=$L297)/($H$6:$H$14&gt;=$L297),$F$6:$F$14)</f>
        <v>FY19</v>
      </c>
      <c r="L297" s="118">
        <v>43426</v>
      </c>
      <c r="M297" s="49">
        <v>13612641</v>
      </c>
      <c r="N297" s="49">
        <v>16366479</v>
      </c>
      <c r="O297" s="50">
        <v>3000000</v>
      </c>
      <c r="P297" s="119" cm="1">
        <f t="array" ref="P297">LOOKUP(2,1/($B$10:$B$14&lt;=$L297)/($C$10:$C$14&gt;=$L297),$D$10:$D$14)</f>
        <v>1.1000000000000001</v>
      </c>
      <c r="Q297" s="120" cm="1">
        <f t="array" ref="Q297">LOOKUP(2,1/($B$17:$B$21&lt;=$L297)/($C$17:$C$21&gt;=$L297),$D$17:$D$21)</f>
        <v>134.49039999999999</v>
      </c>
      <c r="R297" s="113" t="str">
        <f t="shared" si="254"/>
        <v/>
      </c>
      <c r="S297" s="113" t="str">
        <f t="shared" si="255"/>
        <v>2H19</v>
      </c>
      <c r="T297" s="113" t="str">
        <f t="shared" ca="1" si="256"/>
        <v/>
      </c>
      <c r="U297" s="113" t="str">
        <f t="shared" si="257"/>
        <v/>
      </c>
      <c r="V297" s="113" t="str">
        <f t="shared" si="251"/>
        <v>FY19</v>
      </c>
      <c r="W297" s="113" t="str">
        <f t="shared" ca="1" si="252"/>
        <v/>
      </c>
    </row>
    <row r="298" spans="10:23" x14ac:dyDescent="0.25">
      <c r="J298" s="86" t="str" cm="1">
        <f t="array" ref="J298">LOOKUP(2,1/($G$17:$G$33&lt;=$L298)/($H$17:$H$33&gt;=$L298),$F$17:$F$33)</f>
        <v>1H19</v>
      </c>
      <c r="K298" s="86" t="str" cm="1">
        <f t="array" ref="K298">LOOKUP(2,1/($G$6:$G$14&lt;=$L298)/($H$6:$H$14&gt;=$L298),$F$6:$F$14)</f>
        <v>FY19</v>
      </c>
      <c r="L298" s="118">
        <v>43419</v>
      </c>
      <c r="M298" s="49">
        <v>13689842</v>
      </c>
      <c r="N298" s="49">
        <v>16459297</v>
      </c>
      <c r="O298" s="50">
        <v>3000000</v>
      </c>
      <c r="P298" s="119" cm="1">
        <f t="array" ref="P298">LOOKUP(2,1/($B$10:$B$14&lt;=$L298)/($C$10:$C$14&gt;=$L298),$D$10:$D$14)</f>
        <v>1.1000000000000001</v>
      </c>
      <c r="Q298" s="120" cm="1">
        <f t="array" ref="Q298">LOOKUP(2,1/($B$17:$B$21&lt;=$L298)/($C$17:$C$21&gt;=$L298),$D$17:$D$21)</f>
        <v>134.49039999999999</v>
      </c>
      <c r="R298" s="113" t="str">
        <f t="shared" si="254"/>
        <v/>
      </c>
      <c r="S298" s="113" t="str">
        <f t="shared" si="255"/>
        <v>2H19</v>
      </c>
      <c r="T298" s="113" t="str">
        <f t="shared" ca="1" si="256"/>
        <v/>
      </c>
      <c r="U298" s="113" t="str">
        <f t="shared" si="257"/>
        <v/>
      </c>
      <c r="V298" s="113" t="str">
        <f t="shared" si="251"/>
        <v>FY19</v>
      </c>
      <c r="W298" s="113" t="str">
        <f t="shared" ca="1" si="252"/>
        <v/>
      </c>
    </row>
    <row r="299" spans="10:23" x14ac:dyDescent="0.25">
      <c r="J299" s="86" t="str" cm="1">
        <f t="array" ref="J299">LOOKUP(2,1/($G$17:$G$33&lt;=$L299)/($H$17:$H$33&gt;=$L299),$F$17:$F$33)</f>
        <v>1H19</v>
      </c>
      <c r="K299" s="86" t="str" cm="1">
        <f t="array" ref="K299">LOOKUP(2,1/($G$6:$G$14&lt;=$L299)/($H$6:$H$14&gt;=$L299),$F$6:$F$14)</f>
        <v>FY19</v>
      </c>
      <c r="L299" s="118">
        <v>43412</v>
      </c>
      <c r="M299" s="49">
        <v>70047528</v>
      </c>
      <c r="N299" s="49">
        <v>84218143</v>
      </c>
      <c r="O299" s="50">
        <v>60000000</v>
      </c>
      <c r="P299" s="119" cm="1">
        <f t="array" ref="P299">LOOKUP(2,1/($B$10:$B$14&lt;=$L299)/($C$10:$C$14&gt;=$L299),$D$10:$D$14)</f>
        <v>1.1000000000000001</v>
      </c>
      <c r="Q299" s="120" cm="1">
        <f t="array" ref="Q299">LOOKUP(2,1/($B$17:$B$21&lt;=$L299)/($C$17:$C$21&gt;=$L299),$D$17:$D$21)</f>
        <v>134.49039999999999</v>
      </c>
      <c r="R299" s="113" t="str">
        <f t="shared" si="254"/>
        <v/>
      </c>
      <c r="S299" s="113" t="str">
        <f t="shared" si="255"/>
        <v>1H19</v>
      </c>
      <c r="T299" s="113" t="str">
        <f t="shared" ca="1" si="256"/>
        <v>2H19</v>
      </c>
      <c r="U299" s="113" t="str">
        <f t="shared" si="257"/>
        <v/>
      </c>
      <c r="V299" s="113" t="str">
        <f t="shared" si="251"/>
        <v>FY19</v>
      </c>
      <c r="W299" s="113" t="str">
        <f t="shared" ca="1" si="252"/>
        <v/>
      </c>
    </row>
    <row r="300" spans="10:23" x14ac:dyDescent="0.25">
      <c r="J300" s="86" t="str" cm="1">
        <f t="array" ref="J300">LOOKUP(2,1/($G$17:$G$33&lt;=$L300)/($H$17:$H$33&gt;=$L300),$F$17:$F$33)</f>
        <v>1H19</v>
      </c>
      <c r="K300" s="86" t="str" cm="1">
        <f t="array" ref="K300">LOOKUP(2,1/($G$6:$G$14&lt;=$L300)/($H$6:$H$14&gt;=$L300),$F$6:$F$14)</f>
        <v>FY19</v>
      </c>
      <c r="L300" s="118">
        <v>43405</v>
      </c>
      <c r="M300" s="49">
        <v>42745877</v>
      </c>
      <c r="N300" s="49">
        <v>51393368</v>
      </c>
      <c r="O300" s="50">
        <v>40000000</v>
      </c>
      <c r="P300" s="119" cm="1">
        <f t="array" ref="P300">LOOKUP(2,1/($B$10:$B$14&lt;=$L300)/($C$10:$C$14&gt;=$L300),$D$10:$D$14)</f>
        <v>1.1000000000000001</v>
      </c>
      <c r="Q300" s="120" cm="1">
        <f t="array" ref="Q300">LOOKUP(2,1/($B$17:$B$21&lt;=$L300)/($C$17:$C$21&gt;=$L300),$D$17:$D$21)</f>
        <v>134.49039999999999</v>
      </c>
      <c r="R300" s="113" t="str">
        <f t="shared" si="254"/>
        <v/>
      </c>
      <c r="S300" s="113" t="str">
        <f t="shared" si="255"/>
        <v>1H19</v>
      </c>
      <c r="T300" s="113" t="str">
        <f t="shared" ca="1" si="256"/>
        <v/>
      </c>
      <c r="U300" s="113" t="str">
        <f t="shared" si="257"/>
        <v/>
      </c>
      <c r="V300" s="113" t="str">
        <f t="shared" si="251"/>
        <v>FY19</v>
      </c>
      <c r="W300" s="113" t="str">
        <f t="shared" ca="1" si="252"/>
        <v/>
      </c>
    </row>
    <row r="301" spans="10:23" x14ac:dyDescent="0.25">
      <c r="J301" s="86" t="str" cm="1">
        <f t="array" ref="J301">LOOKUP(2,1/($G$17:$G$33&lt;=$L301)/($H$17:$H$33&gt;=$L301),$F$17:$F$33)</f>
        <v>1H19</v>
      </c>
      <c r="K301" s="86" t="str" cm="1">
        <f t="array" ref="K301">LOOKUP(2,1/($G$6:$G$14&lt;=$L301)/($H$6:$H$14&gt;=$L301),$F$6:$F$14)</f>
        <v>FY19</v>
      </c>
      <c r="L301" s="118">
        <v>43398</v>
      </c>
      <c r="M301" s="49">
        <v>34304900</v>
      </c>
      <c r="N301" s="49">
        <v>41244781</v>
      </c>
      <c r="O301" s="50">
        <v>30000000</v>
      </c>
      <c r="P301" s="119" cm="1">
        <f t="array" ref="P301">LOOKUP(2,1/($B$10:$B$14&lt;=$L301)/($C$10:$C$14&gt;=$L301),$D$10:$D$14)</f>
        <v>1.1000000000000001</v>
      </c>
      <c r="Q301" s="120" cm="1">
        <f t="array" ref="Q301">LOOKUP(2,1/($B$17:$B$21&lt;=$L301)/($C$17:$C$21&gt;=$L301),$D$17:$D$21)</f>
        <v>134.49039999999999</v>
      </c>
      <c r="R301" s="113" t="str">
        <f t="shared" si="254"/>
        <v/>
      </c>
      <c r="S301" s="113" t="str">
        <f t="shared" si="255"/>
        <v>1H19</v>
      </c>
      <c r="T301" s="113" t="str">
        <f t="shared" ca="1" si="256"/>
        <v/>
      </c>
      <c r="U301" s="113" t="str">
        <f t="shared" si="257"/>
        <v/>
      </c>
      <c r="V301" s="113" t="str">
        <f t="shared" si="251"/>
        <v>FY19</v>
      </c>
      <c r="W301" s="113" t="str">
        <f t="shared" ca="1" si="252"/>
        <v/>
      </c>
    </row>
    <row r="302" spans="10:23" x14ac:dyDescent="0.25">
      <c r="J302" s="86" t="str" cm="1">
        <f t="array" ref="J302">LOOKUP(2,1/($G$17:$G$33&lt;=$L302)/($H$17:$H$33&gt;=$L302),$F$17:$F$33)</f>
        <v>1H19</v>
      </c>
      <c r="K302" s="86" t="str" cm="1">
        <f t="array" ref="K302">LOOKUP(2,1/($G$6:$G$14&lt;=$L302)/($H$6:$H$14&gt;=$L302),$F$6:$F$14)</f>
        <v>FY19</v>
      </c>
      <c r="L302" s="118">
        <v>43391</v>
      </c>
      <c r="M302" s="49">
        <v>29451650</v>
      </c>
      <c r="N302" s="49">
        <v>35409719</v>
      </c>
      <c r="O302" s="50">
        <v>20000000</v>
      </c>
      <c r="P302" s="119" cm="1">
        <f t="array" ref="P302">LOOKUP(2,1/($B$10:$B$14&lt;=$L302)/($C$10:$C$14&gt;=$L302),$D$10:$D$14)</f>
        <v>1.1000000000000001</v>
      </c>
      <c r="Q302" s="120" cm="1">
        <f t="array" ref="Q302">LOOKUP(2,1/($B$17:$B$21&lt;=$L302)/($C$17:$C$21&gt;=$L302),$D$17:$D$21)</f>
        <v>134.49039999999999</v>
      </c>
      <c r="R302" s="113" t="str">
        <f t="shared" si="254"/>
        <v/>
      </c>
      <c r="S302" s="113" t="str">
        <f t="shared" si="255"/>
        <v>1H19</v>
      </c>
      <c r="T302" s="113" t="str">
        <f t="shared" ca="1" si="256"/>
        <v/>
      </c>
      <c r="U302" s="113" t="str">
        <f t="shared" si="257"/>
        <v/>
      </c>
      <c r="V302" s="113" t="str">
        <f t="shared" si="251"/>
        <v>FY19</v>
      </c>
      <c r="W302" s="113" t="str">
        <f t="shared" ca="1" si="252"/>
        <v/>
      </c>
    </row>
    <row r="303" spans="10:23" x14ac:dyDescent="0.25">
      <c r="J303" s="86" t="str" cm="1">
        <f t="array" ref="J303">LOOKUP(2,1/($G$17:$G$33&lt;=$L303)/($H$17:$H$33&gt;=$L303),$F$17:$F$33)</f>
        <v>1H19</v>
      </c>
      <c r="K303" s="86" t="str" cm="1">
        <f t="array" ref="K303">LOOKUP(2,1/($G$6:$G$14&lt;=$L303)/($H$6:$H$14&gt;=$L303),$F$6:$F$14)</f>
        <v>FY19</v>
      </c>
      <c r="L303" s="118">
        <v>43384</v>
      </c>
      <c r="M303" s="49">
        <v>22858247</v>
      </c>
      <c r="N303" s="49">
        <v>27482470</v>
      </c>
      <c r="O303" s="50">
        <v>12000000</v>
      </c>
      <c r="P303" s="119" cm="1">
        <f t="array" ref="P303">LOOKUP(2,1/($B$10:$B$14&lt;=$L303)/($C$10:$C$14&gt;=$L303),$D$10:$D$14)</f>
        <v>1.1000000000000001</v>
      </c>
      <c r="Q303" s="120" cm="1">
        <f t="array" ref="Q303">LOOKUP(2,1/($B$17:$B$21&lt;=$L303)/($C$17:$C$21&gt;=$L303),$D$17:$D$21)</f>
        <v>134.49039999999999</v>
      </c>
      <c r="R303" s="113" t="str">
        <f t="shared" si="254"/>
        <v/>
      </c>
      <c r="S303" s="113" t="str">
        <f t="shared" si="255"/>
        <v>1H19</v>
      </c>
      <c r="T303" s="113" t="str">
        <f t="shared" ca="1" si="256"/>
        <v/>
      </c>
      <c r="U303" s="113" t="str">
        <f t="shared" si="257"/>
        <v/>
      </c>
      <c r="V303" s="113" t="str">
        <f t="shared" si="251"/>
        <v>FY19</v>
      </c>
      <c r="W303" s="113" t="str">
        <f t="shared" ca="1" si="252"/>
        <v/>
      </c>
    </row>
    <row r="304" spans="10:23" x14ac:dyDescent="0.25">
      <c r="J304" s="86" t="str" cm="1">
        <f t="array" ref="J304">LOOKUP(2,1/($G$17:$G$33&lt;=$L304)/($H$17:$H$33&gt;=$L304),$F$17:$F$33)</f>
        <v>1H19</v>
      </c>
      <c r="K304" s="86" t="str" cm="1">
        <f t="array" ref="K304">LOOKUP(2,1/($G$6:$G$14&lt;=$L304)/($H$6:$H$14&gt;=$L304),$F$6:$F$14)</f>
        <v>FY19</v>
      </c>
      <c r="L304" s="118">
        <v>43377</v>
      </c>
      <c r="M304" s="49">
        <v>17248675</v>
      </c>
      <c r="N304" s="49">
        <v>20738082</v>
      </c>
      <c r="O304" s="50">
        <v>8000000</v>
      </c>
      <c r="P304" s="119" cm="1">
        <f t="array" ref="P304">LOOKUP(2,1/($B$10:$B$14&lt;=$L304)/($C$10:$C$14&gt;=$L304),$D$10:$D$14)</f>
        <v>1.1000000000000001</v>
      </c>
      <c r="Q304" s="120" cm="1">
        <f t="array" ref="Q304">LOOKUP(2,1/($B$17:$B$21&lt;=$L304)/($C$17:$C$21&gt;=$L304),$D$17:$D$21)</f>
        <v>134.49039999999999</v>
      </c>
      <c r="R304" s="113" t="str">
        <f t="shared" si="254"/>
        <v/>
      </c>
      <c r="S304" s="113" t="str">
        <f t="shared" si="255"/>
        <v>1H19</v>
      </c>
      <c r="T304" s="113" t="str">
        <f t="shared" ca="1" si="256"/>
        <v/>
      </c>
      <c r="U304" s="113" t="str">
        <f t="shared" si="257"/>
        <v/>
      </c>
      <c r="V304" s="113" t="str">
        <f t="shared" si="251"/>
        <v>FY19</v>
      </c>
      <c r="W304" s="113" t="str">
        <f t="shared" ca="1" si="252"/>
        <v/>
      </c>
    </row>
    <row r="305" spans="10:23" x14ac:dyDescent="0.25">
      <c r="J305" s="86" t="str" cm="1">
        <f t="array" ref="J305">LOOKUP(2,1/($G$17:$G$33&lt;=$L305)/($H$17:$H$33&gt;=$L305),$F$17:$F$33)</f>
        <v>1H19</v>
      </c>
      <c r="K305" s="86" t="str" cm="1">
        <f t="array" ref="K305">LOOKUP(2,1/($G$6:$G$14&lt;=$L305)/($H$6:$H$14&gt;=$L305),$F$6:$F$14)</f>
        <v>FY19</v>
      </c>
      <c r="L305" s="118">
        <v>43370</v>
      </c>
      <c r="M305" s="49">
        <v>12986396</v>
      </c>
      <c r="N305" s="49">
        <v>15613544</v>
      </c>
      <c r="O305" s="50">
        <v>3000000</v>
      </c>
      <c r="P305" s="119" cm="1">
        <f t="array" ref="P305">LOOKUP(2,1/($B$10:$B$14&lt;=$L305)/($C$10:$C$14&gt;=$L305),$D$10:$D$14)</f>
        <v>1.1000000000000001</v>
      </c>
      <c r="Q305" s="120" cm="1">
        <f t="array" ref="Q305">LOOKUP(2,1/($B$17:$B$21&lt;=$L305)/($C$17:$C$21&gt;=$L305),$D$17:$D$21)</f>
        <v>134.49039999999999</v>
      </c>
      <c r="R305" s="113" t="str">
        <f t="shared" si="254"/>
        <v/>
      </c>
      <c r="S305" s="113" t="str">
        <f t="shared" si="255"/>
        <v>1H19</v>
      </c>
      <c r="T305" s="113" t="str">
        <f t="shared" ca="1" si="256"/>
        <v/>
      </c>
      <c r="U305" s="113" t="str">
        <f t="shared" si="257"/>
        <v/>
      </c>
      <c r="V305" s="113" t="str">
        <f t="shared" si="251"/>
        <v>FY19</v>
      </c>
      <c r="W305" s="113" t="str">
        <f t="shared" ca="1" si="252"/>
        <v/>
      </c>
    </row>
    <row r="306" spans="10:23" x14ac:dyDescent="0.25">
      <c r="J306" s="86" t="str" cm="1">
        <f t="array" ref="J306">LOOKUP(2,1/($G$17:$G$33&lt;=$L306)/($H$17:$H$33&gt;=$L306),$F$17:$F$33)</f>
        <v>1H19</v>
      </c>
      <c r="K306" s="86" t="str" cm="1">
        <f t="array" ref="K306">LOOKUP(2,1/($G$6:$G$14&lt;=$L306)/($H$6:$H$14&gt;=$L306),$F$6:$F$14)</f>
        <v>FY19</v>
      </c>
      <c r="L306" s="118">
        <v>43363</v>
      </c>
      <c r="M306" s="49">
        <v>36523513</v>
      </c>
      <c r="N306" s="49">
        <v>43912219</v>
      </c>
      <c r="O306" s="50">
        <v>30000000</v>
      </c>
      <c r="P306" s="119" cm="1">
        <f t="array" ref="P306">LOOKUP(2,1/($B$10:$B$14&lt;=$L306)/($C$10:$C$14&gt;=$L306),$D$10:$D$14)</f>
        <v>1.1000000000000001</v>
      </c>
      <c r="Q306" s="120" cm="1">
        <f t="array" ref="Q306">LOOKUP(2,1/($B$17:$B$21&lt;=$L306)/($C$17:$C$21&gt;=$L306),$D$17:$D$21)</f>
        <v>134.49039999999999</v>
      </c>
      <c r="R306" s="113" t="str">
        <f t="shared" si="254"/>
        <v/>
      </c>
      <c r="S306" s="113" t="str">
        <f t="shared" si="255"/>
        <v>1H19</v>
      </c>
      <c r="T306" s="113" t="str">
        <f t="shared" ca="1" si="256"/>
        <v/>
      </c>
      <c r="U306" s="113" t="str">
        <f t="shared" si="257"/>
        <v/>
      </c>
      <c r="V306" s="113" t="str">
        <f t="shared" si="251"/>
        <v>FY19</v>
      </c>
      <c r="W306" s="113" t="str">
        <f t="shared" ca="1" si="252"/>
        <v/>
      </c>
    </row>
    <row r="307" spans="10:23" x14ac:dyDescent="0.25">
      <c r="J307" s="86" t="str" cm="1">
        <f t="array" ref="J307">LOOKUP(2,1/($G$17:$G$33&lt;=$L307)/($H$17:$H$33&gt;=$L307),$F$17:$F$33)</f>
        <v>1H19</v>
      </c>
      <c r="K307" s="86" t="str" cm="1">
        <f t="array" ref="K307">LOOKUP(2,1/($G$6:$G$14&lt;=$L307)/($H$6:$H$14&gt;=$L307),$F$6:$F$14)</f>
        <v>FY19</v>
      </c>
      <c r="L307" s="118">
        <v>43356</v>
      </c>
      <c r="M307" s="49">
        <v>27308763</v>
      </c>
      <c r="N307" s="49">
        <v>32833326</v>
      </c>
      <c r="O307" s="50">
        <v>20000000</v>
      </c>
      <c r="P307" s="119" cm="1">
        <f t="array" ref="P307">LOOKUP(2,1/($B$10:$B$14&lt;=$L307)/($C$10:$C$14&gt;=$L307),$D$10:$D$14)</f>
        <v>1.1000000000000001</v>
      </c>
      <c r="Q307" s="120" cm="1">
        <f t="array" ref="Q307">LOOKUP(2,1/($B$17:$B$21&lt;=$L307)/($C$17:$C$21&gt;=$L307),$D$17:$D$21)</f>
        <v>134.49039999999999</v>
      </c>
      <c r="R307" s="113" t="str">
        <f t="shared" si="254"/>
        <v/>
      </c>
      <c r="S307" s="113" t="str">
        <f t="shared" si="255"/>
        <v>1H19</v>
      </c>
      <c r="T307" s="113" t="str">
        <f t="shared" ca="1" si="256"/>
        <v/>
      </c>
      <c r="U307" s="113" t="str">
        <f t="shared" si="257"/>
        <v/>
      </c>
      <c r="V307" s="113" t="str">
        <f t="shared" si="251"/>
        <v>FY19</v>
      </c>
      <c r="W307" s="113" t="str">
        <f t="shared" ca="1" si="252"/>
        <v/>
      </c>
    </row>
    <row r="308" spans="10:23" x14ac:dyDescent="0.25">
      <c r="J308" s="86" t="str" cm="1">
        <f t="array" ref="J308">LOOKUP(2,1/($G$17:$G$33&lt;=$L308)/($H$17:$H$33&gt;=$L308),$F$17:$F$33)</f>
        <v>1H19</v>
      </c>
      <c r="K308" s="86" t="str" cm="1">
        <f t="array" ref="K308">LOOKUP(2,1/($G$6:$G$14&lt;=$L308)/($H$6:$H$14&gt;=$L308),$F$6:$F$14)</f>
        <v>FY19</v>
      </c>
      <c r="L308" s="118">
        <v>43349</v>
      </c>
      <c r="M308" s="49">
        <v>21606583</v>
      </c>
      <c r="N308" s="49">
        <v>25977595</v>
      </c>
      <c r="O308" s="50">
        <v>12000000</v>
      </c>
      <c r="P308" s="119" cm="1">
        <f t="array" ref="P308">LOOKUP(2,1/($B$10:$B$14&lt;=$L308)/($C$10:$C$14&gt;=$L308),$D$10:$D$14)</f>
        <v>1.1000000000000001</v>
      </c>
      <c r="Q308" s="120" cm="1">
        <f t="array" ref="Q308">LOOKUP(2,1/($B$17:$B$21&lt;=$L308)/($C$17:$C$21&gt;=$L308),$D$17:$D$21)</f>
        <v>134.49039999999999</v>
      </c>
      <c r="R308" s="113" t="str">
        <f t="shared" si="254"/>
        <v/>
      </c>
      <c r="S308" s="113" t="str">
        <f t="shared" si="255"/>
        <v>1H19</v>
      </c>
      <c r="T308" s="113" t="str">
        <f t="shared" ca="1" si="256"/>
        <v/>
      </c>
      <c r="U308" s="113" t="str">
        <f t="shared" si="257"/>
        <v/>
      </c>
      <c r="V308" s="113" t="str">
        <f t="shared" si="251"/>
        <v>FY19</v>
      </c>
      <c r="W308" s="113" t="str">
        <f t="shared" ca="1" si="252"/>
        <v/>
      </c>
    </row>
    <row r="309" spans="10:23" x14ac:dyDescent="0.25">
      <c r="J309" s="86" t="str" cm="1">
        <f t="array" ref="J309">LOOKUP(2,1/($G$17:$G$33&lt;=$L309)/($H$17:$H$33&gt;=$L309),$F$17:$F$33)</f>
        <v>1H19</v>
      </c>
      <c r="K309" s="86" t="str" cm="1">
        <f t="array" ref="K309">LOOKUP(2,1/($G$6:$G$14&lt;=$L309)/($H$6:$H$14&gt;=$L309),$F$6:$F$14)</f>
        <v>FY19</v>
      </c>
      <c r="L309" s="118">
        <v>43342</v>
      </c>
      <c r="M309" s="49">
        <v>16733295</v>
      </c>
      <c r="N309" s="49">
        <v>20118441</v>
      </c>
      <c r="O309" s="50">
        <v>8000000</v>
      </c>
      <c r="P309" s="119" cm="1">
        <f t="array" ref="P309">LOOKUP(2,1/($B$10:$B$14&lt;=$L309)/($C$10:$C$14&gt;=$L309),$D$10:$D$14)</f>
        <v>1.1000000000000001</v>
      </c>
      <c r="Q309" s="120" cm="1">
        <f t="array" ref="Q309">LOOKUP(2,1/($B$17:$B$21&lt;=$L309)/($C$17:$C$21&gt;=$L309),$D$17:$D$21)</f>
        <v>134.49039999999999</v>
      </c>
      <c r="R309" s="113" t="str">
        <f t="shared" si="254"/>
        <v/>
      </c>
      <c r="S309" s="113" t="str">
        <f t="shared" si="255"/>
        <v>1H19</v>
      </c>
      <c r="T309" s="113" t="str">
        <f t="shared" ca="1" si="256"/>
        <v/>
      </c>
      <c r="U309" s="113" t="str">
        <f t="shared" si="257"/>
        <v/>
      </c>
      <c r="V309" s="113" t="str">
        <f t="shared" si="251"/>
        <v>FY19</v>
      </c>
      <c r="W309" s="113" t="str">
        <f t="shared" ca="1" si="252"/>
        <v/>
      </c>
    </row>
    <row r="310" spans="10:23" x14ac:dyDescent="0.25">
      <c r="J310" s="86" t="str" cm="1">
        <f t="array" ref="J310">LOOKUP(2,1/($G$17:$G$33&lt;=$L310)/($H$17:$H$33&gt;=$L310),$F$17:$F$33)</f>
        <v>1H19</v>
      </c>
      <c r="K310" s="86" t="str" cm="1">
        <f t="array" ref="K310">LOOKUP(2,1/($G$6:$G$14&lt;=$L310)/($H$6:$H$14&gt;=$L310),$F$6:$F$14)</f>
        <v>FY19</v>
      </c>
      <c r="L310" s="118">
        <v>43335</v>
      </c>
      <c r="M310" s="49">
        <v>14031852</v>
      </c>
      <c r="N310" s="49">
        <v>16870496</v>
      </c>
      <c r="O310" s="50">
        <v>3000000</v>
      </c>
      <c r="P310" s="119" cm="1">
        <f t="array" ref="P310">LOOKUP(2,1/($B$10:$B$14&lt;=$L310)/($C$10:$C$14&gt;=$L310),$D$10:$D$14)</f>
        <v>1.1000000000000001</v>
      </c>
      <c r="Q310" s="120" cm="1">
        <f t="array" ref="Q310">LOOKUP(2,1/($B$17:$B$21&lt;=$L310)/($C$17:$C$21&gt;=$L310),$D$17:$D$21)</f>
        <v>134.49039999999999</v>
      </c>
      <c r="R310" s="113" t="str">
        <f t="shared" si="254"/>
        <v/>
      </c>
      <c r="S310" s="113" t="str">
        <f t="shared" si="255"/>
        <v>1H19</v>
      </c>
      <c r="T310" s="113" t="str">
        <f t="shared" ca="1" si="256"/>
        <v/>
      </c>
      <c r="U310" s="113" t="str">
        <f t="shared" si="257"/>
        <v/>
      </c>
      <c r="V310" s="113" t="str">
        <f t="shared" si="251"/>
        <v>FY19</v>
      </c>
      <c r="W310" s="113" t="str">
        <f t="shared" ca="1" si="252"/>
        <v/>
      </c>
    </row>
    <row r="311" spans="10:23" x14ac:dyDescent="0.25">
      <c r="J311" s="86" t="str" cm="1">
        <f t="array" ref="J311">LOOKUP(2,1/($G$17:$G$33&lt;=$L311)/($H$17:$H$33&gt;=$L311),$F$17:$F$33)</f>
        <v>1H19</v>
      </c>
      <c r="K311" s="86" t="str" cm="1">
        <f t="array" ref="K311">LOOKUP(2,1/($G$6:$G$14&lt;=$L311)/($H$6:$H$14&gt;=$L311),$F$6:$F$14)</f>
        <v>FY19</v>
      </c>
      <c r="L311" s="118">
        <v>43328</v>
      </c>
      <c r="M311" s="49">
        <v>169384236</v>
      </c>
      <c r="N311" s="49">
        <v>203650668</v>
      </c>
      <c r="O311" s="50">
        <v>100000000</v>
      </c>
      <c r="P311" s="119" cm="1">
        <f t="array" ref="P311">LOOKUP(2,1/($B$10:$B$14&lt;=$L311)/($C$10:$C$14&gt;=$L311),$D$10:$D$14)</f>
        <v>1.1000000000000001</v>
      </c>
      <c r="Q311" s="120" cm="1">
        <f t="array" ref="Q311">LOOKUP(2,1/($B$17:$B$21&lt;=$L311)/($C$17:$C$21&gt;=$L311),$D$17:$D$21)</f>
        <v>134.49039999999999</v>
      </c>
      <c r="R311" s="113" t="str">
        <f t="shared" si="254"/>
        <v/>
      </c>
      <c r="S311" s="113" t="str">
        <f t="shared" si="255"/>
        <v>1H19</v>
      </c>
      <c r="T311" s="113" t="str">
        <f t="shared" ca="1" si="256"/>
        <v/>
      </c>
      <c r="U311" s="113" t="str">
        <f t="shared" si="257"/>
        <v/>
      </c>
      <c r="V311" s="113" t="str">
        <f t="shared" si="251"/>
        <v>FY19</v>
      </c>
      <c r="W311" s="113" t="str">
        <f t="shared" ca="1" si="252"/>
        <v/>
      </c>
    </row>
    <row r="312" spans="10:23" x14ac:dyDescent="0.25">
      <c r="J312" s="86" t="str" cm="1">
        <f t="array" ref="J312">LOOKUP(2,1/($G$17:$G$33&lt;=$L312)/($H$17:$H$33&gt;=$L312),$F$17:$F$33)</f>
        <v>1H19</v>
      </c>
      <c r="K312" s="86" t="str" cm="1">
        <f t="array" ref="K312">LOOKUP(2,1/($G$6:$G$14&lt;=$L312)/($H$6:$H$14&gt;=$L312),$F$6:$F$14)</f>
        <v>FY19</v>
      </c>
      <c r="L312" s="118">
        <v>43321</v>
      </c>
      <c r="M312" s="49">
        <v>89658852</v>
      </c>
      <c r="N312" s="49">
        <v>107796837</v>
      </c>
      <c r="O312" s="50">
        <v>80000000</v>
      </c>
      <c r="P312" s="119" cm="1">
        <f t="array" ref="P312">LOOKUP(2,1/($B$10:$B$14&lt;=$L312)/($C$10:$C$14&gt;=$L312),$D$10:$D$14)</f>
        <v>1.1000000000000001</v>
      </c>
      <c r="Q312" s="120" cm="1">
        <f t="array" ref="Q312">LOOKUP(2,1/($B$17:$B$21&lt;=$L312)/($C$17:$C$21&gt;=$L312),$D$17:$D$21)</f>
        <v>134.49039999999999</v>
      </c>
      <c r="R312" s="113" t="str">
        <f t="shared" si="254"/>
        <v/>
      </c>
      <c r="S312" s="113" t="str">
        <f t="shared" si="255"/>
        <v>1H19</v>
      </c>
      <c r="T312" s="113" t="str">
        <f t="shared" ca="1" si="256"/>
        <v/>
      </c>
      <c r="U312" s="113" t="str">
        <f t="shared" si="257"/>
        <v/>
      </c>
      <c r="V312" s="113" t="str">
        <f t="shared" si="251"/>
        <v>FY19</v>
      </c>
      <c r="W312" s="113" t="str">
        <f t="shared" ca="1" si="252"/>
        <v/>
      </c>
    </row>
    <row r="313" spans="10:23" x14ac:dyDescent="0.25">
      <c r="J313" s="86" t="str" cm="1">
        <f t="array" ref="J313">LOOKUP(2,1/($G$17:$G$33&lt;=$L313)/($H$17:$H$33&gt;=$L313),$F$17:$F$33)</f>
        <v>1H19</v>
      </c>
      <c r="K313" s="86" t="str" cm="1">
        <f t="array" ref="K313">LOOKUP(2,1/($G$6:$G$14&lt;=$L313)/($H$6:$H$14&gt;=$L313),$F$6:$F$14)</f>
        <v>FY19</v>
      </c>
      <c r="L313" s="118">
        <v>43314</v>
      </c>
      <c r="M313" s="49">
        <v>47637120</v>
      </c>
      <c r="N313" s="49">
        <v>57274109</v>
      </c>
      <c r="O313" s="50">
        <v>50000000</v>
      </c>
      <c r="P313" s="119" cm="1">
        <f t="array" ref="P313">LOOKUP(2,1/($B$10:$B$14&lt;=$L313)/($C$10:$C$14&gt;=$L313),$D$10:$D$14)</f>
        <v>1.1000000000000001</v>
      </c>
      <c r="Q313" s="120" cm="1">
        <f t="array" ref="Q313">LOOKUP(2,1/($B$17:$B$21&lt;=$L313)/($C$17:$C$21&gt;=$L313),$D$17:$D$21)</f>
        <v>134.49039999999999</v>
      </c>
      <c r="R313" s="113" t="str">
        <f t="shared" si="254"/>
        <v/>
      </c>
      <c r="S313" s="113" t="str">
        <f t="shared" si="255"/>
        <v>1H19</v>
      </c>
      <c r="T313" s="113" t="str">
        <f t="shared" ca="1" si="256"/>
        <v/>
      </c>
      <c r="U313" s="113" t="str">
        <f t="shared" si="257"/>
        <v/>
      </c>
      <c r="V313" s="113" t="str">
        <f t="shared" si="251"/>
        <v>FY19</v>
      </c>
      <c r="W313" s="113" t="str">
        <f t="shared" ca="1" si="252"/>
        <v/>
      </c>
    </row>
    <row r="314" spans="10:23" x14ac:dyDescent="0.25">
      <c r="J314" s="86" t="str" cm="1">
        <f t="array" ref="J314">LOOKUP(2,1/($G$17:$G$33&lt;=$L314)/($H$17:$H$33&gt;=$L314),$F$17:$F$33)</f>
        <v>1H19</v>
      </c>
      <c r="K314" s="86" t="str" cm="1">
        <f t="array" ref="K314">LOOKUP(2,1/($G$6:$G$14&lt;=$L314)/($H$6:$H$14&gt;=$L314),$F$6:$F$14)</f>
        <v>FY19</v>
      </c>
      <c r="L314" s="118">
        <v>43307</v>
      </c>
      <c r="M314" s="49">
        <v>38670652</v>
      </c>
      <c r="N314" s="49">
        <v>46493725</v>
      </c>
      <c r="O314" s="50">
        <v>40000000</v>
      </c>
      <c r="P314" s="119" cm="1">
        <f t="array" ref="P314">LOOKUP(2,1/($B$10:$B$14&lt;=$L314)/($C$10:$C$14&gt;=$L314),$D$10:$D$14)</f>
        <v>1.1000000000000001</v>
      </c>
      <c r="Q314" s="120" cm="1">
        <f t="array" ref="Q314">LOOKUP(2,1/($B$17:$B$21&lt;=$L314)/($C$17:$C$21&gt;=$L314),$D$17:$D$21)</f>
        <v>134.49039999999999</v>
      </c>
      <c r="R314" s="113" t="str">
        <f t="shared" si="254"/>
        <v/>
      </c>
      <c r="S314" s="113" t="str">
        <f t="shared" si="255"/>
        <v>1H19</v>
      </c>
      <c r="T314" s="113" t="str">
        <f t="shared" ca="1" si="256"/>
        <v/>
      </c>
      <c r="U314" s="113" t="str">
        <f t="shared" si="257"/>
        <v/>
      </c>
      <c r="V314" s="113" t="str">
        <f t="shared" si="251"/>
        <v>FY19</v>
      </c>
      <c r="W314" s="113" t="str">
        <f t="shared" ca="1" si="252"/>
        <v/>
      </c>
    </row>
    <row r="315" spans="10:23" x14ac:dyDescent="0.25">
      <c r="J315" s="86" t="str" cm="1">
        <f t="array" ref="J315">LOOKUP(2,1/($G$17:$G$33&lt;=$L315)/($H$17:$H$33&gt;=$L315),$F$17:$F$33)</f>
        <v>1H19</v>
      </c>
      <c r="K315" s="86" t="str" cm="1">
        <f t="array" ref="K315">LOOKUP(2,1/($G$6:$G$14&lt;=$L315)/($H$6:$H$14&gt;=$L315),$F$6:$F$14)</f>
        <v>FY19</v>
      </c>
      <c r="L315" s="118">
        <v>43300</v>
      </c>
      <c r="M315" s="49">
        <v>32449662</v>
      </c>
      <c r="N315" s="49">
        <v>39014228</v>
      </c>
      <c r="O315" s="50">
        <v>30000000</v>
      </c>
      <c r="P315" s="119" cm="1">
        <f t="array" ref="P315">LOOKUP(2,1/($B$10:$B$14&lt;=$L315)/($C$10:$C$14&gt;=$L315),$D$10:$D$14)</f>
        <v>1.1000000000000001</v>
      </c>
      <c r="Q315" s="120" cm="1">
        <f t="array" ref="Q315">LOOKUP(2,1/($B$17:$B$21&lt;=$L315)/($C$17:$C$21&gt;=$L315),$D$17:$D$21)</f>
        <v>134.49039999999999</v>
      </c>
      <c r="R315" s="113" t="str">
        <f t="shared" si="254"/>
        <v/>
      </c>
      <c r="S315" s="113" t="str">
        <f t="shared" si="255"/>
        <v>1H19</v>
      </c>
      <c r="T315" s="113" t="str">
        <f t="shared" ca="1" si="256"/>
        <v/>
      </c>
      <c r="U315" s="113" t="str">
        <f t="shared" si="257"/>
        <v/>
      </c>
      <c r="V315" s="113" t="str">
        <f t="shared" si="251"/>
        <v>FY19</v>
      </c>
      <c r="W315" s="113" t="str">
        <f t="shared" ca="1" si="252"/>
        <v/>
      </c>
    </row>
    <row r="316" spans="10:23" x14ac:dyDescent="0.25">
      <c r="J316" s="86" t="str" cm="1">
        <f t="array" ref="J316">LOOKUP(2,1/($G$17:$G$33&lt;=$L316)/($H$17:$H$33&gt;=$L316),$F$17:$F$33)</f>
        <v>1H19</v>
      </c>
      <c r="K316" s="86" t="str" cm="1">
        <f t="array" ref="K316">LOOKUP(2,1/($G$6:$G$14&lt;=$L316)/($H$6:$H$14&gt;=$L316),$F$6:$F$14)</f>
        <v>FY19</v>
      </c>
      <c r="L316" s="118">
        <v>43293</v>
      </c>
      <c r="M316" s="49">
        <v>26842498</v>
      </c>
      <c r="N316" s="49">
        <v>32272736</v>
      </c>
      <c r="O316" s="50">
        <v>20000000</v>
      </c>
      <c r="P316" s="119" cm="1">
        <f t="array" ref="P316">LOOKUP(2,1/($B$10:$B$14&lt;=$L316)/($C$10:$C$14&gt;=$L316),$D$10:$D$14)</f>
        <v>1.1000000000000001</v>
      </c>
      <c r="Q316" s="120" cm="1">
        <f t="array" ref="Q316">LOOKUP(2,1/($B$17:$B$21&lt;=$L316)/($C$17:$C$21&gt;=$L316),$D$17:$D$21)</f>
        <v>134.49039999999999</v>
      </c>
      <c r="R316" s="113" t="str">
        <f t="shared" si="254"/>
        <v/>
      </c>
      <c r="S316" s="113" t="str">
        <f t="shared" si="255"/>
        <v>1H19</v>
      </c>
      <c r="T316" s="113" t="str">
        <f t="shared" ca="1" si="256"/>
        <v/>
      </c>
      <c r="U316" s="113" t="str">
        <f t="shared" si="257"/>
        <v/>
      </c>
      <c r="V316" s="113" t="str">
        <f t="shared" si="251"/>
        <v>FY19</v>
      </c>
      <c r="W316" s="113" t="str">
        <f t="shared" ca="1" si="252"/>
        <v/>
      </c>
    </row>
    <row r="317" spans="10:23" x14ac:dyDescent="0.25">
      <c r="J317" s="86" t="str" cm="1">
        <f t="array" ref="J317">LOOKUP(2,1/($G$17:$G$33&lt;=$L317)/($H$17:$H$33&gt;=$L317),$F$17:$F$33)</f>
        <v>1H19</v>
      </c>
      <c r="K317" s="86" t="str" cm="1">
        <f t="array" ref="K317">LOOKUP(2,1/($G$6:$G$14&lt;=$L317)/($H$6:$H$14&gt;=$L317),$F$6:$F$14)</f>
        <v>FY19</v>
      </c>
      <c r="L317" s="118">
        <v>43286</v>
      </c>
      <c r="M317" s="49">
        <v>20852316</v>
      </c>
      <c r="N317" s="49">
        <v>25070740</v>
      </c>
      <c r="O317" s="50">
        <v>12000000</v>
      </c>
      <c r="P317" s="119" cm="1">
        <f t="array" ref="P317">LOOKUP(2,1/($B$10:$B$14&lt;=$L317)/($C$10:$C$14&gt;=$L317),$D$10:$D$14)</f>
        <v>1.1000000000000001</v>
      </c>
      <c r="Q317" s="120" cm="1">
        <f t="array" ref="Q317">LOOKUP(2,1/($B$17:$B$21&lt;=$L317)/($C$17:$C$21&gt;=$L317),$D$17:$D$21)</f>
        <v>134.49039999999999</v>
      </c>
      <c r="R317" s="113" t="str">
        <f t="shared" si="254"/>
        <v>1H19</v>
      </c>
      <c r="S317" s="113" t="str">
        <f t="shared" si="255"/>
        <v>1H19</v>
      </c>
      <c r="T317" s="113" t="str">
        <f t="shared" ca="1" si="256"/>
        <v/>
      </c>
      <c r="U317" s="113" t="str">
        <f t="shared" si="257"/>
        <v>FY19</v>
      </c>
      <c r="V317" s="113" t="str">
        <f t="shared" si="251"/>
        <v>FY19</v>
      </c>
      <c r="W317" s="113" t="str">
        <f t="shared" ca="1" si="252"/>
        <v/>
      </c>
    </row>
    <row r="318" spans="10:23" x14ac:dyDescent="0.25">
      <c r="J318" s="86" t="str" cm="1">
        <f t="array" ref="J318">LOOKUP(2,1/($G$17:$G$33&lt;=$L318)/($H$17:$H$33&gt;=$L318),$F$17:$F$33)</f>
        <v>2H18</v>
      </c>
      <c r="K318" s="86" t="str" cm="1">
        <f t="array" ref="K318">LOOKUP(2,1/($G$6:$G$14&lt;=$L318)/($H$6:$H$14&gt;=$L318),$F$6:$F$14)</f>
        <v>FY18</v>
      </c>
      <c r="L318" s="118">
        <v>43279</v>
      </c>
      <c r="M318" s="49">
        <v>16829890</v>
      </c>
      <c r="N318" s="49">
        <v>20234577</v>
      </c>
      <c r="O318" s="50">
        <v>8000000</v>
      </c>
      <c r="P318" s="119" cm="1">
        <f t="array" ref="P318">LOOKUP(2,1/($B$10:$B$14&lt;=$L318)/($C$10:$C$14&gt;=$L318),$D$10:$D$14)</f>
        <v>1.1000000000000001</v>
      </c>
      <c r="Q318" s="120" cm="1">
        <f t="array" ref="Q318">LOOKUP(2,1/($B$17:$B$21&lt;=$L318)/($C$17:$C$21&gt;=$L318),$D$17:$D$21)</f>
        <v>134.49039999999999</v>
      </c>
      <c r="R318" s="113" t="str">
        <f t="shared" si="254"/>
        <v/>
      </c>
      <c r="S318" s="113" t="str">
        <f t="shared" si="255"/>
        <v>1H19</v>
      </c>
      <c r="T318" s="113" t="str">
        <f t="shared" ca="1" si="256"/>
        <v/>
      </c>
      <c r="U318" s="113" t="str">
        <f t="shared" si="257"/>
        <v/>
      </c>
      <c r="V318" s="113" t="str">
        <f t="shared" si="251"/>
        <v>FY19</v>
      </c>
      <c r="W318" s="113" t="str">
        <f t="shared" ca="1" si="252"/>
        <v/>
      </c>
    </row>
    <row r="319" spans="10:23" x14ac:dyDescent="0.25">
      <c r="J319" s="86" t="str" cm="1">
        <f t="array" ref="J319">LOOKUP(2,1/($G$17:$G$33&lt;=$L319)/($H$17:$H$33&gt;=$L319),$F$17:$F$33)</f>
        <v>2H18</v>
      </c>
      <c r="K319" s="86" t="str" cm="1">
        <f t="array" ref="K319">LOOKUP(2,1/($G$6:$G$14&lt;=$L319)/($H$6:$H$14&gt;=$L319),$F$6:$F$14)</f>
        <v>FY18</v>
      </c>
      <c r="L319" s="118">
        <v>43272</v>
      </c>
      <c r="M319" s="49">
        <v>11422461</v>
      </c>
      <c r="N319" s="49">
        <v>13733225</v>
      </c>
      <c r="O319" s="50">
        <v>3000000</v>
      </c>
      <c r="P319" s="119" cm="1">
        <f t="array" ref="P319">LOOKUP(2,1/($B$10:$B$14&lt;=$L319)/($C$10:$C$14&gt;=$L319),$D$10:$D$14)</f>
        <v>1.1000000000000001</v>
      </c>
      <c r="Q319" s="120" cm="1">
        <f t="array" ref="Q319">LOOKUP(2,1/($B$17:$B$21&lt;=$L319)/($C$17:$C$21&gt;=$L319),$D$17:$D$21)</f>
        <v>134.49039999999999</v>
      </c>
      <c r="R319" s="113" t="str">
        <f t="shared" si="254"/>
        <v/>
      </c>
      <c r="S319" s="113" t="str">
        <f t="shared" si="255"/>
        <v>1H19</v>
      </c>
      <c r="T319" s="113" t="str">
        <f t="shared" ca="1" si="256"/>
        <v/>
      </c>
      <c r="U319" s="113" t="str">
        <f t="shared" si="257"/>
        <v/>
      </c>
      <c r="V319" s="113" t="str">
        <f t="shared" si="251"/>
        <v>FY19</v>
      </c>
      <c r="W319" s="113" t="str">
        <f t="shared" ca="1" si="252"/>
        <v/>
      </c>
    </row>
    <row r="320" spans="10:23" x14ac:dyDescent="0.25">
      <c r="J320" s="86" t="str" cm="1">
        <f t="array" ref="J320">LOOKUP(2,1/($G$17:$G$33&lt;=$L320)/($H$17:$H$33&gt;=$L320),$F$17:$F$33)</f>
        <v>2H18</v>
      </c>
      <c r="K320" s="86" t="str" cm="1">
        <f t="array" ref="K320">LOOKUP(2,1/($G$6:$G$14&lt;=$L320)/($H$6:$H$14&gt;=$L320),$F$6:$F$14)</f>
        <v>FY18</v>
      </c>
      <c r="L320" s="118">
        <v>43265</v>
      </c>
      <c r="M320" s="49">
        <v>12004837</v>
      </c>
      <c r="N320" s="49">
        <v>14433416</v>
      </c>
      <c r="O320" s="50">
        <v>3000000</v>
      </c>
      <c r="P320" s="119" cm="1">
        <f t="array" ref="P320">LOOKUP(2,1/($B$10:$B$14&lt;=$L320)/($C$10:$C$14&gt;=$L320),$D$10:$D$14)</f>
        <v>1.1000000000000001</v>
      </c>
      <c r="Q320" s="120" cm="1">
        <f t="array" ref="Q320">LOOKUP(2,1/($B$17:$B$21&lt;=$L320)/($C$17:$C$21&gt;=$L320),$D$17:$D$21)</f>
        <v>134.49039999999999</v>
      </c>
      <c r="R320" s="113" t="str">
        <f t="shared" si="254"/>
        <v/>
      </c>
      <c r="S320" s="113" t="str">
        <f t="shared" si="255"/>
        <v>1H19</v>
      </c>
      <c r="T320" s="113" t="str">
        <f t="shared" ca="1" si="256"/>
        <v/>
      </c>
      <c r="U320" s="113" t="str">
        <f t="shared" si="257"/>
        <v/>
      </c>
      <c r="V320" s="113" t="str">
        <f t="shared" si="251"/>
        <v>FY19</v>
      </c>
      <c r="W320" s="113" t="str">
        <f t="shared" ca="1" si="252"/>
        <v/>
      </c>
    </row>
    <row r="321" spans="10:23" x14ac:dyDescent="0.25">
      <c r="J321" s="86" t="str" cm="1">
        <f t="array" ref="J321">LOOKUP(2,1/($G$17:$G$33&lt;=$L321)/($H$17:$H$33&gt;=$L321),$F$17:$F$33)</f>
        <v>2H18</v>
      </c>
      <c r="K321" s="86" t="str" cm="1">
        <f t="array" ref="K321">LOOKUP(2,1/($G$6:$G$14&lt;=$L321)/($H$6:$H$14&gt;=$L321),$F$6:$F$14)</f>
        <v>FY18</v>
      </c>
      <c r="L321" s="118">
        <v>43258</v>
      </c>
      <c r="M321" s="49">
        <v>56921147</v>
      </c>
      <c r="N321" s="49">
        <v>68436295</v>
      </c>
      <c r="O321" s="50">
        <v>50000000</v>
      </c>
      <c r="P321" s="119" cm="1">
        <f t="array" ref="P321">LOOKUP(2,1/($B$10:$B$14&lt;=$L321)/($C$10:$C$14&gt;=$L321),$D$10:$D$14)</f>
        <v>1.1000000000000001</v>
      </c>
      <c r="Q321" s="120" cm="1">
        <f t="array" ref="Q321">LOOKUP(2,1/($B$17:$B$21&lt;=$L321)/($C$17:$C$21&gt;=$L321),$D$17:$D$21)</f>
        <v>134.49039999999999</v>
      </c>
      <c r="R321" s="113" t="str">
        <f t="shared" si="254"/>
        <v/>
      </c>
      <c r="S321" s="113" t="str">
        <f t="shared" si="255"/>
        <v>2H18</v>
      </c>
      <c r="T321" s="113" t="str">
        <f t="shared" ca="1" si="256"/>
        <v>1H19</v>
      </c>
      <c r="U321" s="113" t="str">
        <f t="shared" si="257"/>
        <v/>
      </c>
      <c r="V321" s="113" t="str">
        <f t="shared" si="251"/>
        <v>FY18</v>
      </c>
      <c r="W321" s="113" t="str">
        <f t="shared" ca="1" si="252"/>
        <v>FY19</v>
      </c>
    </row>
    <row r="322" spans="10:23" x14ac:dyDescent="0.25">
      <c r="J322" s="86" t="str" cm="1">
        <f t="array" ref="J322">LOOKUP(2,1/($G$17:$G$33&lt;=$L322)/($H$17:$H$33&gt;=$L322),$F$17:$F$33)</f>
        <v>2H18</v>
      </c>
      <c r="K322" s="86" t="str" cm="1">
        <f t="array" ref="K322">LOOKUP(2,1/($G$6:$G$14&lt;=$L322)/($H$6:$H$14&gt;=$L322),$F$6:$F$14)</f>
        <v>FY18</v>
      </c>
      <c r="L322" s="118">
        <v>43251</v>
      </c>
      <c r="M322" s="49">
        <v>46219222</v>
      </c>
      <c r="N322" s="49">
        <v>55569370</v>
      </c>
      <c r="O322" s="50">
        <v>40000000</v>
      </c>
      <c r="P322" s="119" cm="1">
        <f t="array" ref="P322">LOOKUP(2,1/($B$10:$B$14&lt;=$L322)/($C$10:$C$14&gt;=$L322),$D$10:$D$14)</f>
        <v>1.1000000000000001</v>
      </c>
      <c r="Q322" s="120" cm="1">
        <f t="array" ref="Q322">LOOKUP(2,1/($B$17:$B$21&lt;=$L322)/($C$17:$C$21&gt;=$L322),$D$17:$D$21)</f>
        <v>134.49039999999999</v>
      </c>
      <c r="R322" s="113" t="str">
        <f t="shared" si="254"/>
        <v/>
      </c>
      <c r="S322" s="113" t="str">
        <f t="shared" si="255"/>
        <v>2H18</v>
      </c>
      <c r="T322" s="113" t="str">
        <f t="shared" ca="1" si="256"/>
        <v/>
      </c>
      <c r="U322" s="113" t="str">
        <f t="shared" si="257"/>
        <v/>
      </c>
      <c r="V322" s="113" t="str">
        <f t="shared" si="251"/>
        <v>FY18</v>
      </c>
      <c r="W322" s="113" t="str">
        <f t="shared" ca="1" si="252"/>
        <v/>
      </c>
    </row>
    <row r="323" spans="10:23" x14ac:dyDescent="0.25">
      <c r="J323" s="86" t="str" cm="1">
        <f t="array" ref="J323">LOOKUP(2,1/($G$17:$G$33&lt;=$L323)/($H$17:$H$33&gt;=$L323),$F$17:$F$33)</f>
        <v>2H18</v>
      </c>
      <c r="K323" s="86" t="str" cm="1">
        <f t="array" ref="K323">LOOKUP(2,1/($G$6:$G$14&lt;=$L323)/($H$6:$H$14&gt;=$L323),$F$6:$F$14)</f>
        <v>FY18</v>
      </c>
      <c r="L323" s="118">
        <v>43244</v>
      </c>
      <c r="M323" s="49">
        <v>36432706</v>
      </c>
      <c r="N323" s="49">
        <v>43803043</v>
      </c>
      <c r="O323" s="50">
        <v>30000000</v>
      </c>
      <c r="P323" s="119" cm="1">
        <f t="array" ref="P323">LOOKUP(2,1/($B$10:$B$14&lt;=$L323)/($C$10:$C$14&gt;=$L323),$D$10:$D$14)</f>
        <v>1.1000000000000001</v>
      </c>
      <c r="Q323" s="120" cm="1">
        <f t="array" ref="Q323">LOOKUP(2,1/($B$17:$B$21&lt;=$L323)/($C$17:$C$21&gt;=$L323),$D$17:$D$21)</f>
        <v>134.49039999999999</v>
      </c>
      <c r="R323" s="113" t="str">
        <f t="shared" si="254"/>
        <v/>
      </c>
      <c r="S323" s="113" t="str">
        <f t="shared" si="255"/>
        <v>2H18</v>
      </c>
      <c r="T323" s="113" t="str">
        <f t="shared" ca="1" si="256"/>
        <v/>
      </c>
      <c r="U323" s="113" t="str">
        <f t="shared" si="257"/>
        <v/>
      </c>
      <c r="V323" s="113" t="str">
        <f t="shared" si="251"/>
        <v>FY18</v>
      </c>
      <c r="W323" s="113" t="str">
        <f t="shared" ca="1" si="252"/>
        <v/>
      </c>
    </row>
    <row r="324" spans="10:23" x14ac:dyDescent="0.25">
      <c r="J324" s="86" t="str" cm="1">
        <f t="array" ref="J324">LOOKUP(2,1/($G$17:$G$33&lt;=$L324)/($H$17:$H$33&gt;=$L324),$F$17:$F$33)</f>
        <v>2H18</v>
      </c>
      <c r="K324" s="86" t="str" cm="1">
        <f t="array" ref="K324">LOOKUP(2,1/($G$6:$G$14&lt;=$L324)/($H$6:$H$14&gt;=$L324),$F$6:$F$14)</f>
        <v>FY18</v>
      </c>
      <c r="L324" s="118">
        <v>43237</v>
      </c>
      <c r="M324" s="49">
        <v>26087561</v>
      </c>
      <c r="N324" s="49">
        <v>31365074</v>
      </c>
      <c r="O324" s="50">
        <v>20000000</v>
      </c>
      <c r="P324" s="119" cm="1">
        <f t="array" ref="P324">LOOKUP(2,1/($B$10:$B$14&lt;=$L324)/($C$10:$C$14&gt;=$L324),$D$10:$D$14)</f>
        <v>1.1000000000000001</v>
      </c>
      <c r="Q324" s="120" cm="1">
        <f t="array" ref="Q324">LOOKUP(2,1/($B$17:$B$21&lt;=$L324)/($C$17:$C$21&gt;=$L324),$D$17:$D$21)</f>
        <v>134.49039999999999</v>
      </c>
      <c r="R324" s="113" t="str">
        <f t="shared" si="254"/>
        <v/>
      </c>
      <c r="S324" s="113" t="str">
        <f t="shared" si="255"/>
        <v>2H18</v>
      </c>
      <c r="T324" s="113" t="str">
        <f t="shared" ca="1" si="256"/>
        <v/>
      </c>
      <c r="U324" s="113" t="str">
        <f t="shared" si="257"/>
        <v/>
      </c>
      <c r="V324" s="113" t="str">
        <f t="shared" si="251"/>
        <v>FY18</v>
      </c>
      <c r="W324" s="113" t="str">
        <f t="shared" ca="1" si="252"/>
        <v/>
      </c>
    </row>
    <row r="325" spans="10:23" x14ac:dyDescent="0.25">
      <c r="J325" s="86" t="str" cm="1">
        <f t="array" ref="J325">LOOKUP(2,1/($G$17:$G$33&lt;=$L325)/($H$17:$H$33&gt;=$L325),$F$17:$F$33)</f>
        <v>2H18</v>
      </c>
      <c r="K325" s="86" t="str" cm="1">
        <f t="array" ref="K325">LOOKUP(2,1/($G$6:$G$14&lt;=$L325)/($H$6:$H$14&gt;=$L325),$F$6:$F$14)</f>
        <v>FY18</v>
      </c>
      <c r="L325" s="118">
        <v>43230</v>
      </c>
      <c r="M325" s="49">
        <v>17697271</v>
      </c>
      <c r="N325" s="49">
        <v>21277429</v>
      </c>
      <c r="O325" s="50">
        <v>12000000</v>
      </c>
      <c r="P325" s="119" cm="1">
        <f t="array" ref="P325">LOOKUP(2,1/($B$10:$B$14&lt;=$L325)/($C$10:$C$14&gt;=$L325),$D$10:$D$14)</f>
        <v>1.1000000000000001</v>
      </c>
      <c r="Q325" s="120" cm="1">
        <f t="array" ref="Q325">LOOKUP(2,1/($B$17:$B$21&lt;=$L325)/($C$17:$C$21&gt;=$L325),$D$17:$D$21)</f>
        <v>134.49039999999999</v>
      </c>
      <c r="R325" s="113" t="str">
        <f t="shared" si="254"/>
        <v/>
      </c>
      <c r="S325" s="113" t="str">
        <f t="shared" si="255"/>
        <v>2H18</v>
      </c>
      <c r="T325" s="113" t="str">
        <f t="shared" ca="1" si="256"/>
        <v/>
      </c>
      <c r="U325" s="113" t="str">
        <f t="shared" si="257"/>
        <v/>
      </c>
      <c r="V325" s="113" t="str">
        <f t="shared" ref="V325:V354" si="258">IF($O324&lt;$O325,$K325,V324)</f>
        <v>FY18</v>
      </c>
      <c r="W325" s="113" t="str">
        <f t="shared" ca="1" si="252"/>
        <v/>
      </c>
    </row>
    <row r="326" spans="10:23" x14ac:dyDescent="0.25">
      <c r="J326" s="86" t="str" cm="1">
        <f t="array" ref="J326">LOOKUP(2,1/($G$17:$G$33&lt;=$L326)/($H$17:$H$33&gt;=$L326),$F$17:$F$33)</f>
        <v>2H18</v>
      </c>
      <c r="K326" s="86" t="str" cm="1">
        <f t="array" ref="K326">LOOKUP(2,1/($G$6:$G$14&lt;=$L326)/($H$6:$H$14&gt;=$L326),$F$6:$F$14)</f>
        <v>FY18</v>
      </c>
      <c r="L326" s="118">
        <v>43223</v>
      </c>
      <c r="M326" s="49">
        <v>15861424</v>
      </c>
      <c r="N326" s="49">
        <v>19070190</v>
      </c>
      <c r="O326" s="50">
        <v>8000000</v>
      </c>
      <c r="P326" s="119" cm="1">
        <f t="array" ref="P326">LOOKUP(2,1/($B$10:$B$14&lt;=$L326)/($C$10:$C$14&gt;=$L326),$D$10:$D$14)</f>
        <v>1.1000000000000001</v>
      </c>
      <c r="Q326" s="120" cm="1">
        <f t="array" ref="Q326">LOOKUP(2,1/($B$17:$B$21&lt;=$L326)/($C$17:$C$21&gt;=$L326),$D$17:$D$21)</f>
        <v>134.49039999999999</v>
      </c>
      <c r="R326" s="113" t="str">
        <f t="shared" si="254"/>
        <v/>
      </c>
      <c r="S326" s="113" t="str">
        <f t="shared" si="255"/>
        <v>2H18</v>
      </c>
      <c r="T326" s="113" t="str">
        <f t="shared" ca="1" si="256"/>
        <v/>
      </c>
      <c r="U326" s="113" t="str">
        <f t="shared" si="257"/>
        <v/>
      </c>
      <c r="V326" s="113" t="str">
        <f t="shared" si="258"/>
        <v>FY18</v>
      </c>
      <c r="W326" s="113" t="str">
        <f t="shared" ref="W326:W354" ca="1" si="259">IF(AND(V326&lt;&gt;V325,ISNUMBER(MATCH($V325,$F$6:$F$14,0))),OFFSET($F$5,MATCH($K326,$F$6:$F$14,0)+1,0),"")</f>
        <v/>
      </c>
    </row>
    <row r="327" spans="10:23" x14ac:dyDescent="0.25">
      <c r="J327" s="86" t="str" cm="1">
        <f t="array" ref="J327">LOOKUP(2,1/($G$17:$G$33&lt;=$L327)/($H$17:$H$33&gt;=$L327),$F$17:$F$33)</f>
        <v>2H18</v>
      </c>
      <c r="K327" s="86" t="str" cm="1">
        <f t="array" ref="K327">LOOKUP(2,1/($G$6:$G$14&lt;=$L327)/($H$6:$H$14&gt;=$L327),$F$6:$F$14)</f>
        <v>FY18</v>
      </c>
      <c r="L327" s="118">
        <v>43216</v>
      </c>
      <c r="M327" s="49">
        <v>11440443</v>
      </c>
      <c r="N327" s="49">
        <v>13754845</v>
      </c>
      <c r="O327" s="50">
        <v>3000000</v>
      </c>
      <c r="P327" s="119" cm="1">
        <f t="array" ref="P327">LOOKUP(2,1/($B$10:$B$14&lt;=$L327)/($C$10:$C$14&gt;=$L327),$D$10:$D$14)</f>
        <v>1.1000000000000001</v>
      </c>
      <c r="Q327" s="120" cm="1">
        <f t="array" ref="Q327">LOOKUP(2,1/($B$17:$B$21&lt;=$L327)/($C$17:$C$21&gt;=$L327),$D$17:$D$21)</f>
        <v>134.49039999999999</v>
      </c>
      <c r="R327" s="113" t="str">
        <f t="shared" si="254"/>
        <v/>
      </c>
      <c r="S327" s="113" t="str">
        <f t="shared" si="255"/>
        <v>2H18</v>
      </c>
      <c r="T327" s="113" t="str">
        <f t="shared" ca="1" si="256"/>
        <v/>
      </c>
      <c r="U327" s="113" t="str">
        <f t="shared" si="257"/>
        <v/>
      </c>
      <c r="V327" s="113" t="str">
        <f t="shared" si="258"/>
        <v>FY18</v>
      </c>
      <c r="W327" s="113" t="str">
        <f t="shared" ca="1" si="259"/>
        <v/>
      </c>
    </row>
    <row r="328" spans="10:23" x14ac:dyDescent="0.25">
      <c r="J328" s="86" t="str" cm="1">
        <f t="array" ref="J328">LOOKUP(2,1/($G$17:$G$33&lt;=$L328)/($H$17:$H$33&gt;=$L328),$F$17:$F$33)</f>
        <v>2H18</v>
      </c>
      <c r="K328" s="86" t="str" cm="1">
        <f t="array" ref="K328">LOOKUP(2,1/($G$6:$G$14&lt;=$L328)/($H$6:$H$14&gt;=$L328),$F$6:$F$14)</f>
        <v>FY18</v>
      </c>
      <c r="L328" s="118">
        <v>43209</v>
      </c>
      <c r="M328" s="49">
        <v>17183139</v>
      </c>
      <c r="N328" s="49">
        <v>20659288</v>
      </c>
      <c r="O328" s="50">
        <v>8000000</v>
      </c>
      <c r="P328" s="119" cm="1">
        <f t="array" ref="P328">LOOKUP(2,1/($B$10:$B$14&lt;=$L328)/($C$10:$C$14&gt;=$L328),$D$10:$D$14)</f>
        <v>1.1000000000000001</v>
      </c>
      <c r="Q328" s="120" cm="1">
        <f t="array" ref="Q328">LOOKUP(2,1/($B$17:$B$21&lt;=$L328)/($C$17:$C$21&gt;=$L328),$D$17:$D$21)</f>
        <v>134.49039999999999</v>
      </c>
      <c r="R328" s="113" t="str">
        <f t="shared" si="254"/>
        <v/>
      </c>
      <c r="S328" s="113" t="str">
        <f t="shared" si="255"/>
        <v>2H18</v>
      </c>
      <c r="T328" s="113" t="str">
        <f t="shared" ca="1" si="256"/>
        <v/>
      </c>
      <c r="U328" s="113" t="str">
        <f t="shared" si="257"/>
        <v/>
      </c>
      <c r="V328" s="113" t="str">
        <f t="shared" si="258"/>
        <v>FY18</v>
      </c>
      <c r="W328" s="113" t="str">
        <f t="shared" ca="1" si="259"/>
        <v/>
      </c>
    </row>
    <row r="329" spans="10:23" x14ac:dyDescent="0.25">
      <c r="J329" s="86" t="str" cm="1">
        <f t="array" ref="J329">LOOKUP(2,1/($G$17:$G$33&lt;=$L329)/($H$17:$H$33&gt;=$L329),$F$17:$F$33)</f>
        <v>2H18</v>
      </c>
      <c r="K329" s="86" t="str" cm="1">
        <f t="array" ref="K329">LOOKUP(2,1/($G$6:$G$14&lt;=$L329)/($H$6:$H$14&gt;=$L329),$F$6:$F$14)</f>
        <v>FY18</v>
      </c>
      <c r="L329" s="118">
        <v>43202</v>
      </c>
      <c r="M329" s="49">
        <v>12839846</v>
      </c>
      <c r="N329" s="49">
        <v>11928859</v>
      </c>
      <c r="O329" s="50">
        <v>3000000</v>
      </c>
      <c r="P329" s="119" cm="1">
        <f t="array" ref="P329">LOOKUP(2,1/($B$10:$B$14&lt;=$L329)/($C$10:$C$14&gt;=$L329),$D$10:$D$14)</f>
        <v>0.85</v>
      </c>
      <c r="Q329" s="120" cm="1">
        <f t="array" ref="Q329">LOOKUP(2,1/($B$17:$B$21&lt;=$L329)/($C$17:$C$21&gt;=$L329),$D$17:$D$21)</f>
        <v>76.767600000000002</v>
      </c>
      <c r="R329" s="113" t="str">
        <f t="shared" si="254"/>
        <v/>
      </c>
      <c r="S329" s="113" t="str">
        <f t="shared" si="255"/>
        <v>2H18</v>
      </c>
      <c r="T329" s="113" t="str">
        <f t="shared" ca="1" si="256"/>
        <v/>
      </c>
      <c r="U329" s="113" t="str">
        <f t="shared" si="257"/>
        <v/>
      </c>
      <c r="V329" s="113" t="str">
        <f t="shared" si="258"/>
        <v>FY18</v>
      </c>
      <c r="W329" s="113" t="str">
        <f t="shared" ca="1" si="259"/>
        <v/>
      </c>
    </row>
    <row r="330" spans="10:23" x14ac:dyDescent="0.25">
      <c r="J330" s="86" t="str" cm="1">
        <f t="array" ref="J330">LOOKUP(2,1/($G$17:$G$33&lt;=$L330)/($H$17:$H$33&gt;=$L330),$F$17:$F$33)</f>
        <v>2H18</v>
      </c>
      <c r="K330" s="86" t="str" cm="1">
        <f t="array" ref="K330">LOOKUP(2,1/($G$6:$G$14&lt;=$L330)/($H$6:$H$14&gt;=$L330),$F$6:$F$14)</f>
        <v>FY18</v>
      </c>
      <c r="L330" s="118">
        <v>43195</v>
      </c>
      <c r="M330" s="49">
        <v>18375712</v>
      </c>
      <c r="N330" s="49">
        <v>17071955</v>
      </c>
      <c r="O330" s="50">
        <v>6000000</v>
      </c>
      <c r="P330" s="119" cm="1">
        <f t="array" ref="P330">LOOKUP(2,1/($B$10:$B$14&lt;=$L330)/($C$10:$C$14&gt;=$L330),$D$10:$D$14)</f>
        <v>0.85</v>
      </c>
      <c r="Q330" s="120" cm="1">
        <f t="array" ref="Q330">LOOKUP(2,1/($B$17:$B$21&lt;=$L330)/($C$17:$C$21&gt;=$L330),$D$17:$D$21)</f>
        <v>76.767600000000002</v>
      </c>
      <c r="R330" s="113" t="str">
        <f t="shared" si="254"/>
        <v/>
      </c>
      <c r="S330" s="113" t="str">
        <f t="shared" si="255"/>
        <v>2H18</v>
      </c>
      <c r="T330" s="113" t="str">
        <f t="shared" ca="1" si="256"/>
        <v/>
      </c>
      <c r="U330" s="113" t="str">
        <f t="shared" si="257"/>
        <v/>
      </c>
      <c r="V330" s="113" t="str">
        <f t="shared" si="258"/>
        <v>FY18</v>
      </c>
      <c r="W330" s="113" t="str">
        <f t="shared" ca="1" si="259"/>
        <v/>
      </c>
    </row>
    <row r="331" spans="10:23" x14ac:dyDescent="0.25">
      <c r="J331" s="86" t="str" cm="1">
        <f t="array" ref="J331">LOOKUP(2,1/($G$17:$G$33&lt;=$L331)/($H$17:$H$33&gt;=$L331),$F$17:$F$33)</f>
        <v>2H18</v>
      </c>
      <c r="K331" s="86" t="str" cm="1">
        <f t="array" ref="K331">LOOKUP(2,1/($G$6:$G$14&lt;=$L331)/($H$6:$H$14&gt;=$L331),$F$6:$F$14)</f>
        <v>FY18</v>
      </c>
      <c r="L331" s="118">
        <v>43188</v>
      </c>
      <c r="M331" s="49">
        <v>15128947</v>
      </c>
      <c r="N331" s="49">
        <v>14055548</v>
      </c>
      <c r="O331" s="50">
        <v>3000000</v>
      </c>
      <c r="P331" s="119" cm="1">
        <f t="array" ref="P331">LOOKUP(2,1/($B$10:$B$14&lt;=$L331)/($C$10:$C$14&gt;=$L331),$D$10:$D$14)</f>
        <v>0.85</v>
      </c>
      <c r="Q331" s="120" cm="1">
        <f t="array" ref="Q331">LOOKUP(2,1/($B$17:$B$21&lt;=$L331)/($C$17:$C$21&gt;=$L331),$D$17:$D$21)</f>
        <v>76.767600000000002</v>
      </c>
      <c r="R331" s="113" t="str">
        <f t="shared" si="254"/>
        <v/>
      </c>
      <c r="S331" s="113" t="str">
        <f t="shared" si="255"/>
        <v>2H18</v>
      </c>
      <c r="T331" s="113" t="str">
        <f t="shared" ca="1" si="256"/>
        <v/>
      </c>
      <c r="U331" s="113" t="str">
        <f t="shared" si="257"/>
        <v/>
      </c>
      <c r="V331" s="113" t="str">
        <f t="shared" si="258"/>
        <v>FY18</v>
      </c>
      <c r="W331" s="113" t="str">
        <f t="shared" ca="1" si="259"/>
        <v/>
      </c>
    </row>
    <row r="332" spans="10:23" x14ac:dyDescent="0.25">
      <c r="J332" s="86" t="str" cm="1">
        <f t="array" ref="J332">LOOKUP(2,1/($G$17:$G$33&lt;=$L332)/($H$17:$H$33&gt;=$L332),$F$17:$F$33)</f>
        <v>2H18</v>
      </c>
      <c r="K332" s="86" t="str" cm="1">
        <f t="array" ref="K332">LOOKUP(2,1/($G$6:$G$14&lt;=$L332)/($H$6:$H$14&gt;=$L332),$F$6:$F$14)</f>
        <v>FY18</v>
      </c>
      <c r="L332" s="118">
        <v>43181</v>
      </c>
      <c r="M332" s="49">
        <v>52311529</v>
      </c>
      <c r="N332" s="49">
        <v>48600026</v>
      </c>
      <c r="O332" s="50">
        <v>40000000</v>
      </c>
      <c r="P332" s="119" cm="1">
        <f t="array" ref="P332">LOOKUP(2,1/($B$10:$B$14&lt;=$L332)/($C$10:$C$14&gt;=$L332),$D$10:$D$14)</f>
        <v>0.85</v>
      </c>
      <c r="Q332" s="120" cm="1">
        <f t="array" ref="Q332">LOOKUP(2,1/($B$17:$B$21&lt;=$L332)/($C$17:$C$21&gt;=$L332),$D$17:$D$21)</f>
        <v>76.767600000000002</v>
      </c>
      <c r="R332" s="113" t="str">
        <f t="shared" si="254"/>
        <v/>
      </c>
      <c r="S332" s="113" t="str">
        <f t="shared" si="255"/>
        <v>2H18</v>
      </c>
      <c r="T332" s="113" t="str">
        <f t="shared" ca="1" si="256"/>
        <v/>
      </c>
      <c r="U332" s="113" t="str">
        <f t="shared" si="257"/>
        <v/>
      </c>
      <c r="V332" s="113" t="str">
        <f t="shared" si="258"/>
        <v>FY18</v>
      </c>
      <c r="W332" s="113" t="str">
        <f t="shared" ca="1" si="259"/>
        <v/>
      </c>
    </row>
    <row r="333" spans="10:23" x14ac:dyDescent="0.25">
      <c r="J333" s="86" t="str" cm="1">
        <f t="array" ref="J333">LOOKUP(2,1/($G$17:$G$33&lt;=$L333)/($H$17:$H$33&gt;=$L333),$F$17:$F$33)</f>
        <v>2H18</v>
      </c>
      <c r="K333" s="86" t="str" cm="1">
        <f t="array" ref="K333">LOOKUP(2,1/($G$6:$G$14&lt;=$L333)/($H$6:$H$14&gt;=$L333),$F$6:$F$14)</f>
        <v>FY18</v>
      </c>
      <c r="L333" s="118">
        <v>43174</v>
      </c>
      <c r="M333" s="49">
        <v>42040756</v>
      </c>
      <c r="N333" s="49">
        <v>39057964</v>
      </c>
      <c r="O333" s="50">
        <v>30000000</v>
      </c>
      <c r="P333" s="119" cm="1">
        <f t="array" ref="P333">LOOKUP(2,1/($B$10:$B$14&lt;=$L333)/($C$10:$C$14&gt;=$L333),$D$10:$D$14)</f>
        <v>0.85</v>
      </c>
      <c r="Q333" s="120" cm="1">
        <f t="array" ref="Q333">LOOKUP(2,1/($B$17:$B$21&lt;=$L333)/($C$17:$C$21&gt;=$L333),$D$17:$D$21)</f>
        <v>76.767600000000002</v>
      </c>
      <c r="R333" s="113" t="str">
        <f t="shared" si="254"/>
        <v/>
      </c>
      <c r="S333" s="113" t="str">
        <f t="shared" si="255"/>
        <v>2H18</v>
      </c>
      <c r="T333" s="113" t="str">
        <f t="shared" ca="1" si="256"/>
        <v/>
      </c>
      <c r="U333" s="113" t="str">
        <f t="shared" si="257"/>
        <v/>
      </c>
      <c r="V333" s="113" t="str">
        <f t="shared" si="258"/>
        <v>FY18</v>
      </c>
      <c r="W333" s="113" t="str">
        <f t="shared" ca="1" si="259"/>
        <v/>
      </c>
    </row>
    <row r="334" spans="10:23" x14ac:dyDescent="0.25">
      <c r="J334" s="86" t="str" cm="1">
        <f t="array" ref="J334">LOOKUP(2,1/($G$17:$G$33&lt;=$L334)/($H$17:$H$33&gt;=$L334),$F$17:$F$33)</f>
        <v>2H18</v>
      </c>
      <c r="K334" s="86" t="str" cm="1">
        <f t="array" ref="K334">LOOKUP(2,1/($G$6:$G$14&lt;=$L334)/($H$6:$H$14&gt;=$L334),$F$6:$F$14)</f>
        <v>FY18</v>
      </c>
      <c r="L334" s="118">
        <v>43167</v>
      </c>
      <c r="M334" s="49">
        <v>27412381</v>
      </c>
      <c r="N334" s="49">
        <v>25467472</v>
      </c>
      <c r="O334" s="50">
        <v>15000000</v>
      </c>
      <c r="P334" s="119" cm="1">
        <f t="array" ref="P334">LOOKUP(2,1/($B$10:$B$14&lt;=$L334)/($C$10:$C$14&gt;=$L334),$D$10:$D$14)</f>
        <v>0.85</v>
      </c>
      <c r="Q334" s="120" cm="1">
        <f t="array" ref="Q334">LOOKUP(2,1/($B$17:$B$21&lt;=$L334)/($C$17:$C$21&gt;=$L334),$D$17:$D$21)</f>
        <v>76.767600000000002</v>
      </c>
      <c r="R334" s="113" t="str">
        <f t="shared" si="254"/>
        <v/>
      </c>
      <c r="S334" s="113" t="str">
        <f t="shared" si="255"/>
        <v>2H18</v>
      </c>
      <c r="T334" s="113" t="str">
        <f t="shared" ca="1" si="256"/>
        <v/>
      </c>
      <c r="U334" s="113" t="str">
        <f t="shared" si="257"/>
        <v/>
      </c>
      <c r="V334" s="113" t="str">
        <f t="shared" si="258"/>
        <v>FY18</v>
      </c>
      <c r="W334" s="113" t="str">
        <f t="shared" ca="1" si="259"/>
        <v/>
      </c>
    </row>
    <row r="335" spans="10:23" x14ac:dyDescent="0.25">
      <c r="J335" s="86" t="str" cm="1">
        <f t="array" ref="J335">LOOKUP(2,1/($G$17:$G$33&lt;=$L335)/($H$17:$H$33&gt;=$L335),$F$17:$F$33)</f>
        <v>2H18</v>
      </c>
      <c r="K335" s="86" t="str" cm="1">
        <f t="array" ref="K335">LOOKUP(2,1/($G$6:$G$14&lt;=$L335)/($H$6:$H$14&gt;=$L335),$F$6:$F$14)</f>
        <v>FY18</v>
      </c>
      <c r="L335" s="118">
        <v>43160</v>
      </c>
      <c r="M335" s="49">
        <v>21685931</v>
      </c>
      <c r="N335" s="49">
        <v>20147314</v>
      </c>
      <c r="O335" s="50">
        <v>10000000</v>
      </c>
      <c r="P335" s="119" cm="1">
        <f t="array" ref="P335">LOOKUP(2,1/($B$10:$B$14&lt;=$L335)/($C$10:$C$14&gt;=$L335),$D$10:$D$14)</f>
        <v>0.85</v>
      </c>
      <c r="Q335" s="120" cm="1">
        <f t="array" ref="Q335">LOOKUP(2,1/($B$17:$B$21&lt;=$L335)/($C$17:$C$21&gt;=$L335),$D$17:$D$21)</f>
        <v>76.767600000000002</v>
      </c>
      <c r="R335" s="113" t="str">
        <f t="shared" si="254"/>
        <v/>
      </c>
      <c r="S335" s="113" t="str">
        <f t="shared" si="255"/>
        <v>2H18</v>
      </c>
      <c r="T335" s="113" t="str">
        <f t="shared" ca="1" si="256"/>
        <v/>
      </c>
      <c r="U335" s="113" t="str">
        <f t="shared" si="257"/>
        <v/>
      </c>
      <c r="V335" s="113" t="str">
        <f t="shared" si="258"/>
        <v>FY18</v>
      </c>
      <c r="W335" s="113" t="str">
        <f t="shared" ca="1" si="259"/>
        <v/>
      </c>
    </row>
    <row r="336" spans="10:23" x14ac:dyDescent="0.25">
      <c r="J336" s="86" t="str" cm="1">
        <f t="array" ref="J336">LOOKUP(2,1/($G$17:$G$33&lt;=$L336)/($H$17:$H$33&gt;=$L336),$F$17:$F$33)</f>
        <v>2H18</v>
      </c>
      <c r="K336" s="86" t="str" cm="1">
        <f t="array" ref="K336">LOOKUP(2,1/($G$6:$G$14&lt;=$L336)/($H$6:$H$14&gt;=$L336),$F$6:$F$14)</f>
        <v>FY18</v>
      </c>
      <c r="L336" s="118">
        <v>43153</v>
      </c>
      <c r="M336" s="49">
        <v>17186081</v>
      </c>
      <c r="N336" s="49">
        <v>15966729</v>
      </c>
      <c r="O336" s="50">
        <v>6000000</v>
      </c>
      <c r="P336" s="119" cm="1">
        <f t="array" ref="P336">LOOKUP(2,1/($B$10:$B$14&lt;=$L336)/($C$10:$C$14&gt;=$L336),$D$10:$D$14)</f>
        <v>0.85</v>
      </c>
      <c r="Q336" s="120" cm="1">
        <f t="array" ref="Q336">LOOKUP(2,1/($B$17:$B$21&lt;=$L336)/($C$17:$C$21&gt;=$L336),$D$17:$D$21)</f>
        <v>76.767600000000002</v>
      </c>
      <c r="R336" s="113" t="str">
        <f t="shared" si="254"/>
        <v/>
      </c>
      <c r="S336" s="113" t="str">
        <f t="shared" si="255"/>
        <v>2H18</v>
      </c>
      <c r="T336" s="113" t="str">
        <f t="shared" ca="1" si="256"/>
        <v/>
      </c>
      <c r="U336" s="113" t="str">
        <f t="shared" si="257"/>
        <v/>
      </c>
      <c r="V336" s="113" t="str">
        <f t="shared" si="258"/>
        <v>FY18</v>
      </c>
      <c r="W336" s="113" t="str">
        <f t="shared" ca="1" si="259"/>
        <v/>
      </c>
    </row>
    <row r="337" spans="10:23" x14ac:dyDescent="0.25">
      <c r="J337" s="86" t="str" cm="1">
        <f t="array" ref="J337">LOOKUP(2,1/($G$17:$G$33&lt;=$L337)/($H$17:$H$33&gt;=$L337),$F$17:$F$33)</f>
        <v>2H18</v>
      </c>
      <c r="K337" s="86" t="str" cm="1">
        <f t="array" ref="K337">LOOKUP(2,1/($G$6:$G$14&lt;=$L337)/($H$6:$H$14&gt;=$L337),$F$6:$F$14)</f>
        <v>FY18</v>
      </c>
      <c r="L337" s="118">
        <v>43146</v>
      </c>
      <c r="M337" s="49">
        <v>14328098</v>
      </c>
      <c r="N337" s="49">
        <v>13311519</v>
      </c>
      <c r="O337" s="50">
        <v>3000000</v>
      </c>
      <c r="P337" s="119" cm="1">
        <f t="array" ref="P337">LOOKUP(2,1/($B$10:$B$14&lt;=$L337)/($C$10:$C$14&gt;=$L337),$D$10:$D$14)</f>
        <v>0.85</v>
      </c>
      <c r="Q337" s="120" cm="1">
        <f t="array" ref="Q337">LOOKUP(2,1/($B$17:$B$21&lt;=$L337)/($C$17:$C$21&gt;=$L337),$D$17:$D$21)</f>
        <v>76.767600000000002</v>
      </c>
      <c r="R337" s="113" t="str">
        <f t="shared" si="254"/>
        <v/>
      </c>
      <c r="S337" s="113" t="str">
        <f t="shared" si="255"/>
        <v>2H18</v>
      </c>
      <c r="T337" s="113" t="str">
        <f t="shared" ca="1" si="256"/>
        <v/>
      </c>
      <c r="U337" s="113" t="str">
        <f t="shared" si="257"/>
        <v/>
      </c>
      <c r="V337" s="113" t="str">
        <f t="shared" si="258"/>
        <v>FY18</v>
      </c>
      <c r="W337" s="113" t="str">
        <f t="shared" ca="1" si="259"/>
        <v/>
      </c>
    </row>
    <row r="338" spans="10:23" x14ac:dyDescent="0.25">
      <c r="J338" s="86" t="str" cm="1">
        <f t="array" ref="J338">LOOKUP(2,1/($G$17:$G$33&lt;=$L338)/($H$17:$H$33&gt;=$L338),$F$17:$F$33)</f>
        <v>2H18</v>
      </c>
      <c r="K338" s="86" t="str" cm="1">
        <f t="array" ref="K338">LOOKUP(2,1/($G$6:$G$14&lt;=$L338)/($H$6:$H$14&gt;=$L338),$F$6:$F$14)</f>
        <v>FY18</v>
      </c>
      <c r="L338" s="118">
        <v>43139</v>
      </c>
      <c r="M338" s="49">
        <v>16219147</v>
      </c>
      <c r="N338" s="49">
        <v>15068399</v>
      </c>
      <c r="O338" s="50">
        <v>6000000</v>
      </c>
      <c r="P338" s="119" cm="1">
        <f t="array" ref="P338">LOOKUP(2,1/($B$10:$B$14&lt;=$L338)/($C$10:$C$14&gt;=$L338),$D$10:$D$14)</f>
        <v>0.85</v>
      </c>
      <c r="Q338" s="120" cm="1">
        <f t="array" ref="Q338">LOOKUP(2,1/($B$17:$B$21&lt;=$L338)/($C$17:$C$21&gt;=$L338),$D$17:$D$21)</f>
        <v>76.767600000000002</v>
      </c>
      <c r="R338" s="113" t="str">
        <f t="shared" si="254"/>
        <v/>
      </c>
      <c r="S338" s="113" t="str">
        <f t="shared" si="255"/>
        <v>2H18</v>
      </c>
      <c r="T338" s="113" t="str">
        <f t="shared" ca="1" si="256"/>
        <v/>
      </c>
      <c r="U338" s="113" t="str">
        <f t="shared" si="257"/>
        <v/>
      </c>
      <c r="V338" s="113" t="str">
        <f t="shared" si="258"/>
        <v>FY18</v>
      </c>
      <c r="W338" s="113" t="str">
        <f t="shared" ca="1" si="259"/>
        <v/>
      </c>
    </row>
    <row r="339" spans="10:23" x14ac:dyDescent="0.25">
      <c r="J339" s="86" t="str" cm="1">
        <f t="array" ref="J339">LOOKUP(2,1/($G$17:$G$33&lt;=$L339)/($H$17:$H$33&gt;=$L339),$F$17:$F$33)</f>
        <v>2H18</v>
      </c>
      <c r="K339" s="86" t="str" cm="1">
        <f t="array" ref="K339">LOOKUP(2,1/($G$6:$G$14&lt;=$L339)/($H$6:$H$14&gt;=$L339),$F$6:$F$14)</f>
        <v>FY18</v>
      </c>
      <c r="L339" s="118">
        <v>43132</v>
      </c>
      <c r="M339" s="49">
        <v>12845805</v>
      </c>
      <c r="N339" s="49">
        <v>11934395</v>
      </c>
      <c r="O339" s="50">
        <v>3000000</v>
      </c>
      <c r="P339" s="119" cm="1">
        <f t="array" ref="P339">LOOKUP(2,1/($B$10:$B$14&lt;=$L339)/($C$10:$C$14&gt;=$L339),$D$10:$D$14)</f>
        <v>0.85</v>
      </c>
      <c r="Q339" s="120" cm="1">
        <f t="array" ref="Q339">LOOKUP(2,1/($B$17:$B$21&lt;=$L339)/($C$17:$C$21&gt;=$L339),$D$17:$D$21)</f>
        <v>76.767600000000002</v>
      </c>
      <c r="R339" s="113" t="str">
        <f t="shared" si="254"/>
        <v/>
      </c>
      <c r="S339" s="113" t="str">
        <f t="shared" si="255"/>
        <v>2H18</v>
      </c>
      <c r="T339" s="113" t="str">
        <f t="shared" ca="1" si="256"/>
        <v/>
      </c>
      <c r="U339" s="113" t="str">
        <f t="shared" si="257"/>
        <v/>
      </c>
      <c r="V339" s="113" t="str">
        <f t="shared" si="258"/>
        <v>FY18</v>
      </c>
      <c r="W339" s="113" t="str">
        <f t="shared" ca="1" si="259"/>
        <v/>
      </c>
    </row>
    <row r="340" spans="10:23" x14ac:dyDescent="0.25">
      <c r="J340" s="86" t="str" cm="1">
        <f t="array" ref="J340">LOOKUP(2,1/($G$17:$G$33&lt;=$L340)/($H$17:$H$33&gt;=$L340),$F$17:$F$33)</f>
        <v>2H18</v>
      </c>
      <c r="K340" s="86" t="str" cm="1">
        <f t="array" ref="K340">LOOKUP(2,1/($G$6:$G$14&lt;=$L340)/($H$6:$H$14&gt;=$L340),$F$6:$F$14)</f>
        <v>FY18</v>
      </c>
      <c r="L340" s="118">
        <v>43125</v>
      </c>
      <c r="M340" s="49">
        <v>16030550</v>
      </c>
      <c r="N340" s="49">
        <v>14893183</v>
      </c>
      <c r="O340" s="50">
        <v>3000000</v>
      </c>
      <c r="P340" s="119" cm="1">
        <f t="array" ref="P340">LOOKUP(2,1/($B$10:$B$14&lt;=$L340)/($C$10:$C$14&gt;=$L340),$D$10:$D$14)</f>
        <v>0.85</v>
      </c>
      <c r="Q340" s="120" cm="1">
        <f t="array" ref="Q340">LOOKUP(2,1/($B$17:$B$21&lt;=$L340)/($C$17:$C$21&gt;=$L340),$D$17:$D$21)</f>
        <v>76.767600000000002</v>
      </c>
      <c r="R340" s="113" t="str">
        <f t="shared" si="254"/>
        <v/>
      </c>
      <c r="S340" s="113" t="str">
        <f t="shared" si="255"/>
        <v>2H18</v>
      </c>
      <c r="T340" s="113" t="str">
        <f t="shared" ca="1" si="256"/>
        <v/>
      </c>
      <c r="U340" s="113" t="str">
        <f t="shared" si="257"/>
        <v/>
      </c>
      <c r="V340" s="113" t="str">
        <f t="shared" si="258"/>
        <v>FY18</v>
      </c>
      <c r="W340" s="113" t="str">
        <f t="shared" ca="1" si="259"/>
        <v/>
      </c>
    </row>
    <row r="341" spans="10:23" x14ac:dyDescent="0.25">
      <c r="J341" s="86" t="str" cm="1">
        <f t="array" ref="J341">LOOKUP(2,1/($G$17:$G$33&lt;=$L341)/($H$17:$H$33&gt;=$L341),$F$17:$F$33)</f>
        <v>2H18</v>
      </c>
      <c r="K341" s="86" t="str" cm="1">
        <f t="array" ref="K341">LOOKUP(2,1/($G$6:$G$14&lt;=$L341)/($H$6:$H$14&gt;=$L341),$F$6:$F$14)</f>
        <v>FY18</v>
      </c>
      <c r="L341" s="118">
        <v>43118</v>
      </c>
      <c r="M341" s="49">
        <v>14500915</v>
      </c>
      <c r="N341" s="49">
        <v>13472075</v>
      </c>
      <c r="O341" s="50">
        <v>3000000</v>
      </c>
      <c r="P341" s="119" cm="1">
        <f t="array" ref="P341">LOOKUP(2,1/($B$10:$B$14&lt;=$L341)/($C$10:$C$14&gt;=$L341),$D$10:$D$14)</f>
        <v>0.85</v>
      </c>
      <c r="Q341" s="120" cm="1">
        <f t="array" ref="Q341">LOOKUP(2,1/($B$17:$B$21&lt;=$L341)/($C$17:$C$21&gt;=$L341),$D$17:$D$21)</f>
        <v>76.767600000000002</v>
      </c>
      <c r="R341" s="113" t="str">
        <f t="shared" si="254"/>
        <v/>
      </c>
      <c r="S341" s="113" t="str">
        <f t="shared" si="255"/>
        <v>2H18</v>
      </c>
      <c r="T341" s="113" t="str">
        <f t="shared" ca="1" si="256"/>
        <v/>
      </c>
      <c r="U341" s="113" t="str">
        <f t="shared" si="257"/>
        <v/>
      </c>
      <c r="V341" s="113" t="str">
        <f t="shared" si="258"/>
        <v>FY18</v>
      </c>
      <c r="W341" s="113" t="str">
        <f t="shared" ca="1" si="259"/>
        <v/>
      </c>
    </row>
    <row r="342" spans="10:23" x14ac:dyDescent="0.25">
      <c r="J342" s="86" t="str" cm="1">
        <f t="array" ref="J342">LOOKUP(2,1/($G$17:$G$33&lt;=$L342)/($H$17:$H$33&gt;=$L342),$F$17:$F$33)</f>
        <v>2H18</v>
      </c>
      <c r="K342" s="86" t="str" cm="1">
        <f t="array" ref="K342">LOOKUP(2,1/($G$6:$G$14&lt;=$L342)/($H$6:$H$14&gt;=$L342),$F$6:$F$14)</f>
        <v>FY18</v>
      </c>
      <c r="L342" s="118">
        <v>43111</v>
      </c>
      <c r="M342" s="49">
        <v>80521889</v>
      </c>
      <c r="N342" s="49">
        <v>74808861</v>
      </c>
      <c r="O342" s="50">
        <v>55000000</v>
      </c>
      <c r="P342" s="119" cm="1">
        <f t="array" ref="P342">LOOKUP(2,1/($B$10:$B$14&lt;=$L342)/($C$10:$C$14&gt;=$L342),$D$10:$D$14)</f>
        <v>0.85</v>
      </c>
      <c r="Q342" s="120" cm="1">
        <f t="array" ref="Q342">LOOKUP(2,1/($B$17:$B$21&lt;=$L342)/($C$17:$C$21&gt;=$L342),$D$17:$D$21)</f>
        <v>76.767600000000002</v>
      </c>
      <c r="R342" s="113" t="str">
        <f t="shared" si="254"/>
        <v/>
      </c>
      <c r="S342" s="113" t="str">
        <f t="shared" si="255"/>
        <v>2H18</v>
      </c>
      <c r="T342" s="113" t="str">
        <f t="shared" ca="1" si="256"/>
        <v/>
      </c>
      <c r="U342" s="113" t="str">
        <f t="shared" si="257"/>
        <v/>
      </c>
      <c r="V342" s="113" t="str">
        <f t="shared" si="258"/>
        <v>FY18</v>
      </c>
      <c r="W342" s="113" t="str">
        <f t="shared" ca="1" si="259"/>
        <v/>
      </c>
    </row>
    <row r="343" spans="10:23" x14ac:dyDescent="0.25">
      <c r="J343" s="86" t="str" cm="1">
        <f t="array" ref="J343">LOOKUP(2,1/($G$17:$G$33&lt;=$L343)/($H$17:$H$33&gt;=$L343),$F$17:$F$33)</f>
        <v>2H18</v>
      </c>
      <c r="K343" s="86" t="str" cm="1">
        <f t="array" ref="K343">LOOKUP(2,1/($G$6:$G$14&lt;=$L343)/($H$6:$H$14&gt;=$L343),$F$6:$F$14)</f>
        <v>FY18</v>
      </c>
      <c r="L343" s="118">
        <v>43104</v>
      </c>
      <c r="M343" s="49">
        <v>46986662</v>
      </c>
      <c r="N343" s="49">
        <v>43652958</v>
      </c>
      <c r="O343" s="50">
        <v>35000000</v>
      </c>
      <c r="P343" s="119" cm="1">
        <f t="array" ref="P343">LOOKUP(2,1/($B$10:$B$14&lt;=$L343)/($C$10:$C$14&gt;=$L343),$D$10:$D$14)</f>
        <v>0.85</v>
      </c>
      <c r="Q343" s="120" cm="1">
        <f t="array" ref="Q343">LOOKUP(2,1/($B$17:$B$21&lt;=$L343)/($C$17:$C$21&gt;=$L343),$D$17:$D$21)</f>
        <v>76.767600000000002</v>
      </c>
      <c r="R343" s="113" t="str">
        <f t="shared" si="254"/>
        <v>2H18</v>
      </c>
      <c r="S343" s="113" t="str">
        <f t="shared" si="255"/>
        <v>2H18</v>
      </c>
      <c r="T343" s="113" t="str">
        <f t="shared" ca="1" si="256"/>
        <v/>
      </c>
      <c r="U343" s="113" t="str">
        <f t="shared" si="257"/>
        <v/>
      </c>
      <c r="V343" s="113" t="str">
        <f t="shared" si="258"/>
        <v>FY18</v>
      </c>
      <c r="W343" s="113" t="str">
        <f t="shared" ca="1" si="259"/>
        <v/>
      </c>
    </row>
    <row r="344" spans="10:23" x14ac:dyDescent="0.25">
      <c r="J344" s="86" t="str" cm="1">
        <f t="array" ref="J344">LOOKUP(2,1/($G$17:$G$33&lt;=$L344)/($H$17:$H$33&gt;=$L344),$F$17:$F$33)</f>
        <v>1H18</v>
      </c>
      <c r="K344" s="86" t="str" cm="1">
        <f t="array" ref="K344">LOOKUP(2,1/($G$6:$G$14&lt;=$L344)/($H$6:$H$14&gt;=$L344),$F$6:$F$14)</f>
        <v>FY18</v>
      </c>
      <c r="L344" s="118">
        <v>43097</v>
      </c>
      <c r="M344" s="49">
        <v>27652624</v>
      </c>
      <c r="N344" s="49">
        <v>25690671</v>
      </c>
      <c r="O344" s="50">
        <v>25000000</v>
      </c>
      <c r="P344" s="119" cm="1">
        <f t="array" ref="P344">LOOKUP(2,1/($B$10:$B$14&lt;=$L344)/($C$10:$C$14&gt;=$L344),$D$10:$D$14)</f>
        <v>0.85</v>
      </c>
      <c r="Q344" s="120" cm="1">
        <f t="array" ref="Q344">LOOKUP(2,1/($B$17:$B$21&lt;=$L344)/($C$17:$C$21&gt;=$L344),$D$17:$D$21)</f>
        <v>76.767600000000002</v>
      </c>
      <c r="R344" s="113" t="str">
        <f t="shared" si="254"/>
        <v/>
      </c>
      <c r="S344" s="113" t="str">
        <f t="shared" si="255"/>
        <v>2H18</v>
      </c>
      <c r="T344" s="113" t="str">
        <f t="shared" ca="1" si="256"/>
        <v/>
      </c>
      <c r="U344" s="113" t="str">
        <f t="shared" si="257"/>
        <v/>
      </c>
      <c r="V344" s="113" t="str">
        <f t="shared" si="258"/>
        <v>FY18</v>
      </c>
      <c r="W344" s="113" t="str">
        <f t="shared" ca="1" si="259"/>
        <v/>
      </c>
    </row>
    <row r="345" spans="10:23" x14ac:dyDescent="0.25">
      <c r="J345" s="86" t="str" cm="1">
        <f t="array" ref="J345">LOOKUP(2,1/($G$17:$G$33&lt;=$L345)/($H$17:$H$33&gt;=$L345),$F$17:$F$33)</f>
        <v>1H18</v>
      </c>
      <c r="K345" s="86" t="str" cm="1">
        <f t="array" ref="K345">LOOKUP(2,1/($G$6:$G$14&lt;=$L345)/($H$6:$H$14&gt;=$L345),$F$6:$F$14)</f>
        <v>FY18</v>
      </c>
      <c r="L345" s="118">
        <v>43090</v>
      </c>
      <c r="M345" s="49">
        <v>23423035</v>
      </c>
      <c r="N345" s="49">
        <v>21761170</v>
      </c>
      <c r="O345" s="50">
        <v>15000000</v>
      </c>
      <c r="P345" s="119" cm="1">
        <f t="array" ref="P345">LOOKUP(2,1/($B$10:$B$14&lt;=$L345)/($C$10:$C$14&gt;=$L345),$D$10:$D$14)</f>
        <v>0.85</v>
      </c>
      <c r="Q345" s="120" cm="1">
        <f t="array" ref="Q345">LOOKUP(2,1/($B$17:$B$21&lt;=$L345)/($C$17:$C$21&gt;=$L345),$D$17:$D$21)</f>
        <v>76.767600000000002</v>
      </c>
      <c r="R345" s="113" t="str">
        <f t="shared" si="254"/>
        <v/>
      </c>
      <c r="S345" s="113" t="str">
        <f t="shared" si="255"/>
        <v>2H18</v>
      </c>
      <c r="T345" s="113" t="str">
        <f t="shared" ca="1" si="256"/>
        <v/>
      </c>
      <c r="U345" s="113" t="str">
        <f t="shared" si="257"/>
        <v/>
      </c>
      <c r="V345" s="113" t="str">
        <f t="shared" si="258"/>
        <v>FY18</v>
      </c>
      <c r="W345" s="113" t="str">
        <f t="shared" ca="1" si="259"/>
        <v/>
      </c>
    </row>
    <row r="346" spans="10:23" x14ac:dyDescent="0.25">
      <c r="J346" s="86" t="str" cm="1">
        <f t="array" ref="J346">LOOKUP(2,1/($G$17:$G$33&lt;=$L346)/($H$17:$H$33&gt;=$L346),$F$17:$F$33)</f>
        <v>1H18</v>
      </c>
      <c r="K346" s="86" t="str" cm="1">
        <f t="array" ref="K346">LOOKUP(2,1/($G$6:$G$14&lt;=$L346)/($H$6:$H$14&gt;=$L346),$F$6:$F$14)</f>
        <v>FY18</v>
      </c>
      <c r="L346" s="118">
        <v>43083</v>
      </c>
      <c r="M346" s="49">
        <v>19518000</v>
      </c>
      <c r="N346" s="49">
        <v>18133198</v>
      </c>
      <c r="O346" s="50">
        <v>10000000</v>
      </c>
      <c r="P346" s="119" cm="1">
        <f t="array" ref="P346">LOOKUP(2,1/($B$10:$B$14&lt;=$L346)/($C$10:$C$14&gt;=$L346),$D$10:$D$14)</f>
        <v>0.85</v>
      </c>
      <c r="Q346" s="120" cm="1">
        <f t="array" ref="Q346">LOOKUP(2,1/($B$17:$B$21&lt;=$L346)/($C$17:$C$21&gt;=$L346),$D$17:$D$21)</f>
        <v>76.767600000000002</v>
      </c>
      <c r="R346" s="113" t="str">
        <f t="shared" si="254"/>
        <v/>
      </c>
      <c r="S346" s="113" t="str">
        <f t="shared" si="255"/>
        <v>2H18</v>
      </c>
      <c r="T346" s="113" t="str">
        <f t="shared" ca="1" si="256"/>
        <v/>
      </c>
      <c r="U346" s="113" t="str">
        <f t="shared" si="257"/>
        <v/>
      </c>
      <c r="V346" s="113" t="str">
        <f t="shared" si="258"/>
        <v>FY18</v>
      </c>
      <c r="W346" s="113" t="str">
        <f t="shared" ca="1" si="259"/>
        <v/>
      </c>
    </row>
    <row r="347" spans="10:23" x14ac:dyDescent="0.25">
      <c r="J347" s="86" t="str" cm="1">
        <f t="array" ref="J347">LOOKUP(2,1/($G$17:$G$33&lt;=$L347)/($H$17:$H$33&gt;=$L347),$F$17:$F$33)</f>
        <v>1H18</v>
      </c>
      <c r="K347" s="86" t="str" cm="1">
        <f t="array" ref="K347">LOOKUP(2,1/($G$6:$G$14&lt;=$L347)/($H$6:$H$14&gt;=$L347),$F$6:$F$14)</f>
        <v>FY18</v>
      </c>
      <c r="L347" s="118">
        <v>43076</v>
      </c>
      <c r="M347" s="49">
        <v>17159375</v>
      </c>
      <c r="N347" s="49">
        <v>15941917</v>
      </c>
      <c r="O347" s="50">
        <v>6000000</v>
      </c>
      <c r="P347" s="119" cm="1">
        <f t="array" ref="P347">LOOKUP(2,1/($B$10:$B$14&lt;=$L347)/($C$10:$C$14&gt;=$L347),$D$10:$D$14)</f>
        <v>0.85</v>
      </c>
      <c r="Q347" s="120" cm="1">
        <f t="array" ref="Q347">LOOKUP(2,1/($B$17:$B$21&lt;=$L347)/($C$17:$C$21&gt;=$L347),$D$17:$D$21)</f>
        <v>76.767600000000002</v>
      </c>
      <c r="R347" s="113" t="str">
        <f t="shared" si="254"/>
        <v/>
      </c>
      <c r="S347" s="113" t="str">
        <f t="shared" si="255"/>
        <v>2H18</v>
      </c>
      <c r="T347" s="113" t="str">
        <f t="shared" ca="1" si="256"/>
        <v/>
      </c>
      <c r="U347" s="113" t="str">
        <f t="shared" si="257"/>
        <v/>
      </c>
      <c r="V347" s="113" t="str">
        <f t="shared" si="258"/>
        <v>FY18</v>
      </c>
      <c r="W347" s="113" t="str">
        <f t="shared" ca="1" si="259"/>
        <v/>
      </c>
    </row>
    <row r="348" spans="10:23" x14ac:dyDescent="0.25">
      <c r="J348" s="86" t="str" cm="1">
        <f t="array" ref="J348">LOOKUP(2,1/($G$17:$G$33&lt;=$L348)/($H$17:$H$33&gt;=$L348),$F$17:$F$33)</f>
        <v>1H18</v>
      </c>
      <c r="K348" s="86" t="str" cm="1">
        <f t="array" ref="K348">LOOKUP(2,1/($G$6:$G$14&lt;=$L348)/($H$6:$H$14&gt;=$L348),$F$6:$F$14)</f>
        <v>FY18</v>
      </c>
      <c r="L348" s="118">
        <v>43069</v>
      </c>
      <c r="M348" s="49">
        <v>13093111</v>
      </c>
      <c r="N348" s="49">
        <v>12164155</v>
      </c>
      <c r="O348" s="50">
        <v>3000000</v>
      </c>
      <c r="P348" s="119" cm="1">
        <f t="array" ref="P348">LOOKUP(2,1/($B$10:$B$14&lt;=$L348)/($C$10:$C$14&gt;=$L348),$D$10:$D$14)</f>
        <v>0.85</v>
      </c>
      <c r="Q348" s="120" cm="1">
        <f t="array" ref="Q348">LOOKUP(2,1/($B$17:$B$21&lt;=$L348)/($C$17:$C$21&gt;=$L348),$D$17:$D$21)</f>
        <v>76.767600000000002</v>
      </c>
      <c r="R348" s="113" t="str">
        <f t="shared" si="254"/>
        <v/>
      </c>
      <c r="S348" s="113" t="str">
        <f t="shared" si="255"/>
        <v>2H18</v>
      </c>
      <c r="T348" s="113" t="str">
        <f t="shared" ca="1" si="256"/>
        <v/>
      </c>
      <c r="U348" s="113" t="str">
        <f t="shared" si="257"/>
        <v/>
      </c>
      <c r="V348" s="113" t="str">
        <f t="shared" si="258"/>
        <v>FY18</v>
      </c>
      <c r="W348" s="113" t="str">
        <f t="shared" ca="1" si="259"/>
        <v/>
      </c>
    </row>
    <row r="349" spans="10:23" x14ac:dyDescent="0.25">
      <c r="J349" s="86" t="str" cm="1">
        <f t="array" ref="J349">LOOKUP(2,1/($G$17:$G$33&lt;=$L349)/($H$17:$H$33&gt;=$L349),$F$17:$F$33)</f>
        <v>1H18</v>
      </c>
      <c r="K349" s="86" t="str" cm="1">
        <f t="array" ref="K349">LOOKUP(2,1/($G$6:$G$14&lt;=$L349)/($H$6:$H$14&gt;=$L349),$F$6:$F$14)</f>
        <v>FY18</v>
      </c>
      <c r="L349" s="118">
        <v>43062</v>
      </c>
      <c r="M349" s="49">
        <v>25218185</v>
      </c>
      <c r="N349" s="49">
        <v>23428955</v>
      </c>
      <c r="O349" s="50">
        <v>10000000</v>
      </c>
      <c r="P349" s="119" cm="1">
        <f t="array" ref="P349">LOOKUP(2,1/($B$10:$B$14&lt;=$L349)/($C$10:$C$14&gt;=$L349),$D$10:$D$14)</f>
        <v>0.85</v>
      </c>
      <c r="Q349" s="120" cm="1">
        <f t="array" ref="Q349">LOOKUP(2,1/($B$17:$B$21&lt;=$L349)/($C$17:$C$21&gt;=$L349),$D$17:$D$21)</f>
        <v>76.767600000000002</v>
      </c>
      <c r="R349" s="113" t="str">
        <f t="shared" ref="R349:R395" si="260">IF($J349&lt;&gt;$J350,$J349,"")</f>
        <v/>
      </c>
      <c r="S349" s="113" t="str">
        <f t="shared" ref="S349:S395" si="261">IF($O348&lt;$O349,$J349,S348)</f>
        <v>1H18</v>
      </c>
      <c r="T349" s="113" t="str">
        <f t="shared" ref="T349:T395" ca="1" si="262">IF(AND(S349&lt;&gt;S348,ISNUMBER(MATCH($S348,$F$17:$F$33,0))),OFFSET($F$16,MATCH($J349,$F$17:$F$33,0)+1,0),"")</f>
        <v>2H18</v>
      </c>
      <c r="U349" s="113" t="str">
        <f t="shared" ref="U349:U395" si="263">IF($K349&lt;&gt;$K350,$K349,"")</f>
        <v/>
      </c>
      <c r="V349" s="113" t="str">
        <f t="shared" si="258"/>
        <v>FY18</v>
      </c>
      <c r="W349" s="113" t="str">
        <f t="shared" ca="1" si="259"/>
        <v/>
      </c>
    </row>
    <row r="350" spans="10:23" x14ac:dyDescent="0.25">
      <c r="J350" s="86" t="str" cm="1">
        <f t="array" ref="J350">LOOKUP(2,1/($G$17:$G$33&lt;=$L350)/($H$17:$H$33&gt;=$L350),$F$17:$F$33)</f>
        <v>1H18</v>
      </c>
      <c r="K350" s="86" t="str" cm="1">
        <f t="array" ref="K350">LOOKUP(2,1/($G$6:$G$14&lt;=$L350)/($H$6:$H$14&gt;=$L350),$F$6:$F$14)</f>
        <v>FY18</v>
      </c>
      <c r="L350" s="118">
        <v>43055</v>
      </c>
      <c r="M350" s="49">
        <v>17451375</v>
      </c>
      <c r="N350" s="49">
        <v>16213200</v>
      </c>
      <c r="O350" s="50">
        <v>6000000</v>
      </c>
      <c r="P350" s="119" cm="1">
        <f t="array" ref="P350">LOOKUP(2,1/($B$10:$B$14&lt;=$L350)/($C$10:$C$14&gt;=$L350),$D$10:$D$14)</f>
        <v>0.85</v>
      </c>
      <c r="Q350" s="120" cm="1">
        <f t="array" ref="Q350">LOOKUP(2,1/($B$17:$B$21&lt;=$L350)/($C$17:$C$21&gt;=$L350),$D$17:$D$21)</f>
        <v>76.767600000000002</v>
      </c>
      <c r="R350" s="113" t="str">
        <f t="shared" si="260"/>
        <v/>
      </c>
      <c r="S350" s="113" t="str">
        <f t="shared" si="261"/>
        <v>1H18</v>
      </c>
      <c r="T350" s="113" t="str">
        <f t="shared" ca="1" si="262"/>
        <v/>
      </c>
      <c r="U350" s="113" t="str">
        <f t="shared" si="263"/>
        <v/>
      </c>
      <c r="V350" s="113" t="str">
        <f t="shared" si="258"/>
        <v>FY18</v>
      </c>
      <c r="W350" s="113" t="str">
        <f t="shared" ca="1" si="259"/>
        <v/>
      </c>
    </row>
    <row r="351" spans="10:23" x14ac:dyDescent="0.25">
      <c r="J351" s="86" t="str" cm="1">
        <f t="array" ref="J351">LOOKUP(2,1/($G$17:$G$33&lt;=$L351)/($H$17:$H$33&gt;=$L351),$F$17:$F$33)</f>
        <v>1H18</v>
      </c>
      <c r="K351" s="86" t="str" cm="1">
        <f t="array" ref="K351">LOOKUP(2,1/($G$6:$G$14&lt;=$L351)/($H$6:$H$14&gt;=$L351),$F$6:$F$14)</f>
        <v>FY18</v>
      </c>
      <c r="L351" s="118">
        <v>43048</v>
      </c>
      <c r="M351" s="49">
        <v>13079538</v>
      </c>
      <c r="N351" s="49">
        <v>12151544</v>
      </c>
      <c r="O351" s="50">
        <v>3000000</v>
      </c>
      <c r="P351" s="119" cm="1">
        <f t="array" ref="P351">LOOKUP(2,1/($B$10:$B$14&lt;=$L351)/($C$10:$C$14&gt;=$L351),$D$10:$D$14)</f>
        <v>0.85</v>
      </c>
      <c r="Q351" s="120" cm="1">
        <f t="array" ref="Q351">LOOKUP(2,1/($B$17:$B$21&lt;=$L351)/($C$17:$C$21&gt;=$L351),$D$17:$D$21)</f>
        <v>76.767600000000002</v>
      </c>
      <c r="R351" s="113" t="str">
        <f t="shared" si="260"/>
        <v/>
      </c>
      <c r="S351" s="113" t="str">
        <f t="shared" si="261"/>
        <v>1H18</v>
      </c>
      <c r="T351" s="113" t="str">
        <f t="shared" ca="1" si="262"/>
        <v/>
      </c>
      <c r="U351" s="113" t="str">
        <f t="shared" si="263"/>
        <v/>
      </c>
      <c r="V351" s="113" t="str">
        <f t="shared" si="258"/>
        <v>FY18</v>
      </c>
      <c r="W351" s="113" t="str">
        <f t="shared" ca="1" si="259"/>
        <v/>
      </c>
    </row>
    <row r="352" spans="10:23" x14ac:dyDescent="0.25">
      <c r="J352" s="86" t="str" cm="1">
        <f t="array" ref="J352">LOOKUP(2,1/($G$17:$G$33&lt;=$L352)/($H$17:$H$33&gt;=$L352),$F$17:$F$33)</f>
        <v>1H18</v>
      </c>
      <c r="K352" s="86" t="str" cm="1">
        <f t="array" ref="K352">LOOKUP(2,1/($G$6:$G$14&lt;=$L352)/($H$6:$H$14&gt;=$L352),$F$6:$F$14)</f>
        <v>FY18</v>
      </c>
      <c r="L352" s="118">
        <v>43041</v>
      </c>
      <c r="M352" s="49">
        <v>16170260</v>
      </c>
      <c r="N352" s="49">
        <v>15022980</v>
      </c>
      <c r="O352" s="50">
        <v>6000000</v>
      </c>
      <c r="P352" s="119" cm="1">
        <f t="array" ref="P352">LOOKUP(2,1/($B$10:$B$14&lt;=$L352)/($C$10:$C$14&gt;=$L352),$D$10:$D$14)</f>
        <v>0.85</v>
      </c>
      <c r="Q352" s="120" cm="1">
        <f t="array" ref="Q352">LOOKUP(2,1/($B$17:$B$21&lt;=$L352)/($C$17:$C$21&gt;=$L352),$D$17:$D$21)</f>
        <v>76.767600000000002</v>
      </c>
      <c r="R352" s="113" t="str">
        <f t="shared" si="260"/>
        <v/>
      </c>
      <c r="S352" s="113" t="str">
        <f t="shared" si="261"/>
        <v>1H18</v>
      </c>
      <c r="T352" s="113" t="str">
        <f t="shared" ca="1" si="262"/>
        <v/>
      </c>
      <c r="U352" s="113" t="str">
        <f t="shared" si="263"/>
        <v/>
      </c>
      <c r="V352" s="113" t="str">
        <f t="shared" si="258"/>
        <v>FY18</v>
      </c>
      <c r="W352" s="113" t="str">
        <f t="shared" ca="1" si="259"/>
        <v/>
      </c>
    </row>
    <row r="353" spans="10:23" x14ac:dyDescent="0.25">
      <c r="J353" s="86" t="str" cm="1">
        <f t="array" ref="J353">LOOKUP(2,1/($G$17:$G$33&lt;=$L353)/($H$17:$H$33&gt;=$L353),$F$17:$F$33)</f>
        <v>1H18</v>
      </c>
      <c r="K353" s="86" t="str" cm="1">
        <f t="array" ref="K353">LOOKUP(2,1/($G$6:$G$14&lt;=$L353)/($H$6:$H$14&gt;=$L353),$F$6:$F$14)</f>
        <v>FY18</v>
      </c>
      <c r="L353" s="118">
        <v>43034</v>
      </c>
      <c r="M353" s="49">
        <v>12752665</v>
      </c>
      <c r="N353" s="49">
        <v>11847863</v>
      </c>
      <c r="O353" s="50">
        <v>3000000</v>
      </c>
      <c r="P353" s="119" cm="1">
        <f t="array" ref="P353">LOOKUP(2,1/($B$10:$B$14&lt;=$L353)/($C$10:$C$14&gt;=$L353),$D$10:$D$14)</f>
        <v>0.85</v>
      </c>
      <c r="Q353" s="120" cm="1">
        <f t="array" ref="Q353">LOOKUP(2,1/($B$17:$B$21&lt;=$L353)/($C$17:$C$21&gt;=$L353),$D$17:$D$21)</f>
        <v>76.767600000000002</v>
      </c>
      <c r="R353" s="113" t="str">
        <f t="shared" si="260"/>
        <v/>
      </c>
      <c r="S353" s="113" t="str">
        <f t="shared" si="261"/>
        <v>1H18</v>
      </c>
      <c r="T353" s="113" t="str">
        <f t="shared" ca="1" si="262"/>
        <v/>
      </c>
      <c r="U353" s="113" t="str">
        <f t="shared" si="263"/>
        <v/>
      </c>
      <c r="V353" s="113" t="str">
        <f t="shared" si="258"/>
        <v>FY18</v>
      </c>
      <c r="W353" s="113" t="str">
        <f t="shared" ca="1" si="259"/>
        <v/>
      </c>
    </row>
    <row r="354" spans="10:23" x14ac:dyDescent="0.25">
      <c r="J354" s="86" t="str" cm="1">
        <f t="array" ref="J354">LOOKUP(2,1/($G$17:$G$33&lt;=$L354)/($H$17:$H$33&gt;=$L354),$F$17:$F$33)</f>
        <v>1H18</v>
      </c>
      <c r="K354" s="86" t="str" cm="1">
        <f t="array" ref="K354">LOOKUP(2,1/($G$6:$G$14&lt;=$L354)/($H$6:$H$14&gt;=$L354),$F$6:$F$14)</f>
        <v>FY18</v>
      </c>
      <c r="L354" s="118">
        <v>43027</v>
      </c>
      <c r="M354" s="49">
        <v>28458439</v>
      </c>
      <c r="N354" s="49">
        <v>26439313</v>
      </c>
      <c r="O354" s="50">
        <v>15000000</v>
      </c>
      <c r="P354" s="119" cm="1">
        <f t="array" ref="P354">LOOKUP(2,1/($B$10:$B$14&lt;=$L354)/($C$10:$C$14&gt;=$L354),$D$10:$D$14)</f>
        <v>0.85</v>
      </c>
      <c r="Q354" s="120" cm="1">
        <f t="array" ref="Q354">LOOKUP(2,1/($B$17:$B$21&lt;=$L354)/($C$17:$C$21&gt;=$L354),$D$17:$D$21)</f>
        <v>76.767600000000002</v>
      </c>
      <c r="R354" s="113" t="str">
        <f t="shared" si="260"/>
        <v/>
      </c>
      <c r="S354" s="113" t="str">
        <f t="shared" si="261"/>
        <v>1H18</v>
      </c>
      <c r="T354" s="113" t="str">
        <f t="shared" ca="1" si="262"/>
        <v/>
      </c>
      <c r="U354" s="113" t="str">
        <f t="shared" si="263"/>
        <v/>
      </c>
      <c r="V354" s="113" t="str">
        <f t="shared" si="258"/>
        <v>FY18</v>
      </c>
      <c r="W354" s="113" t="str">
        <f t="shared" ca="1" si="259"/>
        <v/>
      </c>
    </row>
    <row r="355" spans="10:23" x14ac:dyDescent="0.25">
      <c r="J355" s="86" t="str" cm="1">
        <f t="array" ref="J355">LOOKUP(2,1/($G$17:$G$33&lt;=$L355)/($H$17:$H$33&gt;=$L355),$F$17:$F$33)</f>
        <v>1H18</v>
      </c>
      <c r="K355" s="86" t="str" cm="1">
        <f t="array" ref="K355">LOOKUP(2,1/($G$6:$G$14&lt;=$L355)/($H$6:$H$14&gt;=$L355),$F$6:$F$14)</f>
        <v>FY18</v>
      </c>
      <c r="L355" s="118">
        <v>43020</v>
      </c>
      <c r="M355" s="49">
        <v>25339797</v>
      </c>
      <c r="N355" s="49">
        <v>23541938</v>
      </c>
      <c r="O355" s="50">
        <v>10000000</v>
      </c>
      <c r="P355" s="119" cm="1">
        <f t="array" ref="P355">LOOKUP(2,1/($B$10:$B$14&lt;=$L355)/($C$10:$C$14&gt;=$L355),$D$10:$D$14)</f>
        <v>0.85</v>
      </c>
      <c r="Q355" s="120" cm="1">
        <f t="array" ref="Q355">LOOKUP(2,1/($B$17:$B$21&lt;=$L355)/($C$17:$C$21&gt;=$L355),$D$17:$D$21)</f>
        <v>76.767600000000002</v>
      </c>
      <c r="R355" s="113" t="str">
        <f t="shared" si="260"/>
        <v/>
      </c>
      <c r="S355" s="113" t="str">
        <f t="shared" si="261"/>
        <v>1H18</v>
      </c>
      <c r="T355" s="113" t="str">
        <f t="shared" ca="1" si="262"/>
        <v/>
      </c>
      <c r="U355" s="113" t="str">
        <f t="shared" si="263"/>
        <v/>
      </c>
      <c r="V355" s="113"/>
      <c r="W355" s="113"/>
    </row>
    <row r="356" spans="10:23" x14ac:dyDescent="0.25">
      <c r="J356" s="86" t="str" cm="1">
        <f t="array" ref="J356">LOOKUP(2,1/($G$17:$G$33&lt;=$L356)/($H$17:$H$33&gt;=$L356),$F$17:$F$33)</f>
        <v>1H18</v>
      </c>
      <c r="K356" s="86" t="str" cm="1">
        <f t="array" ref="K356">LOOKUP(2,1/($G$6:$G$14&lt;=$L356)/($H$6:$H$14&gt;=$L356),$F$6:$F$14)</f>
        <v>FY18</v>
      </c>
      <c r="L356" s="118">
        <v>43013</v>
      </c>
      <c r="M356" s="49">
        <v>17552792</v>
      </c>
      <c r="N356" s="49">
        <v>16307421</v>
      </c>
      <c r="O356" s="50">
        <v>6000000</v>
      </c>
      <c r="P356" s="119" cm="1">
        <f t="array" ref="P356">LOOKUP(2,1/($B$10:$B$14&lt;=$L356)/($C$10:$C$14&gt;=$L356),$D$10:$D$14)</f>
        <v>0.85</v>
      </c>
      <c r="Q356" s="120" cm="1">
        <f t="array" ref="Q356">LOOKUP(2,1/($B$17:$B$21&lt;=$L356)/($C$17:$C$21&gt;=$L356),$D$17:$D$21)</f>
        <v>76.767600000000002</v>
      </c>
      <c r="R356" s="113" t="str">
        <f t="shared" si="260"/>
        <v/>
      </c>
      <c r="S356" s="113" t="str">
        <f t="shared" si="261"/>
        <v>1H18</v>
      </c>
      <c r="T356" s="113" t="str">
        <f t="shared" ca="1" si="262"/>
        <v/>
      </c>
      <c r="U356" s="113" t="str">
        <f t="shared" si="263"/>
        <v/>
      </c>
      <c r="V356" s="113"/>
      <c r="W356" s="113"/>
    </row>
    <row r="357" spans="10:23" x14ac:dyDescent="0.25">
      <c r="J357" s="86" t="str" cm="1">
        <f t="array" ref="J357">LOOKUP(2,1/($G$17:$G$33&lt;=$L357)/($H$17:$H$33&gt;=$L357),$F$17:$F$33)</f>
        <v>1H18</v>
      </c>
      <c r="K357" s="86" t="str" cm="1">
        <f t="array" ref="K357">LOOKUP(2,1/($G$6:$G$14&lt;=$L357)/($H$6:$H$14&gt;=$L357),$F$6:$F$14)</f>
        <v>FY18</v>
      </c>
      <c r="L357" s="118">
        <v>43006</v>
      </c>
      <c r="M357" s="49">
        <v>14312979</v>
      </c>
      <c r="N357" s="49">
        <v>13297473</v>
      </c>
      <c r="O357" s="50">
        <v>3000000</v>
      </c>
      <c r="P357" s="119" cm="1">
        <f t="array" ref="P357">LOOKUP(2,1/($B$10:$B$14&lt;=$L357)/($C$10:$C$14&gt;=$L357),$D$10:$D$14)</f>
        <v>0.85</v>
      </c>
      <c r="Q357" s="120" cm="1">
        <f t="array" ref="Q357">LOOKUP(2,1/($B$17:$B$21&lt;=$L357)/($C$17:$C$21&gt;=$L357),$D$17:$D$21)</f>
        <v>76.767600000000002</v>
      </c>
      <c r="R357" s="113" t="str">
        <f t="shared" si="260"/>
        <v/>
      </c>
      <c r="S357" s="113" t="str">
        <f t="shared" si="261"/>
        <v>1H18</v>
      </c>
      <c r="T357" s="113" t="str">
        <f t="shared" ca="1" si="262"/>
        <v/>
      </c>
      <c r="U357" s="113" t="str">
        <f t="shared" si="263"/>
        <v/>
      </c>
      <c r="V357" s="113"/>
      <c r="W357" s="113"/>
    </row>
    <row r="358" spans="10:23" x14ac:dyDescent="0.25">
      <c r="J358" s="86" t="str" cm="1">
        <f t="array" ref="J358">LOOKUP(2,1/($G$17:$G$33&lt;=$L358)/($H$17:$H$33&gt;=$L358),$F$17:$F$33)</f>
        <v>1H18</v>
      </c>
      <c r="K358" s="86" t="str" cm="1">
        <f t="array" ref="K358">LOOKUP(2,1/($G$6:$G$14&lt;=$L358)/($H$6:$H$14&gt;=$L358),$F$6:$F$14)</f>
        <v>FY18</v>
      </c>
      <c r="L358" s="118">
        <v>42999</v>
      </c>
      <c r="M358" s="49">
        <v>69849423</v>
      </c>
      <c r="N358" s="49">
        <v>64893606</v>
      </c>
      <c r="O358" s="50">
        <v>50000000</v>
      </c>
      <c r="P358" s="119" cm="1">
        <f t="array" ref="P358">LOOKUP(2,1/($B$10:$B$14&lt;=$L358)/($C$10:$C$14&gt;=$L358),$D$10:$D$14)</f>
        <v>0.85</v>
      </c>
      <c r="Q358" s="120" cm="1">
        <f t="array" ref="Q358">LOOKUP(2,1/($B$17:$B$21&lt;=$L358)/($C$17:$C$21&gt;=$L358),$D$17:$D$21)</f>
        <v>76.767600000000002</v>
      </c>
      <c r="R358" s="113" t="str">
        <f t="shared" si="260"/>
        <v/>
      </c>
      <c r="S358" s="113" t="str">
        <f t="shared" si="261"/>
        <v>1H18</v>
      </c>
      <c r="T358" s="113" t="str">
        <f t="shared" ca="1" si="262"/>
        <v/>
      </c>
      <c r="U358" s="113" t="str">
        <f t="shared" si="263"/>
        <v/>
      </c>
      <c r="V358" s="113"/>
      <c r="W358" s="113"/>
    </row>
    <row r="359" spans="10:23" x14ac:dyDescent="0.25">
      <c r="J359" s="86" t="str" cm="1">
        <f t="array" ref="J359">LOOKUP(2,1/($G$17:$G$33&lt;=$L359)/($H$17:$H$33&gt;=$L359),$F$17:$F$33)</f>
        <v>1H18</v>
      </c>
      <c r="K359" s="86" t="str" cm="1">
        <f t="array" ref="K359">LOOKUP(2,1/($G$6:$G$14&lt;=$L359)/($H$6:$H$14&gt;=$L359),$F$6:$F$14)</f>
        <v>FY18</v>
      </c>
      <c r="L359" s="118">
        <v>42992</v>
      </c>
      <c r="M359" s="49">
        <v>42955933</v>
      </c>
      <c r="N359" s="49">
        <v>39908209</v>
      </c>
      <c r="O359" s="50">
        <v>30000000</v>
      </c>
      <c r="P359" s="119" cm="1">
        <f t="array" ref="P359">LOOKUP(2,1/($B$10:$B$14&lt;=$L359)/($C$10:$C$14&gt;=$L359),$D$10:$D$14)</f>
        <v>0.85</v>
      </c>
      <c r="Q359" s="120" cm="1">
        <f t="array" ref="Q359">LOOKUP(2,1/($B$17:$B$21&lt;=$L359)/($C$17:$C$21&gt;=$L359),$D$17:$D$21)</f>
        <v>76.767600000000002</v>
      </c>
      <c r="R359" s="113" t="str">
        <f t="shared" si="260"/>
        <v/>
      </c>
      <c r="S359" s="113" t="str">
        <f t="shared" si="261"/>
        <v>1H18</v>
      </c>
      <c r="T359" s="113" t="str">
        <f t="shared" ca="1" si="262"/>
        <v/>
      </c>
      <c r="U359" s="113" t="str">
        <f t="shared" si="263"/>
        <v/>
      </c>
      <c r="V359" s="113"/>
      <c r="W359" s="113"/>
    </row>
    <row r="360" spans="10:23" x14ac:dyDescent="0.25">
      <c r="J360" s="86" t="str" cm="1">
        <f t="array" ref="J360">LOOKUP(2,1/($G$17:$G$33&lt;=$L360)/($H$17:$H$33&gt;=$L360),$F$17:$F$33)</f>
        <v>1H18</v>
      </c>
      <c r="K360" s="86" t="str" cm="1">
        <f t="array" ref="K360">LOOKUP(2,1/($G$6:$G$14&lt;=$L360)/($H$6:$H$14&gt;=$L360),$F$6:$F$14)</f>
        <v>FY18</v>
      </c>
      <c r="L360" s="118">
        <v>42985</v>
      </c>
      <c r="M360" s="49">
        <v>25735862</v>
      </c>
      <c r="N360" s="49">
        <v>23909903</v>
      </c>
      <c r="O360" s="50">
        <v>15000000</v>
      </c>
      <c r="P360" s="119" cm="1">
        <f t="array" ref="P360">LOOKUP(2,1/($B$10:$B$14&lt;=$L360)/($C$10:$C$14&gt;=$L360),$D$10:$D$14)</f>
        <v>0.85</v>
      </c>
      <c r="Q360" s="120" cm="1">
        <f t="array" ref="Q360">LOOKUP(2,1/($B$17:$B$21&lt;=$L360)/($C$17:$C$21&gt;=$L360),$D$17:$D$21)</f>
        <v>76.767600000000002</v>
      </c>
      <c r="R360" s="113" t="str">
        <f t="shared" si="260"/>
        <v/>
      </c>
      <c r="S360" s="113" t="str">
        <f t="shared" si="261"/>
        <v>1H18</v>
      </c>
      <c r="T360" s="113" t="str">
        <f t="shared" ca="1" si="262"/>
        <v/>
      </c>
      <c r="U360" s="113" t="str">
        <f t="shared" si="263"/>
        <v/>
      </c>
      <c r="V360" s="113"/>
      <c r="W360" s="113"/>
    </row>
    <row r="361" spans="10:23" x14ac:dyDescent="0.25">
      <c r="J361" s="86" t="str" cm="1">
        <f t="array" ref="J361">LOOKUP(2,1/($G$17:$G$33&lt;=$L361)/($H$17:$H$33&gt;=$L361),$F$17:$F$33)</f>
        <v>1H18</v>
      </c>
      <c r="K361" s="86" t="str" cm="1">
        <f t="array" ref="K361">LOOKUP(2,1/($G$6:$G$14&lt;=$L361)/($H$6:$H$14&gt;=$L361),$F$6:$F$14)</f>
        <v>FY18</v>
      </c>
      <c r="L361" s="118">
        <v>42978</v>
      </c>
      <c r="M361" s="49">
        <v>18730835</v>
      </c>
      <c r="N361" s="49">
        <v>17401883</v>
      </c>
      <c r="O361" s="50">
        <v>10000000</v>
      </c>
      <c r="P361" s="119" cm="1">
        <f t="array" ref="P361">LOOKUP(2,1/($B$10:$B$14&lt;=$L361)/($C$10:$C$14&gt;=$L361),$D$10:$D$14)</f>
        <v>0.85</v>
      </c>
      <c r="Q361" s="120" cm="1">
        <f t="array" ref="Q361">LOOKUP(2,1/($B$17:$B$21&lt;=$L361)/($C$17:$C$21&gt;=$L361),$D$17:$D$21)</f>
        <v>76.767600000000002</v>
      </c>
      <c r="R361" s="113" t="str">
        <f t="shared" si="260"/>
        <v/>
      </c>
      <c r="S361" s="113" t="str">
        <f t="shared" si="261"/>
        <v>1H18</v>
      </c>
      <c r="T361" s="113" t="str">
        <f t="shared" ca="1" si="262"/>
        <v/>
      </c>
      <c r="U361" s="113" t="str">
        <f t="shared" si="263"/>
        <v/>
      </c>
      <c r="V361" s="113"/>
      <c r="W361" s="113"/>
    </row>
    <row r="362" spans="10:23" x14ac:dyDescent="0.25">
      <c r="J362" s="86" t="str" cm="1">
        <f t="array" ref="J362">LOOKUP(2,1/($G$17:$G$33&lt;=$L362)/($H$17:$H$33&gt;=$L362),$F$17:$F$33)</f>
        <v>1H18</v>
      </c>
      <c r="K362" s="86" t="str" cm="1">
        <f t="array" ref="K362">LOOKUP(2,1/($G$6:$G$14&lt;=$L362)/($H$6:$H$14&gt;=$L362),$F$6:$F$14)</f>
        <v>FY18</v>
      </c>
      <c r="L362" s="118">
        <v>42971</v>
      </c>
      <c r="M362" s="49">
        <v>16172577</v>
      </c>
      <c r="N362" s="49">
        <v>15025133</v>
      </c>
      <c r="O362" s="50">
        <v>6000000</v>
      </c>
      <c r="P362" s="119" cm="1">
        <f t="array" ref="P362">LOOKUP(2,1/($B$10:$B$14&lt;=$L362)/($C$10:$C$14&gt;=$L362),$D$10:$D$14)</f>
        <v>0.85</v>
      </c>
      <c r="Q362" s="120" cm="1">
        <f t="array" ref="Q362">LOOKUP(2,1/($B$17:$B$21&lt;=$L362)/($C$17:$C$21&gt;=$L362),$D$17:$D$21)</f>
        <v>76.767600000000002</v>
      </c>
      <c r="R362" s="113" t="str">
        <f t="shared" si="260"/>
        <v/>
      </c>
      <c r="S362" s="113" t="str">
        <f t="shared" si="261"/>
        <v>1H18</v>
      </c>
      <c r="T362" s="113" t="str">
        <f t="shared" ca="1" si="262"/>
        <v/>
      </c>
      <c r="U362" s="113" t="str">
        <f t="shared" si="263"/>
        <v/>
      </c>
      <c r="V362" s="113"/>
      <c r="W362" s="113"/>
    </row>
    <row r="363" spans="10:23" x14ac:dyDescent="0.25">
      <c r="J363" s="86" t="str" cm="1">
        <f t="array" ref="J363">LOOKUP(2,1/($G$17:$G$33&lt;=$L363)/($H$17:$H$33&gt;=$L363),$F$17:$F$33)</f>
        <v>1H18</v>
      </c>
      <c r="K363" s="86" t="str" cm="1">
        <f t="array" ref="K363">LOOKUP(2,1/($G$6:$G$14&lt;=$L363)/($H$6:$H$14&gt;=$L363),$F$6:$F$14)</f>
        <v>FY18</v>
      </c>
      <c r="L363" s="118">
        <v>42964</v>
      </c>
      <c r="M363" s="49">
        <v>13187465</v>
      </c>
      <c r="N363" s="49">
        <v>12251814</v>
      </c>
      <c r="O363" s="50">
        <v>3000000</v>
      </c>
      <c r="P363" s="119" cm="1">
        <f t="array" ref="P363">LOOKUP(2,1/($B$10:$B$14&lt;=$L363)/($C$10:$C$14&gt;=$L363),$D$10:$D$14)</f>
        <v>0.85</v>
      </c>
      <c r="Q363" s="120" cm="1">
        <f t="array" ref="Q363">LOOKUP(2,1/($B$17:$B$21&lt;=$L363)/($C$17:$C$21&gt;=$L363),$D$17:$D$21)</f>
        <v>76.767600000000002</v>
      </c>
      <c r="R363" s="113" t="str">
        <f t="shared" si="260"/>
        <v/>
      </c>
      <c r="S363" s="113" t="str">
        <f t="shared" si="261"/>
        <v>1H18</v>
      </c>
      <c r="T363" s="113" t="str">
        <f t="shared" ca="1" si="262"/>
        <v/>
      </c>
      <c r="U363" s="113" t="str">
        <f t="shared" si="263"/>
        <v/>
      </c>
      <c r="V363" s="113"/>
      <c r="W363" s="113"/>
    </row>
    <row r="364" spans="10:23" x14ac:dyDescent="0.25">
      <c r="J364" s="86" t="str" cm="1">
        <f t="array" ref="J364">LOOKUP(2,1/($G$17:$G$33&lt;=$L364)/($H$17:$H$33&gt;=$L364),$F$17:$F$33)</f>
        <v>1H18</v>
      </c>
      <c r="K364" s="86" t="str" cm="1">
        <f t="array" ref="K364">LOOKUP(2,1/($G$6:$G$14&lt;=$L364)/($H$6:$H$14&gt;=$L364),$F$6:$F$14)</f>
        <v>FY18</v>
      </c>
      <c r="L364" s="118">
        <v>42957</v>
      </c>
      <c r="M364" s="49">
        <v>13797289</v>
      </c>
      <c r="N364" s="49">
        <v>12818371</v>
      </c>
      <c r="O364" s="50">
        <v>3000000</v>
      </c>
      <c r="P364" s="119" cm="1">
        <f t="array" ref="P364">LOOKUP(2,1/($B$10:$B$14&lt;=$L364)/($C$10:$C$14&gt;=$L364),$D$10:$D$14)</f>
        <v>0.85</v>
      </c>
      <c r="Q364" s="120" cm="1">
        <f t="array" ref="Q364">LOOKUP(2,1/($B$17:$B$21&lt;=$L364)/($C$17:$C$21&gt;=$L364),$D$17:$D$21)</f>
        <v>76.767600000000002</v>
      </c>
      <c r="R364" s="113" t="str">
        <f t="shared" si="260"/>
        <v/>
      </c>
      <c r="S364" s="113" t="str">
        <f t="shared" si="261"/>
        <v>1H18</v>
      </c>
      <c r="T364" s="113" t="str">
        <f t="shared" ca="1" si="262"/>
        <v/>
      </c>
      <c r="U364" s="113" t="str">
        <f t="shared" si="263"/>
        <v/>
      </c>
      <c r="V364" s="113"/>
      <c r="W364" s="113"/>
    </row>
    <row r="365" spans="10:23" x14ac:dyDescent="0.25">
      <c r="J365" s="86" t="str" cm="1">
        <f t="array" ref="J365">LOOKUP(2,1/($G$17:$G$33&lt;=$L365)/($H$17:$H$33&gt;=$L365),$F$17:$F$33)</f>
        <v>1H18</v>
      </c>
      <c r="K365" s="86" t="str" cm="1">
        <f t="array" ref="K365">LOOKUP(2,1/($G$6:$G$14&lt;=$L365)/($H$6:$H$14&gt;=$L365),$F$6:$F$14)</f>
        <v>FY18</v>
      </c>
      <c r="L365" s="118">
        <v>42950</v>
      </c>
      <c r="M365" s="49">
        <v>17372582</v>
      </c>
      <c r="N365" s="49">
        <v>16139997</v>
      </c>
      <c r="O365" s="50">
        <v>6000000</v>
      </c>
      <c r="P365" s="119" cm="1">
        <f t="array" ref="P365">LOOKUP(2,1/($B$10:$B$14&lt;=$L365)/($C$10:$C$14&gt;=$L365),$D$10:$D$14)</f>
        <v>0.85</v>
      </c>
      <c r="Q365" s="120" cm="1">
        <f t="array" ref="Q365">LOOKUP(2,1/($B$17:$B$21&lt;=$L365)/($C$17:$C$21&gt;=$L365),$D$17:$D$21)</f>
        <v>76.767600000000002</v>
      </c>
      <c r="R365" s="113" t="str">
        <f t="shared" si="260"/>
        <v/>
      </c>
      <c r="S365" s="113" t="str">
        <f t="shared" si="261"/>
        <v>1H18</v>
      </c>
      <c r="T365" s="113" t="str">
        <f t="shared" ca="1" si="262"/>
        <v/>
      </c>
      <c r="U365" s="113" t="str">
        <f t="shared" si="263"/>
        <v/>
      </c>
      <c r="V365" s="113"/>
      <c r="W365" s="113"/>
    </row>
    <row r="366" spans="10:23" x14ac:dyDescent="0.25">
      <c r="J366" s="86" t="str" cm="1">
        <f t="array" ref="J366">LOOKUP(2,1/($G$17:$G$33&lt;=$L366)/($H$17:$H$33&gt;=$L366),$F$17:$F$33)</f>
        <v>1H18</v>
      </c>
      <c r="K366" s="86" t="str" cm="1">
        <f t="array" ref="K366">LOOKUP(2,1/($G$6:$G$14&lt;=$L366)/($H$6:$H$14&gt;=$L366),$F$6:$F$14)</f>
        <v>FY18</v>
      </c>
      <c r="L366" s="118">
        <v>42943</v>
      </c>
      <c r="M366" s="49">
        <v>12329121</v>
      </c>
      <c r="N366" s="49">
        <v>11454370</v>
      </c>
      <c r="O366" s="50">
        <v>3000000</v>
      </c>
      <c r="P366" s="119" cm="1">
        <f t="array" ref="P366">LOOKUP(2,1/($B$10:$B$14&lt;=$L366)/($C$10:$C$14&gt;=$L366),$D$10:$D$14)</f>
        <v>0.85</v>
      </c>
      <c r="Q366" s="120" cm="1">
        <f t="array" ref="Q366">LOOKUP(2,1/($B$17:$B$21&lt;=$L366)/($C$17:$C$21&gt;=$L366),$D$17:$D$21)</f>
        <v>76.767600000000002</v>
      </c>
      <c r="R366" s="113" t="str">
        <f t="shared" si="260"/>
        <v/>
      </c>
      <c r="S366" s="113" t="str">
        <f t="shared" si="261"/>
        <v>1H18</v>
      </c>
      <c r="T366" s="113" t="str">
        <f t="shared" ca="1" si="262"/>
        <v/>
      </c>
      <c r="U366" s="113" t="str">
        <f t="shared" si="263"/>
        <v/>
      </c>
      <c r="V366" s="113"/>
      <c r="W366" s="113"/>
    </row>
    <row r="367" spans="10:23" x14ac:dyDescent="0.25">
      <c r="J367" s="86" t="str" cm="1">
        <f t="array" ref="J367">LOOKUP(2,1/($G$17:$G$33&lt;=$L367)/($H$17:$H$33&gt;=$L367),$F$17:$F$33)</f>
        <v>1H18</v>
      </c>
      <c r="K367" s="86" t="str" cm="1">
        <f t="array" ref="K367">LOOKUP(2,1/($G$6:$G$14&lt;=$L367)/($H$6:$H$14&gt;=$L367),$F$6:$F$14)</f>
        <v>FY18</v>
      </c>
      <c r="L367" s="118">
        <v>42936</v>
      </c>
      <c r="M367" s="49">
        <v>13695983</v>
      </c>
      <c r="N367" s="49">
        <v>12724253</v>
      </c>
      <c r="O367" s="50">
        <v>3000000</v>
      </c>
      <c r="P367" s="119" cm="1">
        <f t="array" ref="P367">LOOKUP(2,1/($B$10:$B$14&lt;=$L367)/($C$10:$C$14&gt;=$L367),$D$10:$D$14)</f>
        <v>0.85</v>
      </c>
      <c r="Q367" s="120" cm="1">
        <f t="array" ref="Q367">LOOKUP(2,1/($B$17:$B$21&lt;=$L367)/($C$17:$C$21&gt;=$L367),$D$17:$D$21)</f>
        <v>76.767600000000002</v>
      </c>
      <c r="R367" s="113" t="str">
        <f t="shared" si="260"/>
        <v/>
      </c>
      <c r="S367" s="113" t="str">
        <f t="shared" si="261"/>
        <v>1H18</v>
      </c>
      <c r="T367" s="113" t="str">
        <f t="shared" ca="1" si="262"/>
        <v/>
      </c>
      <c r="U367" s="113" t="str">
        <f t="shared" si="263"/>
        <v/>
      </c>
      <c r="V367" s="113"/>
      <c r="W367" s="113"/>
    </row>
    <row r="368" spans="10:23" x14ac:dyDescent="0.25">
      <c r="J368" s="86" t="str" cm="1">
        <f t="array" ref="J368">LOOKUP(2,1/($G$17:$G$33&lt;=$L368)/($H$17:$H$33&gt;=$L368),$F$17:$F$33)</f>
        <v>1H18</v>
      </c>
      <c r="K368" s="86" t="str" cm="1">
        <f t="array" ref="K368">LOOKUP(2,1/($G$6:$G$14&lt;=$L368)/($H$6:$H$14&gt;=$L368),$F$6:$F$14)</f>
        <v>FY18</v>
      </c>
      <c r="L368" s="118">
        <v>42929</v>
      </c>
      <c r="M368" s="49">
        <v>15800128</v>
      </c>
      <c r="N368" s="49">
        <v>14679109</v>
      </c>
      <c r="O368" s="50">
        <v>6000000</v>
      </c>
      <c r="P368" s="119" cm="1">
        <f t="array" ref="P368">LOOKUP(2,1/($B$10:$B$14&lt;=$L368)/($C$10:$C$14&gt;=$L368),$D$10:$D$14)</f>
        <v>0.85</v>
      </c>
      <c r="Q368" s="120" cm="1">
        <f t="array" ref="Q368">LOOKUP(2,1/($B$17:$B$21&lt;=$L368)/($C$17:$C$21&gt;=$L368),$D$17:$D$21)</f>
        <v>76.767600000000002</v>
      </c>
      <c r="R368" s="113" t="str">
        <f t="shared" si="260"/>
        <v/>
      </c>
      <c r="S368" s="113" t="str">
        <f t="shared" si="261"/>
        <v>1H18</v>
      </c>
      <c r="T368" s="113" t="str">
        <f t="shared" ca="1" si="262"/>
        <v/>
      </c>
      <c r="U368" s="113" t="str">
        <f t="shared" si="263"/>
        <v/>
      </c>
      <c r="V368" s="113"/>
      <c r="W368" s="113"/>
    </row>
    <row r="369" spans="10:23" x14ac:dyDescent="0.25">
      <c r="J369" s="86" t="str" cm="1">
        <f t="array" ref="J369">LOOKUP(2,1/($G$17:$G$33&lt;=$L369)/($H$17:$H$33&gt;=$L369),$F$17:$F$33)</f>
        <v>1H18</v>
      </c>
      <c r="K369" s="86" t="str" cm="1">
        <f t="array" ref="K369">LOOKUP(2,1/($G$6:$G$14&lt;=$L369)/($H$6:$H$14&gt;=$L369),$F$6:$F$14)</f>
        <v>FY18</v>
      </c>
      <c r="L369" s="118">
        <v>42922</v>
      </c>
      <c r="M369" s="49">
        <v>14311103</v>
      </c>
      <c r="N369" s="49">
        <v>13295731</v>
      </c>
      <c r="O369" s="50">
        <v>3000000</v>
      </c>
      <c r="P369" s="119" cm="1">
        <f t="array" ref="P369">LOOKUP(2,1/($B$10:$B$14&lt;=$L369)/($C$10:$C$14&gt;=$L369),$D$10:$D$14)</f>
        <v>0.85</v>
      </c>
      <c r="Q369" s="120" cm="1">
        <f t="array" ref="Q369">LOOKUP(2,1/($B$17:$B$21&lt;=$L369)/($C$17:$C$21&gt;=$L369),$D$17:$D$21)</f>
        <v>76.767600000000002</v>
      </c>
      <c r="R369" s="113" t="str">
        <f t="shared" si="260"/>
        <v>1H18</v>
      </c>
      <c r="S369" s="113" t="str">
        <f t="shared" si="261"/>
        <v>1H18</v>
      </c>
      <c r="T369" s="113" t="str">
        <f t="shared" ca="1" si="262"/>
        <v/>
      </c>
      <c r="U369" s="113" t="str">
        <f t="shared" si="263"/>
        <v>FY18</v>
      </c>
      <c r="V369" s="113"/>
      <c r="W369" s="113"/>
    </row>
    <row r="370" spans="10:23" x14ac:dyDescent="0.25">
      <c r="J370" s="86" t="str" cm="1">
        <f t="array" ref="J370">LOOKUP(2,1/($G$17:$G$33&lt;=$L370)/($H$17:$H$33&gt;=$L370),$F$17:$F$33)</f>
        <v>2H17</v>
      </c>
      <c r="K370" s="86" t="str" cm="1">
        <f t="array" ref="K370">LOOKUP(2,1/($G$6:$G$14&lt;=$L370)/($H$6:$H$14&gt;=$L370),$F$6:$F$14)</f>
        <v>FY17</v>
      </c>
      <c r="L370" s="118">
        <v>42915</v>
      </c>
      <c r="M370" s="49">
        <v>17732450</v>
      </c>
      <c r="N370" s="49">
        <v>16474333</v>
      </c>
      <c r="O370" s="50">
        <v>6000000</v>
      </c>
      <c r="P370" s="119" cm="1">
        <f t="array" ref="P370">LOOKUP(2,1/($B$10:$B$14&lt;=$L370)/($C$10:$C$14&gt;=$L370),$D$10:$D$14)</f>
        <v>0.85</v>
      </c>
      <c r="Q370" s="120" cm="1">
        <f t="array" ref="Q370">LOOKUP(2,1/($B$17:$B$21&lt;=$L370)/($C$17:$C$21&gt;=$L370),$D$17:$D$21)</f>
        <v>76.767600000000002</v>
      </c>
      <c r="R370" s="113" t="str">
        <f t="shared" si="260"/>
        <v/>
      </c>
      <c r="S370" s="113" t="str">
        <f t="shared" si="261"/>
        <v>2H17</v>
      </c>
      <c r="T370" s="113" t="str">
        <f t="shared" ca="1" si="262"/>
        <v>1H18</v>
      </c>
      <c r="U370" s="113" t="str">
        <f t="shared" si="263"/>
        <v/>
      </c>
      <c r="V370" s="113"/>
      <c r="W370" s="113"/>
    </row>
    <row r="371" spans="10:23" x14ac:dyDescent="0.25">
      <c r="J371" s="86" t="str" cm="1">
        <f t="array" ref="J371">LOOKUP(2,1/($G$17:$G$33&lt;=$L371)/($H$17:$H$33&gt;=$L371),$F$17:$F$33)</f>
        <v>2H17</v>
      </c>
      <c r="K371" s="86" t="str" cm="1">
        <f t="array" ref="K371">LOOKUP(2,1/($G$6:$G$14&lt;=$L371)/($H$6:$H$14&gt;=$L371),$F$6:$F$14)</f>
        <v>FY17</v>
      </c>
      <c r="L371" s="118">
        <v>42908</v>
      </c>
      <c r="M371" s="49">
        <v>12838852</v>
      </c>
      <c r="N371" s="49">
        <v>11927936</v>
      </c>
      <c r="O371" s="50">
        <v>3000000</v>
      </c>
      <c r="P371" s="119" cm="1">
        <f t="array" ref="P371">LOOKUP(2,1/($B$10:$B$14&lt;=$L371)/($C$10:$C$14&gt;=$L371),$D$10:$D$14)</f>
        <v>0.85</v>
      </c>
      <c r="Q371" s="120" cm="1">
        <f t="array" ref="Q371">LOOKUP(2,1/($B$17:$B$21&lt;=$L371)/($C$17:$C$21&gt;=$L371),$D$17:$D$21)</f>
        <v>76.767600000000002</v>
      </c>
      <c r="R371" s="113" t="str">
        <f t="shared" si="260"/>
        <v/>
      </c>
      <c r="S371" s="113" t="str">
        <f t="shared" si="261"/>
        <v>2H17</v>
      </c>
      <c r="T371" s="113" t="str">
        <f t="shared" ca="1" si="262"/>
        <v/>
      </c>
      <c r="U371" s="113" t="str">
        <f t="shared" si="263"/>
        <v/>
      </c>
      <c r="V371" s="113"/>
      <c r="W371" s="113"/>
    </row>
    <row r="372" spans="10:23" x14ac:dyDescent="0.25">
      <c r="J372" s="86" t="str" cm="1">
        <f t="array" ref="J372">LOOKUP(2,1/($G$17:$G$33&lt;=$L372)/($H$17:$H$33&gt;=$L372),$F$17:$F$33)</f>
        <v>2H17</v>
      </c>
      <c r="K372" s="86" t="str" cm="1">
        <f t="array" ref="K372">LOOKUP(2,1/($G$6:$G$14&lt;=$L372)/($H$6:$H$14&gt;=$L372),$F$6:$F$14)</f>
        <v>FY17</v>
      </c>
      <c r="L372" s="118">
        <v>42901</v>
      </c>
      <c r="M372" s="49">
        <v>43595442</v>
      </c>
      <c r="N372" s="49">
        <v>40502345</v>
      </c>
      <c r="O372" s="50">
        <v>30000000</v>
      </c>
      <c r="P372" s="119" cm="1">
        <f t="array" ref="P372">LOOKUP(2,1/($B$10:$B$14&lt;=$L372)/($C$10:$C$14&gt;=$L372),$D$10:$D$14)</f>
        <v>0.85</v>
      </c>
      <c r="Q372" s="120" cm="1">
        <f t="array" ref="Q372">LOOKUP(2,1/($B$17:$B$21&lt;=$L372)/($C$17:$C$21&gt;=$L372),$D$17:$D$21)</f>
        <v>76.767600000000002</v>
      </c>
      <c r="R372" s="113" t="str">
        <f t="shared" si="260"/>
        <v/>
      </c>
      <c r="S372" s="113" t="str">
        <f t="shared" si="261"/>
        <v>2H17</v>
      </c>
      <c r="T372" s="113" t="str">
        <f t="shared" ca="1" si="262"/>
        <v/>
      </c>
      <c r="U372" s="113" t="str">
        <f t="shared" si="263"/>
        <v/>
      </c>
      <c r="V372" s="113"/>
      <c r="W372" s="113"/>
    </row>
    <row r="373" spans="10:23" x14ac:dyDescent="0.25">
      <c r="J373" s="86" t="str" cm="1">
        <f t="array" ref="J373">LOOKUP(2,1/($G$17:$G$33&lt;=$L373)/($H$17:$H$33&gt;=$L373),$F$17:$F$33)</f>
        <v>2H17</v>
      </c>
      <c r="K373" s="86" t="str" cm="1">
        <f t="array" ref="K373">LOOKUP(2,1/($G$6:$G$14&lt;=$L373)/($H$6:$H$14&gt;=$L373),$F$6:$F$14)</f>
        <v>FY17</v>
      </c>
      <c r="L373" s="118">
        <v>42894</v>
      </c>
      <c r="M373" s="49">
        <v>30369132</v>
      </c>
      <c r="N373" s="49">
        <v>28214442</v>
      </c>
      <c r="O373" s="50">
        <v>15000000</v>
      </c>
      <c r="P373" s="119" cm="1">
        <f t="array" ref="P373">LOOKUP(2,1/($B$10:$B$14&lt;=$L373)/($C$10:$C$14&gt;=$L373),$D$10:$D$14)</f>
        <v>0.85</v>
      </c>
      <c r="Q373" s="120" cm="1">
        <f t="array" ref="Q373">LOOKUP(2,1/($B$17:$B$21&lt;=$L373)/($C$17:$C$21&gt;=$L373),$D$17:$D$21)</f>
        <v>76.767600000000002</v>
      </c>
      <c r="R373" s="113" t="str">
        <f t="shared" si="260"/>
        <v/>
      </c>
      <c r="S373" s="113" t="str">
        <f t="shared" si="261"/>
        <v>2H17</v>
      </c>
      <c r="T373" s="113" t="str">
        <f t="shared" ca="1" si="262"/>
        <v/>
      </c>
      <c r="U373" s="113" t="str">
        <f t="shared" si="263"/>
        <v/>
      </c>
    </row>
    <row r="374" spans="10:23" x14ac:dyDescent="0.25">
      <c r="J374" s="86" t="str" cm="1">
        <f t="array" ref="J374">LOOKUP(2,1/($G$17:$G$33&lt;=$L374)/($H$17:$H$33&gt;=$L374),$F$17:$F$33)</f>
        <v>2H17</v>
      </c>
      <c r="K374" s="86" t="str" cm="1">
        <f t="array" ref="K374">LOOKUP(2,1/($G$6:$G$14&lt;=$L374)/($H$6:$H$14&gt;=$L374),$F$6:$F$14)</f>
        <v>FY17</v>
      </c>
      <c r="L374" s="118">
        <v>42887</v>
      </c>
      <c r="M374" s="49">
        <v>23329564</v>
      </c>
      <c r="N374" s="49">
        <v>21674331</v>
      </c>
      <c r="O374" s="50">
        <v>10000000</v>
      </c>
      <c r="P374" s="119" cm="1">
        <f t="array" ref="P374">LOOKUP(2,1/($B$10:$B$14&lt;=$L374)/($C$10:$C$14&gt;=$L374),$D$10:$D$14)</f>
        <v>0.85</v>
      </c>
      <c r="Q374" s="120" cm="1">
        <f t="array" ref="Q374">LOOKUP(2,1/($B$17:$B$21&lt;=$L374)/($C$17:$C$21&gt;=$L374),$D$17:$D$21)</f>
        <v>76.767600000000002</v>
      </c>
      <c r="R374" s="113" t="str">
        <f t="shared" si="260"/>
        <v/>
      </c>
      <c r="S374" s="113" t="str">
        <f t="shared" si="261"/>
        <v>2H17</v>
      </c>
      <c r="T374" s="113" t="str">
        <f t="shared" ca="1" si="262"/>
        <v/>
      </c>
      <c r="U374" s="113" t="str">
        <f t="shared" si="263"/>
        <v/>
      </c>
    </row>
    <row r="375" spans="10:23" x14ac:dyDescent="0.25">
      <c r="J375" s="86" t="str" cm="1">
        <f t="array" ref="J375">LOOKUP(2,1/($G$17:$G$33&lt;=$L375)/($H$17:$H$33&gt;=$L375),$F$17:$F$33)</f>
        <v>2H17</v>
      </c>
      <c r="K375" s="86" t="str" cm="1">
        <f t="array" ref="K375">LOOKUP(2,1/($G$6:$G$14&lt;=$L375)/($H$6:$H$14&gt;=$L375),$F$6:$F$14)</f>
        <v>FY17</v>
      </c>
      <c r="L375" s="118">
        <v>42880</v>
      </c>
      <c r="M375" s="49">
        <v>16222899</v>
      </c>
      <c r="N375" s="49">
        <v>15071885</v>
      </c>
      <c r="O375" s="50">
        <v>6000000</v>
      </c>
      <c r="P375" s="119" cm="1">
        <f t="array" ref="P375">LOOKUP(2,1/($B$10:$B$14&lt;=$L375)/($C$10:$C$14&gt;=$L375),$D$10:$D$14)</f>
        <v>0.85</v>
      </c>
      <c r="Q375" s="120" cm="1">
        <f t="array" ref="Q375">LOOKUP(2,1/($B$17:$B$21&lt;=$L375)/($C$17:$C$21&gt;=$L375),$D$17:$D$21)</f>
        <v>76.767600000000002</v>
      </c>
      <c r="R375" s="113" t="str">
        <f t="shared" si="260"/>
        <v/>
      </c>
      <c r="S375" s="113" t="str">
        <f t="shared" si="261"/>
        <v>2H17</v>
      </c>
      <c r="T375" s="113" t="str">
        <f t="shared" ca="1" si="262"/>
        <v/>
      </c>
      <c r="U375" s="113" t="str">
        <f t="shared" si="263"/>
        <v/>
      </c>
    </row>
    <row r="376" spans="10:23" x14ac:dyDescent="0.25">
      <c r="J376" s="86" t="str" cm="1">
        <f t="array" ref="J376">LOOKUP(2,1/($G$17:$G$33&lt;=$L376)/($H$17:$H$33&gt;=$L376),$F$17:$F$33)</f>
        <v>2H17</v>
      </c>
      <c r="K376" s="86" t="str" cm="1">
        <f t="array" ref="K376">LOOKUP(2,1/($G$6:$G$14&lt;=$L376)/($H$6:$H$14&gt;=$L376),$F$6:$F$14)</f>
        <v>FY17</v>
      </c>
      <c r="L376" s="118">
        <v>42873</v>
      </c>
      <c r="M376" s="49">
        <v>13729089</v>
      </c>
      <c r="N376" s="49">
        <v>12755010</v>
      </c>
      <c r="O376" s="50">
        <v>3000000</v>
      </c>
      <c r="P376" s="119" cm="1">
        <f t="array" ref="P376">LOOKUP(2,1/($B$10:$B$14&lt;=$L376)/($C$10:$C$14&gt;=$L376),$D$10:$D$14)</f>
        <v>0.85</v>
      </c>
      <c r="Q376" s="120" cm="1">
        <f t="array" ref="Q376">LOOKUP(2,1/($B$17:$B$21&lt;=$L376)/($C$17:$C$21&gt;=$L376),$D$17:$D$21)</f>
        <v>76.767600000000002</v>
      </c>
      <c r="R376" s="113" t="str">
        <f t="shared" si="260"/>
        <v/>
      </c>
      <c r="S376" s="113" t="str">
        <f t="shared" si="261"/>
        <v>2H17</v>
      </c>
      <c r="T376" s="113" t="str">
        <f t="shared" ca="1" si="262"/>
        <v/>
      </c>
      <c r="U376" s="113" t="str">
        <f t="shared" si="263"/>
        <v/>
      </c>
    </row>
    <row r="377" spans="10:23" x14ac:dyDescent="0.25">
      <c r="J377" s="86" t="str" cm="1">
        <f t="array" ref="J377">LOOKUP(2,1/($G$17:$G$33&lt;=$L377)/($H$17:$H$33&gt;=$L377),$F$17:$F$33)</f>
        <v>2H17</v>
      </c>
      <c r="K377" s="86" t="str" cm="1">
        <f t="array" ref="K377">LOOKUP(2,1/($G$6:$G$14&lt;=$L377)/($H$6:$H$14&gt;=$L377),$F$6:$F$14)</f>
        <v>FY17</v>
      </c>
      <c r="L377" s="118">
        <v>42866</v>
      </c>
      <c r="M377" s="49">
        <v>67259824</v>
      </c>
      <c r="N377" s="49">
        <v>62487739</v>
      </c>
      <c r="O377" s="50">
        <v>50000000</v>
      </c>
      <c r="P377" s="119" cm="1">
        <f t="array" ref="P377">LOOKUP(2,1/($B$10:$B$14&lt;=$L377)/($C$10:$C$14&gt;=$L377),$D$10:$D$14)</f>
        <v>0.85</v>
      </c>
      <c r="Q377" s="120" cm="1">
        <f t="array" ref="Q377">LOOKUP(2,1/($B$17:$B$21&lt;=$L377)/($C$17:$C$21&gt;=$L377),$D$17:$D$21)</f>
        <v>76.767600000000002</v>
      </c>
      <c r="R377" s="113" t="str">
        <f t="shared" si="260"/>
        <v/>
      </c>
      <c r="S377" s="113" t="str">
        <f t="shared" si="261"/>
        <v>2H17</v>
      </c>
      <c r="T377" s="113" t="str">
        <f t="shared" ca="1" si="262"/>
        <v/>
      </c>
      <c r="U377" s="113" t="str">
        <f t="shared" si="263"/>
        <v/>
      </c>
    </row>
    <row r="378" spans="10:23" x14ac:dyDescent="0.25">
      <c r="J378" s="86" t="str" cm="1">
        <f t="array" ref="J378">LOOKUP(2,1/($G$17:$G$33&lt;=$L378)/($H$17:$H$33&gt;=$L378),$F$17:$F$33)</f>
        <v>2H17</v>
      </c>
      <c r="K378" s="86" t="str" cm="1">
        <f t="array" ref="K378">LOOKUP(2,1/($G$6:$G$14&lt;=$L378)/($H$6:$H$14&gt;=$L378),$F$6:$F$14)</f>
        <v>FY17</v>
      </c>
      <c r="L378" s="118">
        <v>42859</v>
      </c>
      <c r="M378" s="49">
        <v>42862020</v>
      </c>
      <c r="N378" s="49">
        <v>39820960</v>
      </c>
      <c r="O378" s="50">
        <v>30000000</v>
      </c>
      <c r="P378" s="119" cm="1">
        <f t="array" ref="P378">LOOKUP(2,1/($B$10:$B$14&lt;=$L378)/($C$10:$C$14&gt;=$L378),$D$10:$D$14)</f>
        <v>0.85</v>
      </c>
      <c r="Q378" s="120" cm="1">
        <f t="array" ref="Q378">LOOKUP(2,1/($B$17:$B$21&lt;=$L378)/($C$17:$C$21&gt;=$L378),$D$17:$D$21)</f>
        <v>76.767600000000002</v>
      </c>
      <c r="R378" s="113" t="str">
        <f t="shared" si="260"/>
        <v/>
      </c>
      <c r="S378" s="113" t="str">
        <f t="shared" si="261"/>
        <v>2H17</v>
      </c>
      <c r="T378" s="113" t="str">
        <f t="shared" ca="1" si="262"/>
        <v/>
      </c>
      <c r="U378" s="113" t="str">
        <f t="shared" si="263"/>
        <v/>
      </c>
    </row>
    <row r="379" spans="10:23" x14ac:dyDescent="0.25">
      <c r="J379" s="86" t="str" cm="1">
        <f t="array" ref="J379">LOOKUP(2,1/($G$17:$G$33&lt;=$L379)/($H$17:$H$33&gt;=$L379),$F$17:$F$33)</f>
        <v>2H17</v>
      </c>
      <c r="K379" s="86" t="str" cm="1">
        <f t="array" ref="K379">LOOKUP(2,1/($G$6:$G$14&lt;=$L379)/($H$6:$H$14&gt;=$L379),$F$6:$F$14)</f>
        <v>FY17</v>
      </c>
      <c r="L379" s="118">
        <v>42852</v>
      </c>
      <c r="M379" s="49">
        <v>26332774</v>
      </c>
      <c r="N379" s="49">
        <v>24464464</v>
      </c>
      <c r="O379" s="50">
        <v>15000000</v>
      </c>
      <c r="P379" s="119" cm="1">
        <f t="array" ref="P379">LOOKUP(2,1/($B$10:$B$14&lt;=$L379)/($C$10:$C$14&gt;=$L379),$D$10:$D$14)</f>
        <v>0.85</v>
      </c>
      <c r="Q379" s="120" cm="1">
        <f t="array" ref="Q379">LOOKUP(2,1/($B$17:$B$21&lt;=$L379)/($C$17:$C$21&gt;=$L379),$D$17:$D$21)</f>
        <v>76.767600000000002</v>
      </c>
      <c r="R379" s="113" t="str">
        <f t="shared" si="260"/>
        <v/>
      </c>
      <c r="S379" s="113" t="str">
        <f t="shared" si="261"/>
        <v>2H17</v>
      </c>
      <c r="T379" s="113" t="str">
        <f t="shared" ca="1" si="262"/>
        <v/>
      </c>
      <c r="U379" s="113" t="str">
        <f t="shared" si="263"/>
        <v/>
      </c>
    </row>
    <row r="380" spans="10:23" x14ac:dyDescent="0.25">
      <c r="J380" s="86" t="str" cm="1">
        <f t="array" ref="J380">LOOKUP(2,1/($G$17:$G$33&lt;=$L380)/($H$17:$H$33&gt;=$L380),$F$17:$F$33)</f>
        <v>2H17</v>
      </c>
      <c r="K380" s="86" t="str" cm="1">
        <f t="array" ref="K380">LOOKUP(2,1/($G$6:$G$14&lt;=$L380)/($H$6:$H$14&gt;=$L380),$F$6:$F$14)</f>
        <v>FY17</v>
      </c>
      <c r="L380" s="118">
        <v>42845</v>
      </c>
      <c r="M380" s="49">
        <v>23575656</v>
      </c>
      <c r="N380" s="49">
        <v>21902963</v>
      </c>
      <c r="O380" s="50">
        <v>10000000</v>
      </c>
      <c r="P380" s="119" cm="1">
        <f t="array" ref="P380">LOOKUP(2,1/($B$10:$B$14&lt;=$L380)/($C$10:$C$14&gt;=$L380),$D$10:$D$14)</f>
        <v>0.85</v>
      </c>
      <c r="Q380" s="120" cm="1">
        <f t="array" ref="Q380">LOOKUP(2,1/($B$17:$B$21&lt;=$L380)/($C$17:$C$21&gt;=$L380),$D$17:$D$21)</f>
        <v>76.767600000000002</v>
      </c>
      <c r="R380" s="113" t="str">
        <f t="shared" si="260"/>
        <v/>
      </c>
      <c r="S380" s="113" t="str">
        <f t="shared" si="261"/>
        <v>2H17</v>
      </c>
      <c r="T380" s="113" t="str">
        <f t="shared" ca="1" si="262"/>
        <v/>
      </c>
      <c r="U380" s="113" t="str">
        <f t="shared" si="263"/>
        <v/>
      </c>
    </row>
    <row r="381" spans="10:23" x14ac:dyDescent="0.25">
      <c r="J381" s="86" t="str" cm="1">
        <f t="array" ref="J381">LOOKUP(2,1/($G$17:$G$33&lt;=$L381)/($H$17:$H$33&gt;=$L381),$F$17:$F$33)</f>
        <v>2H17</v>
      </c>
      <c r="K381" s="86" t="str" cm="1">
        <f t="array" ref="K381">LOOKUP(2,1/($G$6:$G$14&lt;=$L381)/($H$6:$H$14&gt;=$L381),$F$6:$F$14)</f>
        <v>FY17</v>
      </c>
      <c r="L381" s="118">
        <v>42838</v>
      </c>
      <c r="M381" s="49">
        <v>17703648</v>
      </c>
      <c r="N381" s="49">
        <v>16447574</v>
      </c>
      <c r="O381" s="50">
        <v>6000000</v>
      </c>
      <c r="P381" s="119" cm="1">
        <f t="array" ref="P381">LOOKUP(2,1/($B$10:$B$14&lt;=$L381)/($C$10:$C$14&gt;=$L381),$D$10:$D$14)</f>
        <v>0.85</v>
      </c>
      <c r="Q381" s="120" cm="1">
        <f t="array" ref="Q381">LOOKUP(2,1/($B$17:$B$21&lt;=$L381)/($C$17:$C$21&gt;=$L381),$D$17:$D$21)</f>
        <v>76.767600000000002</v>
      </c>
      <c r="R381" s="113" t="str">
        <f t="shared" si="260"/>
        <v/>
      </c>
      <c r="S381" s="113" t="str">
        <f t="shared" si="261"/>
        <v>2H17</v>
      </c>
      <c r="T381" s="113" t="str">
        <f t="shared" ca="1" si="262"/>
        <v/>
      </c>
      <c r="U381" s="113" t="str">
        <f t="shared" si="263"/>
        <v/>
      </c>
    </row>
    <row r="382" spans="10:23" x14ac:dyDescent="0.25">
      <c r="J382" s="86" t="str" cm="1">
        <f t="array" ref="J382">LOOKUP(2,1/($G$17:$G$33&lt;=$L382)/($H$17:$H$33&gt;=$L382),$F$17:$F$33)</f>
        <v>2H17</v>
      </c>
      <c r="K382" s="86" t="str" cm="1">
        <f t="array" ref="K382">LOOKUP(2,1/($G$6:$G$14&lt;=$L382)/($H$6:$H$14&gt;=$L382),$F$6:$F$14)</f>
        <v>FY17</v>
      </c>
      <c r="L382" s="118">
        <v>42831</v>
      </c>
      <c r="M382" s="49">
        <v>13936999</v>
      </c>
      <c r="N382" s="49">
        <v>12948169</v>
      </c>
      <c r="O382" s="50">
        <v>3000000</v>
      </c>
      <c r="P382" s="119" cm="1">
        <f t="array" ref="P382">LOOKUP(2,1/($B$10:$B$14&lt;=$L382)/($C$10:$C$14&gt;=$L382),$D$10:$D$14)</f>
        <v>0.85</v>
      </c>
      <c r="Q382" s="120" cm="1">
        <f t="array" ref="Q382">LOOKUP(2,1/($B$17:$B$21&lt;=$L382)/($C$17:$C$21&gt;=$L382),$D$17:$D$21)</f>
        <v>76.767600000000002</v>
      </c>
      <c r="R382" s="113" t="str">
        <f t="shared" si="260"/>
        <v/>
      </c>
      <c r="S382" s="113" t="str">
        <f t="shared" si="261"/>
        <v>2H17</v>
      </c>
      <c r="T382" s="113" t="str">
        <f t="shared" ca="1" si="262"/>
        <v/>
      </c>
      <c r="U382" s="113" t="str">
        <f t="shared" si="263"/>
        <v/>
      </c>
    </row>
    <row r="383" spans="10:23" x14ac:dyDescent="0.25">
      <c r="J383" s="86" t="str" cm="1">
        <f t="array" ref="J383">LOOKUP(2,1/($G$17:$G$33&lt;=$L383)/($H$17:$H$33&gt;=$L383),$F$17:$F$33)</f>
        <v>2H17</v>
      </c>
      <c r="K383" s="86" t="str" cm="1">
        <f t="array" ref="K383">LOOKUP(2,1/($G$6:$G$14&lt;=$L383)/($H$6:$H$14&gt;=$L383),$F$6:$F$14)</f>
        <v>FY17</v>
      </c>
      <c r="L383" s="118">
        <v>42824</v>
      </c>
      <c r="M383" s="49">
        <v>25394533</v>
      </c>
      <c r="N383" s="49">
        <v>23592791</v>
      </c>
      <c r="O383" s="50">
        <v>15000000</v>
      </c>
      <c r="P383" s="119" cm="1">
        <f t="array" ref="P383">LOOKUP(2,1/($B$10:$B$14&lt;=$L383)/($C$10:$C$14&gt;=$L383),$D$10:$D$14)</f>
        <v>0.85</v>
      </c>
      <c r="Q383" s="120" cm="1">
        <f t="array" ref="Q383">LOOKUP(2,1/($B$17:$B$21&lt;=$L383)/($C$17:$C$21&gt;=$L383),$D$17:$D$21)</f>
        <v>76.767600000000002</v>
      </c>
      <c r="R383" s="113" t="str">
        <f t="shared" si="260"/>
        <v/>
      </c>
      <c r="S383" s="113" t="str">
        <f t="shared" si="261"/>
        <v>2H17</v>
      </c>
      <c r="T383" s="113" t="str">
        <f t="shared" ca="1" si="262"/>
        <v/>
      </c>
      <c r="U383" s="113" t="str">
        <f t="shared" si="263"/>
        <v/>
      </c>
    </row>
    <row r="384" spans="10:23" x14ac:dyDescent="0.25">
      <c r="J384" s="86" t="str" cm="1">
        <f t="array" ref="J384">LOOKUP(2,1/($G$17:$G$33&lt;=$L384)/($H$17:$H$33&gt;=$L384),$F$17:$F$33)</f>
        <v>2H17</v>
      </c>
      <c r="K384" s="86" t="str" cm="1">
        <f t="array" ref="K384">LOOKUP(2,1/($G$6:$G$14&lt;=$L384)/($H$6:$H$14&gt;=$L384),$F$6:$F$14)</f>
        <v>FY17</v>
      </c>
      <c r="L384" s="118">
        <v>42817</v>
      </c>
      <c r="M384" s="49">
        <v>20376565</v>
      </c>
      <c r="N384" s="49">
        <v>18930847</v>
      </c>
      <c r="O384" s="50">
        <v>10000000</v>
      </c>
      <c r="P384" s="119" cm="1">
        <f t="array" ref="P384">LOOKUP(2,1/($B$10:$B$14&lt;=$L384)/($C$10:$C$14&gt;=$L384),$D$10:$D$14)</f>
        <v>0.85</v>
      </c>
      <c r="Q384" s="120" cm="1">
        <f t="array" ref="Q384">LOOKUP(2,1/($B$17:$B$21&lt;=$L384)/($C$17:$C$21&gt;=$L384),$D$17:$D$21)</f>
        <v>76.767600000000002</v>
      </c>
      <c r="R384" s="113" t="str">
        <f t="shared" si="260"/>
        <v/>
      </c>
      <c r="S384" s="113" t="str">
        <f t="shared" si="261"/>
        <v>2H17</v>
      </c>
      <c r="T384" s="113" t="str">
        <f t="shared" ca="1" si="262"/>
        <v/>
      </c>
      <c r="U384" s="113" t="str">
        <f t="shared" si="263"/>
        <v/>
      </c>
    </row>
    <row r="385" spans="10:21" x14ac:dyDescent="0.25">
      <c r="J385" s="86" t="str" cm="1">
        <f t="array" ref="J385">LOOKUP(2,1/($G$17:$G$33&lt;=$L385)/($H$17:$H$33&gt;=$L385),$F$17:$F$33)</f>
        <v>2H17</v>
      </c>
      <c r="K385" s="86" t="str" cm="1">
        <f t="array" ref="K385">LOOKUP(2,1/($G$6:$G$14&lt;=$L385)/($H$6:$H$14&gt;=$L385),$F$6:$F$14)</f>
        <v>FY17</v>
      </c>
      <c r="L385" s="118">
        <v>42810</v>
      </c>
      <c r="M385" s="49">
        <v>15912028</v>
      </c>
      <c r="N385" s="49">
        <v>14783070</v>
      </c>
      <c r="O385" s="50">
        <v>6000000</v>
      </c>
      <c r="P385" s="119" cm="1">
        <f t="array" ref="P385">LOOKUP(2,1/($B$10:$B$14&lt;=$L385)/($C$10:$C$14&gt;=$L385),$D$10:$D$14)</f>
        <v>0.85</v>
      </c>
      <c r="Q385" s="120" cm="1">
        <f t="array" ref="Q385">LOOKUP(2,1/($B$17:$B$21&lt;=$L385)/($C$17:$C$21&gt;=$L385),$D$17:$D$21)</f>
        <v>76.767600000000002</v>
      </c>
      <c r="R385" s="113" t="str">
        <f t="shared" si="260"/>
        <v/>
      </c>
      <c r="S385" s="113" t="str">
        <f t="shared" si="261"/>
        <v>2H17</v>
      </c>
      <c r="T385" s="113" t="str">
        <f t="shared" ca="1" si="262"/>
        <v/>
      </c>
      <c r="U385" s="113" t="str">
        <f t="shared" si="263"/>
        <v/>
      </c>
    </row>
    <row r="386" spans="10:21" x14ac:dyDescent="0.25">
      <c r="J386" s="86" t="str" cm="1">
        <f t="array" ref="J386">LOOKUP(2,1/($G$17:$G$33&lt;=$L386)/($H$17:$H$33&gt;=$L386),$F$17:$F$33)</f>
        <v>2H17</v>
      </c>
      <c r="K386" s="86" t="str" cm="1">
        <f t="array" ref="K386">LOOKUP(2,1/($G$6:$G$14&lt;=$L386)/($H$6:$H$14&gt;=$L386),$F$6:$F$14)</f>
        <v>FY17</v>
      </c>
      <c r="L386" s="118">
        <v>42803</v>
      </c>
      <c r="M386" s="49">
        <v>14291791</v>
      </c>
      <c r="N386" s="49">
        <v>13277789</v>
      </c>
      <c r="O386" s="50">
        <v>3000000</v>
      </c>
      <c r="P386" s="119" cm="1">
        <f t="array" ref="P386">LOOKUP(2,1/($B$10:$B$14&lt;=$L386)/($C$10:$C$14&gt;=$L386),$D$10:$D$14)</f>
        <v>0.85</v>
      </c>
      <c r="Q386" s="120" cm="1">
        <f t="array" ref="Q386">LOOKUP(2,1/($B$17:$B$21&lt;=$L386)/($C$17:$C$21&gt;=$L386),$D$17:$D$21)</f>
        <v>76.767600000000002</v>
      </c>
      <c r="R386" s="113" t="str">
        <f t="shared" si="260"/>
        <v/>
      </c>
      <c r="S386" s="113" t="str">
        <f t="shared" si="261"/>
        <v>2H17</v>
      </c>
      <c r="T386" s="113" t="str">
        <f t="shared" ca="1" si="262"/>
        <v/>
      </c>
      <c r="U386" s="113" t="str">
        <f t="shared" si="263"/>
        <v/>
      </c>
    </row>
    <row r="387" spans="10:21" x14ac:dyDescent="0.25">
      <c r="J387" s="86" t="str" cm="1">
        <f t="array" ref="J387">LOOKUP(2,1/($G$17:$G$33&lt;=$L387)/($H$17:$H$33&gt;=$L387),$F$17:$F$33)</f>
        <v>2H17</v>
      </c>
      <c r="K387" s="86" t="str" cm="1">
        <f t="array" ref="K387">LOOKUP(2,1/($G$6:$G$14&lt;=$L387)/($H$6:$H$14&gt;=$L387),$F$6:$F$14)</f>
        <v>FY17</v>
      </c>
      <c r="L387" s="118">
        <v>42796</v>
      </c>
      <c r="M387" s="49">
        <v>23325922</v>
      </c>
      <c r="N387" s="49">
        <v>21670948</v>
      </c>
      <c r="O387" s="50">
        <v>10000000</v>
      </c>
      <c r="P387" s="119" cm="1">
        <f t="array" ref="P387">LOOKUP(2,1/($B$10:$B$14&lt;=$L387)/($C$10:$C$14&gt;=$L387),$D$10:$D$14)</f>
        <v>0.85</v>
      </c>
      <c r="Q387" s="120" cm="1">
        <f t="array" ref="Q387">LOOKUP(2,1/($B$17:$B$21&lt;=$L387)/($C$17:$C$21&gt;=$L387),$D$17:$D$21)</f>
        <v>76.767600000000002</v>
      </c>
      <c r="R387" s="113" t="str">
        <f t="shared" si="260"/>
        <v/>
      </c>
      <c r="S387" s="113" t="str">
        <f t="shared" si="261"/>
        <v>2H17</v>
      </c>
      <c r="T387" s="113" t="str">
        <f t="shared" ca="1" si="262"/>
        <v/>
      </c>
      <c r="U387" s="113" t="str">
        <f t="shared" si="263"/>
        <v/>
      </c>
    </row>
    <row r="388" spans="10:21" x14ac:dyDescent="0.25">
      <c r="J388" s="86" t="str" cm="1">
        <f t="array" ref="J388">LOOKUP(2,1/($G$17:$G$33&lt;=$L388)/($H$17:$H$33&gt;=$L388),$F$17:$F$33)</f>
        <v>2H17</v>
      </c>
      <c r="K388" s="86" t="str" cm="1">
        <f t="array" ref="K388">LOOKUP(2,1/($G$6:$G$14&lt;=$L388)/($H$6:$H$14&gt;=$L388),$F$6:$F$14)</f>
        <v>FY17</v>
      </c>
      <c r="L388" s="118">
        <v>42789</v>
      </c>
      <c r="M388" s="49">
        <v>17076609</v>
      </c>
      <c r="N388" s="49">
        <v>15865023</v>
      </c>
      <c r="O388" s="50">
        <v>6000000</v>
      </c>
      <c r="P388" s="119" cm="1">
        <f t="array" ref="P388">LOOKUP(2,1/($B$10:$B$14&lt;=$L388)/($C$10:$C$14&gt;=$L388),$D$10:$D$14)</f>
        <v>0.85</v>
      </c>
      <c r="Q388" s="120" cm="1">
        <f t="array" ref="Q388">LOOKUP(2,1/($B$17:$B$21&lt;=$L388)/($C$17:$C$21&gt;=$L388),$D$17:$D$21)</f>
        <v>76.767600000000002</v>
      </c>
      <c r="R388" s="113" t="str">
        <f t="shared" si="260"/>
        <v/>
      </c>
      <c r="S388" s="113" t="str">
        <f t="shared" si="261"/>
        <v>2H17</v>
      </c>
      <c r="T388" s="113" t="str">
        <f t="shared" ca="1" si="262"/>
        <v/>
      </c>
      <c r="U388" s="113" t="str">
        <f t="shared" si="263"/>
        <v/>
      </c>
    </row>
    <row r="389" spans="10:21" x14ac:dyDescent="0.25">
      <c r="J389" s="86" t="str" cm="1">
        <f t="array" ref="J389">LOOKUP(2,1/($G$17:$G$33&lt;=$L389)/($H$17:$H$33&gt;=$L389),$F$17:$F$33)</f>
        <v>2H17</v>
      </c>
      <c r="K389" s="86" t="str" cm="1">
        <f t="array" ref="K389">LOOKUP(2,1/($G$6:$G$14&lt;=$L389)/($H$6:$H$14&gt;=$L389),$F$6:$F$14)</f>
        <v>FY17</v>
      </c>
      <c r="L389" s="118">
        <v>42782</v>
      </c>
      <c r="M389" s="49">
        <v>12555901</v>
      </c>
      <c r="N389" s="49">
        <v>11665060</v>
      </c>
      <c r="O389" s="50">
        <v>3000000</v>
      </c>
      <c r="P389" s="119" cm="1">
        <f t="array" ref="P389">LOOKUP(2,1/($B$10:$B$14&lt;=$L389)/($C$10:$C$14&gt;=$L389),$D$10:$D$14)</f>
        <v>0.85</v>
      </c>
      <c r="Q389" s="120" cm="1">
        <f t="array" ref="Q389">LOOKUP(2,1/($B$17:$B$21&lt;=$L389)/($C$17:$C$21&gt;=$L389),$D$17:$D$21)</f>
        <v>76.767600000000002</v>
      </c>
      <c r="R389" s="113" t="str">
        <f t="shared" si="260"/>
        <v/>
      </c>
      <c r="S389" s="113" t="str">
        <f t="shared" si="261"/>
        <v>2H17</v>
      </c>
      <c r="T389" s="113" t="str">
        <f t="shared" ca="1" si="262"/>
        <v/>
      </c>
      <c r="U389" s="113" t="str">
        <f t="shared" si="263"/>
        <v/>
      </c>
    </row>
    <row r="390" spans="10:21" x14ac:dyDescent="0.25">
      <c r="J390" s="86" t="str" cm="1">
        <f t="array" ref="J390">LOOKUP(2,1/($G$17:$G$33&lt;=$L390)/($H$17:$H$33&gt;=$L390),$F$17:$F$33)</f>
        <v>2H17</v>
      </c>
      <c r="K390" s="86" t="str" cm="1">
        <f t="array" ref="K390">LOOKUP(2,1/($G$6:$G$14&lt;=$L390)/($H$6:$H$14&gt;=$L390),$F$6:$F$14)</f>
        <v>FY17</v>
      </c>
      <c r="L390" s="118">
        <v>42775</v>
      </c>
      <c r="M390" s="49">
        <v>24381471</v>
      </c>
      <c r="N390" s="49">
        <v>22651606</v>
      </c>
      <c r="O390" s="50">
        <v>15000000</v>
      </c>
      <c r="P390" s="119" cm="1">
        <f t="array" ref="P390">LOOKUP(2,1/($B$10:$B$14&lt;=$L390)/($C$10:$C$14&gt;=$L390),$D$10:$D$14)</f>
        <v>0.85</v>
      </c>
      <c r="Q390" s="120" cm="1">
        <f t="array" ref="Q390">LOOKUP(2,1/($B$17:$B$21&lt;=$L390)/($C$17:$C$21&gt;=$L390),$D$17:$D$21)</f>
        <v>76.767600000000002</v>
      </c>
      <c r="R390" s="113" t="str">
        <f t="shared" si="260"/>
        <v/>
      </c>
      <c r="S390" s="113" t="str">
        <f t="shared" si="261"/>
        <v>2H17</v>
      </c>
      <c r="T390" s="113" t="str">
        <f t="shared" ca="1" si="262"/>
        <v/>
      </c>
      <c r="U390" s="113" t="str">
        <f t="shared" si="263"/>
        <v/>
      </c>
    </row>
    <row r="391" spans="10:21" x14ac:dyDescent="0.25">
      <c r="J391" s="86" t="str" cm="1">
        <f t="array" ref="J391">LOOKUP(2,1/($G$17:$G$33&lt;=$L391)/($H$17:$H$33&gt;=$L391),$F$17:$F$33)</f>
        <v>2H17</v>
      </c>
      <c r="K391" s="86" t="str" cm="1">
        <f t="array" ref="K391">LOOKUP(2,1/($G$6:$G$14&lt;=$L391)/($H$6:$H$14&gt;=$L391),$F$6:$F$14)</f>
        <v>FY17</v>
      </c>
      <c r="L391" s="118">
        <v>42768</v>
      </c>
      <c r="M391" s="49">
        <v>20759056</v>
      </c>
      <c r="N391" s="49">
        <v>19286201</v>
      </c>
      <c r="O391" s="50">
        <v>10000000</v>
      </c>
      <c r="P391" s="119" cm="1">
        <f t="array" ref="P391">LOOKUP(2,1/($B$10:$B$14&lt;=$L391)/($C$10:$C$14&gt;=$L391),$D$10:$D$14)</f>
        <v>0.85</v>
      </c>
      <c r="Q391" s="120" cm="1">
        <f t="array" ref="Q391">LOOKUP(2,1/($B$17:$B$21&lt;=$L391)/($C$17:$C$21&gt;=$L391),$D$17:$D$21)</f>
        <v>76.767600000000002</v>
      </c>
      <c r="R391" s="113" t="str">
        <f t="shared" si="260"/>
        <v/>
      </c>
      <c r="S391" s="113" t="str">
        <f t="shared" si="261"/>
        <v>2H17</v>
      </c>
      <c r="T391" s="113" t="str">
        <f t="shared" ca="1" si="262"/>
        <v/>
      </c>
      <c r="U391" s="113" t="str">
        <f t="shared" si="263"/>
        <v/>
      </c>
    </row>
    <row r="392" spans="10:21" x14ac:dyDescent="0.25">
      <c r="J392" s="86" t="str" cm="1">
        <f t="array" ref="J392">LOOKUP(2,1/($G$17:$G$33&lt;=$L392)/($H$17:$H$33&gt;=$L392),$F$17:$F$33)</f>
        <v>2H17</v>
      </c>
      <c r="K392" s="86" t="str" cm="1">
        <f t="array" ref="K392">LOOKUP(2,1/($G$6:$G$14&lt;=$L392)/($H$6:$H$14&gt;=$L392),$F$6:$F$14)</f>
        <v>FY17</v>
      </c>
      <c r="L392" s="118">
        <v>42761</v>
      </c>
      <c r="M392" s="49">
        <v>13952007</v>
      </c>
      <c r="N392" s="49">
        <v>12962112</v>
      </c>
      <c r="O392" s="50">
        <v>6000000</v>
      </c>
      <c r="P392" s="119" cm="1">
        <f t="array" ref="P392">LOOKUP(2,1/($B$10:$B$14&lt;=$L392)/($C$10:$C$14&gt;=$L392),$D$10:$D$14)</f>
        <v>0.85</v>
      </c>
      <c r="Q392" s="120" cm="1">
        <f t="array" ref="Q392">LOOKUP(2,1/($B$17:$B$21&lt;=$L392)/($C$17:$C$21&gt;=$L392),$D$17:$D$21)</f>
        <v>76.767600000000002</v>
      </c>
      <c r="R392" s="113" t="str">
        <f t="shared" si="260"/>
        <v/>
      </c>
      <c r="S392" s="113" t="str">
        <f t="shared" si="261"/>
        <v>2H17</v>
      </c>
      <c r="T392" s="113" t="str">
        <f t="shared" ca="1" si="262"/>
        <v/>
      </c>
      <c r="U392" s="113" t="str">
        <f t="shared" si="263"/>
        <v/>
      </c>
    </row>
    <row r="393" spans="10:21" x14ac:dyDescent="0.25">
      <c r="J393" s="86" t="str" cm="1">
        <f t="array" ref="J393">LOOKUP(2,1/($G$17:$G$33&lt;=$L393)/($H$17:$H$33&gt;=$L393),$F$17:$F$33)</f>
        <v>2H17</v>
      </c>
      <c r="K393" s="86" t="str" cm="1">
        <f t="array" ref="K393">LOOKUP(2,1/($G$6:$G$14&lt;=$L393)/($H$6:$H$14&gt;=$L393),$F$6:$F$14)</f>
        <v>FY17</v>
      </c>
      <c r="L393" s="118">
        <v>42754</v>
      </c>
      <c r="M393" s="49">
        <v>13267583</v>
      </c>
      <c r="N393" s="49">
        <v>12326248</v>
      </c>
      <c r="O393" s="50">
        <v>3000000</v>
      </c>
      <c r="P393" s="119" cm="1">
        <f t="array" ref="P393">LOOKUP(2,1/($B$10:$B$14&lt;=$L393)/($C$10:$C$14&gt;=$L393),$D$10:$D$14)</f>
        <v>0.85</v>
      </c>
      <c r="Q393" s="120" cm="1">
        <f t="array" ref="Q393">LOOKUP(2,1/($B$17:$B$21&lt;=$L393)/($C$17:$C$21&gt;=$L393),$D$17:$D$21)</f>
        <v>76.767600000000002</v>
      </c>
      <c r="R393" s="113" t="str">
        <f t="shared" si="260"/>
        <v/>
      </c>
      <c r="S393" s="113" t="str">
        <f t="shared" si="261"/>
        <v>2H17</v>
      </c>
      <c r="T393" s="113" t="str">
        <f t="shared" ca="1" si="262"/>
        <v/>
      </c>
      <c r="U393" s="113" t="str">
        <f t="shared" si="263"/>
        <v/>
      </c>
    </row>
    <row r="394" spans="10:21" x14ac:dyDescent="0.25">
      <c r="J394" s="86" t="str" cm="1">
        <f t="array" ref="J394">LOOKUP(2,1/($G$17:$G$33&lt;=$L394)/($H$17:$H$33&gt;=$L394),$F$17:$F$33)</f>
        <v>2H17</v>
      </c>
      <c r="K394" s="86" t="str" cm="1">
        <f t="array" ref="K394">LOOKUP(2,1/($G$6:$G$14&lt;=$L394)/($H$6:$H$14&gt;=$L394),$F$6:$F$14)</f>
        <v>FY17</v>
      </c>
      <c r="L394" s="118">
        <v>42747</v>
      </c>
      <c r="M394" s="49">
        <v>13522063</v>
      </c>
      <c r="N394" s="49">
        <v>12562672</v>
      </c>
      <c r="O394" s="50">
        <v>3000000</v>
      </c>
      <c r="P394" s="119" cm="1">
        <f t="array" ref="P394">LOOKUP(2,1/($B$10:$B$14&lt;=$L394)/($C$10:$C$14&gt;=$L394),$D$10:$D$14)</f>
        <v>0.85</v>
      </c>
      <c r="Q394" s="120" cm="1">
        <f t="array" ref="Q394">LOOKUP(2,1/($B$17:$B$21&lt;=$L394)/($C$17:$C$21&gt;=$L394),$D$17:$D$21)</f>
        <v>76.767600000000002</v>
      </c>
      <c r="R394" s="113" t="str">
        <f t="shared" si="260"/>
        <v/>
      </c>
      <c r="S394" s="113" t="str">
        <f t="shared" si="261"/>
        <v>2H17</v>
      </c>
      <c r="T394" s="113" t="str">
        <f t="shared" ca="1" si="262"/>
        <v/>
      </c>
      <c r="U394" s="113" t="str">
        <f t="shared" si="263"/>
        <v/>
      </c>
    </row>
    <row r="395" spans="10:21" x14ac:dyDescent="0.25">
      <c r="J395" s="86" t="str" cm="1">
        <f t="array" ref="J395">LOOKUP(2,1/($G$17:$G$33&lt;=$L395)/($H$17:$H$33&gt;=$L395),$F$17:$F$33)</f>
        <v>2H17</v>
      </c>
      <c r="K395" s="86" t="str" cm="1">
        <f t="array" ref="K395">LOOKUP(2,1/($G$6:$G$14&lt;=$L395)/($H$6:$H$14&gt;=$L395),$F$6:$F$14)</f>
        <v>FY17</v>
      </c>
      <c r="L395" s="118">
        <v>42740</v>
      </c>
      <c r="M395" s="49">
        <v>84463562</v>
      </c>
      <c r="N395" s="49">
        <v>78470872</v>
      </c>
      <c r="O395" s="50">
        <v>55000000</v>
      </c>
      <c r="P395" s="119" cm="1">
        <f t="array" ref="P395">LOOKUP(2,1/($B$10:$B$14&lt;=$L395)/($C$10:$C$14&gt;=$L395),$D$10:$D$14)</f>
        <v>0.85</v>
      </c>
      <c r="Q395" s="120" cm="1">
        <f t="array" ref="Q395">LOOKUP(2,1/($B$17:$B$21&lt;=$L395)/($C$17:$C$21&gt;=$L395),$D$17:$D$21)</f>
        <v>76.767600000000002</v>
      </c>
      <c r="R395" s="113" t="str">
        <f t="shared" si="260"/>
        <v>2H17</v>
      </c>
      <c r="S395" s="113" t="str">
        <f t="shared" si="261"/>
        <v>2H17</v>
      </c>
      <c r="T395" s="113" t="str">
        <f t="shared" ca="1" si="262"/>
        <v/>
      </c>
      <c r="U395" s="113" t="str">
        <f t="shared" si="263"/>
        <v>FY17</v>
      </c>
    </row>
  </sheetData>
  <autoFilter ref="L4:U4" xr:uid="{E9C9A9F7-8FF1-4589-AC7F-B7654CEE2518}">
    <sortState xmlns:xlrd2="http://schemas.microsoft.com/office/spreadsheetml/2017/richdata2" ref="L5:U395">
      <sortCondition descending="1" ref="L4"/>
    </sortState>
  </autoFilter>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686AA-BF0E-4817-8DAC-CD7B2DFBF5B0}">
  <sheetPr>
    <tabColor theme="3" tint="0.79998168889431442"/>
  </sheetPr>
  <dimension ref="B1:PG294"/>
  <sheetViews>
    <sheetView showGridLines="0" zoomScale="85" zoomScaleNormal="85" workbookViewId="0">
      <pane ySplit="6" topLeftCell="A40" activePane="bottomLeft" state="frozen"/>
      <selection activeCell="P188" sqref="P188"/>
      <selection pane="bottomLeft" activeCell="K74" sqref="K74"/>
    </sheetView>
  </sheetViews>
  <sheetFormatPr defaultRowHeight="15" x14ac:dyDescent="0.25"/>
  <cols>
    <col min="2" max="2" width="12.5703125" bestFit="1" customWidth="1"/>
    <col min="3" max="4" width="13" bestFit="1" customWidth="1"/>
    <col min="5" max="5" width="16.7109375" customWidth="1"/>
    <col min="6" max="7" width="12.5703125" customWidth="1"/>
    <col min="8" max="8" width="4.28515625" customWidth="1"/>
    <col min="9" max="9" width="13.7109375" style="1" customWidth="1"/>
    <col min="10" max="10" width="12" style="1" bestFit="1" customWidth="1"/>
    <col min="11" max="11" width="13.7109375" style="2" customWidth="1"/>
    <col min="12" max="12" width="14.7109375" customWidth="1"/>
    <col min="13" max="13" width="5.7109375" customWidth="1"/>
    <col min="14" max="14" width="13.7109375" style="1" customWidth="1"/>
    <col min="15" max="15" width="13" style="1" bestFit="1" customWidth="1"/>
    <col min="16" max="16" width="13.7109375" style="2" customWidth="1"/>
    <col min="17" max="17" width="14.7109375" customWidth="1"/>
    <col min="18" max="18" width="5.7109375" customWidth="1"/>
    <col min="19" max="19" width="13.7109375" style="1" customWidth="1"/>
    <col min="20" max="20" width="13" style="1" bestFit="1" customWidth="1"/>
    <col min="21" max="21" width="13.7109375" style="2" customWidth="1"/>
    <col min="22" max="22" width="14.7109375" customWidth="1"/>
    <col min="23" max="23" width="5.7109375" customWidth="1"/>
    <col min="24" max="24" width="13.7109375" customWidth="1"/>
    <col min="25" max="25" width="13" style="1" bestFit="1" customWidth="1"/>
    <col min="26" max="26" width="13.7109375" customWidth="1"/>
    <col min="27" max="27" width="14.7109375" customWidth="1"/>
    <col min="28" max="28" width="5.7109375" customWidth="1"/>
    <col min="29" max="29" width="13.7109375" customWidth="1"/>
    <col min="30" max="30" width="13" style="1" bestFit="1" customWidth="1"/>
    <col min="31" max="31" width="13.7109375" customWidth="1"/>
    <col min="32" max="32" width="14.7109375" customWidth="1"/>
    <col min="33" max="33" width="5.7109375" customWidth="1"/>
    <col min="34" max="34" width="13.7109375" customWidth="1"/>
    <col min="35" max="35" width="13" style="1" bestFit="1" customWidth="1"/>
    <col min="36" max="36" width="13.7109375" customWidth="1"/>
    <col min="37" max="37" width="14.7109375" customWidth="1"/>
    <col min="38" max="38" width="5.7109375" customWidth="1"/>
    <col min="39" max="39" width="7.85546875" bestFit="1" customWidth="1"/>
    <col min="40" max="41" width="7.85546875" customWidth="1"/>
    <col min="42" max="50" width="8.7109375" customWidth="1"/>
    <col min="51" max="51" width="5.7109375" customWidth="1"/>
    <col min="52" max="56" width="14.5703125" customWidth="1"/>
    <col min="57" max="57" width="5.7109375" customWidth="1"/>
    <col min="58" max="58" width="10.5703125" bestFit="1" customWidth="1"/>
    <col min="59" max="59" width="19.28515625" bestFit="1" customWidth="1"/>
    <col min="60" max="66" width="10.7109375" customWidth="1"/>
    <col min="76" max="77" width="5.7109375" customWidth="1"/>
    <col min="78" max="78" width="10.5703125" bestFit="1" customWidth="1"/>
    <col min="79" max="79" width="28.140625" bestFit="1" customWidth="1"/>
    <col min="80" max="87" width="10.7109375" customWidth="1"/>
    <col min="97" max="97" width="5.7109375" customWidth="1"/>
    <col min="98" max="98" width="12.5703125" customWidth="1"/>
    <col min="99" max="111" width="9.7109375" customWidth="1"/>
    <col min="112" max="112" width="2.7109375" customWidth="1"/>
    <col min="122" max="122" width="12.5703125" customWidth="1"/>
    <col min="123" max="135" width="9.7109375" customWidth="1"/>
    <col min="136" max="136" width="2.7109375" customWidth="1"/>
    <col min="146" max="146" width="2.7109375" customWidth="1"/>
    <col min="147" max="147" width="12.5703125" customWidth="1"/>
    <col min="148" max="162" width="9.7109375" customWidth="1"/>
    <col min="163" max="163" width="2.7109375" customWidth="1"/>
    <col min="164" max="167" width="10.7109375" customWidth="1"/>
    <col min="168" max="168" width="12.5703125" customWidth="1"/>
    <col min="169" max="183" width="9.7109375" customWidth="1"/>
    <col min="184" max="184" width="2.7109375" customWidth="1"/>
    <col min="185" max="185" width="12.5703125" customWidth="1"/>
    <col min="186" max="198" width="9.7109375" customWidth="1"/>
    <col min="199" max="199" width="2.7109375" customWidth="1"/>
    <col min="209" max="209" width="12.5703125" customWidth="1"/>
    <col min="210" max="229" width="9.7109375" customWidth="1"/>
    <col min="230" max="230" width="12.5703125" customWidth="1"/>
    <col min="231" max="248" width="9.7109375" customWidth="1"/>
    <col min="249" max="249" width="2.7109375" customWidth="1"/>
    <col min="259" max="259" width="2.7109375" customWidth="1"/>
    <col min="260" max="260" width="11" bestFit="1" customWidth="1"/>
    <col min="261" max="273" width="9.7109375" customWidth="1"/>
    <col min="284" max="284" width="11" bestFit="1" customWidth="1"/>
    <col min="285" max="288" width="9.7109375" customWidth="1"/>
    <col min="298" max="298" width="9.42578125" customWidth="1"/>
    <col min="299" max="299" width="13.7109375" style="1" customWidth="1"/>
    <col min="300" max="300" width="13.7109375" style="2" customWidth="1"/>
    <col min="301" max="301" width="13.7109375" customWidth="1"/>
    <col min="302" max="302" width="2.7109375" customWidth="1"/>
    <col min="303" max="303" width="13.7109375" style="1" customWidth="1"/>
    <col min="304" max="304" width="13.7109375" style="2" customWidth="1"/>
    <col min="305" max="305" width="13.7109375" customWidth="1"/>
    <col min="306" max="306" width="2.7109375" customWidth="1"/>
    <col min="307" max="307" width="13.7109375" style="1" customWidth="1"/>
    <col min="308" max="308" width="13.7109375" style="2" customWidth="1"/>
    <col min="309" max="309" width="13.7109375" customWidth="1"/>
    <col min="310" max="310" width="2.7109375" customWidth="1"/>
    <col min="311" max="311" width="13.7109375" style="1" customWidth="1"/>
    <col min="312" max="312" width="13.7109375" style="2" customWidth="1"/>
    <col min="313" max="313" width="13.7109375" customWidth="1"/>
    <col min="314" max="314" width="2.7109375" customWidth="1"/>
    <col min="315" max="315" width="13.7109375" style="1" customWidth="1"/>
    <col min="316" max="316" width="13.7109375" style="2" customWidth="1"/>
    <col min="317" max="317" width="14.5703125" bestFit="1" customWidth="1"/>
    <col min="318" max="318" width="2.7109375" customWidth="1"/>
    <col min="319" max="321" width="13.7109375" customWidth="1"/>
    <col min="322" max="322" width="2.7109375" customWidth="1"/>
    <col min="323" max="325" width="13.7109375" customWidth="1"/>
    <col min="326" max="326" width="2.7109375" customWidth="1"/>
    <col min="327" max="329" width="13.7109375" customWidth="1"/>
    <col min="330" max="330" width="2.7109375" customWidth="1"/>
    <col min="331" max="333" width="13.7109375" customWidth="1"/>
    <col min="334" max="334" width="2.7109375" customWidth="1"/>
    <col min="335" max="336" width="13.7109375" customWidth="1"/>
    <col min="337" max="337" width="14.85546875" bestFit="1" customWidth="1"/>
    <col min="338" max="338" width="9.5703125" customWidth="1"/>
    <col min="339" max="339" width="7.85546875" bestFit="1" customWidth="1"/>
    <col min="340" max="347" width="7.85546875" customWidth="1"/>
    <col min="348" max="352" width="8.7109375" customWidth="1"/>
    <col min="353" max="358" width="14.5703125" customWidth="1"/>
    <col min="360" max="360" width="10.5703125" bestFit="1" customWidth="1"/>
    <col min="361" max="361" width="28.140625" bestFit="1" customWidth="1"/>
    <col min="362" max="372" width="10.7109375" customWidth="1"/>
    <col min="383" max="383" width="12.5703125" customWidth="1"/>
    <col min="384" max="396" width="9.7109375" customWidth="1"/>
    <col min="397" max="397" width="2.7109375" customWidth="1"/>
    <col min="407" max="407" width="2.7109375" customWidth="1"/>
    <col min="408" max="408" width="11" bestFit="1" customWidth="1"/>
    <col min="409" max="421" width="9.7109375" customWidth="1"/>
    <col min="431" max="431" width="9.42578125" customWidth="1"/>
  </cols>
  <sheetData>
    <row r="1" spans="2:423" x14ac:dyDescent="0.25">
      <c r="BL1" s="3"/>
      <c r="BM1" s="3"/>
      <c r="HA1" s="234"/>
      <c r="HV1" s="234"/>
      <c r="JO1" s="235" t="s">
        <v>263</v>
      </c>
      <c r="JP1" s="235"/>
      <c r="JQ1" s="235"/>
      <c r="JR1" s="235"/>
      <c r="JS1" s="235"/>
      <c r="JT1" s="235"/>
      <c r="JU1" s="235"/>
      <c r="JV1" s="235"/>
      <c r="JW1" s="235"/>
      <c r="KD1" s="235" t="s">
        <v>263</v>
      </c>
      <c r="KE1" s="235"/>
      <c r="KF1" s="235"/>
      <c r="KG1" s="235"/>
      <c r="KH1" s="235"/>
      <c r="KI1" s="235"/>
      <c r="KJ1" s="235"/>
      <c r="KK1" s="235"/>
      <c r="KL1" s="235"/>
      <c r="KM1" s="236"/>
      <c r="KN1" s="237"/>
      <c r="KO1" s="235"/>
      <c r="KP1" s="235"/>
      <c r="KQ1" s="236"/>
    </row>
    <row r="2" spans="2:423" x14ac:dyDescent="0.25">
      <c r="AP2" s="4"/>
      <c r="AQ2" s="4" t="s">
        <v>0</v>
      </c>
      <c r="AR2" s="5"/>
      <c r="AS2" s="5"/>
      <c r="AT2" s="5"/>
      <c r="AV2" s="6">
        <v>0.8</v>
      </c>
      <c r="AW2" s="6">
        <v>1</v>
      </c>
      <c r="AX2" s="6">
        <v>1.2</v>
      </c>
      <c r="BL2" s="3"/>
      <c r="BM2" s="3"/>
      <c r="CU2" t="s">
        <v>1</v>
      </c>
      <c r="CV2" s="7">
        <v>3.7943638869952147E-2</v>
      </c>
      <c r="CW2" s="7">
        <v>4.5436313528305135E-2</v>
      </c>
      <c r="CX2" s="7">
        <v>4.8416818848466985E-2</v>
      </c>
      <c r="CY2" s="7">
        <v>5.0502007292025322E-2</v>
      </c>
      <c r="CZ2" s="7">
        <v>5.470863400459542E-2</v>
      </c>
      <c r="DA2" s="7">
        <v>6.0209708872007502E-2</v>
      </c>
      <c r="DB2" s="7">
        <v>6.6232533541717833E-2</v>
      </c>
      <c r="DC2" s="7">
        <v>7.261484324723147E-2</v>
      </c>
      <c r="DD2" s="7">
        <v>7.643445292523153E-2</v>
      </c>
      <c r="DE2" s="7">
        <v>8.472863847550996E-2</v>
      </c>
      <c r="DF2" s="7">
        <v>0.10288241710741779</v>
      </c>
      <c r="DG2" s="8">
        <f>AR3</f>
        <v>0</v>
      </c>
      <c r="DS2" t="s">
        <v>1</v>
      </c>
      <c r="DT2" s="7">
        <v>4.0930425593787199E-2</v>
      </c>
      <c r="DU2" s="7">
        <v>4.8354654472455676E-2</v>
      </c>
      <c r="DV2" s="7">
        <v>5.230066075730555E-2</v>
      </c>
      <c r="DW2" s="7">
        <v>5.4707442185378305E-2</v>
      </c>
      <c r="DX2" s="7">
        <v>5.9377952349780674E-2</v>
      </c>
      <c r="DY2" s="7">
        <v>6.5253310923088309E-2</v>
      </c>
      <c r="DZ2" s="7">
        <v>7.1894065150539782E-2</v>
      </c>
      <c r="EA2" s="7">
        <v>7.8956926816548034E-2</v>
      </c>
      <c r="EB2" s="7">
        <v>8.3229444639050673E-2</v>
      </c>
      <c r="EC2" s="7">
        <v>9.1514657292654344E-2</v>
      </c>
      <c r="ED2" s="7">
        <v>0.11728894081954849</v>
      </c>
      <c r="EE2" s="8">
        <f>BP3</f>
        <v>0</v>
      </c>
      <c r="ER2" t="s">
        <v>1</v>
      </c>
      <c r="ES2" s="7">
        <v>4.3515384615384615E-2</v>
      </c>
      <c r="ET2" s="7">
        <v>4.8692307692307694E-2</v>
      </c>
      <c r="EU2" s="7">
        <v>5.2430769230769232E-2</v>
      </c>
      <c r="EV2" s="7">
        <v>5.5134615384615386E-2</v>
      </c>
      <c r="EW2" s="7">
        <v>6.0446153846153851E-2</v>
      </c>
      <c r="EX2" s="7">
        <v>6.8099999999999994E-2</v>
      </c>
      <c r="EY2" s="7">
        <v>7.7419230769230768E-2</v>
      </c>
      <c r="EZ2" s="7">
        <v>8.8069230769230775E-2</v>
      </c>
      <c r="FA2" s="7">
        <v>9.4773076923076932E-2</v>
      </c>
      <c r="FB2" s="7">
        <v>0.10973846153846155</v>
      </c>
      <c r="FC2" s="7">
        <v>0.14443846153846154</v>
      </c>
      <c r="FD2" s="8">
        <f>BP3</f>
        <v>0</v>
      </c>
      <c r="FE2" s="8"/>
      <c r="FF2" s="8"/>
      <c r="FM2" t="s">
        <v>1</v>
      </c>
      <c r="FN2" s="7">
        <v>3.7863463771572153E-2</v>
      </c>
      <c r="FO2" s="7">
        <v>4.2416953358734313E-2</v>
      </c>
      <c r="FP2" s="7">
        <v>4.5397175090041493E-2</v>
      </c>
      <c r="FQ2" s="7">
        <v>4.7420801757676538E-2</v>
      </c>
      <c r="FR2" s="7">
        <v>5.1603631730858246E-2</v>
      </c>
      <c r="FS2" s="7">
        <v>5.8043397021066458E-2</v>
      </c>
      <c r="FT2" s="7">
        <v>6.6707209392596042E-2</v>
      </c>
      <c r="FU2" s="7">
        <v>7.5474820760938574E-2</v>
      </c>
      <c r="FV2" s="7">
        <v>8.2309620944215067E-2</v>
      </c>
      <c r="FW2" s="7">
        <v>9.6758466093196688E-2</v>
      </c>
      <c r="FX2" s="7">
        <v>0.13058799759900552</v>
      </c>
      <c r="FY2" s="8">
        <f>CG3</f>
        <v>0</v>
      </c>
      <c r="FZ2" s="8"/>
      <c r="GA2" s="8"/>
      <c r="GD2" t="s">
        <v>1</v>
      </c>
      <c r="GE2" s="7">
        <v>4.7771240248998564E-2</v>
      </c>
      <c r="GF2" s="7">
        <v>5.2217284931570615E-2</v>
      </c>
      <c r="GG2" s="7">
        <v>5.5955098451754989E-2</v>
      </c>
      <c r="GH2" s="7">
        <v>5.8416050992473018E-2</v>
      </c>
      <c r="GI2" s="7">
        <v>6.3040095867171603E-2</v>
      </c>
      <c r="GJ2" s="7">
        <v>6.8853421493868625E-2</v>
      </c>
      <c r="GK2" s="7">
        <v>7.5776125345343073E-2</v>
      </c>
      <c r="GL2" s="7">
        <v>8.2879861438139912E-2</v>
      </c>
      <c r="GM2" s="7">
        <v>8.7307986484982752E-2</v>
      </c>
      <c r="GN2" s="7">
        <v>9.6244094093638793E-2</v>
      </c>
      <c r="GO2" s="7">
        <v>0.12115595838818555</v>
      </c>
      <c r="GP2" s="8">
        <f>DO3</f>
        <v>0</v>
      </c>
      <c r="HA2" t="s">
        <v>1</v>
      </c>
      <c r="HB2" s="238" t="s">
        <v>264</v>
      </c>
      <c r="HC2" s="238"/>
      <c r="HD2" s="9">
        <v>2.7238900094009998E-2</v>
      </c>
      <c r="HE2" s="9">
        <v>3.0141089788533425E-2</v>
      </c>
      <c r="HF2" s="9">
        <v>3.2537644802501146E-2</v>
      </c>
      <c r="HG2" s="9">
        <v>3.6187523432355428E-2</v>
      </c>
      <c r="HH2" s="9">
        <v>3.908971312687886E-2</v>
      </c>
      <c r="HI2" s="9">
        <v>4.3805355433506867E-2</v>
      </c>
      <c r="HJ2" s="9">
        <v>5.507306606451258E-2</v>
      </c>
      <c r="HK2" s="9">
        <v>8.0229304108884861E-2</v>
      </c>
      <c r="HL2" s="9">
        <v>8.2625859122852571E-2</v>
      </c>
      <c r="HM2" s="9">
        <v>0.11053987010615059</v>
      </c>
      <c r="HN2" s="9">
        <v>0.19520667491512628</v>
      </c>
      <c r="HO2" s="9"/>
      <c r="HP2" s="9"/>
      <c r="HQ2" s="9"/>
      <c r="HR2" s="9"/>
      <c r="HS2" s="8"/>
      <c r="HT2" s="8"/>
      <c r="HU2" s="8"/>
      <c r="HV2" t="s">
        <v>1</v>
      </c>
      <c r="HW2" s="238" t="s">
        <v>264</v>
      </c>
      <c r="HX2" s="7">
        <v>2.7238900094009998E-2</v>
      </c>
      <c r="HY2" s="7">
        <v>3.0141089788533425E-2</v>
      </c>
      <c r="HZ2" s="7">
        <v>3.2537644802501146E-2</v>
      </c>
      <c r="IA2" s="7">
        <v>3.6187523432355428E-2</v>
      </c>
      <c r="IB2" s="7">
        <v>3.908971312687886E-2</v>
      </c>
      <c r="IC2" s="7">
        <v>4.3805355433506867E-2</v>
      </c>
      <c r="ID2" s="7">
        <v>5.507306606451258E-2</v>
      </c>
      <c r="IE2" s="7">
        <v>8.0229304108884861E-2</v>
      </c>
      <c r="IF2" s="7">
        <v>8.2625859122852571E-2</v>
      </c>
      <c r="IG2" s="7">
        <v>0.11053987010615059</v>
      </c>
      <c r="IH2" s="7">
        <v>0.19520667491512628</v>
      </c>
      <c r="II2" s="9"/>
      <c r="IJ2" s="9"/>
      <c r="IK2" s="9"/>
      <c r="IL2" s="9"/>
      <c r="IM2" s="8"/>
      <c r="IN2" s="8"/>
      <c r="JA2" t="s">
        <v>1</v>
      </c>
      <c r="JB2" s="10">
        <v>3.0471030954100007E-2</v>
      </c>
      <c r="JC2" s="10">
        <v>3.4058910109950005E-2</v>
      </c>
      <c r="JD2" s="10">
        <v>3.83078982363E-2</v>
      </c>
      <c r="JE2" s="10">
        <v>4.1287664354566669E-2</v>
      </c>
      <c r="JF2" s="10">
        <v>4.6253711365400005E-2</v>
      </c>
      <c r="JG2" s="10">
        <v>5.4255663481066668E-2</v>
      </c>
      <c r="JH2" s="10">
        <v>6.6450464736516668E-2</v>
      </c>
      <c r="JI2" s="10">
        <v>8.9457768712583333E-2</v>
      </c>
      <c r="JJ2" s="10">
        <v>9.7294635994783329E-2</v>
      </c>
      <c r="JK2" s="10">
        <v>0.12939564423176111</v>
      </c>
      <c r="JL2" s="10">
        <v>0.25147531547435004</v>
      </c>
      <c r="JM2" s="8">
        <f>DG2</f>
        <v>0</v>
      </c>
      <c r="JY2" t="s">
        <v>1</v>
      </c>
      <c r="JZ2" s="10">
        <v>6.7569432410484492E-2</v>
      </c>
      <c r="KA2" s="10">
        <v>5.3812125783253888E-2</v>
      </c>
      <c r="KB2" s="10"/>
      <c r="MI2" s="4" t="s">
        <v>0</v>
      </c>
      <c r="MK2" s="5"/>
      <c r="ML2">
        <v>0.8</v>
      </c>
      <c r="MM2">
        <v>1</v>
      </c>
      <c r="MN2">
        <v>1.2</v>
      </c>
      <c r="NT2" t="s">
        <v>1</v>
      </c>
      <c r="NU2" s="7">
        <v>3.2883578210174999E-2</v>
      </c>
      <c r="NV2" s="7">
        <v>3.8899121388359478E-2</v>
      </c>
      <c r="NW2" s="7">
        <v>4.2413763541703647E-2</v>
      </c>
      <c r="NX2" s="7">
        <v>4.4879284238757686E-2</v>
      </c>
      <c r="NY2" s="7">
        <v>5.0054612355507691E-2</v>
      </c>
      <c r="NZ2" s="7">
        <v>5.8849514395681729E-2</v>
      </c>
      <c r="OA2" s="7">
        <v>6.7779769477263468E-2</v>
      </c>
      <c r="OB2" s="7">
        <v>7.8303842656430783E-2</v>
      </c>
      <c r="OC2" s="7">
        <v>8.5824266202378846E-2</v>
      </c>
      <c r="OD2" s="7">
        <v>0.10064266089910577</v>
      </c>
      <c r="OE2" s="7">
        <v>0.13024968599028269</v>
      </c>
      <c r="OF2" s="9">
        <f ca="1">$MK$3</f>
        <v>6.7075912564523069E-2</v>
      </c>
      <c r="OS2" t="s">
        <v>1</v>
      </c>
      <c r="OT2" s="10">
        <v>2.9753972069616677E-2</v>
      </c>
      <c r="OU2" s="10">
        <v>3.4058910109950005E-2</v>
      </c>
      <c r="OV2" s="10">
        <v>3.6929730381316674E-2</v>
      </c>
      <c r="OW2" s="10">
        <v>4.1178718507666669E-2</v>
      </c>
      <c r="OX2" s="10">
        <v>4.6253711365399998E-2</v>
      </c>
      <c r="OY2" s="10">
        <v>5.4255663481066668E-2</v>
      </c>
      <c r="OZ2" s="10">
        <v>7.9527409709916674E-2</v>
      </c>
      <c r="PA2" s="10">
        <v>8.9457768712583333E-2</v>
      </c>
      <c r="PB2" s="10">
        <v>9.7294635994783329E-2</v>
      </c>
      <c r="PC2" s="10">
        <v>0.12939564423176111</v>
      </c>
      <c r="PD2" s="10">
        <v>0.25147531547435004</v>
      </c>
      <c r="PE2" s="9">
        <f ca="1">$MK$3</f>
        <v>6.7075912564523069E-2</v>
      </c>
    </row>
    <row r="3" spans="2:423" x14ac:dyDescent="0.25">
      <c r="AP3" s="4"/>
      <c r="AQ3" s="4" t="s">
        <v>2</v>
      </c>
      <c r="AR3" s="5"/>
      <c r="AS3" s="5"/>
      <c r="AT3" s="5"/>
      <c r="AU3">
        <f ca="1">OFFSET($AU$7,COUNT(AU8:AU59),0)/COUNT(AU8:AU59)</f>
        <v>5.1920429058829029E-2</v>
      </c>
      <c r="AV3" s="11">
        <f>AV2*$AR$3</f>
        <v>0</v>
      </c>
      <c r="AW3" s="11">
        <f>AW2*$AR$3</f>
        <v>0</v>
      </c>
      <c r="AX3" s="11">
        <f>AX2*$AR$3</f>
        <v>0</v>
      </c>
      <c r="BL3" s="3"/>
      <c r="BM3" s="3"/>
      <c r="BZ3" s="3" t="s">
        <v>265</v>
      </c>
      <c r="CA3" s="3"/>
      <c r="CB3" s="3"/>
      <c r="CC3" s="3"/>
      <c r="CD3" s="3" t="s">
        <v>266</v>
      </c>
      <c r="CE3" s="3"/>
      <c r="CF3" s="3"/>
      <c r="CG3" s="3"/>
      <c r="CH3" s="3"/>
      <c r="CI3" s="3"/>
      <c r="CJ3" s="3"/>
      <c r="CK3" s="3"/>
      <c r="CL3" s="3"/>
      <c r="CM3" s="3"/>
      <c r="CN3" s="3"/>
      <c r="CO3" s="3"/>
      <c r="CP3" s="3"/>
      <c r="CQ3" s="3"/>
      <c r="CR3" s="3"/>
      <c r="HB3" t="s">
        <v>267</v>
      </c>
      <c r="HD3" s="7">
        <v>3.6687468899812503E-2</v>
      </c>
      <c r="HE3" s="7">
        <v>4.2222849327243753E-2</v>
      </c>
      <c r="HF3" s="7">
        <v>4.5276778387788756E-2</v>
      </c>
      <c r="HG3" s="7">
        <v>4.7785206797693755E-2</v>
      </c>
      <c r="HH3" s="7">
        <v>5.4037842911923754E-2</v>
      </c>
      <c r="HI3" s="7">
        <v>6.0631725065505002E-2</v>
      </c>
      <c r="HJ3" s="7">
        <v>7.5607539061573775E-2</v>
      </c>
      <c r="HK3" s="7">
        <v>8.8454057329385022E-2</v>
      </c>
      <c r="HL3" s="7">
        <v>9.644859801211253E-2</v>
      </c>
      <c r="HM3" s="7">
        <v>0.11270945945721003</v>
      </c>
      <c r="HN3" s="7">
        <v>0.16589667642395381</v>
      </c>
      <c r="HO3" s="9"/>
      <c r="HP3" s="9"/>
      <c r="HQ3" s="9"/>
      <c r="HR3" s="9"/>
      <c r="HW3" t="s">
        <v>267</v>
      </c>
      <c r="HX3" s="9">
        <v>4.1844311151763229E-2</v>
      </c>
      <c r="HY3" s="9">
        <v>4.8650697748228278E-2</v>
      </c>
      <c r="HZ3" s="9">
        <v>5.3069817689878909E-2</v>
      </c>
      <c r="IA3" s="9">
        <v>5.4990401725356658E-2</v>
      </c>
      <c r="IB3" s="9">
        <v>6.0979004990918975E-2</v>
      </c>
      <c r="IC3" s="9">
        <v>7.0530966891673791E-2</v>
      </c>
      <c r="ID3" s="9">
        <v>7.9268474910316633E-2</v>
      </c>
      <c r="IE3" s="9">
        <v>7.8868920054066649E-2</v>
      </c>
      <c r="IF3" s="9">
        <v>9.102919760582058E-2</v>
      </c>
      <c r="IG3" s="9">
        <v>9.3696795892587226E-2</v>
      </c>
      <c r="IH3" s="9">
        <v>8.9134797602215418E-2</v>
      </c>
      <c r="II3" s="9"/>
      <c r="IJ3" s="9"/>
      <c r="IK3" s="9"/>
      <c r="IL3" s="9"/>
      <c r="IZ3" s="3"/>
      <c r="JX3" s="3"/>
      <c r="JY3" s="3"/>
      <c r="JZ3" s="3"/>
      <c r="KA3" s="3"/>
      <c r="KB3" s="3"/>
      <c r="KC3" s="3"/>
      <c r="KD3" s="3"/>
      <c r="KE3" s="3"/>
      <c r="KF3" s="3"/>
      <c r="KG3" s="3"/>
      <c r="KH3" s="3"/>
      <c r="KI3" s="3"/>
      <c r="KJ3" s="3"/>
      <c r="KK3" s="3"/>
      <c r="MI3" s="4" t="s">
        <v>2</v>
      </c>
      <c r="MK3" s="12">
        <f ca="1">OFFSET($MK$7,COUNT(MK8:MK59),0)/COUNT(MK8:MK59)</f>
        <v>6.7075912564523069E-2</v>
      </c>
      <c r="ML3" s="11">
        <f ca="1">ML2*$MK$3</f>
        <v>5.3660730051618456E-2</v>
      </c>
      <c r="MM3" s="11">
        <f ca="1">MM2*$MK$3</f>
        <v>6.7075912564523069E-2</v>
      </c>
      <c r="MN3" s="11">
        <f ca="1">MN2*$MK$3</f>
        <v>8.0491095077427674E-2</v>
      </c>
    </row>
    <row r="4" spans="2:423" ht="18.75" x14ac:dyDescent="0.25">
      <c r="B4" s="13" t="s">
        <v>268</v>
      </c>
      <c r="C4" s="14"/>
      <c r="D4" s="14"/>
      <c r="E4" s="14"/>
      <c r="F4" s="14"/>
      <c r="G4" s="14"/>
      <c r="H4" s="15"/>
      <c r="I4" s="16" t="s">
        <v>3</v>
      </c>
      <c r="J4" s="16"/>
      <c r="K4" s="17"/>
      <c r="L4" s="17"/>
      <c r="M4" s="17"/>
      <c r="N4" s="16"/>
      <c r="O4" s="16"/>
      <c r="P4" s="17"/>
      <c r="Q4" s="17"/>
      <c r="R4" s="17"/>
      <c r="S4" s="16"/>
      <c r="T4" s="16"/>
      <c r="U4" s="17"/>
      <c r="V4" s="17"/>
      <c r="W4" s="17"/>
      <c r="X4" s="17"/>
      <c r="Y4" s="16"/>
      <c r="Z4" s="17"/>
      <c r="AA4" s="17"/>
      <c r="AB4" s="17"/>
      <c r="AC4" s="17"/>
      <c r="AD4" s="16"/>
      <c r="AE4" s="17"/>
      <c r="AF4" s="17"/>
      <c r="AG4" s="17"/>
      <c r="AH4" s="17"/>
      <c r="AI4" s="16"/>
      <c r="AJ4" s="17"/>
      <c r="AK4" s="17"/>
      <c r="AM4" s="16" t="s">
        <v>4</v>
      </c>
      <c r="AN4" s="17"/>
      <c r="AO4" s="17"/>
      <c r="AP4" s="17"/>
      <c r="AQ4" s="17"/>
      <c r="AR4" s="16"/>
      <c r="AS4" s="16"/>
      <c r="AT4" s="16"/>
      <c r="AU4" s="16"/>
      <c r="AV4" s="17"/>
      <c r="AW4" s="16"/>
      <c r="AX4" s="17"/>
      <c r="AY4" s="17"/>
      <c r="AZ4" s="17"/>
      <c r="BA4" s="17"/>
      <c r="BB4" s="17"/>
      <c r="BC4" s="17"/>
      <c r="BD4" s="17"/>
      <c r="BF4" s="18" t="s">
        <v>5</v>
      </c>
      <c r="BG4" s="19"/>
      <c r="BH4" s="19"/>
      <c r="BI4" s="19"/>
      <c r="BJ4" s="19"/>
      <c r="BK4" s="19"/>
      <c r="BL4" s="19"/>
      <c r="BM4" s="19"/>
      <c r="BN4" s="19"/>
      <c r="BO4" s="19"/>
      <c r="BP4" s="19"/>
      <c r="BQ4" s="19"/>
      <c r="BR4" s="19"/>
      <c r="BS4" s="19"/>
      <c r="BT4" s="19"/>
      <c r="BU4" s="19"/>
      <c r="BV4" s="19"/>
      <c r="BW4" s="19"/>
      <c r="BZ4" s="18" t="s">
        <v>5</v>
      </c>
      <c r="CA4" s="19"/>
      <c r="CB4" s="19"/>
      <c r="CC4" s="19"/>
      <c r="CD4" s="19"/>
      <c r="CE4" s="19"/>
      <c r="CF4" s="19"/>
      <c r="CG4" s="19"/>
      <c r="CH4" s="19"/>
      <c r="CI4" s="19"/>
      <c r="CJ4" s="19"/>
      <c r="CK4" s="19"/>
      <c r="CL4" s="19"/>
      <c r="CM4" s="19"/>
      <c r="CN4" s="19"/>
      <c r="CO4" s="19"/>
      <c r="CP4" s="19"/>
      <c r="CQ4" s="19"/>
      <c r="CR4" s="19"/>
      <c r="CT4" s="16" t="s">
        <v>6</v>
      </c>
      <c r="CU4" s="17"/>
      <c r="CV4" s="16"/>
      <c r="CW4" s="17"/>
      <c r="CX4" s="16"/>
      <c r="CY4" s="17"/>
      <c r="CZ4" s="17"/>
      <c r="DA4" s="17"/>
      <c r="DB4" s="17"/>
      <c r="DC4" s="17"/>
      <c r="DD4" s="17"/>
      <c r="DE4" s="17"/>
      <c r="DF4" s="17"/>
      <c r="DG4" s="17"/>
      <c r="DH4" s="17"/>
      <c r="DI4" s="17"/>
      <c r="DJ4" s="17"/>
      <c r="DK4" s="17"/>
      <c r="DL4" s="17"/>
      <c r="DM4" s="17"/>
      <c r="DN4" s="17"/>
      <c r="DO4" s="17"/>
      <c r="DP4" s="17"/>
      <c r="DR4" s="16" t="s">
        <v>6</v>
      </c>
      <c r="DS4" s="17"/>
      <c r="DT4" s="16"/>
      <c r="DU4" s="17"/>
      <c r="DV4" s="16"/>
      <c r="DW4" s="17"/>
      <c r="DX4" s="17"/>
      <c r="DY4" s="17"/>
      <c r="DZ4" s="17"/>
      <c r="EA4" s="17"/>
      <c r="EB4" s="17"/>
      <c r="EC4" s="17"/>
      <c r="ED4" s="17"/>
      <c r="EE4" s="17"/>
      <c r="EF4" s="17"/>
      <c r="EG4" s="17"/>
      <c r="EH4" s="17"/>
      <c r="EI4" s="17"/>
      <c r="EJ4" s="17"/>
      <c r="EK4" s="17"/>
      <c r="EL4" s="17"/>
      <c r="EM4" s="17"/>
      <c r="EN4" s="17"/>
      <c r="EQ4" s="16" t="s">
        <v>6</v>
      </c>
      <c r="ER4" s="17"/>
      <c r="ES4" s="16"/>
      <c r="ET4" s="17"/>
      <c r="EU4" s="16"/>
      <c r="EV4" s="17"/>
      <c r="EW4" s="17"/>
      <c r="EX4" s="17"/>
      <c r="EY4" s="17"/>
      <c r="EZ4" s="17"/>
      <c r="FA4" s="17"/>
      <c r="FB4" s="17"/>
      <c r="FC4" s="17"/>
      <c r="FD4" s="17"/>
      <c r="FE4" s="17"/>
      <c r="FF4" s="17"/>
      <c r="FG4" s="15"/>
      <c r="FH4" s="15"/>
      <c r="FI4" s="15"/>
      <c r="FJ4" s="15"/>
      <c r="FK4" s="15"/>
      <c r="FL4" s="16" t="s">
        <v>6</v>
      </c>
      <c r="FM4" s="17"/>
      <c r="FN4" s="16"/>
      <c r="FO4" s="17"/>
      <c r="FP4" s="16"/>
      <c r="FQ4" s="17"/>
      <c r="FR4" s="17"/>
      <c r="FS4" s="17"/>
      <c r="FT4" s="17"/>
      <c r="FU4" s="17"/>
      <c r="FV4" s="17"/>
      <c r="FW4" s="17"/>
      <c r="FX4" s="17"/>
      <c r="FY4" s="17"/>
      <c r="FZ4" s="17"/>
      <c r="GA4" s="17"/>
      <c r="GB4" s="15"/>
      <c r="GC4" s="16" t="s">
        <v>6</v>
      </c>
      <c r="GD4" s="17"/>
      <c r="GE4" s="16"/>
      <c r="GF4" s="17"/>
      <c r="GG4" s="16"/>
      <c r="GH4" s="17"/>
      <c r="GI4" s="17"/>
      <c r="GJ4" s="17"/>
      <c r="GK4" s="17"/>
      <c r="GL4" s="17"/>
      <c r="GM4" s="17"/>
      <c r="GN4" s="17"/>
      <c r="GO4" s="17"/>
      <c r="GP4" s="17"/>
      <c r="GQ4" s="17"/>
      <c r="GR4" s="17"/>
      <c r="GS4" s="17"/>
      <c r="GT4" s="17"/>
      <c r="GU4" s="17"/>
      <c r="GV4" s="17"/>
      <c r="GW4" s="17"/>
      <c r="GX4" s="17"/>
      <c r="GY4" s="17"/>
      <c r="HA4" s="16" t="s">
        <v>6</v>
      </c>
      <c r="HB4" s="17"/>
      <c r="HC4" s="17"/>
      <c r="HD4" s="16"/>
      <c r="HE4" s="17"/>
      <c r="HF4" s="16"/>
      <c r="HG4" s="17"/>
      <c r="HH4" s="17"/>
      <c r="HI4" s="17"/>
      <c r="HJ4" s="17"/>
      <c r="HK4" s="17"/>
      <c r="HL4" s="17"/>
      <c r="HM4" s="17"/>
      <c r="HN4" s="17"/>
      <c r="HO4" s="17"/>
      <c r="HP4" s="17"/>
      <c r="HQ4" s="17"/>
      <c r="HR4" s="17"/>
      <c r="HS4" s="17"/>
      <c r="HT4" s="17"/>
      <c r="HU4" s="17"/>
      <c r="HV4" s="16" t="s">
        <v>6</v>
      </c>
      <c r="HW4" s="17"/>
      <c r="HX4" s="16"/>
      <c r="HY4" s="17"/>
      <c r="HZ4" s="16"/>
      <c r="IA4" s="17"/>
      <c r="IB4" s="17"/>
      <c r="IC4" s="17"/>
      <c r="ID4" s="17"/>
      <c r="IE4" s="17"/>
      <c r="IF4" s="17"/>
      <c r="IG4" s="17"/>
      <c r="IH4" s="17"/>
      <c r="II4" s="17"/>
      <c r="IJ4" s="17"/>
      <c r="IK4" s="17"/>
      <c r="IL4" s="17"/>
      <c r="IM4" s="17"/>
      <c r="IN4" s="17"/>
      <c r="IO4" s="17"/>
      <c r="IP4" s="17"/>
      <c r="IQ4" s="17"/>
      <c r="IR4" s="17"/>
      <c r="IS4" s="17"/>
      <c r="IT4" s="17"/>
      <c r="IU4" s="17"/>
      <c r="IV4" s="17"/>
      <c r="IW4" s="17"/>
      <c r="IX4" s="17"/>
      <c r="IZ4" s="16" t="s">
        <v>7</v>
      </c>
      <c r="JA4" s="17"/>
      <c r="JB4" s="16"/>
      <c r="JC4" s="17"/>
      <c r="JD4" s="16"/>
      <c r="JE4" s="17"/>
      <c r="JF4" s="17"/>
      <c r="JG4" s="17"/>
      <c r="JH4" s="17"/>
      <c r="JI4" s="17"/>
      <c r="JJ4" s="17"/>
      <c r="JK4" s="17"/>
      <c r="JL4" s="17"/>
      <c r="JM4" s="17"/>
      <c r="JN4" s="17"/>
      <c r="JO4" s="17"/>
      <c r="JP4" s="17"/>
      <c r="JQ4" s="17"/>
      <c r="JR4" s="17"/>
      <c r="JS4" s="17"/>
      <c r="JT4" s="17"/>
      <c r="JU4" s="17"/>
      <c r="JV4" s="17"/>
      <c r="JW4" s="15"/>
      <c r="JX4" s="16" t="s">
        <v>7</v>
      </c>
      <c r="JY4" s="17"/>
      <c r="JZ4" s="16"/>
      <c r="KA4" s="17"/>
      <c r="KB4" s="17"/>
      <c r="KC4" s="17"/>
      <c r="KD4" s="17"/>
      <c r="KE4" s="17"/>
      <c r="KF4" s="17"/>
      <c r="KG4" s="17"/>
      <c r="KH4" s="17"/>
      <c r="KI4" s="17"/>
      <c r="KJ4" s="17"/>
      <c r="KK4" s="17"/>
      <c r="KM4" s="20"/>
      <c r="KN4" s="20"/>
      <c r="KO4" s="20"/>
      <c r="KP4" s="20"/>
      <c r="KQ4" s="20"/>
      <c r="KR4" s="20"/>
      <c r="KS4" s="20"/>
      <c r="KT4" s="20"/>
      <c r="KU4" s="20"/>
      <c r="KV4" s="20"/>
      <c r="KW4" s="20"/>
      <c r="KX4" s="20"/>
      <c r="KY4" s="20"/>
      <c r="KZ4" s="20"/>
      <c r="LA4" s="20"/>
      <c r="LB4" s="20"/>
      <c r="LC4" s="20"/>
      <c r="LD4" s="20"/>
      <c r="LE4" s="20"/>
      <c r="LF4" s="20"/>
      <c r="LG4" s="20"/>
      <c r="LH4" s="20"/>
      <c r="LI4" s="20"/>
      <c r="LJ4" s="20"/>
      <c r="LK4" s="20"/>
      <c r="LL4" s="20"/>
      <c r="LM4" s="20"/>
      <c r="LN4" s="20"/>
      <c r="LO4" s="20"/>
      <c r="LP4" s="20"/>
      <c r="LQ4" s="20"/>
      <c r="LR4" s="20"/>
      <c r="LS4" s="20"/>
      <c r="LT4" s="20"/>
      <c r="LU4" s="20"/>
      <c r="LV4" s="20"/>
      <c r="LW4" s="20"/>
      <c r="LX4" s="20"/>
      <c r="LY4" s="20"/>
      <c r="MA4" s="21" t="s">
        <v>8</v>
      </c>
      <c r="MB4" s="22"/>
      <c r="MC4" s="22"/>
      <c r="MD4" s="22"/>
      <c r="ME4" s="22"/>
      <c r="MF4" s="22"/>
      <c r="MG4" s="22"/>
      <c r="MH4" s="22"/>
      <c r="MI4" s="22"/>
      <c r="MJ4" s="22"/>
      <c r="MK4" s="20"/>
      <c r="ML4" s="20"/>
      <c r="MM4" s="21"/>
      <c r="MN4" s="20"/>
      <c r="MO4" s="20"/>
      <c r="MP4" s="20"/>
      <c r="MQ4" s="20"/>
      <c r="MR4" s="20"/>
      <c r="MS4" s="20"/>
      <c r="MT4" s="20"/>
      <c r="MV4" s="23" t="s">
        <v>9</v>
      </c>
      <c r="MW4" s="24"/>
      <c r="MX4" s="24"/>
      <c r="MY4" s="24"/>
      <c r="MZ4" s="24"/>
      <c r="NA4" s="24"/>
      <c r="NB4" s="24"/>
      <c r="NC4" s="24"/>
      <c r="ND4" s="24"/>
      <c r="NE4" s="24"/>
      <c r="NF4" s="24"/>
      <c r="NG4" s="24"/>
      <c r="NH4" s="24"/>
      <c r="NI4" s="24"/>
      <c r="NJ4" s="24"/>
      <c r="NK4" s="24"/>
      <c r="NL4" s="24"/>
      <c r="NM4" s="24"/>
      <c r="NN4" s="24"/>
      <c r="NO4" s="24"/>
      <c r="NP4" s="24"/>
      <c r="NQ4" s="24"/>
      <c r="NS4" s="21" t="s">
        <v>10</v>
      </c>
      <c r="NT4" s="20"/>
      <c r="NU4" s="21"/>
      <c r="NV4" s="20"/>
      <c r="NW4" s="21"/>
      <c r="NX4" s="20"/>
      <c r="NY4" s="20"/>
      <c r="NZ4" s="20"/>
      <c r="OA4" s="20"/>
      <c r="OB4" s="20"/>
      <c r="OC4" s="20"/>
      <c r="OD4" s="20"/>
      <c r="OE4" s="20"/>
      <c r="OF4" s="20"/>
      <c r="OG4" s="20"/>
      <c r="OH4" s="20"/>
      <c r="OI4" s="20"/>
      <c r="OJ4" s="20"/>
      <c r="OK4" s="20"/>
      <c r="OL4" s="20"/>
      <c r="OM4" s="20"/>
      <c r="ON4" s="20"/>
      <c r="OO4" s="20"/>
      <c r="OP4" s="20"/>
      <c r="OR4" s="21" t="s">
        <v>11</v>
      </c>
      <c r="OS4" s="20"/>
      <c r="OT4" s="21"/>
      <c r="OU4" s="20"/>
      <c r="OV4" s="21"/>
      <c r="OW4" s="20"/>
      <c r="OX4" s="20"/>
      <c r="OY4" s="20"/>
      <c r="OZ4" s="20"/>
      <c r="PA4" s="20"/>
      <c r="PB4" s="20"/>
      <c r="PC4" s="20"/>
      <c r="PD4" s="20"/>
      <c r="PE4" s="20"/>
      <c r="PF4" s="20"/>
      <c r="PG4" s="20"/>
    </row>
    <row r="5" spans="2:423" x14ac:dyDescent="0.25">
      <c r="I5" s="239" t="s">
        <v>269</v>
      </c>
      <c r="J5" s="239"/>
      <c r="K5" s="25"/>
      <c r="L5" s="3"/>
      <c r="M5" s="3"/>
      <c r="N5" s="239"/>
      <c r="O5" s="239"/>
      <c r="P5" s="25"/>
      <c r="Q5" s="3"/>
      <c r="R5" s="3"/>
      <c r="S5" s="239"/>
      <c r="T5" s="239"/>
      <c r="U5" s="25"/>
      <c r="V5" s="3"/>
      <c r="W5" s="3"/>
      <c r="X5" s="3"/>
      <c r="Y5" s="239"/>
      <c r="Z5" s="3"/>
      <c r="AA5" s="3"/>
      <c r="AB5" s="3"/>
      <c r="AC5" s="3"/>
      <c r="AD5" s="239"/>
      <c r="AE5" s="3"/>
      <c r="AF5" s="3"/>
    </row>
    <row r="6" spans="2:423" s="26" customFormat="1" ht="45" x14ac:dyDescent="0.25">
      <c r="B6" s="26" t="s">
        <v>12</v>
      </c>
      <c r="C6" s="26" t="s">
        <v>13</v>
      </c>
      <c r="D6" s="26" t="s">
        <v>14</v>
      </c>
      <c r="E6" s="26" t="s">
        <v>15</v>
      </c>
      <c r="F6" s="26" t="s">
        <v>16</v>
      </c>
      <c r="G6" s="26" t="s">
        <v>17</v>
      </c>
      <c r="H6" s="27"/>
      <c r="I6" s="28" t="s">
        <v>18</v>
      </c>
      <c r="J6" s="28" t="s">
        <v>15</v>
      </c>
      <c r="K6" s="28" t="s">
        <v>13</v>
      </c>
      <c r="L6" s="28" t="s">
        <v>270</v>
      </c>
      <c r="N6" s="28" t="s">
        <v>19</v>
      </c>
      <c r="O6" s="28" t="s">
        <v>15</v>
      </c>
      <c r="P6" s="28" t="s">
        <v>13</v>
      </c>
      <c r="Q6" s="28" t="s">
        <v>270</v>
      </c>
      <c r="S6" s="28" t="s">
        <v>20</v>
      </c>
      <c r="T6" s="28" t="s">
        <v>15</v>
      </c>
      <c r="U6" s="28" t="s">
        <v>13</v>
      </c>
      <c r="V6" s="28" t="s">
        <v>270</v>
      </c>
      <c r="X6" s="28" t="s">
        <v>21</v>
      </c>
      <c r="Y6" s="28" t="s">
        <v>15</v>
      </c>
      <c r="Z6" s="28" t="s">
        <v>13</v>
      </c>
      <c r="AA6" s="28" t="s">
        <v>270</v>
      </c>
      <c r="AC6" s="28" t="s">
        <v>22</v>
      </c>
      <c r="AD6" s="28" t="s">
        <v>15</v>
      </c>
      <c r="AE6" s="28" t="s">
        <v>13</v>
      </c>
      <c r="AF6" s="28" t="s">
        <v>270</v>
      </c>
      <c r="AG6" s="28"/>
      <c r="AH6" s="28" t="s">
        <v>23</v>
      </c>
      <c r="AI6" s="28" t="s">
        <v>15</v>
      </c>
      <c r="AJ6" s="28" t="s">
        <v>13</v>
      </c>
      <c r="AK6" s="28" t="s">
        <v>270</v>
      </c>
      <c r="AM6" s="26" t="s">
        <v>24</v>
      </c>
      <c r="AN6" s="28" t="s">
        <v>18</v>
      </c>
      <c r="AO6" s="28" t="s">
        <v>19</v>
      </c>
      <c r="AP6" s="26" t="s">
        <v>20</v>
      </c>
      <c r="AQ6" s="26" t="s">
        <v>21</v>
      </c>
      <c r="AR6" s="26" t="s">
        <v>22</v>
      </c>
      <c r="AS6" s="26" t="s">
        <v>23</v>
      </c>
      <c r="AU6" s="26" t="s">
        <v>25</v>
      </c>
      <c r="AV6" s="26" t="s">
        <v>26</v>
      </c>
      <c r="AW6" s="26" t="s">
        <v>27</v>
      </c>
      <c r="AX6" s="26" t="s">
        <v>28</v>
      </c>
      <c r="BH6" s="28" t="s">
        <v>18</v>
      </c>
      <c r="BI6" s="28" t="s">
        <v>19</v>
      </c>
      <c r="BJ6" s="28" t="s">
        <v>20</v>
      </c>
      <c r="BK6" s="28" t="s">
        <v>21</v>
      </c>
      <c r="BL6" s="28" t="s">
        <v>22</v>
      </c>
      <c r="BM6" s="28" t="s">
        <v>25</v>
      </c>
      <c r="BN6" s="28" t="s">
        <v>22</v>
      </c>
      <c r="CB6" s="28" t="s">
        <v>271</v>
      </c>
      <c r="CC6" s="28" t="s">
        <v>272</v>
      </c>
      <c r="CD6" s="28" t="s">
        <v>18</v>
      </c>
      <c r="CE6" s="28" t="s">
        <v>19</v>
      </c>
      <c r="CF6" s="28" t="s">
        <v>20</v>
      </c>
      <c r="CG6" s="28" t="s">
        <v>21</v>
      </c>
      <c r="CH6" s="28" t="s">
        <v>22</v>
      </c>
      <c r="CI6" s="28" t="s">
        <v>22</v>
      </c>
      <c r="CT6" s="26" t="s">
        <v>12</v>
      </c>
      <c r="CU6" s="26" t="s">
        <v>29</v>
      </c>
      <c r="CV6" s="26" t="s">
        <v>30</v>
      </c>
      <c r="CW6" s="26" t="s">
        <v>31</v>
      </c>
      <c r="CX6" s="26" t="s">
        <v>32</v>
      </c>
      <c r="CY6" s="26" t="s">
        <v>33</v>
      </c>
      <c r="CZ6" s="26" t="s">
        <v>34</v>
      </c>
      <c r="DA6" s="26" t="s">
        <v>35</v>
      </c>
      <c r="DB6" s="26" t="s">
        <v>36</v>
      </c>
      <c r="DC6" s="26" t="s">
        <v>37</v>
      </c>
      <c r="DD6" s="26" t="s">
        <v>38</v>
      </c>
      <c r="DE6" s="26" t="s">
        <v>39</v>
      </c>
      <c r="DF6" s="26" t="s">
        <v>40</v>
      </c>
      <c r="DG6" s="26" t="s">
        <v>41</v>
      </c>
      <c r="DQ6"/>
      <c r="DR6" s="26" t="s">
        <v>12</v>
      </c>
      <c r="DS6" s="26" t="s">
        <v>29</v>
      </c>
      <c r="DT6" s="26" t="s">
        <v>30</v>
      </c>
      <c r="DU6" s="26" t="s">
        <v>31</v>
      </c>
      <c r="DV6" s="26" t="s">
        <v>32</v>
      </c>
      <c r="DW6" s="26" t="s">
        <v>33</v>
      </c>
      <c r="DX6" s="26" t="s">
        <v>34</v>
      </c>
      <c r="DY6" s="26" t="s">
        <v>35</v>
      </c>
      <c r="DZ6" s="26" t="s">
        <v>36</v>
      </c>
      <c r="EA6" s="26" t="s">
        <v>37</v>
      </c>
      <c r="EB6" s="26" t="s">
        <v>38</v>
      </c>
      <c r="EC6" s="26" t="s">
        <v>39</v>
      </c>
      <c r="ED6" s="26" t="s">
        <v>40</v>
      </c>
      <c r="EE6" s="26" t="s">
        <v>41</v>
      </c>
      <c r="EO6"/>
      <c r="EP6"/>
      <c r="EQ6" s="26" t="s">
        <v>12</v>
      </c>
      <c r="ER6" s="26" t="s">
        <v>29</v>
      </c>
      <c r="ES6" s="26" t="s">
        <v>30</v>
      </c>
      <c r="ET6" s="26" t="s">
        <v>31</v>
      </c>
      <c r="EU6" s="26" t="s">
        <v>32</v>
      </c>
      <c r="EV6" s="26" t="s">
        <v>33</v>
      </c>
      <c r="EW6" s="26" t="s">
        <v>34</v>
      </c>
      <c r="EX6" s="26" t="s">
        <v>35</v>
      </c>
      <c r="EY6" s="26" t="s">
        <v>36</v>
      </c>
      <c r="EZ6" s="26" t="s">
        <v>37</v>
      </c>
      <c r="FA6" s="26" t="s">
        <v>38</v>
      </c>
      <c r="FB6" s="26" t="s">
        <v>39</v>
      </c>
      <c r="FC6" s="26" t="s">
        <v>40</v>
      </c>
      <c r="FD6" s="26" t="s">
        <v>41</v>
      </c>
      <c r="FG6" s="27"/>
      <c r="FH6" s="27"/>
      <c r="FI6" s="27"/>
      <c r="FJ6" s="27"/>
      <c r="FK6" s="27"/>
      <c r="FL6" s="26" t="s">
        <v>12</v>
      </c>
      <c r="FM6" s="26" t="s">
        <v>29</v>
      </c>
      <c r="FN6" s="26" t="s">
        <v>30</v>
      </c>
      <c r="FO6" s="26" t="s">
        <v>31</v>
      </c>
      <c r="FP6" s="26" t="s">
        <v>32</v>
      </c>
      <c r="FQ6" s="26" t="s">
        <v>33</v>
      </c>
      <c r="FR6" s="26" t="s">
        <v>34</v>
      </c>
      <c r="FS6" s="26" t="s">
        <v>35</v>
      </c>
      <c r="FT6" s="26" t="s">
        <v>36</v>
      </c>
      <c r="FU6" s="26" t="s">
        <v>37</v>
      </c>
      <c r="FV6" s="26" t="s">
        <v>38</v>
      </c>
      <c r="FW6" s="26" t="s">
        <v>39</v>
      </c>
      <c r="FX6" s="26" t="s">
        <v>40</v>
      </c>
      <c r="FY6" s="26" t="s">
        <v>41</v>
      </c>
      <c r="GB6" s="27"/>
      <c r="GC6" s="26" t="s">
        <v>12</v>
      </c>
      <c r="GD6" s="26" t="s">
        <v>29</v>
      </c>
      <c r="GE6" s="26" t="s">
        <v>30</v>
      </c>
      <c r="GF6" s="26" t="s">
        <v>31</v>
      </c>
      <c r="GG6" s="26" t="s">
        <v>32</v>
      </c>
      <c r="GH6" s="26" t="s">
        <v>33</v>
      </c>
      <c r="GI6" s="26" t="s">
        <v>34</v>
      </c>
      <c r="GJ6" s="26" t="s">
        <v>35</v>
      </c>
      <c r="GK6" s="26" t="s">
        <v>36</v>
      </c>
      <c r="GL6" s="26" t="s">
        <v>37</v>
      </c>
      <c r="GM6" s="26" t="s">
        <v>38</v>
      </c>
      <c r="GN6" s="26" t="s">
        <v>39</v>
      </c>
      <c r="GO6" s="26" t="s">
        <v>40</v>
      </c>
      <c r="GP6" s="26" t="s">
        <v>41</v>
      </c>
      <c r="GZ6"/>
      <c r="HA6" s="26" t="s">
        <v>12</v>
      </c>
      <c r="HB6" s="26" t="s">
        <v>29</v>
      </c>
      <c r="HD6" s="26" t="s">
        <v>30</v>
      </c>
      <c r="HE6" s="26" t="s">
        <v>31</v>
      </c>
      <c r="HF6" s="26" t="s">
        <v>32</v>
      </c>
      <c r="HG6" s="26" t="s">
        <v>33</v>
      </c>
      <c r="HH6" s="26" t="s">
        <v>34</v>
      </c>
      <c r="HI6" s="26" t="s">
        <v>35</v>
      </c>
      <c r="HJ6" s="26" t="s">
        <v>36</v>
      </c>
      <c r="HK6" s="26" t="s">
        <v>37</v>
      </c>
      <c r="HL6" s="26" t="s">
        <v>38</v>
      </c>
      <c r="HM6" s="26" t="s">
        <v>39</v>
      </c>
      <c r="HN6" s="26" t="s">
        <v>40</v>
      </c>
      <c r="HS6" s="26" t="s">
        <v>41</v>
      </c>
      <c r="HV6" s="26" t="s">
        <v>12</v>
      </c>
      <c r="HW6" s="26" t="s">
        <v>29</v>
      </c>
      <c r="HX6" s="26" t="s">
        <v>30</v>
      </c>
      <c r="HY6" s="26" t="s">
        <v>31</v>
      </c>
      <c r="HZ6" s="26" t="s">
        <v>32</v>
      </c>
      <c r="IA6" s="26" t="s">
        <v>33</v>
      </c>
      <c r="IB6" s="26" t="s">
        <v>34</v>
      </c>
      <c r="IC6" s="26" t="s">
        <v>35</v>
      </c>
      <c r="ID6" s="26" t="s">
        <v>36</v>
      </c>
      <c r="IE6" s="26" t="s">
        <v>37</v>
      </c>
      <c r="IF6" s="26" t="s">
        <v>38</v>
      </c>
      <c r="IG6" s="26" t="s">
        <v>39</v>
      </c>
      <c r="IH6" s="26" t="s">
        <v>40</v>
      </c>
      <c r="IM6" s="26" t="s">
        <v>41</v>
      </c>
      <c r="IZ6" s="26" t="s">
        <v>12</v>
      </c>
      <c r="JA6" s="26" t="s">
        <v>29</v>
      </c>
      <c r="JB6" s="26" t="s">
        <v>30</v>
      </c>
      <c r="JC6" s="26" t="s">
        <v>31</v>
      </c>
      <c r="JD6" s="26" t="s">
        <v>32</v>
      </c>
      <c r="JE6" s="26" t="s">
        <v>33</v>
      </c>
      <c r="JF6" s="26" t="s">
        <v>34</v>
      </c>
      <c r="JG6" s="26" t="s">
        <v>35</v>
      </c>
      <c r="JH6" s="26" t="s">
        <v>36</v>
      </c>
      <c r="JI6" s="26" t="s">
        <v>37</v>
      </c>
      <c r="JJ6" s="26" t="s">
        <v>38</v>
      </c>
      <c r="JK6" s="26" t="s">
        <v>39</v>
      </c>
      <c r="JL6" s="26" t="s">
        <v>40</v>
      </c>
      <c r="JM6" s="26" t="s">
        <v>41</v>
      </c>
      <c r="JX6" s="26" t="s">
        <v>12</v>
      </c>
      <c r="JY6" s="26" t="s">
        <v>29</v>
      </c>
      <c r="JZ6" s="29" t="s">
        <v>273</v>
      </c>
      <c r="KA6" s="29" t="s">
        <v>274</v>
      </c>
      <c r="KB6" s="29" t="s">
        <v>42</v>
      </c>
      <c r="KM6" s="28" t="s">
        <v>43</v>
      </c>
      <c r="KN6" s="28" t="s">
        <v>44</v>
      </c>
      <c r="KO6" s="28" t="s">
        <v>45</v>
      </c>
      <c r="KQ6" s="28" t="s">
        <v>46</v>
      </c>
      <c r="KR6" s="28" t="s">
        <v>44</v>
      </c>
      <c r="KS6" s="28" t="s">
        <v>45</v>
      </c>
      <c r="KU6" s="28" t="s">
        <v>47</v>
      </c>
      <c r="KV6" s="28" t="s">
        <v>44</v>
      </c>
      <c r="KW6" s="28" t="s">
        <v>45</v>
      </c>
      <c r="KY6" s="28" t="s">
        <v>48</v>
      </c>
      <c r="KZ6" s="28" t="s">
        <v>44</v>
      </c>
      <c r="LA6" s="28" t="s">
        <v>45</v>
      </c>
      <c r="LC6" s="28" t="s">
        <v>49</v>
      </c>
      <c r="LD6" s="28" t="s">
        <v>44</v>
      </c>
      <c r="LE6" s="28" t="s">
        <v>45</v>
      </c>
      <c r="LG6" s="26" t="s">
        <v>50</v>
      </c>
      <c r="LH6" s="28" t="s">
        <v>44</v>
      </c>
      <c r="LI6" s="28" t="s">
        <v>45</v>
      </c>
      <c r="LK6" s="28" t="s">
        <v>51</v>
      </c>
      <c r="LL6" s="28" t="s">
        <v>44</v>
      </c>
      <c r="LM6" s="28" t="s">
        <v>45</v>
      </c>
      <c r="LO6" s="28" t="s">
        <v>52</v>
      </c>
      <c r="LP6" s="28" t="s">
        <v>44</v>
      </c>
      <c r="LQ6" s="28" t="s">
        <v>45</v>
      </c>
      <c r="LS6" s="28" t="s">
        <v>53</v>
      </c>
      <c r="LT6" s="28" t="s">
        <v>44</v>
      </c>
      <c r="LU6" s="28" t="s">
        <v>45</v>
      </c>
      <c r="LW6" s="28" t="s">
        <v>54</v>
      </c>
      <c r="LX6" s="28" t="s">
        <v>44</v>
      </c>
      <c r="LY6" s="28" t="s">
        <v>45</v>
      </c>
      <c r="MA6" s="26" t="s">
        <v>24</v>
      </c>
      <c r="MB6" s="28" t="s">
        <v>43</v>
      </c>
      <c r="MC6" s="28" t="s">
        <v>46</v>
      </c>
      <c r="MD6" s="28" t="s">
        <v>47</v>
      </c>
      <c r="ME6" s="28" t="s">
        <v>48</v>
      </c>
      <c r="MF6" s="28" t="s">
        <v>49</v>
      </c>
      <c r="MG6" s="28" t="s">
        <v>50</v>
      </c>
      <c r="MH6" s="28" t="s">
        <v>51</v>
      </c>
      <c r="MI6" s="28" t="s">
        <v>52</v>
      </c>
      <c r="MJ6" s="28" t="s">
        <v>53</v>
      </c>
      <c r="MK6" s="28" t="s">
        <v>54</v>
      </c>
      <c r="ML6" s="26" t="s">
        <v>26</v>
      </c>
      <c r="MM6" s="26" t="s">
        <v>27</v>
      </c>
      <c r="MN6" s="26" t="s">
        <v>28</v>
      </c>
      <c r="MX6" s="28" t="s">
        <v>43</v>
      </c>
      <c r="MY6" s="28" t="s">
        <v>46</v>
      </c>
      <c r="MZ6" s="28" t="s">
        <v>47</v>
      </c>
      <c r="NA6" s="28" t="s">
        <v>48</v>
      </c>
      <c r="NB6" s="28" t="s">
        <v>49</v>
      </c>
      <c r="NC6" s="28" t="s">
        <v>50</v>
      </c>
      <c r="ND6" s="28" t="s">
        <v>51</v>
      </c>
      <c r="NE6" s="28" t="s">
        <v>52</v>
      </c>
      <c r="NF6" s="28" t="s">
        <v>53</v>
      </c>
      <c r="NG6" s="28" t="s">
        <v>54</v>
      </c>
      <c r="NH6" s="28" t="s">
        <v>54</v>
      </c>
      <c r="NS6" s="26" t="s">
        <v>12</v>
      </c>
      <c r="NT6" s="26" t="s">
        <v>29</v>
      </c>
      <c r="NU6" s="26" t="s">
        <v>30</v>
      </c>
      <c r="NV6" s="26" t="s">
        <v>31</v>
      </c>
      <c r="NW6" s="26" t="s">
        <v>32</v>
      </c>
      <c r="NX6" s="26" t="s">
        <v>33</v>
      </c>
      <c r="NY6" s="26" t="s">
        <v>34</v>
      </c>
      <c r="NZ6" s="26" t="s">
        <v>35</v>
      </c>
      <c r="OA6" s="26" t="s">
        <v>36</v>
      </c>
      <c r="OB6" s="26" t="s">
        <v>37</v>
      </c>
      <c r="OC6" s="26" t="s">
        <v>38</v>
      </c>
      <c r="OD6" s="26" t="s">
        <v>39</v>
      </c>
      <c r="OE6" s="26" t="s">
        <v>40</v>
      </c>
      <c r="OF6" s="26" t="s">
        <v>55</v>
      </c>
      <c r="OR6" s="26" t="s">
        <v>12</v>
      </c>
      <c r="OS6" s="26" t="s">
        <v>29</v>
      </c>
      <c r="OT6" s="26" t="s">
        <v>30</v>
      </c>
      <c r="OU6" s="26" t="s">
        <v>31</v>
      </c>
      <c r="OV6" s="26" t="s">
        <v>32</v>
      </c>
      <c r="OW6" s="26" t="s">
        <v>33</v>
      </c>
      <c r="OX6" s="26" t="s">
        <v>34</v>
      </c>
      <c r="OY6" s="26" t="s">
        <v>35</v>
      </c>
      <c r="OZ6" s="26" t="s">
        <v>36</v>
      </c>
      <c r="PA6" s="26" t="s">
        <v>37</v>
      </c>
      <c r="PB6" s="26" t="s">
        <v>38</v>
      </c>
      <c r="PC6" s="26" t="s">
        <v>39</v>
      </c>
      <c r="PD6" s="26" t="s">
        <v>40</v>
      </c>
      <c r="PE6" s="26" t="s">
        <v>55</v>
      </c>
    </row>
    <row r="7" spans="2:423" s="30" customFormat="1" x14ac:dyDescent="0.25">
      <c r="B7" s="30" t="s">
        <v>56</v>
      </c>
      <c r="C7" s="30" t="s">
        <v>56</v>
      </c>
      <c r="I7" s="31"/>
      <c r="J7" s="31"/>
      <c r="K7" s="31"/>
      <c r="L7" s="31"/>
      <c r="N7" s="31"/>
      <c r="O7" s="31"/>
      <c r="P7" s="31"/>
      <c r="Q7" s="31"/>
      <c r="S7" s="31"/>
      <c r="T7" s="31"/>
      <c r="U7" s="31"/>
      <c r="V7" s="31"/>
      <c r="X7" s="31"/>
      <c r="Y7" s="31"/>
      <c r="Z7" s="31"/>
      <c r="AA7" s="31"/>
      <c r="AC7" s="31"/>
      <c r="AD7" s="31"/>
      <c r="AE7" s="31"/>
      <c r="AF7" s="31"/>
      <c r="AG7" s="31"/>
      <c r="AH7" s="31"/>
      <c r="AI7" s="31"/>
      <c r="AJ7" s="31"/>
      <c r="AK7" s="31"/>
      <c r="AM7" s="32">
        <v>0</v>
      </c>
      <c r="AN7" s="33">
        <v>0</v>
      </c>
      <c r="AO7" s="33">
        <v>0</v>
      </c>
      <c r="AP7" s="33">
        <v>0</v>
      </c>
      <c r="AQ7" s="33">
        <v>0</v>
      </c>
      <c r="AR7" s="33">
        <v>0</v>
      </c>
      <c r="AS7" s="33">
        <v>0</v>
      </c>
      <c r="AT7" s="33"/>
      <c r="AU7" s="33">
        <v>0</v>
      </c>
      <c r="AV7" s="33">
        <v>0</v>
      </c>
      <c r="AW7" s="33">
        <v>0</v>
      </c>
      <c r="AX7" s="33">
        <v>0</v>
      </c>
      <c r="BB7" s="34" t="s">
        <v>275</v>
      </c>
      <c r="BV7" s="34"/>
      <c r="CQ7" s="34"/>
      <c r="GD7" s="30">
        <v>0</v>
      </c>
      <c r="KM7" s="31"/>
      <c r="KN7" s="31"/>
      <c r="KO7" s="31"/>
      <c r="KQ7" s="31"/>
      <c r="KR7" s="31"/>
      <c r="KS7" s="31"/>
      <c r="KU7" s="31"/>
      <c r="KV7" s="31"/>
      <c r="KW7" s="31"/>
      <c r="KY7" s="31"/>
      <c r="KZ7" s="31"/>
      <c r="LA7" s="31"/>
      <c r="LC7" s="31"/>
      <c r="LD7" s="31"/>
      <c r="LE7" s="31"/>
      <c r="LK7" s="31"/>
      <c r="LL7" s="31"/>
      <c r="LM7" s="31"/>
      <c r="LS7" s="31"/>
      <c r="LT7" s="31"/>
      <c r="LU7" s="31"/>
      <c r="MA7" s="32">
        <v>0</v>
      </c>
      <c r="MB7" s="33">
        <v>0</v>
      </c>
      <c r="MC7" s="33">
        <v>0</v>
      </c>
      <c r="MD7" s="33">
        <v>0</v>
      </c>
      <c r="ME7" s="33">
        <v>0</v>
      </c>
      <c r="MF7" s="33">
        <v>0</v>
      </c>
      <c r="MG7" s="33">
        <v>0</v>
      </c>
      <c r="MH7" s="33">
        <v>0</v>
      </c>
      <c r="MI7" s="33">
        <v>0</v>
      </c>
      <c r="MJ7" s="33">
        <v>0</v>
      </c>
      <c r="MK7" s="33">
        <v>0</v>
      </c>
      <c r="ML7" s="35"/>
      <c r="MM7" s="35"/>
      <c r="MN7" s="35"/>
    </row>
    <row r="8" spans="2:423" x14ac:dyDescent="0.25">
      <c r="B8" s="36"/>
      <c r="C8" s="37" t="s">
        <v>57</v>
      </c>
      <c r="D8" s="37" t="s">
        <v>58</v>
      </c>
      <c r="E8" s="36"/>
      <c r="F8" s="36"/>
      <c r="G8" s="36"/>
      <c r="H8" s="36"/>
      <c r="I8" s="38">
        <v>42922</v>
      </c>
      <c r="J8" s="240">
        <v>3000000</v>
      </c>
      <c r="K8" s="240">
        <v>13252916.830999998</v>
      </c>
      <c r="L8" s="241">
        <f>K8</f>
        <v>13252916.830999998</v>
      </c>
      <c r="N8" s="38">
        <v>43286</v>
      </c>
      <c r="O8" s="240">
        <v>12000000</v>
      </c>
      <c r="P8" s="240">
        <v>24234595.182600003</v>
      </c>
      <c r="Q8" s="241">
        <f>P8</f>
        <v>24234595.182600003</v>
      </c>
      <c r="S8" s="38">
        <v>43650</v>
      </c>
      <c r="T8" s="240">
        <v>60000000</v>
      </c>
      <c r="U8" s="240">
        <v>63792737.111400008</v>
      </c>
      <c r="V8" s="241">
        <f>U8</f>
        <v>63792737.111400008</v>
      </c>
      <c r="X8" s="38">
        <v>44014</v>
      </c>
      <c r="Y8" s="240">
        <v>50000000</v>
      </c>
      <c r="Z8" s="240">
        <v>83878292.387999997</v>
      </c>
      <c r="AA8" s="241">
        <f>Z8</f>
        <v>83878292.387999997</v>
      </c>
      <c r="AC8" s="38">
        <v>44378</v>
      </c>
      <c r="AD8" s="240">
        <v>60000000</v>
      </c>
      <c r="AE8" s="240">
        <v>95665744.548000008</v>
      </c>
      <c r="AF8" s="241">
        <f>AE8</f>
        <v>95665744.548000008</v>
      </c>
      <c r="AG8" s="241"/>
      <c r="AH8" s="38">
        <v>44749</v>
      </c>
      <c r="AI8" s="240">
        <v>4000000</v>
      </c>
      <c r="AJ8" s="240">
        <v>24383432.684147157</v>
      </c>
      <c r="AK8" s="241">
        <f>AJ8</f>
        <v>24383432.684147157</v>
      </c>
      <c r="AM8" s="32">
        <v>1</v>
      </c>
      <c r="AN8" s="39">
        <f t="shared" ref="AN8:AN59" si="0">L8/1000000000</f>
        <v>1.3252916830999998E-2</v>
      </c>
      <c r="AO8" s="39">
        <f t="shared" ref="AO8:AO59" si="1">Q8/1000000000</f>
        <v>2.4234595182600002E-2</v>
      </c>
      <c r="AP8" s="39">
        <f t="shared" ref="AP8:AP59" si="2">V8/1000000000</f>
        <v>6.3792737111400002E-2</v>
      </c>
      <c r="AQ8" s="39">
        <f t="shared" ref="AQ8:AQ59" si="3">AA8/1000000000</f>
        <v>8.3878292388E-2</v>
      </c>
      <c r="AR8" s="39">
        <f>AF8/1000000000</f>
        <v>9.5665744548000003E-2</v>
      </c>
      <c r="AS8" s="39">
        <f>AK8/1000000000</f>
        <v>2.4383432684147156E-2</v>
      </c>
      <c r="AT8" s="39"/>
      <c r="AU8" s="39">
        <f>AG8/1000000000</f>
        <v>0</v>
      </c>
      <c r="AV8" s="9"/>
      <c r="AW8" s="9"/>
      <c r="AX8" s="9"/>
      <c r="AZ8" s="40" t="s">
        <v>276</v>
      </c>
      <c r="BP8" s="40" t="s">
        <v>277</v>
      </c>
      <c r="CH8" s="3"/>
      <c r="CK8" s="40" t="s">
        <v>277</v>
      </c>
      <c r="CT8" s="41">
        <f>$AH8</f>
        <v>44749</v>
      </c>
      <c r="CU8" s="9">
        <f>AS8</f>
        <v>2.4383432684147156E-2</v>
      </c>
      <c r="CV8" s="9">
        <f t="shared" ref="CV8:DF8" si="4">CV2</f>
        <v>3.7943638869952147E-2</v>
      </c>
      <c r="CW8" s="9">
        <f t="shared" si="4"/>
        <v>4.5436313528305135E-2</v>
      </c>
      <c r="CX8" s="9">
        <f t="shared" si="4"/>
        <v>4.8416818848466985E-2</v>
      </c>
      <c r="CY8" s="9">
        <f t="shared" si="4"/>
        <v>5.0502007292025322E-2</v>
      </c>
      <c r="CZ8" s="9">
        <f t="shared" si="4"/>
        <v>5.470863400459542E-2</v>
      </c>
      <c r="DA8" s="9">
        <f t="shared" si="4"/>
        <v>6.0209708872007502E-2</v>
      </c>
      <c r="DB8" s="9">
        <f t="shared" si="4"/>
        <v>6.6232533541717833E-2</v>
      </c>
      <c r="DC8" s="9">
        <f t="shared" si="4"/>
        <v>7.261484324723147E-2</v>
      </c>
      <c r="DD8" s="9">
        <f t="shared" si="4"/>
        <v>7.643445292523153E-2</v>
      </c>
      <c r="DE8" s="9">
        <f t="shared" si="4"/>
        <v>8.472863847550996E-2</v>
      </c>
      <c r="DF8" s="9">
        <f t="shared" si="4"/>
        <v>0.10288241710741779</v>
      </c>
      <c r="DG8" s="32"/>
      <c r="DH8" s="32"/>
      <c r="DJ8" s="40" t="s">
        <v>278</v>
      </c>
      <c r="DR8" s="41">
        <v>45113</v>
      </c>
      <c r="DS8" s="9">
        <v>4.1984194000000002E-2</v>
      </c>
      <c r="DT8" s="9">
        <f t="shared" ref="DT8:ED8" si="5">DT2</f>
        <v>4.0930425593787199E-2</v>
      </c>
      <c r="DU8" s="9">
        <f t="shared" si="5"/>
        <v>4.8354654472455676E-2</v>
      </c>
      <c r="DV8" s="9">
        <f t="shared" si="5"/>
        <v>5.230066075730555E-2</v>
      </c>
      <c r="DW8" s="9">
        <f t="shared" si="5"/>
        <v>5.4707442185378305E-2</v>
      </c>
      <c r="DX8" s="9">
        <f t="shared" si="5"/>
        <v>5.9377952349780674E-2</v>
      </c>
      <c r="DY8" s="9">
        <f t="shared" si="5"/>
        <v>6.5253310923088309E-2</v>
      </c>
      <c r="DZ8" s="9">
        <f t="shared" si="5"/>
        <v>7.1894065150539782E-2</v>
      </c>
      <c r="EA8" s="9">
        <f t="shared" si="5"/>
        <v>7.8956926816548034E-2</v>
      </c>
      <c r="EB8" s="9">
        <f t="shared" si="5"/>
        <v>8.3229444639050673E-2</v>
      </c>
      <c r="EC8" s="9">
        <f t="shared" si="5"/>
        <v>9.1514657292654344E-2</v>
      </c>
      <c r="ED8" s="9">
        <f t="shared" si="5"/>
        <v>0.11728894081954849</v>
      </c>
      <c r="EE8" s="32"/>
      <c r="EF8" s="32"/>
      <c r="EH8" s="40" t="s">
        <v>278</v>
      </c>
      <c r="EQ8" s="41">
        <v>45477</v>
      </c>
      <c r="ER8" s="76">
        <v>3.8117855737822823E-2</v>
      </c>
      <c r="ES8" s="9">
        <f t="shared" ref="ES8:FC8" si="6">ES2</f>
        <v>4.3515384615384615E-2</v>
      </c>
      <c r="ET8" s="9">
        <f t="shared" si="6"/>
        <v>4.8692307692307694E-2</v>
      </c>
      <c r="EU8" s="9">
        <f t="shared" si="6"/>
        <v>5.2430769230769232E-2</v>
      </c>
      <c r="EV8" s="9">
        <f t="shared" si="6"/>
        <v>5.5134615384615386E-2</v>
      </c>
      <c r="EW8" s="9">
        <f t="shared" si="6"/>
        <v>6.0446153846153851E-2</v>
      </c>
      <c r="EX8" s="9">
        <f t="shared" si="6"/>
        <v>6.8099999999999994E-2</v>
      </c>
      <c r="EY8" s="9">
        <f t="shared" si="6"/>
        <v>7.7419230769230768E-2</v>
      </c>
      <c r="EZ8" s="9">
        <f t="shared" si="6"/>
        <v>8.8069230769230775E-2</v>
      </c>
      <c r="FA8" s="9">
        <f t="shared" si="6"/>
        <v>9.4773076923076932E-2</v>
      </c>
      <c r="FB8" s="9">
        <f t="shared" si="6"/>
        <v>0.10973846153846155</v>
      </c>
      <c r="FC8" s="9">
        <f t="shared" si="6"/>
        <v>0.14443846153846154</v>
      </c>
      <c r="FD8" s="32"/>
      <c r="FE8" s="32">
        <v>38117855.737822823</v>
      </c>
      <c r="FF8" s="32">
        <f>FE8/1000000000</f>
        <v>3.8117855737822823E-2</v>
      </c>
      <c r="FG8" s="32"/>
      <c r="FH8" s="32"/>
      <c r="FI8" s="32">
        <v>27363571.392640896</v>
      </c>
      <c r="FJ8" s="32">
        <f>FI8/1000000000</f>
        <v>2.7363571392640895E-2</v>
      </c>
      <c r="FK8" s="32"/>
      <c r="FL8" s="229">
        <v>45841</v>
      </c>
      <c r="FM8" s="230">
        <v>2.7363571392640895E-2</v>
      </c>
      <c r="FN8" s="9">
        <f t="shared" ref="FN8:FX8" si="7">FN2</f>
        <v>3.7863463771572153E-2</v>
      </c>
      <c r="FO8" s="9">
        <f t="shared" si="7"/>
        <v>4.2416953358734313E-2</v>
      </c>
      <c r="FP8" s="9">
        <f t="shared" si="7"/>
        <v>4.5397175090041493E-2</v>
      </c>
      <c r="FQ8" s="9">
        <f t="shared" si="7"/>
        <v>4.7420801757676538E-2</v>
      </c>
      <c r="FR8" s="9">
        <f t="shared" si="7"/>
        <v>5.1603631730858246E-2</v>
      </c>
      <c r="FS8" s="9">
        <f t="shared" si="7"/>
        <v>5.8043397021066458E-2</v>
      </c>
      <c r="FT8" s="9">
        <f t="shared" si="7"/>
        <v>6.6707209392596042E-2</v>
      </c>
      <c r="FU8" s="9">
        <f t="shared" si="7"/>
        <v>7.5474820760938574E-2</v>
      </c>
      <c r="FV8" s="9">
        <f t="shared" si="7"/>
        <v>8.2309620944215067E-2</v>
      </c>
      <c r="FW8" s="9">
        <f t="shared" si="7"/>
        <v>9.6758466093196688E-2</v>
      </c>
      <c r="FX8" s="9">
        <f t="shared" si="7"/>
        <v>0.13058799759900552</v>
      </c>
      <c r="FY8" s="32"/>
      <c r="FZ8" s="32">
        <v>38117855.737822823</v>
      </c>
      <c r="GA8" s="32">
        <f>FZ8/1000000000</f>
        <v>3.8117855737822823E-2</v>
      </c>
      <c r="GB8" s="32"/>
      <c r="GC8" s="41">
        <v>45477</v>
      </c>
      <c r="GD8" s="9">
        <v>3.8117855737822823E-2</v>
      </c>
      <c r="GE8" s="9">
        <f t="shared" ref="GE8:GO8" si="8">GE2</f>
        <v>4.7771240248998564E-2</v>
      </c>
      <c r="GF8" s="9">
        <f t="shared" si="8"/>
        <v>5.2217284931570615E-2</v>
      </c>
      <c r="GG8" s="9">
        <f t="shared" si="8"/>
        <v>5.5955098451754989E-2</v>
      </c>
      <c r="GH8" s="9">
        <f t="shared" si="8"/>
        <v>5.8416050992473018E-2</v>
      </c>
      <c r="GI8" s="9">
        <f t="shared" si="8"/>
        <v>6.3040095867171603E-2</v>
      </c>
      <c r="GJ8" s="9">
        <f t="shared" si="8"/>
        <v>6.8853421493868625E-2</v>
      </c>
      <c r="GK8" s="9">
        <f t="shared" si="8"/>
        <v>7.5776125345343073E-2</v>
      </c>
      <c r="GL8" s="9">
        <f t="shared" si="8"/>
        <v>8.2879861438139912E-2</v>
      </c>
      <c r="GM8" s="9">
        <f t="shared" si="8"/>
        <v>8.7307986484982752E-2</v>
      </c>
      <c r="GN8" s="9">
        <f t="shared" si="8"/>
        <v>9.6244094093638793E-2</v>
      </c>
      <c r="GO8" s="9">
        <f t="shared" si="8"/>
        <v>0.12115595838818555</v>
      </c>
      <c r="GP8" s="32"/>
      <c r="GQ8" s="32"/>
      <c r="GS8" s="40" t="s">
        <v>278</v>
      </c>
      <c r="HA8" s="41">
        <f>$AH8</f>
        <v>44749</v>
      </c>
      <c r="HB8" s="9">
        <f t="shared" ref="HB8:HB17" si="9">AK8/1000000000</f>
        <v>2.4383432684147156E-2</v>
      </c>
      <c r="HC8" s="9"/>
      <c r="HD8" s="9"/>
      <c r="HE8" s="9"/>
      <c r="HF8" s="9"/>
      <c r="HG8" s="9"/>
      <c r="HH8" s="9"/>
      <c r="HI8" s="9"/>
      <c r="HJ8" s="9"/>
      <c r="HK8" s="9"/>
      <c r="HL8" s="9"/>
      <c r="HM8" s="9"/>
      <c r="HN8" s="9"/>
      <c r="HO8" s="9"/>
      <c r="HP8" s="9"/>
      <c r="HQ8" s="9"/>
      <c r="HR8" s="9"/>
      <c r="HS8" s="32">
        <v>4</v>
      </c>
      <c r="HT8" s="32"/>
      <c r="HU8" s="32"/>
      <c r="HV8" s="41">
        <f>$AH8</f>
        <v>44749</v>
      </c>
      <c r="HW8" s="9">
        <f>HB8</f>
        <v>2.4383432684147156E-2</v>
      </c>
      <c r="HX8" s="9">
        <f>HX$2</f>
        <v>2.7238900094009998E-2</v>
      </c>
      <c r="HY8" s="9">
        <f t="shared" ref="HY8:IH8" si="10">HY$2</f>
        <v>3.0141089788533425E-2</v>
      </c>
      <c r="HZ8" s="9">
        <f t="shared" si="10"/>
        <v>3.2537644802501146E-2</v>
      </c>
      <c r="IA8" s="9">
        <f t="shared" si="10"/>
        <v>3.6187523432355428E-2</v>
      </c>
      <c r="IB8" s="9">
        <f t="shared" si="10"/>
        <v>3.908971312687886E-2</v>
      </c>
      <c r="IC8" s="9">
        <f t="shared" si="10"/>
        <v>4.3805355433506867E-2</v>
      </c>
      <c r="ID8" s="9">
        <f t="shared" si="10"/>
        <v>5.507306606451258E-2</v>
      </c>
      <c r="IE8" s="9">
        <f t="shared" si="10"/>
        <v>8.0229304108884861E-2</v>
      </c>
      <c r="IF8" s="9">
        <f t="shared" si="10"/>
        <v>8.2625859122852571E-2</v>
      </c>
      <c r="IG8" s="9">
        <f t="shared" si="10"/>
        <v>0.11053987010615059</v>
      </c>
      <c r="IH8" s="9">
        <f t="shared" si="10"/>
        <v>0.19520667491512628</v>
      </c>
      <c r="II8" s="9"/>
      <c r="IJ8" s="9"/>
      <c r="IK8" s="9"/>
      <c r="IL8" s="9"/>
      <c r="IM8" s="32">
        <v>4</v>
      </c>
      <c r="IN8" s="32"/>
      <c r="IO8" s="32"/>
      <c r="IQ8" s="40" t="s">
        <v>278</v>
      </c>
      <c r="IZ8" s="41">
        <f t="shared" ref="IZ8:JA51" si="11">CT8</f>
        <v>44749</v>
      </c>
      <c r="JA8" s="9">
        <f t="shared" si="11"/>
        <v>2.4383432684147156E-2</v>
      </c>
      <c r="JB8" s="9"/>
      <c r="JC8" s="9"/>
      <c r="JD8" s="9"/>
      <c r="JE8" s="9"/>
      <c r="JF8" s="9"/>
      <c r="JG8" s="9"/>
      <c r="JH8" s="9"/>
      <c r="JI8" s="9"/>
      <c r="JJ8" s="9"/>
      <c r="JK8" s="9"/>
      <c r="JL8" s="9"/>
      <c r="JM8" s="9"/>
      <c r="JX8" s="41">
        <v>44749</v>
      </c>
      <c r="JY8" s="9">
        <v>2.56006324266E-2</v>
      </c>
      <c r="JZ8" s="9"/>
      <c r="KA8" s="9"/>
      <c r="KB8" s="9"/>
      <c r="KJ8" s="242"/>
      <c r="KM8" s="41">
        <v>42922</v>
      </c>
      <c r="KN8" s="241">
        <v>13252916.830999998</v>
      </c>
      <c r="KO8" s="241">
        <f>KN8</f>
        <v>13252916.830999998</v>
      </c>
      <c r="KQ8" s="41">
        <v>43104</v>
      </c>
      <c r="KR8" s="241">
        <v>43512391.207999997</v>
      </c>
      <c r="KS8" s="241">
        <f>KR8</f>
        <v>43512391.207999997</v>
      </c>
      <c r="KU8" s="41">
        <v>43286</v>
      </c>
      <c r="KV8" s="241">
        <v>24234595.182600003</v>
      </c>
      <c r="KW8" s="241">
        <f>KV8</f>
        <v>24234595.182600003</v>
      </c>
      <c r="KY8" s="41">
        <v>43468</v>
      </c>
      <c r="KZ8" s="241">
        <v>78951152.761800006</v>
      </c>
      <c r="LA8" s="241">
        <f>KZ8</f>
        <v>78951152.761800006</v>
      </c>
      <c r="LC8" s="41">
        <v>43650</v>
      </c>
      <c r="LD8" s="241">
        <v>63792737.111400008</v>
      </c>
      <c r="LE8" s="241">
        <f>LD8</f>
        <v>63792737.111400008</v>
      </c>
      <c r="LG8" s="41">
        <v>43832</v>
      </c>
      <c r="LH8" s="241">
        <v>17322589.851600002</v>
      </c>
      <c r="LI8" s="241">
        <f>LH8</f>
        <v>17322589.851600002</v>
      </c>
      <c r="LK8" s="41">
        <v>44014</v>
      </c>
      <c r="LL8" s="241">
        <v>83878292.387999997</v>
      </c>
      <c r="LM8" s="241">
        <f>LL8</f>
        <v>83878292.387999997</v>
      </c>
      <c r="LO8" s="41">
        <v>44203</v>
      </c>
      <c r="LP8" s="241">
        <v>21551818.7808</v>
      </c>
      <c r="LQ8" s="241">
        <f>LP8</f>
        <v>21551818.7808</v>
      </c>
      <c r="LS8" s="41">
        <v>44378</v>
      </c>
      <c r="LT8" s="241">
        <v>95665744.548000008</v>
      </c>
      <c r="LU8" s="241">
        <f>LT8</f>
        <v>95665744.548000008</v>
      </c>
      <c r="LW8" s="41">
        <v>44567</v>
      </c>
      <c r="LX8" s="241">
        <v>93039993.486000001</v>
      </c>
      <c r="LY8" s="241">
        <f>LX8</f>
        <v>93039993.486000001</v>
      </c>
      <c r="MA8" s="32">
        <v>1</v>
      </c>
      <c r="MB8" s="42">
        <f t="shared" ref="MB8:MB33" si="12">KO8/1000000000</f>
        <v>1.3252916830999998E-2</v>
      </c>
      <c r="MC8" s="42">
        <f t="shared" ref="MC8:MC33" si="13">KS8/1000000000</f>
        <v>4.3512391207999997E-2</v>
      </c>
      <c r="MD8" s="42">
        <f t="shared" ref="MD8:MD33" si="14">KW8/1000000000</f>
        <v>2.4234595182600002E-2</v>
      </c>
      <c r="ME8" s="42">
        <f t="shared" ref="ME8:ME33" si="15">LA8/1000000000</f>
        <v>7.8951152761800009E-2</v>
      </c>
      <c r="MF8" s="42">
        <f t="shared" ref="MF8:MF33" si="16">LE8/1000000000</f>
        <v>6.3792737111400002E-2</v>
      </c>
      <c r="MG8" s="42">
        <f t="shared" ref="MG8:MG33" si="17">LI8/1000000000</f>
        <v>1.7322589851600002E-2</v>
      </c>
      <c r="MH8" s="42">
        <f t="shared" ref="MH8:MH34" si="18">LM8/1000000000</f>
        <v>8.3878292388E-2</v>
      </c>
      <c r="MI8" s="42">
        <f t="shared" ref="MI8:MI32" si="19">LQ8/1000000000</f>
        <v>2.1551818780800001E-2</v>
      </c>
      <c r="MJ8" s="42">
        <f t="shared" ref="MJ8:MJ34" si="20">LU8/1000000000</f>
        <v>9.5665744548000003E-2</v>
      </c>
      <c r="MK8" s="42">
        <f t="shared" ref="MK8:MK33" si="21">LY8/1000000000</f>
        <v>9.3039993486000006E-2</v>
      </c>
      <c r="ML8" s="9"/>
      <c r="MM8" s="9"/>
      <c r="MN8" s="9"/>
      <c r="MP8" s="40" t="s">
        <v>279</v>
      </c>
      <c r="NJ8" s="40" t="s">
        <v>280</v>
      </c>
      <c r="NS8" s="41">
        <v>44567</v>
      </c>
      <c r="NT8" s="9">
        <f t="shared" ref="NT8:NT33" si="22">MK8</f>
        <v>9.3039993486000006E-2</v>
      </c>
      <c r="NU8" s="9">
        <f t="shared" ref="NU8:OE8" si="23">NU2</f>
        <v>3.2883578210174999E-2</v>
      </c>
      <c r="NV8" s="9">
        <f t="shared" si="23"/>
        <v>3.8899121388359478E-2</v>
      </c>
      <c r="NW8" s="9">
        <f t="shared" si="23"/>
        <v>4.2413763541703647E-2</v>
      </c>
      <c r="NX8" s="9">
        <f t="shared" si="23"/>
        <v>4.4879284238757686E-2</v>
      </c>
      <c r="NY8" s="9">
        <f t="shared" si="23"/>
        <v>5.0054612355507691E-2</v>
      </c>
      <c r="NZ8" s="9">
        <f t="shared" si="23"/>
        <v>5.8849514395681729E-2</v>
      </c>
      <c r="OA8" s="9">
        <f t="shared" si="23"/>
        <v>6.7779769477263468E-2</v>
      </c>
      <c r="OB8" s="9">
        <f t="shared" si="23"/>
        <v>7.8303842656430783E-2</v>
      </c>
      <c r="OC8" s="9">
        <f t="shared" si="23"/>
        <v>8.5824266202378846E-2</v>
      </c>
      <c r="OD8" s="9">
        <f t="shared" si="23"/>
        <v>0.10064266089910577</v>
      </c>
      <c r="OE8" s="9">
        <f t="shared" si="23"/>
        <v>0.13024968599028269</v>
      </c>
      <c r="OF8" s="9">
        <f ca="1">OF2</f>
        <v>6.7075912564523069E-2</v>
      </c>
      <c r="OG8" s="32"/>
      <c r="OI8" s="40" t="s">
        <v>281</v>
      </c>
      <c r="OR8" s="41">
        <f>NS8</f>
        <v>44567</v>
      </c>
      <c r="OS8" s="9">
        <f>NT8</f>
        <v>9.3039993486000006E-2</v>
      </c>
      <c r="OT8" s="9"/>
      <c r="OU8" s="9"/>
      <c r="OV8" s="9"/>
      <c r="OW8" s="9"/>
      <c r="OX8" s="9"/>
      <c r="OY8" s="9"/>
      <c r="OZ8" s="9"/>
      <c r="PA8" s="9"/>
      <c r="PB8" s="9"/>
      <c r="PC8" s="9"/>
      <c r="PD8" s="9"/>
      <c r="PE8" s="9"/>
    </row>
    <row r="9" spans="2:423" x14ac:dyDescent="0.25">
      <c r="B9" s="243" t="s">
        <v>59</v>
      </c>
      <c r="C9" s="43" t="s">
        <v>60</v>
      </c>
      <c r="D9" s="43" t="s">
        <v>60</v>
      </c>
      <c r="E9" s="244" t="s">
        <v>61</v>
      </c>
      <c r="F9" s="43" t="s">
        <v>62</v>
      </c>
      <c r="G9" s="43" t="s">
        <v>63</v>
      </c>
      <c r="H9" s="43"/>
      <c r="I9" s="38">
        <v>42929</v>
      </c>
      <c r="J9" s="240">
        <v>6000000</v>
      </c>
      <c r="K9" s="240">
        <v>14631840.712499999</v>
      </c>
      <c r="L9" s="241">
        <f t="shared" ref="L9:L59" si="24">K9+L8</f>
        <v>27884757.543499999</v>
      </c>
      <c r="N9" s="38">
        <v>43293</v>
      </c>
      <c r="O9" s="240">
        <v>20000000</v>
      </c>
      <c r="P9" s="240">
        <v>32937821.254800003</v>
      </c>
      <c r="Q9" s="241">
        <f t="shared" ref="Q9:Q59" si="25">P9+Q8</f>
        <v>57172416.437400006</v>
      </c>
      <c r="S9" s="38">
        <v>43657</v>
      </c>
      <c r="T9" s="240">
        <v>80000000</v>
      </c>
      <c r="U9" s="240">
        <v>88605172.101600006</v>
      </c>
      <c r="V9" s="241">
        <f t="shared" ref="V9:V59" si="26">U9+V8</f>
        <v>152397909.213</v>
      </c>
      <c r="X9" s="38">
        <v>44021</v>
      </c>
      <c r="Y9" s="240">
        <v>80000000</v>
      </c>
      <c r="Z9" s="240">
        <v>131653108.257</v>
      </c>
      <c r="AA9" s="241">
        <f t="shared" ref="AA9:AA59" si="27">Z9+AA8</f>
        <v>215531400.64499998</v>
      </c>
      <c r="AC9" s="38">
        <v>44385</v>
      </c>
      <c r="AD9" s="240">
        <v>3000000</v>
      </c>
      <c r="AE9" s="240">
        <v>22266833.457000002</v>
      </c>
      <c r="AF9" s="241">
        <f t="shared" ref="AF9:AF60" si="28">AE9+AF8</f>
        <v>117932578.00500001</v>
      </c>
      <c r="AG9" s="241"/>
      <c r="AH9" s="38">
        <v>44756</v>
      </c>
      <c r="AI9" s="240">
        <v>8000000</v>
      </c>
      <c r="AJ9" s="240">
        <v>33072902.393311039</v>
      </c>
      <c r="AK9" s="241">
        <f t="shared" ref="AK9:AK59" si="29">AJ9+AK8</f>
        <v>57456335.077458195</v>
      </c>
      <c r="AM9" s="32">
        <v>2</v>
      </c>
      <c r="AN9" s="39">
        <f t="shared" si="0"/>
        <v>2.7884757543499998E-2</v>
      </c>
      <c r="AO9" s="39">
        <f t="shared" si="1"/>
        <v>5.7172416437400009E-2</v>
      </c>
      <c r="AP9" s="39">
        <f t="shared" si="2"/>
        <v>0.152397909213</v>
      </c>
      <c r="AQ9" s="39">
        <f t="shared" si="3"/>
        <v>0.21553140064499998</v>
      </c>
      <c r="AR9" s="39">
        <f t="shared" ref="AR9:AR60" si="30">AF9/1000000000</f>
        <v>0.11793257800500001</v>
      </c>
      <c r="AS9" s="39">
        <f t="shared" ref="AS9:AS59" si="31">AK9/1000000000</f>
        <v>5.7456335077458197E-2</v>
      </c>
      <c r="AT9" s="39"/>
      <c r="AU9" s="39">
        <f t="shared" ref="AU9:AU59" si="32">$AU$63+AU8</f>
        <v>5.2938476687433497E-2</v>
      </c>
      <c r="AV9" s="9"/>
      <c r="AW9" s="9"/>
      <c r="AX9" s="9"/>
      <c r="BG9" s="44"/>
      <c r="BH9" s="45" t="s">
        <v>18</v>
      </c>
      <c r="BI9" s="45" t="s">
        <v>19</v>
      </c>
      <c r="BJ9" s="45" t="s">
        <v>20</v>
      </c>
      <c r="BK9" s="45" t="s">
        <v>21</v>
      </c>
      <c r="BL9" s="46" t="s">
        <v>22</v>
      </c>
      <c r="BM9" s="46" t="s">
        <v>25</v>
      </c>
      <c r="BN9" s="46" t="s">
        <v>64</v>
      </c>
      <c r="CA9" s="44"/>
      <c r="CB9" s="45" t="s">
        <v>271</v>
      </c>
      <c r="CC9" s="45" t="s">
        <v>272</v>
      </c>
      <c r="CD9" s="45" t="s">
        <v>282</v>
      </c>
      <c r="CE9" s="45" t="s">
        <v>19</v>
      </c>
      <c r="CF9" s="45" t="s">
        <v>20</v>
      </c>
      <c r="CG9" s="45" t="s">
        <v>21</v>
      </c>
      <c r="CH9" s="46" t="s">
        <v>283</v>
      </c>
      <c r="CI9" s="46" t="s">
        <v>64</v>
      </c>
      <c r="CT9" s="41">
        <f t="shared" ref="CT9:CT59" si="33">$AH9</f>
        <v>44756</v>
      </c>
      <c r="CU9" s="9">
        <f t="shared" ref="CU9:CU59" si="34">AS9</f>
        <v>5.7456335077458197E-2</v>
      </c>
      <c r="CV9" s="9">
        <f t="shared" ref="CV9:DF24" si="35">CV8+CV$2</f>
        <v>7.5887277739904294E-2</v>
      </c>
      <c r="CW9" s="9">
        <f t="shared" si="35"/>
        <v>9.087262705661027E-2</v>
      </c>
      <c r="CX9" s="9">
        <f t="shared" si="35"/>
        <v>9.6833637696933969E-2</v>
      </c>
      <c r="CY9" s="9">
        <f t="shared" si="35"/>
        <v>0.10100401458405064</v>
      </c>
      <c r="CZ9" s="9">
        <f t="shared" si="35"/>
        <v>0.10941726800919084</v>
      </c>
      <c r="DA9" s="9">
        <f t="shared" si="35"/>
        <v>0.120419417744015</v>
      </c>
      <c r="DB9" s="9">
        <f t="shared" si="35"/>
        <v>0.13246506708343567</v>
      </c>
      <c r="DC9" s="9">
        <f t="shared" si="35"/>
        <v>0.14522968649446294</v>
      </c>
      <c r="DD9" s="9">
        <f t="shared" si="35"/>
        <v>0.15286890585046306</v>
      </c>
      <c r="DE9" s="9">
        <f t="shared" si="35"/>
        <v>0.16945727695101992</v>
      </c>
      <c r="DF9" s="9">
        <f t="shared" si="35"/>
        <v>0.20576483421483557</v>
      </c>
      <c r="DG9" s="32"/>
      <c r="DH9" s="32"/>
      <c r="DR9" s="41">
        <v>45120</v>
      </c>
      <c r="DS9" s="9">
        <v>9.6656646999999998E-2</v>
      </c>
      <c r="DT9" s="9">
        <f t="shared" ref="DT9:ED24" si="36">DT8+DT$2</f>
        <v>8.1860851187574399E-2</v>
      </c>
      <c r="DU9" s="9">
        <f t="shared" si="36"/>
        <v>9.6709308944911351E-2</v>
      </c>
      <c r="DV9" s="9">
        <f t="shared" si="36"/>
        <v>0.1046013215146111</v>
      </c>
      <c r="DW9" s="9">
        <f t="shared" si="36"/>
        <v>0.10941488437075661</v>
      </c>
      <c r="DX9" s="9">
        <f t="shared" si="36"/>
        <v>0.11875590469956135</v>
      </c>
      <c r="DY9" s="9">
        <f t="shared" si="36"/>
        <v>0.13050662184617662</v>
      </c>
      <c r="DZ9" s="9">
        <f t="shared" si="36"/>
        <v>0.14378813030107956</v>
      </c>
      <c r="EA9" s="9">
        <f t="shared" si="36"/>
        <v>0.15791385363309607</v>
      </c>
      <c r="EB9" s="9">
        <f t="shared" si="36"/>
        <v>0.16645888927810135</v>
      </c>
      <c r="EC9" s="9">
        <f t="shared" si="36"/>
        <v>0.18302931458530869</v>
      </c>
      <c r="ED9" s="9">
        <f t="shared" si="36"/>
        <v>0.23457788163909699</v>
      </c>
      <c r="EE9" s="32"/>
      <c r="EF9" s="32"/>
      <c r="EQ9" s="41">
        <v>45484</v>
      </c>
      <c r="ER9" s="76">
        <v>7.3507496964367453E-2</v>
      </c>
      <c r="ES9" s="9">
        <f t="shared" ref="ES9:FC24" si="37">ES8+ES$2</f>
        <v>8.7030769230769231E-2</v>
      </c>
      <c r="ET9" s="9">
        <f t="shared" si="37"/>
        <v>9.7384615384615389E-2</v>
      </c>
      <c r="EU9" s="9">
        <f t="shared" si="37"/>
        <v>0.10486153846153846</v>
      </c>
      <c r="EV9" s="9">
        <f t="shared" si="37"/>
        <v>0.11026923076923077</v>
      </c>
      <c r="EW9" s="9">
        <f t="shared" si="37"/>
        <v>0.1208923076923077</v>
      </c>
      <c r="EX9" s="9">
        <f t="shared" si="37"/>
        <v>0.13619999999999999</v>
      </c>
      <c r="EY9" s="9">
        <f t="shared" si="37"/>
        <v>0.15483846153846154</v>
      </c>
      <c r="EZ9" s="9">
        <f t="shared" si="37"/>
        <v>0.17613846153846155</v>
      </c>
      <c r="FA9" s="9">
        <f t="shared" si="37"/>
        <v>0.18954615384615386</v>
      </c>
      <c r="FB9" s="9">
        <f t="shared" si="37"/>
        <v>0.2194769230769231</v>
      </c>
      <c r="FC9" s="9">
        <f t="shared" si="37"/>
        <v>0.28887692307692309</v>
      </c>
      <c r="FD9" s="32"/>
      <c r="FE9" s="32">
        <v>73507496.964367449</v>
      </c>
      <c r="FF9" s="32">
        <f t="shared" ref="FF9:FF33" si="38">FE9/1000000000</f>
        <v>7.3507496964367453E-2</v>
      </c>
      <c r="FG9" s="32"/>
      <c r="FH9" s="32"/>
      <c r="FI9" s="32">
        <v>69103400.977044374</v>
      </c>
      <c r="FJ9" s="32">
        <f t="shared" ref="FJ9:FJ33" si="39">FI9/1000000000</f>
        <v>6.9103400977044371E-2</v>
      </c>
      <c r="FK9" s="32"/>
      <c r="FL9" s="229">
        <v>45848</v>
      </c>
      <c r="FM9" s="230">
        <v>6.9103400977044371E-2</v>
      </c>
      <c r="FN9" s="9">
        <f t="shared" ref="FN9:FX24" si="40">FN8+FN$2</f>
        <v>7.5726927543144307E-2</v>
      </c>
      <c r="FO9" s="9">
        <f t="shared" si="40"/>
        <v>8.4833906717468627E-2</v>
      </c>
      <c r="FP9" s="9">
        <f t="shared" si="40"/>
        <v>9.0794350180082986E-2</v>
      </c>
      <c r="FQ9" s="9">
        <f t="shared" si="40"/>
        <v>9.4841603515353076E-2</v>
      </c>
      <c r="FR9" s="9">
        <f t="shared" si="40"/>
        <v>0.10320726346171649</v>
      </c>
      <c r="FS9" s="9">
        <f t="shared" si="40"/>
        <v>0.11608679404213292</v>
      </c>
      <c r="FT9" s="9">
        <f t="shared" si="40"/>
        <v>0.13341441878519208</v>
      </c>
      <c r="FU9" s="9">
        <f t="shared" si="40"/>
        <v>0.15094964152187715</v>
      </c>
      <c r="FV9" s="9">
        <f t="shared" si="40"/>
        <v>0.16461924188843013</v>
      </c>
      <c r="FW9" s="9">
        <f t="shared" si="40"/>
        <v>0.19351693218639338</v>
      </c>
      <c r="FX9" s="9">
        <f t="shared" si="40"/>
        <v>0.26117599519801105</v>
      </c>
      <c r="FY9" s="32"/>
      <c r="FZ9" s="32">
        <v>73507496.964367449</v>
      </c>
      <c r="GA9" s="32">
        <f t="shared" ref="GA9:GA33" si="41">FZ9/1000000000</f>
        <v>7.3507496964367453E-2</v>
      </c>
      <c r="GB9" s="32"/>
      <c r="GC9" s="41">
        <v>45484</v>
      </c>
      <c r="GD9" s="9">
        <v>7.3507496964367453E-2</v>
      </c>
      <c r="GE9" s="9">
        <f t="shared" ref="GE9:GO24" si="42">GE8+GE$2</f>
        <v>9.5542480497997129E-2</v>
      </c>
      <c r="GF9" s="9">
        <f t="shared" si="42"/>
        <v>0.10443456986314123</v>
      </c>
      <c r="GG9" s="9">
        <f t="shared" si="42"/>
        <v>0.11191019690350998</v>
      </c>
      <c r="GH9" s="9">
        <f t="shared" si="42"/>
        <v>0.11683210198494604</v>
      </c>
      <c r="GI9" s="9">
        <f t="shared" si="42"/>
        <v>0.12608019173434321</v>
      </c>
      <c r="GJ9" s="9">
        <f t="shared" si="42"/>
        <v>0.13770684298773725</v>
      </c>
      <c r="GK9" s="9">
        <f t="shared" si="42"/>
        <v>0.15155225069068615</v>
      </c>
      <c r="GL9" s="9">
        <f t="shared" si="42"/>
        <v>0.16575972287627982</v>
      </c>
      <c r="GM9" s="9">
        <f t="shared" si="42"/>
        <v>0.1746159729699655</v>
      </c>
      <c r="GN9" s="9">
        <f t="shared" si="42"/>
        <v>0.19248818818727759</v>
      </c>
      <c r="GO9" s="9">
        <f t="shared" si="42"/>
        <v>0.24231191677637109</v>
      </c>
      <c r="GP9" s="32"/>
      <c r="GQ9" s="32"/>
      <c r="HA9" s="41">
        <f t="shared" ref="HA9:HA33" si="43">$AH9</f>
        <v>44756</v>
      </c>
      <c r="HB9" s="9">
        <f t="shared" si="9"/>
        <v>5.7456335077458197E-2</v>
      </c>
      <c r="HC9" s="9"/>
      <c r="HD9" s="9"/>
      <c r="HE9" s="9"/>
      <c r="HF9" s="9"/>
      <c r="HG9" s="9"/>
      <c r="HH9" s="9"/>
      <c r="HI9" s="9"/>
      <c r="HJ9" s="9"/>
      <c r="HK9" s="9"/>
      <c r="HL9" s="9"/>
      <c r="HM9" s="9"/>
      <c r="HN9" s="9"/>
      <c r="HO9" s="9"/>
      <c r="HP9" s="9"/>
      <c r="HQ9" s="9"/>
      <c r="HR9" s="9"/>
      <c r="HS9" s="32">
        <v>4</v>
      </c>
      <c r="HT9" s="32"/>
      <c r="HU9" s="32"/>
      <c r="HV9" s="41">
        <f t="shared" ref="HV9:HV33" si="44">$AH9</f>
        <v>44756</v>
      </c>
      <c r="HW9" s="9">
        <f t="shared" ref="HW9:HW17" si="45">HB9</f>
        <v>5.7456335077458197E-2</v>
      </c>
      <c r="HX9" s="9">
        <f>HX8+HX$2</f>
        <v>5.4477800188019995E-2</v>
      </c>
      <c r="HY9" s="9">
        <f t="shared" ref="HY9:IH17" si="46">HY8+HY$2</f>
        <v>6.0282179577066851E-2</v>
      </c>
      <c r="HZ9" s="9">
        <f t="shared" si="46"/>
        <v>6.5075289605002293E-2</v>
      </c>
      <c r="IA9" s="9">
        <f t="shared" si="46"/>
        <v>7.2375046864710857E-2</v>
      </c>
      <c r="IB9" s="9">
        <f t="shared" si="46"/>
        <v>7.8179426253757719E-2</v>
      </c>
      <c r="IC9" s="9">
        <f t="shared" si="46"/>
        <v>8.7610710867013733E-2</v>
      </c>
      <c r="ID9" s="9">
        <f t="shared" si="46"/>
        <v>0.11014613212902516</v>
      </c>
      <c r="IE9" s="9">
        <f t="shared" si="46"/>
        <v>0.16045860821776972</v>
      </c>
      <c r="IF9" s="9">
        <f t="shared" si="46"/>
        <v>0.16525171824570514</v>
      </c>
      <c r="IG9" s="9">
        <f t="shared" si="46"/>
        <v>0.22107974021230117</v>
      </c>
      <c r="IH9" s="9">
        <f t="shared" si="46"/>
        <v>0.39041334983025255</v>
      </c>
      <c r="II9" s="9"/>
      <c r="IJ9" s="9"/>
      <c r="IK9" s="9"/>
      <c r="IL9" s="9"/>
      <c r="IM9" s="32">
        <v>4</v>
      </c>
      <c r="IN9" s="32"/>
      <c r="IO9" s="32"/>
      <c r="IZ9" s="41">
        <f t="shared" si="11"/>
        <v>44756</v>
      </c>
      <c r="JA9" s="9">
        <f t="shared" si="11"/>
        <v>5.7456335077458197E-2</v>
      </c>
      <c r="JB9" s="9"/>
      <c r="JC9" s="9"/>
      <c r="JD9" s="9"/>
      <c r="JE9" s="9"/>
      <c r="JF9" s="9"/>
      <c r="JG9" s="9"/>
      <c r="JH9" s="9"/>
      <c r="JI9" s="9"/>
      <c r="JJ9" s="9"/>
      <c r="JK9" s="9"/>
      <c r="JL9" s="9"/>
      <c r="JM9" s="9"/>
      <c r="JO9" s="40" t="s">
        <v>284</v>
      </c>
      <c r="JX9" s="41">
        <v>44756</v>
      </c>
      <c r="JY9" s="9">
        <v>5.8794482082599998E-2</v>
      </c>
      <c r="JZ9" s="9"/>
      <c r="KA9" s="9"/>
      <c r="KB9" s="9"/>
      <c r="KD9" s="47" t="s">
        <v>284</v>
      </c>
      <c r="KM9" s="41">
        <v>42929</v>
      </c>
      <c r="KN9" s="241">
        <v>14631840.712499999</v>
      </c>
      <c r="KO9" s="241">
        <f t="shared" ref="KO9:KO33" si="47">KN9+KO8</f>
        <v>27884757.543499999</v>
      </c>
      <c r="KQ9" s="41">
        <v>43111</v>
      </c>
      <c r="KR9" s="241">
        <v>74567968.530000001</v>
      </c>
      <c r="KS9" s="241">
        <f t="shared" ref="KS9:KS33" si="48">KR9+KS8</f>
        <v>118080359.73800001</v>
      </c>
      <c r="KU9" s="41">
        <v>43293</v>
      </c>
      <c r="KV9" s="241">
        <v>32937821.254800003</v>
      </c>
      <c r="KW9" s="241">
        <f t="shared" ref="KW9:KW33" si="49">KV9+KW8</f>
        <v>57172416.437400006</v>
      </c>
      <c r="KY9" s="41">
        <v>43475</v>
      </c>
      <c r="KZ9" s="241">
        <v>131992038.38040002</v>
      </c>
      <c r="LA9" s="241">
        <f t="shared" ref="LA9:LA33" si="50">KZ9+LA8</f>
        <v>210943191.14220002</v>
      </c>
      <c r="LC9" s="41">
        <v>43657</v>
      </c>
      <c r="LD9" s="241">
        <v>88605172.101600006</v>
      </c>
      <c r="LE9" s="241">
        <f t="shared" ref="LE9:LE33" si="51">LD9+LE8</f>
        <v>152397909.213</v>
      </c>
      <c r="LG9" s="41">
        <v>43839</v>
      </c>
      <c r="LH9" s="241">
        <v>24139372.7322</v>
      </c>
      <c r="LI9" s="241">
        <f t="shared" ref="LI9:LI33" si="52">LH9+LI8</f>
        <v>41461962.583800003</v>
      </c>
      <c r="LK9" s="41">
        <v>44021</v>
      </c>
      <c r="LL9" s="241">
        <v>131653108.257</v>
      </c>
      <c r="LM9" s="241">
        <f t="shared" ref="LM9:LM34" si="53">LL9+LM8</f>
        <v>215531400.64499998</v>
      </c>
      <c r="LO9" s="41">
        <v>44210</v>
      </c>
      <c r="LP9" s="241">
        <v>28845464.9604</v>
      </c>
      <c r="LQ9" s="241">
        <f t="shared" ref="LQ9:LQ32" si="54">LP9+LQ8</f>
        <v>50397283.7412</v>
      </c>
      <c r="LS9" s="41">
        <v>44385</v>
      </c>
      <c r="LT9" s="241">
        <v>22266833.457000002</v>
      </c>
      <c r="LU9" s="241">
        <f t="shared" ref="LU9:LU34" si="55">LT9+LU8</f>
        <v>117932578.00500001</v>
      </c>
      <c r="LW9" s="41">
        <v>44574</v>
      </c>
      <c r="LX9" s="241">
        <v>23674681.2588</v>
      </c>
      <c r="LY9" s="241">
        <f t="shared" ref="LY9:LY33" si="56">LX9+LY8</f>
        <v>116714674.7448</v>
      </c>
      <c r="MA9" s="32">
        <v>2</v>
      </c>
      <c r="MB9" s="42">
        <f t="shared" si="12"/>
        <v>2.7884757543499998E-2</v>
      </c>
      <c r="MC9" s="42">
        <f t="shared" si="13"/>
        <v>0.118080359738</v>
      </c>
      <c r="MD9" s="42">
        <f t="shared" si="14"/>
        <v>5.7172416437400009E-2</v>
      </c>
      <c r="ME9" s="42">
        <f t="shared" si="15"/>
        <v>0.21094319114220003</v>
      </c>
      <c r="MF9" s="42">
        <f t="shared" si="16"/>
        <v>0.152397909213</v>
      </c>
      <c r="MG9" s="42">
        <f t="shared" si="17"/>
        <v>4.1461962583800006E-2</v>
      </c>
      <c r="MH9" s="42">
        <f t="shared" si="18"/>
        <v>0.21553140064499998</v>
      </c>
      <c r="MI9" s="42">
        <f t="shared" si="19"/>
        <v>5.0397283741199998E-2</v>
      </c>
      <c r="MJ9" s="42">
        <f t="shared" si="20"/>
        <v>0.11793257800500001</v>
      </c>
      <c r="MK9" s="42">
        <f t="shared" si="21"/>
        <v>0.1167146747448</v>
      </c>
      <c r="ML9" s="9"/>
      <c r="MM9" s="9"/>
      <c r="MN9" s="9"/>
      <c r="MW9" s="44"/>
      <c r="MX9" s="45" t="s">
        <v>43</v>
      </c>
      <c r="MY9" s="45" t="s">
        <v>46</v>
      </c>
      <c r="MZ9" s="45" t="s">
        <v>47</v>
      </c>
      <c r="NA9" s="45" t="s">
        <v>48</v>
      </c>
      <c r="NB9" s="45" t="s">
        <v>49</v>
      </c>
      <c r="NC9" s="45" t="s">
        <v>50</v>
      </c>
      <c r="ND9" s="45" t="s">
        <v>51</v>
      </c>
      <c r="NE9" s="45" t="s">
        <v>52</v>
      </c>
      <c r="NF9" s="45" t="s">
        <v>53</v>
      </c>
      <c r="NG9" s="46" t="s">
        <v>65</v>
      </c>
      <c r="NH9" s="46" t="s">
        <v>66</v>
      </c>
      <c r="NS9" s="41">
        <v>44574</v>
      </c>
      <c r="NT9" s="9">
        <f t="shared" si="22"/>
        <v>0.1167146747448</v>
      </c>
      <c r="NU9" s="9">
        <f t="shared" ref="NU9:OF24" si="57">NU8+NU$2</f>
        <v>6.5767156420349998E-2</v>
      </c>
      <c r="NV9" s="9">
        <f t="shared" si="57"/>
        <v>7.7798242776718957E-2</v>
      </c>
      <c r="NW9" s="9">
        <f t="shared" si="57"/>
        <v>8.4827527083407295E-2</v>
      </c>
      <c r="NX9" s="9">
        <f t="shared" si="57"/>
        <v>8.9758568477515371E-2</v>
      </c>
      <c r="NY9" s="9">
        <f t="shared" si="57"/>
        <v>0.10010922471101538</v>
      </c>
      <c r="NZ9" s="9">
        <f t="shared" si="57"/>
        <v>0.11769902879136346</v>
      </c>
      <c r="OA9" s="9">
        <f t="shared" si="57"/>
        <v>0.13555953895452694</v>
      </c>
      <c r="OB9" s="9">
        <f t="shared" si="57"/>
        <v>0.15660768531286157</v>
      </c>
      <c r="OC9" s="9">
        <f t="shared" si="57"/>
        <v>0.17164853240475769</v>
      </c>
      <c r="OD9" s="9">
        <f t="shared" si="57"/>
        <v>0.20128532179821154</v>
      </c>
      <c r="OE9" s="9">
        <f t="shared" si="57"/>
        <v>0.26049937198056539</v>
      </c>
      <c r="OF9" s="9">
        <f ca="1">OF8+OF$2</f>
        <v>0.13415182512904614</v>
      </c>
      <c r="OG9" s="32"/>
      <c r="OR9" s="41">
        <f t="shared" ref="OR9:OS33" si="58">NS9</f>
        <v>44574</v>
      </c>
      <c r="OS9" s="9">
        <f t="shared" si="58"/>
        <v>0.1167146747448</v>
      </c>
      <c r="OT9" s="9"/>
      <c r="OU9" s="9"/>
      <c r="OV9" s="9"/>
      <c r="OW9" s="9"/>
      <c r="OX9" s="9"/>
      <c r="OY9" s="9"/>
      <c r="OZ9" s="9"/>
      <c r="PA9" s="9"/>
      <c r="PB9" s="9"/>
      <c r="PC9" s="9"/>
      <c r="PD9" s="9"/>
      <c r="PE9" s="9"/>
      <c r="PG9" s="40" t="s">
        <v>285</v>
      </c>
    </row>
    <row r="10" spans="2:423" x14ac:dyDescent="0.25">
      <c r="B10" s="48">
        <v>42754</v>
      </c>
      <c r="C10" s="49">
        <v>12286556.182999998</v>
      </c>
      <c r="D10" s="49">
        <v>13224860</v>
      </c>
      <c r="E10" s="50">
        <v>3000000</v>
      </c>
      <c r="F10" s="50"/>
      <c r="G10" s="50"/>
      <c r="H10" s="50"/>
      <c r="I10" s="38">
        <v>42936</v>
      </c>
      <c r="J10" s="240">
        <v>3000000</v>
      </c>
      <c r="K10" s="240">
        <v>12683279.113999998</v>
      </c>
      <c r="L10" s="241">
        <f t="shared" si="24"/>
        <v>40568036.657499999</v>
      </c>
      <c r="N10" s="38">
        <v>43300</v>
      </c>
      <c r="O10" s="240">
        <v>30000000</v>
      </c>
      <c r="P10" s="240">
        <v>38658927.331200004</v>
      </c>
      <c r="Q10" s="241">
        <f t="shared" si="25"/>
        <v>95831343.768600017</v>
      </c>
      <c r="S10" s="38">
        <v>43664</v>
      </c>
      <c r="T10" s="240">
        <v>110000000</v>
      </c>
      <c r="U10" s="240">
        <v>187249140.42120004</v>
      </c>
      <c r="V10" s="241">
        <f t="shared" si="26"/>
        <v>339647049.63420004</v>
      </c>
      <c r="X10" s="38">
        <v>44028</v>
      </c>
      <c r="Y10" s="240">
        <v>3000000</v>
      </c>
      <c r="Z10" s="240">
        <v>25034242.1472</v>
      </c>
      <c r="AA10" s="241">
        <f t="shared" si="27"/>
        <v>240565642.79219997</v>
      </c>
      <c r="AC10" s="38">
        <v>44392</v>
      </c>
      <c r="AD10" s="240">
        <v>8000000</v>
      </c>
      <c r="AE10" s="240">
        <v>31179332.441400003</v>
      </c>
      <c r="AF10" s="241">
        <f t="shared" si="28"/>
        <v>149111910.44640002</v>
      </c>
      <c r="AG10" s="241"/>
      <c r="AH10" s="38">
        <v>44763</v>
      </c>
      <c r="AI10" s="240">
        <v>4000000</v>
      </c>
      <c r="AJ10" s="240">
        <v>25440966.65525084</v>
      </c>
      <c r="AK10" s="241">
        <f t="shared" si="29"/>
        <v>82897301.732709035</v>
      </c>
      <c r="AM10" s="32">
        <v>3</v>
      </c>
      <c r="AN10" s="39">
        <f t="shared" si="0"/>
        <v>4.0568036657500001E-2</v>
      </c>
      <c r="AO10" s="39">
        <f t="shared" si="1"/>
        <v>9.5831343768600016E-2</v>
      </c>
      <c r="AP10" s="39">
        <f t="shared" si="2"/>
        <v>0.33964704963420006</v>
      </c>
      <c r="AQ10" s="39">
        <f t="shared" si="3"/>
        <v>0.24056564279219997</v>
      </c>
      <c r="AR10" s="39">
        <f t="shared" si="30"/>
        <v>0.14911191044640001</v>
      </c>
      <c r="AS10" s="39">
        <f t="shared" si="31"/>
        <v>8.2897301732709039E-2</v>
      </c>
      <c r="AT10" s="39"/>
      <c r="AU10" s="39">
        <f t="shared" si="32"/>
        <v>0.10587695337486699</v>
      </c>
      <c r="AV10" s="9"/>
      <c r="AW10" s="9"/>
      <c r="AX10" s="9"/>
      <c r="BF10" s="51" t="s">
        <v>67</v>
      </c>
      <c r="BG10" s="52"/>
      <c r="BZ10" s="51" t="s">
        <v>67</v>
      </c>
      <c r="CA10" s="52"/>
      <c r="CT10" s="41">
        <f t="shared" si="33"/>
        <v>44763</v>
      </c>
      <c r="CU10" s="9">
        <f t="shared" si="34"/>
        <v>8.2897301732709039E-2</v>
      </c>
      <c r="CV10" s="9">
        <f t="shared" si="35"/>
        <v>0.11383091660985645</v>
      </c>
      <c r="CW10" s="9">
        <f t="shared" si="35"/>
        <v>0.13630894058491541</v>
      </c>
      <c r="CX10" s="9">
        <f t="shared" si="35"/>
        <v>0.14525045654540095</v>
      </c>
      <c r="CY10" s="9">
        <f t="shared" si="35"/>
        <v>0.15150602187607598</v>
      </c>
      <c r="CZ10" s="9">
        <f t="shared" si="35"/>
        <v>0.16412590201378627</v>
      </c>
      <c r="DA10" s="9">
        <f t="shared" si="35"/>
        <v>0.18062912661602251</v>
      </c>
      <c r="DB10" s="9">
        <f t="shared" si="35"/>
        <v>0.19869760062515351</v>
      </c>
      <c r="DC10" s="9">
        <f t="shared" si="35"/>
        <v>0.21784452974169441</v>
      </c>
      <c r="DD10" s="9">
        <f t="shared" si="35"/>
        <v>0.22930335877569458</v>
      </c>
      <c r="DE10" s="9">
        <f t="shared" si="35"/>
        <v>0.25418591542652991</v>
      </c>
      <c r="DF10" s="9">
        <f t="shared" si="35"/>
        <v>0.30864725132225335</v>
      </c>
      <c r="DG10" s="32"/>
      <c r="DH10" s="32"/>
      <c r="DR10" s="41">
        <v>45127</v>
      </c>
      <c r="DS10" s="9">
        <v>0.17864053799999999</v>
      </c>
      <c r="DT10" s="9">
        <f t="shared" si="36"/>
        <v>0.12279127678136159</v>
      </c>
      <c r="DU10" s="9">
        <f t="shared" si="36"/>
        <v>0.14506396341736702</v>
      </c>
      <c r="DV10" s="9">
        <f t="shared" si="36"/>
        <v>0.15690198227191665</v>
      </c>
      <c r="DW10" s="9">
        <f t="shared" si="36"/>
        <v>0.1641223265561349</v>
      </c>
      <c r="DX10" s="9">
        <f t="shared" si="36"/>
        <v>0.17813385704934204</v>
      </c>
      <c r="DY10" s="9">
        <f t="shared" si="36"/>
        <v>0.19575993276926493</v>
      </c>
      <c r="DZ10" s="9">
        <f t="shared" si="36"/>
        <v>0.21568219545161935</v>
      </c>
      <c r="EA10" s="9">
        <f t="shared" si="36"/>
        <v>0.2368707804496441</v>
      </c>
      <c r="EB10" s="9">
        <f t="shared" si="36"/>
        <v>0.24968833391715201</v>
      </c>
      <c r="EC10" s="9">
        <f t="shared" si="36"/>
        <v>0.27454397187796303</v>
      </c>
      <c r="ED10" s="9">
        <f t="shared" si="36"/>
        <v>0.35186682245864548</v>
      </c>
      <c r="EE10" s="32"/>
      <c r="EF10" s="32"/>
      <c r="EQ10" s="41">
        <v>45491</v>
      </c>
      <c r="ER10" s="76">
        <v>0.11149819943942467</v>
      </c>
      <c r="ES10" s="9">
        <f t="shared" si="37"/>
        <v>0.13054615384615384</v>
      </c>
      <c r="ET10" s="9">
        <f t="shared" si="37"/>
        <v>0.14607692307692308</v>
      </c>
      <c r="EU10" s="9">
        <f t="shared" si="37"/>
        <v>0.1572923076923077</v>
      </c>
      <c r="EV10" s="9">
        <f t="shared" si="37"/>
        <v>0.16540384615384615</v>
      </c>
      <c r="EW10" s="9">
        <f t="shared" si="37"/>
        <v>0.18133846153846156</v>
      </c>
      <c r="EX10" s="9">
        <f t="shared" si="37"/>
        <v>0.20429999999999998</v>
      </c>
      <c r="EY10" s="9">
        <f t="shared" si="37"/>
        <v>0.2322576923076923</v>
      </c>
      <c r="EZ10" s="9">
        <f t="shared" si="37"/>
        <v>0.26420769230769231</v>
      </c>
      <c r="FA10" s="9">
        <f t="shared" si="37"/>
        <v>0.28431923076923082</v>
      </c>
      <c r="FB10" s="9">
        <f t="shared" si="37"/>
        <v>0.32921538461538463</v>
      </c>
      <c r="FC10" s="9">
        <f t="shared" si="37"/>
        <v>0.43331538461538466</v>
      </c>
      <c r="FD10" s="32"/>
      <c r="FE10" s="32">
        <v>111498199.43942466</v>
      </c>
      <c r="FF10" s="32">
        <f t="shared" si="38"/>
        <v>0.11149819943942467</v>
      </c>
      <c r="FG10" s="32"/>
      <c r="FH10" s="32"/>
      <c r="FI10" s="32">
        <v>120948847.15456784</v>
      </c>
      <c r="FJ10" s="32">
        <f t="shared" si="39"/>
        <v>0.12094884715456784</v>
      </c>
      <c r="FK10" s="32"/>
      <c r="FL10" s="229">
        <v>45855</v>
      </c>
      <c r="FM10" s="230">
        <v>0.12094884715456784</v>
      </c>
      <c r="FN10" s="9">
        <f t="shared" si="40"/>
        <v>0.11359039131471646</v>
      </c>
      <c r="FO10" s="9">
        <f t="shared" si="40"/>
        <v>0.12725086007620295</v>
      </c>
      <c r="FP10" s="9">
        <f t="shared" si="40"/>
        <v>0.13619152527012449</v>
      </c>
      <c r="FQ10" s="9">
        <f t="shared" si="40"/>
        <v>0.14226240527302961</v>
      </c>
      <c r="FR10" s="9">
        <f t="shared" si="40"/>
        <v>0.15481089519257474</v>
      </c>
      <c r="FS10" s="9">
        <f t="shared" si="40"/>
        <v>0.17413019106319938</v>
      </c>
      <c r="FT10" s="9">
        <f t="shared" si="40"/>
        <v>0.20012162817778811</v>
      </c>
      <c r="FU10" s="9">
        <f t="shared" si="40"/>
        <v>0.22642446228281571</v>
      </c>
      <c r="FV10" s="9">
        <f t="shared" si="40"/>
        <v>0.2469288628326452</v>
      </c>
      <c r="FW10" s="9">
        <f t="shared" si="40"/>
        <v>0.29027539827959004</v>
      </c>
      <c r="FX10" s="9">
        <f t="shared" si="40"/>
        <v>0.39176399279701657</v>
      </c>
      <c r="FY10" s="32"/>
      <c r="FZ10" s="32">
        <v>111498199.43942466</v>
      </c>
      <c r="GA10" s="32">
        <f t="shared" si="41"/>
        <v>0.11149819943942467</v>
      </c>
      <c r="GB10" s="32"/>
      <c r="GC10" s="41">
        <v>45491</v>
      </c>
      <c r="GD10" s="9">
        <v>0.11149819943942467</v>
      </c>
      <c r="GE10" s="9">
        <f t="shared" si="42"/>
        <v>0.14331372074699569</v>
      </c>
      <c r="GF10" s="9">
        <f t="shared" si="42"/>
        <v>0.15665185479471183</v>
      </c>
      <c r="GG10" s="9">
        <f t="shared" si="42"/>
        <v>0.16786529535526495</v>
      </c>
      <c r="GH10" s="9">
        <f t="shared" si="42"/>
        <v>0.17524815297741905</v>
      </c>
      <c r="GI10" s="9">
        <f t="shared" si="42"/>
        <v>0.18912028760151481</v>
      </c>
      <c r="GJ10" s="9">
        <f t="shared" si="42"/>
        <v>0.20656026448160586</v>
      </c>
      <c r="GK10" s="9">
        <f t="shared" si="42"/>
        <v>0.22732837603602923</v>
      </c>
      <c r="GL10" s="9">
        <f t="shared" si="42"/>
        <v>0.24863958431441974</v>
      </c>
      <c r="GM10" s="9">
        <f t="shared" si="42"/>
        <v>0.26192395945494829</v>
      </c>
      <c r="GN10" s="9">
        <f t="shared" si="42"/>
        <v>0.28873228228091641</v>
      </c>
      <c r="GO10" s="9">
        <f t="shared" si="42"/>
        <v>0.36346787516455664</v>
      </c>
      <c r="GP10" s="32"/>
      <c r="GQ10" s="32"/>
      <c r="HA10" s="41">
        <f t="shared" si="43"/>
        <v>44763</v>
      </c>
      <c r="HB10" s="9">
        <f t="shared" si="9"/>
        <v>8.2897301732709039E-2</v>
      </c>
      <c r="HC10" s="9"/>
      <c r="HD10" s="9"/>
      <c r="HE10" s="9"/>
      <c r="HF10" s="9"/>
      <c r="HG10" s="9"/>
      <c r="HH10" s="9"/>
      <c r="HI10" s="9"/>
      <c r="HJ10" s="9"/>
      <c r="HK10" s="9"/>
      <c r="HL10" s="9"/>
      <c r="HM10" s="9"/>
      <c r="HN10" s="9"/>
      <c r="HO10" s="9"/>
      <c r="HP10" s="9"/>
      <c r="HQ10" s="9"/>
      <c r="HR10" s="9"/>
      <c r="HS10" s="32">
        <v>4</v>
      </c>
      <c r="HT10" s="32"/>
      <c r="HU10" s="32"/>
      <c r="HV10" s="41">
        <f t="shared" si="44"/>
        <v>44763</v>
      </c>
      <c r="HW10" s="9">
        <f t="shared" si="45"/>
        <v>8.2897301732709039E-2</v>
      </c>
      <c r="HX10" s="9">
        <f t="shared" ref="HX10:HX17" si="59">HX9+HX$2</f>
        <v>8.1716700282029986E-2</v>
      </c>
      <c r="HY10" s="9">
        <f t="shared" si="46"/>
        <v>9.0423269365600273E-2</v>
      </c>
      <c r="HZ10" s="9">
        <f t="shared" si="46"/>
        <v>9.7612934407503432E-2</v>
      </c>
      <c r="IA10" s="9">
        <f t="shared" si="46"/>
        <v>0.10856257029706629</v>
      </c>
      <c r="IB10" s="9">
        <f t="shared" si="46"/>
        <v>0.11726913938063657</v>
      </c>
      <c r="IC10" s="9">
        <f t="shared" si="46"/>
        <v>0.13141606630052061</v>
      </c>
      <c r="ID10" s="9">
        <f t="shared" si="46"/>
        <v>0.16521919819353775</v>
      </c>
      <c r="IE10" s="9">
        <f t="shared" si="46"/>
        <v>0.2406879123266546</v>
      </c>
      <c r="IF10" s="9">
        <f t="shared" si="46"/>
        <v>0.2478775773685577</v>
      </c>
      <c r="IG10" s="9">
        <f t="shared" si="46"/>
        <v>0.33161961031845177</v>
      </c>
      <c r="IH10" s="9">
        <f t="shared" si="46"/>
        <v>0.58562002474537889</v>
      </c>
      <c r="II10" s="9"/>
      <c r="IJ10" s="9"/>
      <c r="IK10" s="9"/>
      <c r="IL10" s="9"/>
      <c r="IM10" s="32">
        <v>4</v>
      </c>
      <c r="IN10" s="32"/>
      <c r="IO10" s="32"/>
      <c r="IZ10" s="41">
        <f t="shared" si="11"/>
        <v>44763</v>
      </c>
      <c r="JA10" s="9">
        <f t="shared" si="11"/>
        <v>8.2897301732709039E-2</v>
      </c>
      <c r="JB10" s="9"/>
      <c r="JC10" s="9"/>
      <c r="JD10" s="9"/>
      <c r="JE10" s="9"/>
      <c r="JF10" s="9"/>
      <c r="JG10" s="9"/>
      <c r="JH10" s="9"/>
      <c r="JI10" s="9"/>
      <c r="JJ10" s="9"/>
      <c r="JK10" s="9"/>
      <c r="JL10" s="9"/>
      <c r="JM10" s="9"/>
      <c r="JX10" s="41">
        <v>44763</v>
      </c>
      <c r="JY10" s="9">
        <v>8.5896012714599998E-2</v>
      </c>
      <c r="JZ10" s="9"/>
      <c r="KA10" s="9"/>
      <c r="KB10" s="9"/>
      <c r="KM10" s="41">
        <v>42936</v>
      </c>
      <c r="KN10" s="241">
        <v>12683279.113999998</v>
      </c>
      <c r="KO10" s="241">
        <f t="shared" si="47"/>
        <v>40568036.657499999</v>
      </c>
      <c r="KQ10" s="41">
        <v>43118</v>
      </c>
      <c r="KR10" s="241">
        <v>13428693.090999998</v>
      </c>
      <c r="KS10" s="241">
        <f t="shared" si="48"/>
        <v>131509052.829</v>
      </c>
      <c r="KU10" s="41">
        <v>43300</v>
      </c>
      <c r="KV10" s="241">
        <v>38658927.331200004</v>
      </c>
      <c r="KW10" s="241">
        <f t="shared" si="49"/>
        <v>95831343.768600017</v>
      </c>
      <c r="KY10" s="41">
        <v>43482</v>
      </c>
      <c r="KZ10" s="241">
        <v>206489095.25640002</v>
      </c>
      <c r="LA10" s="241">
        <f t="shared" si="50"/>
        <v>417432286.39860004</v>
      </c>
      <c r="LC10" s="41">
        <v>43664</v>
      </c>
      <c r="LD10" s="241">
        <v>187249140.42120004</v>
      </c>
      <c r="LE10" s="241">
        <f t="shared" si="51"/>
        <v>339647049.63420004</v>
      </c>
      <c r="LG10" s="41">
        <v>43846</v>
      </c>
      <c r="LH10" s="241">
        <v>32784331.786800001</v>
      </c>
      <c r="LI10" s="241">
        <f t="shared" si="52"/>
        <v>74246294.3706</v>
      </c>
      <c r="LK10" s="41">
        <v>44028</v>
      </c>
      <c r="LL10" s="241">
        <v>25034242.1472</v>
      </c>
      <c r="LM10" s="241">
        <f t="shared" si="53"/>
        <v>240565642.79219997</v>
      </c>
      <c r="LO10" s="41">
        <v>44217</v>
      </c>
      <c r="LP10" s="241">
        <v>46513750.674600005</v>
      </c>
      <c r="LQ10" s="241">
        <f t="shared" si="54"/>
        <v>96911034.415800005</v>
      </c>
      <c r="LS10" s="41">
        <v>44392</v>
      </c>
      <c r="LT10" s="241">
        <v>31179332.441400003</v>
      </c>
      <c r="LU10" s="241">
        <f t="shared" si="55"/>
        <v>149111910.44640002</v>
      </c>
      <c r="LW10" s="41">
        <v>44581</v>
      </c>
      <c r="LX10" s="241">
        <v>26668790.200800002</v>
      </c>
      <c r="LY10" s="241">
        <f t="shared" si="56"/>
        <v>143383464.9456</v>
      </c>
      <c r="MA10" s="32">
        <v>3</v>
      </c>
      <c r="MB10" s="42">
        <f t="shared" si="12"/>
        <v>4.0568036657500001E-2</v>
      </c>
      <c r="MC10" s="42">
        <f t="shared" si="13"/>
        <v>0.13150905282899999</v>
      </c>
      <c r="MD10" s="42">
        <f t="shared" si="14"/>
        <v>9.5831343768600016E-2</v>
      </c>
      <c r="ME10" s="42">
        <f t="shared" si="15"/>
        <v>0.41743228639860003</v>
      </c>
      <c r="MF10" s="42">
        <f t="shared" si="16"/>
        <v>0.33964704963420006</v>
      </c>
      <c r="MG10" s="42">
        <f t="shared" si="17"/>
        <v>7.4246294370599999E-2</v>
      </c>
      <c r="MH10" s="42">
        <f t="shared" si="18"/>
        <v>0.24056564279219997</v>
      </c>
      <c r="MI10" s="42">
        <f t="shared" si="19"/>
        <v>9.6911034415799999E-2</v>
      </c>
      <c r="MJ10" s="42">
        <f t="shared" si="20"/>
        <v>0.14911191044640001</v>
      </c>
      <c r="MK10" s="42">
        <f t="shared" si="21"/>
        <v>0.1433834649456</v>
      </c>
      <c r="ML10" s="9"/>
      <c r="MM10" s="9"/>
      <c r="MN10" s="9"/>
      <c r="MV10" s="51" t="s">
        <v>67</v>
      </c>
      <c r="MW10" s="52"/>
      <c r="NG10" s="53"/>
      <c r="NH10" s="53"/>
      <c r="NS10" s="41">
        <v>44581</v>
      </c>
      <c r="NT10" s="9">
        <f t="shared" si="22"/>
        <v>0.1433834649456</v>
      </c>
      <c r="NU10" s="9">
        <f t="shared" si="57"/>
        <v>9.8650734630524997E-2</v>
      </c>
      <c r="NV10" s="9">
        <f t="shared" si="57"/>
        <v>0.11669736416507843</v>
      </c>
      <c r="NW10" s="9">
        <f t="shared" si="57"/>
        <v>0.12724129062511094</v>
      </c>
      <c r="NX10" s="9">
        <f t="shared" si="57"/>
        <v>0.13463785271627304</v>
      </c>
      <c r="NY10" s="9">
        <f t="shared" si="57"/>
        <v>0.15016383706652309</v>
      </c>
      <c r="NZ10" s="9">
        <f t="shared" si="57"/>
        <v>0.17654854318704519</v>
      </c>
      <c r="OA10" s="9">
        <f t="shared" si="57"/>
        <v>0.20333930843179041</v>
      </c>
      <c r="OB10" s="9">
        <f t="shared" si="57"/>
        <v>0.23491152796929235</v>
      </c>
      <c r="OC10" s="9">
        <f t="shared" si="57"/>
        <v>0.25747279860713657</v>
      </c>
      <c r="OD10" s="9">
        <f t="shared" si="57"/>
        <v>0.3019279826973173</v>
      </c>
      <c r="OE10" s="9">
        <f t="shared" si="57"/>
        <v>0.39074905797084808</v>
      </c>
      <c r="OF10" s="9">
        <f t="shared" ca="1" si="57"/>
        <v>0.20122773769356922</v>
      </c>
      <c r="OG10" s="32"/>
      <c r="OR10" s="41">
        <f t="shared" si="58"/>
        <v>44581</v>
      </c>
      <c r="OS10" s="9">
        <f t="shared" si="58"/>
        <v>0.1433834649456</v>
      </c>
      <c r="OT10" s="9"/>
      <c r="OU10" s="9"/>
      <c r="OV10" s="9"/>
      <c r="OW10" s="9"/>
      <c r="OX10" s="9"/>
      <c r="OY10" s="9"/>
      <c r="OZ10" s="9"/>
      <c r="PA10" s="9"/>
      <c r="PB10" s="9"/>
      <c r="PC10" s="9"/>
      <c r="PD10" s="9"/>
      <c r="PE10" s="9"/>
    </row>
    <row r="11" spans="2:423" x14ac:dyDescent="0.25">
      <c r="B11" s="48">
        <v>42761</v>
      </c>
      <c r="C11" s="49">
        <v>12920372.673999999</v>
      </c>
      <c r="D11" s="49">
        <v>13907080</v>
      </c>
      <c r="E11" s="50">
        <v>6000000</v>
      </c>
      <c r="F11" s="50"/>
      <c r="G11" s="50"/>
      <c r="H11" s="50"/>
      <c r="I11" s="38">
        <v>42943</v>
      </c>
      <c r="J11" s="240">
        <v>3000000</v>
      </c>
      <c r="K11" s="240">
        <v>11417485.650999999</v>
      </c>
      <c r="L11" s="241">
        <f t="shared" si="24"/>
        <v>51985522.308499999</v>
      </c>
      <c r="N11" s="38">
        <v>43307</v>
      </c>
      <c r="O11" s="240">
        <v>40000000</v>
      </c>
      <c r="P11" s="240">
        <v>46773918.510000005</v>
      </c>
      <c r="Q11" s="241">
        <f t="shared" si="25"/>
        <v>142605262.27860004</v>
      </c>
      <c r="S11" s="38">
        <v>43671</v>
      </c>
      <c r="T11" s="240">
        <v>3000000</v>
      </c>
      <c r="U11" s="240">
        <v>17288376.666000001</v>
      </c>
      <c r="V11" s="241">
        <f t="shared" si="26"/>
        <v>356935426.30020005</v>
      </c>
      <c r="X11" s="38">
        <v>44035</v>
      </c>
      <c r="Y11" s="240">
        <v>8000000</v>
      </c>
      <c r="Z11" s="240">
        <v>31423890.042600002</v>
      </c>
      <c r="AA11" s="241">
        <f t="shared" si="27"/>
        <v>271989532.83479995</v>
      </c>
      <c r="AC11" s="38">
        <v>44399</v>
      </c>
      <c r="AD11" s="240">
        <v>20000000</v>
      </c>
      <c r="AE11" s="240">
        <v>51124870.631999999</v>
      </c>
      <c r="AF11" s="241">
        <f t="shared" si="28"/>
        <v>200236781.07840002</v>
      </c>
      <c r="AG11" s="241"/>
      <c r="AH11" s="38">
        <v>44770</v>
      </c>
      <c r="AI11" s="240">
        <v>4000000</v>
      </c>
      <c r="AJ11" s="240">
        <v>23452032.333377928</v>
      </c>
      <c r="AK11" s="241">
        <f t="shared" si="29"/>
        <v>106349334.06608696</v>
      </c>
      <c r="AM11" s="32">
        <v>4</v>
      </c>
      <c r="AN11" s="39">
        <f t="shared" si="0"/>
        <v>5.1985522308500003E-2</v>
      </c>
      <c r="AO11" s="39">
        <f t="shared" si="1"/>
        <v>0.14260526227860004</v>
      </c>
      <c r="AP11" s="39">
        <f t="shared" si="2"/>
        <v>0.35693542630020003</v>
      </c>
      <c r="AQ11" s="39">
        <f t="shared" si="3"/>
        <v>0.27198953283479993</v>
      </c>
      <c r="AR11" s="39">
        <f t="shared" si="30"/>
        <v>0.20023678107840001</v>
      </c>
      <c r="AS11" s="39">
        <f t="shared" si="31"/>
        <v>0.10634933406608696</v>
      </c>
      <c r="AT11" s="39"/>
      <c r="AU11" s="39">
        <f t="shared" si="32"/>
        <v>0.15881543006230048</v>
      </c>
      <c r="AV11" s="9"/>
      <c r="AW11" s="9"/>
      <c r="AX11" s="9"/>
      <c r="BF11" s="52"/>
      <c r="BG11" s="54" t="s">
        <v>68</v>
      </c>
      <c r="BH11" s="55">
        <f>L62</f>
        <v>52</v>
      </c>
      <c r="BI11" s="55">
        <f>Q62</f>
        <v>52</v>
      </c>
      <c r="BJ11" s="55">
        <f>V62</f>
        <v>52</v>
      </c>
      <c r="BK11" s="55">
        <f>AA62</f>
        <v>52</v>
      </c>
      <c r="BL11" s="55">
        <f>AF62</f>
        <v>53</v>
      </c>
      <c r="BM11" s="55">
        <v>52</v>
      </c>
      <c r="BN11" s="55"/>
      <c r="BZ11" s="52"/>
      <c r="CA11" s="54" t="s">
        <v>68</v>
      </c>
      <c r="CB11" s="55">
        <f>CD11</f>
        <v>52</v>
      </c>
      <c r="CC11" s="55">
        <f>CD11</f>
        <v>52</v>
      </c>
      <c r="CD11" s="55">
        <f>L62</f>
        <v>52</v>
      </c>
      <c r="CE11" s="55">
        <f>Q62</f>
        <v>52</v>
      </c>
      <c r="CF11" s="55">
        <f>V62</f>
        <v>52</v>
      </c>
      <c r="CG11" s="55">
        <f>AA62</f>
        <v>52</v>
      </c>
      <c r="CH11" s="55">
        <f>AF62</f>
        <v>53</v>
      </c>
      <c r="CI11" s="55"/>
      <c r="CT11" s="41">
        <f t="shared" si="33"/>
        <v>44770</v>
      </c>
      <c r="CU11" s="9">
        <f t="shared" si="34"/>
        <v>0.10634933406608696</v>
      </c>
      <c r="CV11" s="9">
        <f t="shared" si="35"/>
        <v>0.15177455547980859</v>
      </c>
      <c r="CW11" s="9">
        <f t="shared" si="35"/>
        <v>0.18174525411322054</v>
      </c>
      <c r="CX11" s="9">
        <f t="shared" si="35"/>
        <v>0.19366727539386794</v>
      </c>
      <c r="CY11" s="9">
        <f t="shared" si="35"/>
        <v>0.20200802916810129</v>
      </c>
      <c r="CZ11" s="9">
        <f t="shared" si="35"/>
        <v>0.21883453601838168</v>
      </c>
      <c r="DA11" s="9">
        <f t="shared" si="35"/>
        <v>0.24083883548803001</v>
      </c>
      <c r="DB11" s="9">
        <f t="shared" si="35"/>
        <v>0.26493013416687133</v>
      </c>
      <c r="DC11" s="9">
        <f t="shared" si="35"/>
        <v>0.29045937298892588</v>
      </c>
      <c r="DD11" s="9">
        <f t="shared" si="35"/>
        <v>0.30573781170092612</v>
      </c>
      <c r="DE11" s="9">
        <f t="shared" si="35"/>
        <v>0.33891455390203984</v>
      </c>
      <c r="DF11" s="9">
        <f t="shared" si="35"/>
        <v>0.41152966842967115</v>
      </c>
      <c r="DG11" s="32"/>
      <c r="DH11" s="32"/>
      <c r="DR11" s="41">
        <v>45134</v>
      </c>
      <c r="DS11" s="9">
        <v>0.29270090199999999</v>
      </c>
      <c r="DT11" s="9">
        <f t="shared" si="36"/>
        <v>0.1637217023751488</v>
      </c>
      <c r="DU11" s="9">
        <f t="shared" si="36"/>
        <v>0.1934186178898227</v>
      </c>
      <c r="DV11" s="9">
        <f t="shared" si="36"/>
        <v>0.2092026430292222</v>
      </c>
      <c r="DW11" s="9">
        <f t="shared" si="36"/>
        <v>0.21882976874151322</v>
      </c>
      <c r="DX11" s="9">
        <f t="shared" si="36"/>
        <v>0.2375118093991227</v>
      </c>
      <c r="DY11" s="9">
        <f t="shared" si="36"/>
        <v>0.26101324369235324</v>
      </c>
      <c r="DZ11" s="9">
        <f t="shared" si="36"/>
        <v>0.28757626060215913</v>
      </c>
      <c r="EA11" s="9">
        <f t="shared" si="36"/>
        <v>0.31582770726619214</v>
      </c>
      <c r="EB11" s="9">
        <f t="shared" si="36"/>
        <v>0.33291777855620269</v>
      </c>
      <c r="EC11" s="9">
        <f t="shared" si="36"/>
        <v>0.36605862917061738</v>
      </c>
      <c r="ED11" s="9">
        <f t="shared" si="36"/>
        <v>0.46915576327819397</v>
      </c>
      <c r="EE11" s="32"/>
      <c r="EF11" s="32"/>
      <c r="EQ11" s="41">
        <v>45498</v>
      </c>
      <c r="ER11" s="76">
        <v>0.14936957389486763</v>
      </c>
      <c r="ES11" s="9">
        <f t="shared" si="37"/>
        <v>0.17406153846153846</v>
      </c>
      <c r="ET11" s="9">
        <f t="shared" si="37"/>
        <v>0.19476923076923078</v>
      </c>
      <c r="EU11" s="9">
        <f t="shared" si="37"/>
        <v>0.20972307692307693</v>
      </c>
      <c r="EV11" s="9">
        <f t="shared" si="37"/>
        <v>0.22053846153846154</v>
      </c>
      <c r="EW11" s="9">
        <f t="shared" si="37"/>
        <v>0.2417846153846154</v>
      </c>
      <c r="EX11" s="9">
        <f t="shared" si="37"/>
        <v>0.27239999999999998</v>
      </c>
      <c r="EY11" s="9">
        <f t="shared" si="37"/>
        <v>0.30967692307692307</v>
      </c>
      <c r="EZ11" s="9">
        <f t="shared" si="37"/>
        <v>0.3522769230769231</v>
      </c>
      <c r="FA11" s="9">
        <f t="shared" si="37"/>
        <v>0.37909230769230773</v>
      </c>
      <c r="FB11" s="9">
        <f t="shared" si="37"/>
        <v>0.43895384615384619</v>
      </c>
      <c r="FC11" s="9">
        <f t="shared" si="37"/>
        <v>0.57775384615384617</v>
      </c>
      <c r="FD11" s="32"/>
      <c r="FE11" s="32">
        <v>149369573.89486763</v>
      </c>
      <c r="FF11" s="32">
        <f t="shared" si="38"/>
        <v>0.14936957389486763</v>
      </c>
      <c r="FG11" s="32"/>
      <c r="FH11" s="32"/>
      <c r="FI11" s="32">
        <v>181749404.68201476</v>
      </c>
      <c r="FJ11" s="32">
        <f t="shared" si="39"/>
        <v>0.18174940468201475</v>
      </c>
      <c r="FK11" s="32"/>
      <c r="FL11" s="229">
        <v>45862</v>
      </c>
      <c r="FM11" s="230">
        <v>0.18174940468201475</v>
      </c>
      <c r="FN11" s="9">
        <f t="shared" si="40"/>
        <v>0.15145385508628861</v>
      </c>
      <c r="FO11" s="9">
        <f t="shared" si="40"/>
        <v>0.16966781343493725</v>
      </c>
      <c r="FP11" s="9">
        <f t="shared" si="40"/>
        <v>0.18158870036016597</v>
      </c>
      <c r="FQ11" s="9">
        <f t="shared" si="40"/>
        <v>0.18968320703070615</v>
      </c>
      <c r="FR11" s="9">
        <f t="shared" si="40"/>
        <v>0.20641452692343298</v>
      </c>
      <c r="FS11" s="9">
        <f t="shared" si="40"/>
        <v>0.23217358808426583</v>
      </c>
      <c r="FT11" s="9">
        <f t="shared" si="40"/>
        <v>0.26682883757038417</v>
      </c>
      <c r="FU11" s="9">
        <f t="shared" si="40"/>
        <v>0.3018992830437543</v>
      </c>
      <c r="FV11" s="9">
        <f t="shared" si="40"/>
        <v>0.32923848377686027</v>
      </c>
      <c r="FW11" s="9">
        <f t="shared" si="40"/>
        <v>0.38703386437278675</v>
      </c>
      <c r="FX11" s="9">
        <f t="shared" si="40"/>
        <v>0.52235199039602209</v>
      </c>
      <c r="FY11" s="32"/>
      <c r="FZ11" s="32">
        <v>149369573.89486763</v>
      </c>
      <c r="GA11" s="32">
        <f t="shared" si="41"/>
        <v>0.14936957389486763</v>
      </c>
      <c r="GB11" s="32"/>
      <c r="GC11" s="41">
        <v>45498</v>
      </c>
      <c r="GD11" s="9">
        <v>0.14936957389486763</v>
      </c>
      <c r="GE11" s="9">
        <f t="shared" si="42"/>
        <v>0.19108496099599426</v>
      </c>
      <c r="GF11" s="9">
        <f t="shared" si="42"/>
        <v>0.20886913972628246</v>
      </c>
      <c r="GG11" s="9">
        <f t="shared" si="42"/>
        <v>0.22382039380701996</v>
      </c>
      <c r="GH11" s="9">
        <f t="shared" si="42"/>
        <v>0.23366420396989207</v>
      </c>
      <c r="GI11" s="9">
        <f t="shared" si="42"/>
        <v>0.25216038346868641</v>
      </c>
      <c r="GJ11" s="9">
        <f t="shared" si="42"/>
        <v>0.2754136859754745</v>
      </c>
      <c r="GK11" s="9">
        <f t="shared" si="42"/>
        <v>0.30310450138137229</v>
      </c>
      <c r="GL11" s="9">
        <f t="shared" si="42"/>
        <v>0.33151944575255965</v>
      </c>
      <c r="GM11" s="9">
        <f t="shared" si="42"/>
        <v>0.34923194593993101</v>
      </c>
      <c r="GN11" s="9">
        <f t="shared" si="42"/>
        <v>0.38497637637455517</v>
      </c>
      <c r="GO11" s="9">
        <f t="shared" si="42"/>
        <v>0.48462383355274219</v>
      </c>
      <c r="GP11" s="32"/>
      <c r="GQ11" s="32"/>
      <c r="HA11" s="41">
        <f t="shared" si="43"/>
        <v>44770</v>
      </c>
      <c r="HB11" s="9">
        <f t="shared" si="9"/>
        <v>0.10634933406608696</v>
      </c>
      <c r="HC11" s="9"/>
      <c r="HD11" s="9"/>
      <c r="HE11" s="9"/>
      <c r="HF11" s="9"/>
      <c r="HG11" s="9"/>
      <c r="HH11" s="9"/>
      <c r="HI11" s="9"/>
      <c r="HJ11" s="9"/>
      <c r="HK11" s="9"/>
      <c r="HL11" s="9"/>
      <c r="HM11" s="9"/>
      <c r="HN11" s="9"/>
      <c r="HO11" s="9"/>
      <c r="HP11" s="9"/>
      <c r="HQ11" s="9"/>
      <c r="HR11" s="9"/>
      <c r="HS11" s="32">
        <v>4</v>
      </c>
      <c r="HT11" s="32"/>
      <c r="HU11" s="32"/>
      <c r="HV11" s="41">
        <f t="shared" si="44"/>
        <v>44770</v>
      </c>
      <c r="HW11" s="9">
        <f t="shared" si="45"/>
        <v>0.10634933406608696</v>
      </c>
      <c r="HX11" s="9">
        <f t="shared" si="59"/>
        <v>0.10895560037603999</v>
      </c>
      <c r="HY11" s="9">
        <f t="shared" si="46"/>
        <v>0.1205643591541337</v>
      </c>
      <c r="HZ11" s="9">
        <f t="shared" si="46"/>
        <v>0.13015057921000459</v>
      </c>
      <c r="IA11" s="9">
        <f t="shared" si="46"/>
        <v>0.14475009372942171</v>
      </c>
      <c r="IB11" s="9">
        <f t="shared" si="46"/>
        <v>0.15635885250751544</v>
      </c>
      <c r="IC11" s="9">
        <f t="shared" si="46"/>
        <v>0.17522142173402747</v>
      </c>
      <c r="ID11" s="9">
        <f t="shared" si="46"/>
        <v>0.22029226425805032</v>
      </c>
      <c r="IE11" s="9">
        <f t="shared" si="46"/>
        <v>0.32091721643553944</v>
      </c>
      <c r="IF11" s="9">
        <f t="shared" si="46"/>
        <v>0.33050343649141029</v>
      </c>
      <c r="IG11" s="9">
        <f t="shared" si="46"/>
        <v>0.44215948042460235</v>
      </c>
      <c r="IH11" s="9">
        <f t="shared" si="46"/>
        <v>0.78082669966050511</v>
      </c>
      <c r="II11" s="9"/>
      <c r="IJ11" s="9"/>
      <c r="IK11" s="9"/>
      <c r="IL11" s="9"/>
      <c r="IM11" s="32">
        <v>4</v>
      </c>
      <c r="IN11" s="32"/>
      <c r="IO11" s="32"/>
      <c r="IZ11" s="41">
        <f t="shared" si="11"/>
        <v>44770</v>
      </c>
      <c r="JA11" s="9">
        <f t="shared" si="11"/>
        <v>0.10634933406608696</v>
      </c>
      <c r="JB11" s="9"/>
      <c r="JC11" s="9"/>
      <c r="JD11" s="9"/>
      <c r="JE11" s="9"/>
      <c r="JF11" s="9"/>
      <c r="JG11" s="9"/>
      <c r="JH11" s="9"/>
      <c r="JI11" s="9"/>
      <c r="JJ11" s="9"/>
      <c r="JK11" s="9"/>
      <c r="JL11" s="9"/>
      <c r="JM11" s="9"/>
      <c r="JX11" s="41">
        <v>44770</v>
      </c>
      <c r="JY11" s="9">
        <v>0.11100833071680001</v>
      </c>
      <c r="JZ11" s="9"/>
      <c r="KA11" s="9"/>
      <c r="KB11" s="9"/>
      <c r="KM11" s="41">
        <v>42943</v>
      </c>
      <c r="KN11" s="241">
        <v>11417485.650999999</v>
      </c>
      <c r="KO11" s="241">
        <f t="shared" si="47"/>
        <v>51985522.308499999</v>
      </c>
      <c r="KQ11" s="41">
        <v>43125</v>
      </c>
      <c r="KR11" s="241">
        <v>14845224.916499998</v>
      </c>
      <c r="KS11" s="241">
        <f t="shared" si="48"/>
        <v>146354277.7455</v>
      </c>
      <c r="KU11" s="41">
        <v>43307</v>
      </c>
      <c r="KV11" s="241">
        <v>46773918.510000005</v>
      </c>
      <c r="KW11" s="241">
        <f t="shared" si="49"/>
        <v>142605262.27860004</v>
      </c>
      <c r="KY11" s="41">
        <v>43489</v>
      </c>
      <c r="KZ11" s="241">
        <v>16920422.369400002</v>
      </c>
      <c r="LA11" s="241">
        <f t="shared" si="50"/>
        <v>434352708.76800007</v>
      </c>
      <c r="LC11" s="41">
        <v>43671</v>
      </c>
      <c r="LD11" s="241">
        <v>17288376.666000001</v>
      </c>
      <c r="LE11" s="241">
        <f t="shared" si="51"/>
        <v>356935426.30020005</v>
      </c>
      <c r="LG11" s="41">
        <v>43853</v>
      </c>
      <c r="LH11" s="241">
        <v>42358994.099399999</v>
      </c>
      <c r="LI11" s="241">
        <f t="shared" si="52"/>
        <v>116605288.47</v>
      </c>
      <c r="LK11" s="41">
        <v>44035</v>
      </c>
      <c r="LL11" s="241">
        <v>31423890.042600002</v>
      </c>
      <c r="LM11" s="241">
        <f t="shared" si="53"/>
        <v>271989532.83479995</v>
      </c>
      <c r="LO11" s="41">
        <v>44224</v>
      </c>
      <c r="LP11" s="241">
        <v>27647901.461400002</v>
      </c>
      <c r="LQ11" s="241">
        <f t="shared" si="54"/>
        <v>124558935.87720001</v>
      </c>
      <c r="LS11" s="41">
        <v>44399</v>
      </c>
      <c r="LT11" s="241">
        <v>51124870.631999999</v>
      </c>
      <c r="LU11" s="241">
        <f t="shared" si="55"/>
        <v>200236781.07840002</v>
      </c>
      <c r="LW11" s="41">
        <v>44588</v>
      </c>
      <c r="LX11" s="241">
        <v>41344888.8402</v>
      </c>
      <c r="LY11" s="241">
        <f t="shared" si="56"/>
        <v>184728353.78580001</v>
      </c>
      <c r="MA11" s="32">
        <v>4</v>
      </c>
      <c r="MB11" s="42">
        <f t="shared" si="12"/>
        <v>5.1985522308500003E-2</v>
      </c>
      <c r="MC11" s="42">
        <f t="shared" si="13"/>
        <v>0.1463542777455</v>
      </c>
      <c r="MD11" s="42">
        <f t="shared" si="14"/>
        <v>0.14260526227860004</v>
      </c>
      <c r="ME11" s="42">
        <f t="shared" si="15"/>
        <v>0.43435270876800008</v>
      </c>
      <c r="MF11" s="42">
        <f t="shared" si="16"/>
        <v>0.35693542630020003</v>
      </c>
      <c r="MG11" s="42">
        <f t="shared" si="17"/>
        <v>0.11660528847</v>
      </c>
      <c r="MH11" s="42">
        <f t="shared" si="18"/>
        <v>0.27198953283479993</v>
      </c>
      <c r="MI11" s="42">
        <f t="shared" si="19"/>
        <v>0.1245589358772</v>
      </c>
      <c r="MJ11" s="42">
        <f t="shared" si="20"/>
        <v>0.20023678107840001</v>
      </c>
      <c r="MK11" s="42">
        <f t="shared" si="21"/>
        <v>0.18472835378580002</v>
      </c>
      <c r="ML11" s="9"/>
      <c r="MM11" s="9"/>
      <c r="MN11" s="9"/>
      <c r="MV11" s="52"/>
      <c r="MW11" s="54" t="s">
        <v>68</v>
      </c>
      <c r="MX11" s="55">
        <f>KO36</f>
        <v>26</v>
      </c>
      <c r="MY11" s="55">
        <f>KS36</f>
        <v>26</v>
      </c>
      <c r="MZ11" s="55">
        <f>KW36</f>
        <v>26</v>
      </c>
      <c r="NA11" s="55">
        <f>LA36</f>
        <v>26</v>
      </c>
      <c r="NB11" s="55">
        <f>LE36</f>
        <v>26</v>
      </c>
      <c r="NC11" s="55">
        <f>LI36</f>
        <v>26</v>
      </c>
      <c r="ND11" s="55">
        <f>LM36</f>
        <v>27</v>
      </c>
      <c r="NE11" s="55">
        <f>LQ36</f>
        <v>25</v>
      </c>
      <c r="NF11" s="55">
        <f>LU36</f>
        <v>27</v>
      </c>
      <c r="NG11" s="55">
        <f>LY36</f>
        <v>26</v>
      </c>
      <c r="NH11" s="6"/>
      <c r="NS11" s="41">
        <v>44588</v>
      </c>
      <c r="NT11" s="9">
        <f t="shared" si="22"/>
        <v>0.18472835378580002</v>
      </c>
      <c r="NU11" s="9">
        <f t="shared" si="57"/>
        <v>0.1315343128407</v>
      </c>
      <c r="NV11" s="9">
        <f t="shared" si="57"/>
        <v>0.15559648555343791</v>
      </c>
      <c r="NW11" s="9">
        <f t="shared" si="57"/>
        <v>0.16965505416681459</v>
      </c>
      <c r="NX11" s="9">
        <f t="shared" si="57"/>
        <v>0.17951713695503074</v>
      </c>
      <c r="NY11" s="9">
        <f t="shared" si="57"/>
        <v>0.20021844942203076</v>
      </c>
      <c r="NZ11" s="9">
        <f t="shared" si="57"/>
        <v>0.23539805758272692</v>
      </c>
      <c r="OA11" s="9">
        <f t="shared" si="57"/>
        <v>0.27111907790905387</v>
      </c>
      <c r="OB11" s="9">
        <f t="shared" si="57"/>
        <v>0.31321537062572313</v>
      </c>
      <c r="OC11" s="9">
        <f t="shared" si="57"/>
        <v>0.34329706480951538</v>
      </c>
      <c r="OD11" s="9">
        <f t="shared" si="57"/>
        <v>0.40257064359642308</v>
      </c>
      <c r="OE11" s="9">
        <f t="shared" si="57"/>
        <v>0.52099874396113077</v>
      </c>
      <c r="OF11" s="9">
        <f t="shared" ca="1" si="57"/>
        <v>0.26830365025809227</v>
      </c>
      <c r="OG11" s="32"/>
      <c r="OR11" s="41">
        <f t="shared" si="58"/>
        <v>44588</v>
      </c>
      <c r="OS11" s="9">
        <f t="shared" si="58"/>
        <v>0.18472835378580002</v>
      </c>
      <c r="OT11" s="9"/>
      <c r="OU11" s="9"/>
      <c r="OV11" s="9"/>
      <c r="OW11" s="9"/>
      <c r="OX11" s="9"/>
      <c r="OY11" s="9"/>
      <c r="OZ11" s="9"/>
      <c r="PA11" s="9"/>
      <c r="PB11" s="9"/>
      <c r="PC11" s="9"/>
      <c r="PD11" s="9"/>
      <c r="PE11" s="9"/>
    </row>
    <row r="12" spans="2:423" x14ac:dyDescent="0.25">
      <c r="B12" s="48">
        <v>42768</v>
      </c>
      <c r="C12" s="49">
        <v>19224097.7005</v>
      </c>
      <c r="D12" s="49">
        <v>20692210</v>
      </c>
      <c r="E12" s="50">
        <v>10000000</v>
      </c>
      <c r="F12" s="50"/>
      <c r="G12" s="50"/>
      <c r="H12" s="50"/>
      <c r="I12" s="38">
        <v>42950</v>
      </c>
      <c r="J12" s="240">
        <v>6000000</v>
      </c>
      <c r="K12" s="240">
        <v>16088024.391999999</v>
      </c>
      <c r="L12" s="241">
        <f t="shared" si="24"/>
        <v>68073546.700499997</v>
      </c>
      <c r="N12" s="38">
        <v>43314</v>
      </c>
      <c r="O12" s="240">
        <v>50000000</v>
      </c>
      <c r="P12" s="240">
        <v>57621785.680800006</v>
      </c>
      <c r="Q12" s="241">
        <f t="shared" si="25"/>
        <v>200227047.95940006</v>
      </c>
      <c r="S12" s="38">
        <v>43678</v>
      </c>
      <c r="T12" s="240">
        <v>8000000</v>
      </c>
      <c r="U12" s="240">
        <v>20864524.236600004</v>
      </c>
      <c r="V12" s="241">
        <f t="shared" si="26"/>
        <v>377799950.53680003</v>
      </c>
      <c r="X12" s="38">
        <v>44042</v>
      </c>
      <c r="Y12" s="240">
        <v>20000000</v>
      </c>
      <c r="Z12" s="240">
        <v>52241395.397399999</v>
      </c>
      <c r="AA12" s="241">
        <f t="shared" si="27"/>
        <v>324230928.23219997</v>
      </c>
      <c r="AC12" s="38">
        <v>44406</v>
      </c>
      <c r="AD12" s="240">
        <v>40000000</v>
      </c>
      <c r="AE12" s="240">
        <v>69914165.468400002</v>
      </c>
      <c r="AF12" s="241">
        <f t="shared" si="28"/>
        <v>270150946.54680002</v>
      </c>
      <c r="AG12" s="241"/>
      <c r="AH12" s="38">
        <v>44777</v>
      </c>
      <c r="AI12" s="240">
        <v>8000000</v>
      </c>
      <c r="AJ12" s="240">
        <v>29518288.861806016</v>
      </c>
      <c r="AK12" s="241">
        <f t="shared" si="29"/>
        <v>135867622.92789298</v>
      </c>
      <c r="AM12" s="32">
        <v>5</v>
      </c>
      <c r="AN12" s="39">
        <f t="shared" si="0"/>
        <v>6.807354670049999E-2</v>
      </c>
      <c r="AO12" s="39">
        <f t="shared" si="1"/>
        <v>0.20022704795940005</v>
      </c>
      <c r="AP12" s="39">
        <f t="shared" si="2"/>
        <v>0.37779995053680004</v>
      </c>
      <c r="AQ12" s="39">
        <f t="shared" si="3"/>
        <v>0.32423092823219996</v>
      </c>
      <c r="AR12" s="39">
        <f t="shared" si="30"/>
        <v>0.2701509465468</v>
      </c>
      <c r="AS12" s="39">
        <f t="shared" si="31"/>
        <v>0.13586762292789298</v>
      </c>
      <c r="AT12" s="39"/>
      <c r="AU12" s="39">
        <f t="shared" si="32"/>
        <v>0.21175390674973399</v>
      </c>
      <c r="AV12" s="9"/>
      <c r="AW12" s="9"/>
      <c r="AX12" s="9"/>
      <c r="BF12" s="52"/>
      <c r="BG12" s="54" t="s">
        <v>29</v>
      </c>
      <c r="BH12" s="56">
        <f ca="1">L63/1000000000</f>
        <v>1.2070041093615997</v>
      </c>
      <c r="BI12" s="56">
        <f ca="1">Q63/1000000000</f>
        <v>2.1948974502048002</v>
      </c>
      <c r="BJ12" s="56">
        <f ca="1">V63/1000000000</f>
        <v>2.5238888986673995</v>
      </c>
      <c r="BK12" s="56">
        <f ca="1">AA63/1000000000</f>
        <v>2.4538385194818004</v>
      </c>
      <c r="BL12" s="56">
        <f ca="1">AF63/1000000000</f>
        <v>3.3078763443396002</v>
      </c>
      <c r="BM12" s="56"/>
      <c r="BN12" s="245">
        <f ca="1">BL12</f>
        <v>3.3078763443396002</v>
      </c>
      <c r="BZ12" s="52"/>
      <c r="CA12" s="54"/>
      <c r="CB12" s="55"/>
      <c r="CC12" s="55"/>
      <c r="CD12" s="55"/>
      <c r="CE12" s="55"/>
      <c r="CF12" s="55"/>
      <c r="CG12" s="55"/>
      <c r="CH12" s="55"/>
      <c r="CI12" s="55"/>
      <c r="CT12" s="41">
        <f t="shared" si="33"/>
        <v>44777</v>
      </c>
      <c r="CU12" s="9">
        <f t="shared" si="34"/>
        <v>0.13586762292789298</v>
      </c>
      <c r="CV12" s="9">
        <f t="shared" si="35"/>
        <v>0.18971819434976073</v>
      </c>
      <c r="CW12" s="9">
        <f t="shared" si="35"/>
        <v>0.22718156764152567</v>
      </c>
      <c r="CX12" s="9">
        <f t="shared" si="35"/>
        <v>0.24208409424233493</v>
      </c>
      <c r="CY12" s="9">
        <f t="shared" si="35"/>
        <v>0.2525100364601266</v>
      </c>
      <c r="CZ12" s="9">
        <f t="shared" si="35"/>
        <v>0.27354317002297712</v>
      </c>
      <c r="DA12" s="9">
        <f t="shared" si="35"/>
        <v>0.30104854436003753</v>
      </c>
      <c r="DB12" s="9">
        <f t="shared" si="35"/>
        <v>0.33116266770858915</v>
      </c>
      <c r="DC12" s="9">
        <f t="shared" si="35"/>
        <v>0.36307421623615732</v>
      </c>
      <c r="DD12" s="9">
        <f t="shared" si="35"/>
        <v>0.38217226462615767</v>
      </c>
      <c r="DE12" s="9">
        <f t="shared" si="35"/>
        <v>0.42364319237754977</v>
      </c>
      <c r="DF12" s="9">
        <f t="shared" si="35"/>
        <v>0.51441208553708895</v>
      </c>
      <c r="DG12" s="32"/>
      <c r="DH12" s="32"/>
      <c r="DR12" s="41">
        <v>45141</v>
      </c>
      <c r="DS12" s="9">
        <v>0.50403623399999997</v>
      </c>
      <c r="DT12" s="9">
        <f t="shared" si="36"/>
        <v>0.204652127968936</v>
      </c>
      <c r="DU12" s="9">
        <f t="shared" si="36"/>
        <v>0.24177327236227839</v>
      </c>
      <c r="DV12" s="9">
        <f t="shared" si="36"/>
        <v>0.26150330378652775</v>
      </c>
      <c r="DW12" s="9">
        <f t="shared" si="36"/>
        <v>0.27353721092689154</v>
      </c>
      <c r="DX12" s="9">
        <f t="shared" si="36"/>
        <v>0.29688976174890336</v>
      </c>
      <c r="DY12" s="9">
        <f t="shared" si="36"/>
        <v>0.32626655461544152</v>
      </c>
      <c r="DZ12" s="9">
        <f t="shared" si="36"/>
        <v>0.35947032575269888</v>
      </c>
      <c r="EA12" s="9">
        <f t="shared" si="36"/>
        <v>0.39478463408274017</v>
      </c>
      <c r="EB12" s="9">
        <f t="shared" si="36"/>
        <v>0.41614722319525338</v>
      </c>
      <c r="EC12" s="9">
        <f t="shared" si="36"/>
        <v>0.45757328646327172</v>
      </c>
      <c r="ED12" s="9">
        <f t="shared" si="36"/>
        <v>0.58644470409774252</v>
      </c>
      <c r="EE12" s="32"/>
      <c r="EF12" s="32"/>
      <c r="EQ12" s="41">
        <v>45505</v>
      </c>
      <c r="ER12" s="76">
        <v>0.20291048607819551</v>
      </c>
      <c r="ES12" s="9">
        <f t="shared" si="37"/>
        <v>0.21757692307692308</v>
      </c>
      <c r="ET12" s="9">
        <f t="shared" si="37"/>
        <v>0.24346153846153848</v>
      </c>
      <c r="EU12" s="9">
        <f t="shared" si="37"/>
        <v>0.26215384615384618</v>
      </c>
      <c r="EV12" s="9">
        <f t="shared" si="37"/>
        <v>0.27567307692307691</v>
      </c>
      <c r="EW12" s="9">
        <f t="shared" si="37"/>
        <v>0.30223076923076925</v>
      </c>
      <c r="EX12" s="9">
        <f t="shared" si="37"/>
        <v>0.34049999999999997</v>
      </c>
      <c r="EY12" s="9">
        <f t="shared" si="37"/>
        <v>0.38709615384615381</v>
      </c>
      <c r="EZ12" s="9">
        <f t="shared" si="37"/>
        <v>0.44034615384615389</v>
      </c>
      <c r="FA12" s="9">
        <f t="shared" si="37"/>
        <v>0.47386538461538463</v>
      </c>
      <c r="FB12" s="9">
        <f t="shared" si="37"/>
        <v>0.5486923076923077</v>
      </c>
      <c r="FC12" s="9">
        <f t="shared" si="37"/>
        <v>0.72219230769230769</v>
      </c>
      <c r="FD12" s="32"/>
      <c r="FE12" s="32">
        <v>202910486.07819551</v>
      </c>
      <c r="FF12" s="32">
        <f t="shared" si="38"/>
        <v>0.20291048607819551</v>
      </c>
      <c r="FG12" s="32"/>
      <c r="FH12" s="32"/>
      <c r="FI12" s="32">
        <v>208616823.92960277</v>
      </c>
      <c r="FJ12" s="32">
        <f t="shared" si="39"/>
        <v>0.20861682392960276</v>
      </c>
      <c r="FK12" s="32"/>
      <c r="FL12" s="229">
        <v>45869</v>
      </c>
      <c r="FM12" s="230">
        <v>0.20861682392960276</v>
      </c>
      <c r="FN12" s="9">
        <f t="shared" si="40"/>
        <v>0.18931731885786077</v>
      </c>
      <c r="FO12" s="9">
        <f t="shared" si="40"/>
        <v>0.21208476679367155</v>
      </c>
      <c r="FP12" s="9">
        <f t="shared" si="40"/>
        <v>0.22698587545020746</v>
      </c>
      <c r="FQ12" s="9">
        <f t="shared" si="40"/>
        <v>0.2371040087883827</v>
      </c>
      <c r="FR12" s="9">
        <f t="shared" si="40"/>
        <v>0.25801815865429123</v>
      </c>
      <c r="FS12" s="9">
        <f t="shared" si="40"/>
        <v>0.29021698510533228</v>
      </c>
      <c r="FT12" s="9">
        <f t="shared" si="40"/>
        <v>0.33353604696298023</v>
      </c>
      <c r="FU12" s="9">
        <f t="shared" si="40"/>
        <v>0.37737410380469288</v>
      </c>
      <c r="FV12" s="9">
        <f t="shared" si="40"/>
        <v>0.41154810472107534</v>
      </c>
      <c r="FW12" s="9">
        <f t="shared" si="40"/>
        <v>0.48379233046598347</v>
      </c>
      <c r="FX12" s="9">
        <f t="shared" si="40"/>
        <v>0.65293998799502762</v>
      </c>
      <c r="FY12" s="32"/>
      <c r="FZ12" s="32">
        <v>202910486.07819551</v>
      </c>
      <c r="GA12" s="32">
        <f t="shared" si="41"/>
        <v>0.20291048607819551</v>
      </c>
      <c r="GB12" s="32"/>
      <c r="GC12" s="41">
        <v>45505</v>
      </c>
      <c r="GD12" s="9">
        <v>0.20291048607819551</v>
      </c>
      <c r="GE12" s="9">
        <f t="shared" si="42"/>
        <v>0.23885620124499282</v>
      </c>
      <c r="GF12" s="9">
        <f t="shared" si="42"/>
        <v>0.26108642465785309</v>
      </c>
      <c r="GG12" s="9">
        <f t="shared" si="42"/>
        <v>0.27977549225877496</v>
      </c>
      <c r="GH12" s="9">
        <f t="shared" si="42"/>
        <v>0.29208025496236512</v>
      </c>
      <c r="GI12" s="9">
        <f t="shared" si="42"/>
        <v>0.31520047933585804</v>
      </c>
      <c r="GJ12" s="9">
        <f t="shared" si="42"/>
        <v>0.34426710746934314</v>
      </c>
      <c r="GK12" s="9">
        <f t="shared" si="42"/>
        <v>0.37888062672671535</v>
      </c>
      <c r="GL12" s="9">
        <f t="shared" si="42"/>
        <v>0.41439930719069956</v>
      </c>
      <c r="GM12" s="9">
        <f t="shared" si="42"/>
        <v>0.43653993242491373</v>
      </c>
      <c r="GN12" s="9">
        <f t="shared" si="42"/>
        <v>0.48122047046819394</v>
      </c>
      <c r="GO12" s="9">
        <f t="shared" si="42"/>
        <v>0.60577979194092779</v>
      </c>
      <c r="GP12" s="32"/>
      <c r="GQ12" s="32"/>
      <c r="HA12" s="41">
        <f t="shared" si="43"/>
        <v>44777</v>
      </c>
      <c r="HB12" s="9">
        <f t="shared" si="9"/>
        <v>0.13586762292789298</v>
      </c>
      <c r="HC12" s="9"/>
      <c r="HD12" s="9"/>
      <c r="HE12" s="9"/>
      <c r="HF12" s="9"/>
      <c r="HG12" s="9"/>
      <c r="HH12" s="9"/>
      <c r="HI12" s="9"/>
      <c r="HJ12" s="9"/>
      <c r="HK12" s="9"/>
      <c r="HL12" s="9"/>
      <c r="HM12" s="9"/>
      <c r="HN12" s="9"/>
      <c r="HO12" s="9"/>
      <c r="HP12" s="9"/>
      <c r="HQ12" s="9"/>
      <c r="HR12" s="9"/>
      <c r="HS12" s="32">
        <v>4</v>
      </c>
      <c r="HT12" s="32"/>
      <c r="HU12" s="32"/>
      <c r="HV12" s="41">
        <f t="shared" si="44"/>
        <v>44777</v>
      </c>
      <c r="HW12" s="9">
        <f t="shared" si="45"/>
        <v>0.13586762292789298</v>
      </c>
      <c r="HX12" s="9">
        <f t="shared" si="59"/>
        <v>0.13619450047005</v>
      </c>
      <c r="HY12" s="9">
        <f t="shared" si="46"/>
        <v>0.15070544894266713</v>
      </c>
      <c r="HZ12" s="9">
        <f t="shared" si="46"/>
        <v>0.16268822401250574</v>
      </c>
      <c r="IA12" s="9">
        <f t="shared" si="46"/>
        <v>0.18093761716177714</v>
      </c>
      <c r="IB12" s="9">
        <f t="shared" si="46"/>
        <v>0.19544856563439431</v>
      </c>
      <c r="IC12" s="9">
        <f t="shared" si="46"/>
        <v>0.21902677716753433</v>
      </c>
      <c r="ID12" s="9">
        <f t="shared" si="46"/>
        <v>0.27536533032256288</v>
      </c>
      <c r="IE12" s="9">
        <f t="shared" si="46"/>
        <v>0.40114652054442429</v>
      </c>
      <c r="IF12" s="9">
        <f t="shared" si="46"/>
        <v>0.41312929561426287</v>
      </c>
      <c r="IG12" s="9">
        <f t="shared" si="46"/>
        <v>0.55269935053075292</v>
      </c>
      <c r="IH12" s="9">
        <f t="shared" si="46"/>
        <v>0.97603337457563133</v>
      </c>
      <c r="II12" s="9"/>
      <c r="IJ12" s="9"/>
      <c r="IK12" s="9"/>
      <c r="IL12" s="9"/>
      <c r="IM12" s="32">
        <v>4</v>
      </c>
      <c r="IN12" s="32"/>
      <c r="IO12" s="32"/>
      <c r="IZ12" s="41">
        <f t="shared" si="11"/>
        <v>44777</v>
      </c>
      <c r="JA12" s="9">
        <f t="shared" si="11"/>
        <v>0.13586762292789298</v>
      </c>
      <c r="JB12" s="9"/>
      <c r="JC12" s="9"/>
      <c r="JD12" s="9"/>
      <c r="JE12" s="9"/>
      <c r="JF12" s="9"/>
      <c r="JG12" s="9"/>
      <c r="JH12" s="9"/>
      <c r="JI12" s="9"/>
      <c r="JJ12" s="9"/>
      <c r="JK12" s="9"/>
      <c r="JL12" s="9"/>
      <c r="JM12" s="9"/>
      <c r="JX12" s="41">
        <v>44777</v>
      </c>
      <c r="JY12" s="9">
        <v>0.14031392271600002</v>
      </c>
      <c r="JZ12" s="9"/>
      <c r="KA12" s="9"/>
      <c r="KB12" s="9"/>
      <c r="KM12" s="41">
        <v>42950</v>
      </c>
      <c r="KN12" s="241">
        <v>16088024.391999999</v>
      </c>
      <c r="KO12" s="241">
        <f t="shared" si="47"/>
        <v>68073546.700499997</v>
      </c>
      <c r="KQ12" s="41">
        <v>43132</v>
      </c>
      <c r="KR12" s="241">
        <v>11895964.981999999</v>
      </c>
      <c r="KS12" s="241">
        <f t="shared" si="48"/>
        <v>158250242.72749999</v>
      </c>
      <c r="KU12" s="41">
        <v>43314</v>
      </c>
      <c r="KV12" s="241">
        <v>57621785.680800006</v>
      </c>
      <c r="KW12" s="241">
        <f t="shared" si="49"/>
        <v>200227047.95940006</v>
      </c>
      <c r="KY12" s="41">
        <v>43496</v>
      </c>
      <c r="KZ12" s="241">
        <v>22065910.488600004</v>
      </c>
      <c r="LA12" s="241">
        <f t="shared" si="50"/>
        <v>456418619.25660008</v>
      </c>
      <c r="LC12" s="41">
        <v>43678</v>
      </c>
      <c r="LD12" s="241">
        <v>20864524.236600004</v>
      </c>
      <c r="LE12" s="241">
        <f t="shared" si="51"/>
        <v>377799950.53680003</v>
      </c>
      <c r="LG12" s="41">
        <v>43860</v>
      </c>
      <c r="LH12" s="241">
        <v>54779541.346200004</v>
      </c>
      <c r="LI12" s="241">
        <f t="shared" si="52"/>
        <v>171384829.81620002</v>
      </c>
      <c r="LK12" s="41">
        <v>44042</v>
      </c>
      <c r="LL12" s="241">
        <v>52241395.397399999</v>
      </c>
      <c r="LM12" s="241">
        <f t="shared" si="53"/>
        <v>324230928.23219997</v>
      </c>
      <c r="LO12" s="41">
        <v>44231</v>
      </c>
      <c r="LP12" s="241">
        <v>46228433.473200001</v>
      </c>
      <c r="LQ12" s="241">
        <f t="shared" si="54"/>
        <v>170787369.3504</v>
      </c>
      <c r="LS12" s="41">
        <v>44406</v>
      </c>
      <c r="LT12" s="241">
        <v>69914165.468400002</v>
      </c>
      <c r="LU12" s="241">
        <f t="shared" si="55"/>
        <v>270150946.54680002</v>
      </c>
      <c r="LW12" s="41">
        <v>44595</v>
      </c>
      <c r="LX12" s="241">
        <v>69636856.047000006</v>
      </c>
      <c r="LY12" s="241">
        <f t="shared" si="56"/>
        <v>254365209.83280003</v>
      </c>
      <c r="MA12" s="32">
        <v>5</v>
      </c>
      <c r="MB12" s="42">
        <f t="shared" si="12"/>
        <v>6.807354670049999E-2</v>
      </c>
      <c r="MC12" s="42">
        <f t="shared" si="13"/>
        <v>0.15825024272749999</v>
      </c>
      <c r="MD12" s="42">
        <f t="shared" si="14"/>
        <v>0.20022704795940005</v>
      </c>
      <c r="ME12" s="42">
        <f t="shared" si="15"/>
        <v>0.4564186192566001</v>
      </c>
      <c r="MF12" s="42">
        <f t="shared" si="16"/>
        <v>0.37779995053680004</v>
      </c>
      <c r="MG12" s="42">
        <f t="shared" si="17"/>
        <v>0.17138482981620001</v>
      </c>
      <c r="MH12" s="42">
        <f t="shared" si="18"/>
        <v>0.32423092823219996</v>
      </c>
      <c r="MI12" s="42">
        <f t="shared" si="19"/>
        <v>0.17078736935040001</v>
      </c>
      <c r="MJ12" s="42">
        <f t="shared" si="20"/>
        <v>0.2701509465468</v>
      </c>
      <c r="MK12" s="42">
        <f t="shared" si="21"/>
        <v>0.25436520983280003</v>
      </c>
      <c r="ML12" s="9"/>
      <c r="MM12" s="9"/>
      <c r="MN12" s="9"/>
      <c r="MV12" s="52"/>
      <c r="MW12" s="54" t="s">
        <v>29</v>
      </c>
      <c r="MX12" s="53">
        <f ca="1">KO37/1000000000</f>
        <v>0.50481337402649995</v>
      </c>
      <c r="MY12" s="53">
        <f ca="1">(KS37)/1000000000</f>
        <v>0.7021907353350999</v>
      </c>
      <c r="MZ12" s="53">
        <f ca="1">(KW37)/1000000000</f>
        <v>1.1393866275132001</v>
      </c>
      <c r="NA12" s="53">
        <f ca="1">(LA37)/1000000000</f>
        <v>1.0555108226916003</v>
      </c>
      <c r="NB12" s="53">
        <f ca="1">(LE37)/1000000000</f>
        <v>1.4846321634210002</v>
      </c>
      <c r="NC12" s="53">
        <f ca="1">(LI37)/1000000000</f>
        <v>1.0392567352463999</v>
      </c>
      <c r="ND12" s="53">
        <f ca="1">(LM37)/1000000000</f>
        <v>1.2199573358477998</v>
      </c>
      <c r="NE12" s="53">
        <f ca="1">(LQ37)/1000000000</f>
        <v>1.2338811836339998</v>
      </c>
      <c r="NF12" s="53">
        <f ca="1">(LU37)/1000000000</f>
        <v>1.5639026176620001</v>
      </c>
      <c r="NG12" s="53">
        <f ca="1">(LY37)/1000000000</f>
        <v>1.7439737266775999</v>
      </c>
      <c r="NH12" s="53">
        <f ca="1">NG12</f>
        <v>1.7439737266775999</v>
      </c>
      <c r="NS12" s="41">
        <v>44595</v>
      </c>
      <c r="NT12" s="9">
        <f t="shared" si="22"/>
        <v>0.25436520983280003</v>
      </c>
      <c r="NU12" s="9">
        <f t="shared" si="57"/>
        <v>0.16441789105087501</v>
      </c>
      <c r="NV12" s="9">
        <f t="shared" si="57"/>
        <v>0.19449560694179741</v>
      </c>
      <c r="NW12" s="9">
        <f t="shared" si="57"/>
        <v>0.21206881770851824</v>
      </c>
      <c r="NX12" s="9">
        <f t="shared" si="57"/>
        <v>0.22439642119378844</v>
      </c>
      <c r="NY12" s="9">
        <f t="shared" si="57"/>
        <v>0.25027306177753844</v>
      </c>
      <c r="NZ12" s="9">
        <f t="shared" si="57"/>
        <v>0.29424757197840867</v>
      </c>
      <c r="OA12" s="9">
        <f t="shared" si="57"/>
        <v>0.33889884738631737</v>
      </c>
      <c r="OB12" s="9">
        <f t="shared" si="57"/>
        <v>0.39151921328215389</v>
      </c>
      <c r="OC12" s="9">
        <f t="shared" si="57"/>
        <v>0.4291213310118942</v>
      </c>
      <c r="OD12" s="9">
        <f t="shared" si="57"/>
        <v>0.50321330449552881</v>
      </c>
      <c r="OE12" s="9">
        <f t="shared" si="57"/>
        <v>0.65124842995141341</v>
      </c>
      <c r="OF12" s="9">
        <f t="shared" ca="1" si="57"/>
        <v>0.33537956282261533</v>
      </c>
      <c r="OG12" s="32"/>
      <c r="OR12" s="41">
        <f t="shared" si="58"/>
        <v>44595</v>
      </c>
      <c r="OS12" s="9">
        <f t="shared" si="58"/>
        <v>0.25436520983280003</v>
      </c>
      <c r="OT12" s="9"/>
      <c r="OU12" s="9"/>
      <c r="OV12" s="9"/>
      <c r="OW12" s="9"/>
      <c r="OX12" s="9"/>
      <c r="OY12" s="9"/>
      <c r="OZ12" s="9"/>
      <c r="PA12" s="9"/>
      <c r="PB12" s="9"/>
      <c r="PC12" s="9"/>
      <c r="PD12" s="9"/>
      <c r="PE12" s="9"/>
    </row>
    <row r="13" spans="2:423" x14ac:dyDescent="0.25">
      <c r="B13" s="48">
        <v>42775</v>
      </c>
      <c r="C13" s="49">
        <v>22578664.987999998</v>
      </c>
      <c r="D13" s="49">
        <v>24302960</v>
      </c>
      <c r="E13" s="50">
        <v>15000000</v>
      </c>
      <c r="F13" s="50"/>
      <c r="G13" s="50"/>
      <c r="H13" s="50"/>
      <c r="I13" s="38">
        <v>42957</v>
      </c>
      <c r="J13" s="240">
        <v>3000000</v>
      </c>
      <c r="K13" s="240">
        <v>12777094.582999999</v>
      </c>
      <c r="L13" s="241">
        <f t="shared" si="24"/>
        <v>80850641.283500001</v>
      </c>
      <c r="N13" s="38">
        <v>43321</v>
      </c>
      <c r="O13" s="240">
        <v>80000000</v>
      </c>
      <c r="P13" s="240">
        <v>108858925.53360002</v>
      </c>
      <c r="Q13" s="241">
        <f t="shared" si="25"/>
        <v>309085973.49300009</v>
      </c>
      <c r="S13" s="38">
        <v>43685</v>
      </c>
      <c r="T13" s="240">
        <v>12000000</v>
      </c>
      <c r="U13" s="240">
        <v>29054344.162800003</v>
      </c>
      <c r="V13" s="241">
        <f t="shared" si="26"/>
        <v>406854294.69960004</v>
      </c>
      <c r="X13" s="38">
        <v>44049</v>
      </c>
      <c r="Y13" s="240">
        <v>3000000</v>
      </c>
      <c r="Z13" s="240">
        <v>26378588.253600001</v>
      </c>
      <c r="AA13" s="241">
        <f t="shared" si="27"/>
        <v>350609516.48579997</v>
      </c>
      <c r="AC13" s="38">
        <v>44413</v>
      </c>
      <c r="AD13" s="240">
        <v>60000000</v>
      </c>
      <c r="AE13" s="240">
        <v>99278614.650600001</v>
      </c>
      <c r="AF13" s="241">
        <f t="shared" si="28"/>
        <v>369429561.19740003</v>
      </c>
      <c r="AG13" s="241"/>
      <c r="AH13" s="38">
        <v>44784</v>
      </c>
      <c r="AI13" s="240">
        <v>20000000</v>
      </c>
      <c r="AJ13" s="240">
        <v>47872421.346086957</v>
      </c>
      <c r="AK13" s="241">
        <f t="shared" si="29"/>
        <v>183740044.27397993</v>
      </c>
      <c r="AM13" s="32">
        <v>6</v>
      </c>
      <c r="AN13" s="39">
        <f t="shared" si="0"/>
        <v>8.0850641283500002E-2</v>
      </c>
      <c r="AO13" s="39">
        <f t="shared" si="1"/>
        <v>0.3090859734930001</v>
      </c>
      <c r="AP13" s="39">
        <f t="shared" si="2"/>
        <v>0.40685429469960005</v>
      </c>
      <c r="AQ13" s="39">
        <f t="shared" si="3"/>
        <v>0.35060951648579997</v>
      </c>
      <c r="AR13" s="39">
        <f t="shared" si="30"/>
        <v>0.36942956119740006</v>
      </c>
      <c r="AS13" s="39">
        <f t="shared" si="31"/>
        <v>0.18374004427397994</v>
      </c>
      <c r="AT13" s="39"/>
      <c r="AU13" s="39">
        <f t="shared" si="32"/>
        <v>0.2646923834371675</v>
      </c>
      <c r="AV13" s="9"/>
      <c r="AW13" s="9"/>
      <c r="AX13" s="9"/>
      <c r="BF13" s="52"/>
      <c r="BG13" s="54" t="s">
        <v>69</v>
      </c>
      <c r="BH13" s="56"/>
      <c r="BI13" s="56"/>
      <c r="BJ13" s="56"/>
      <c r="BK13" s="56"/>
      <c r="BL13" s="56">
        <f ca="1">AF64/1000000000</f>
        <v>3.2454635831256451</v>
      </c>
      <c r="BM13" s="56"/>
      <c r="BN13" s="56"/>
      <c r="BZ13" s="52" t="s">
        <v>286</v>
      </c>
      <c r="CA13" s="54" t="s">
        <v>29</v>
      </c>
      <c r="CB13" s="55">
        <f>CD13</f>
        <v>15</v>
      </c>
      <c r="CC13" s="55">
        <f>CD13</f>
        <v>15</v>
      </c>
      <c r="CD13" s="55">
        <f>COUNTIF(J$8:J$60,"&gt;=15000000")</f>
        <v>15</v>
      </c>
      <c r="CE13" s="55">
        <f>COUNTIF(O$8:O$60,"&gt;=15000000")</f>
        <v>27</v>
      </c>
      <c r="CF13" s="55">
        <f>COUNTIF(T$8:T$60,"&gt;=15000000")</f>
        <v>25</v>
      </c>
      <c r="CG13" s="55">
        <f>COUNTIF(Y$8:Y$60,"&gt;=15000000")</f>
        <v>26</v>
      </c>
      <c r="CH13" s="55">
        <f>COUNTIF(AD$8:AD$60,"&gt;=15000000")</f>
        <v>30</v>
      </c>
      <c r="CI13" s="55"/>
      <c r="CT13" s="41">
        <f t="shared" si="33"/>
        <v>44784</v>
      </c>
      <c r="CU13" s="9">
        <f t="shared" si="34"/>
        <v>0.18374004427397994</v>
      </c>
      <c r="CV13" s="9">
        <f t="shared" si="35"/>
        <v>0.22766183321971287</v>
      </c>
      <c r="CW13" s="9">
        <f t="shared" si="35"/>
        <v>0.27261788116983082</v>
      </c>
      <c r="CX13" s="9">
        <f t="shared" si="35"/>
        <v>0.29050091309080189</v>
      </c>
      <c r="CY13" s="9">
        <f t="shared" si="35"/>
        <v>0.30301204375215191</v>
      </c>
      <c r="CZ13" s="9">
        <f t="shared" si="35"/>
        <v>0.32825180402757254</v>
      </c>
      <c r="DA13" s="9">
        <f t="shared" si="35"/>
        <v>0.36125825323204502</v>
      </c>
      <c r="DB13" s="9">
        <f t="shared" si="35"/>
        <v>0.39739520125030697</v>
      </c>
      <c r="DC13" s="9">
        <f t="shared" si="35"/>
        <v>0.43568905948338876</v>
      </c>
      <c r="DD13" s="9">
        <f t="shared" si="35"/>
        <v>0.45860671755138921</v>
      </c>
      <c r="DE13" s="9">
        <f t="shared" si="35"/>
        <v>0.5083718308530597</v>
      </c>
      <c r="DF13" s="9">
        <f t="shared" si="35"/>
        <v>0.61729450264450669</v>
      </c>
      <c r="DG13" s="32"/>
      <c r="DH13" s="32"/>
      <c r="DR13" s="41">
        <v>45148</v>
      </c>
      <c r="DS13" s="9">
        <v>0.531901603</v>
      </c>
      <c r="DT13" s="9">
        <f t="shared" si="36"/>
        <v>0.24558255356272321</v>
      </c>
      <c r="DU13" s="9">
        <f t="shared" si="36"/>
        <v>0.29012792683473404</v>
      </c>
      <c r="DV13" s="9">
        <f t="shared" si="36"/>
        <v>0.3138039645438333</v>
      </c>
      <c r="DW13" s="9">
        <f t="shared" si="36"/>
        <v>0.32824465311226986</v>
      </c>
      <c r="DX13" s="9">
        <f t="shared" si="36"/>
        <v>0.35626771409868402</v>
      </c>
      <c r="DY13" s="9">
        <f t="shared" si="36"/>
        <v>0.3915198655385298</v>
      </c>
      <c r="DZ13" s="9">
        <f t="shared" si="36"/>
        <v>0.43136439090323864</v>
      </c>
      <c r="EA13" s="9">
        <f t="shared" si="36"/>
        <v>0.47374156089928821</v>
      </c>
      <c r="EB13" s="9">
        <f t="shared" si="36"/>
        <v>0.49937666783430407</v>
      </c>
      <c r="EC13" s="9">
        <f t="shared" si="36"/>
        <v>0.54908794375592607</v>
      </c>
      <c r="ED13" s="9">
        <f t="shared" si="36"/>
        <v>0.70373364491729107</v>
      </c>
      <c r="EE13" s="32"/>
      <c r="EF13" s="32"/>
      <c r="EQ13" s="41">
        <v>45512</v>
      </c>
      <c r="ER13" s="76">
        <v>0.27060181442471398</v>
      </c>
      <c r="ES13" s="9">
        <f t="shared" si="37"/>
        <v>0.26109230769230768</v>
      </c>
      <c r="ET13" s="9">
        <f t="shared" si="37"/>
        <v>0.29215384615384615</v>
      </c>
      <c r="EU13" s="9">
        <f t="shared" si="37"/>
        <v>0.31458461538461541</v>
      </c>
      <c r="EV13" s="9">
        <f t="shared" si="37"/>
        <v>0.3308076923076923</v>
      </c>
      <c r="EW13" s="9">
        <f t="shared" si="37"/>
        <v>0.36267692307692312</v>
      </c>
      <c r="EX13" s="9">
        <f t="shared" si="37"/>
        <v>0.40859999999999996</v>
      </c>
      <c r="EY13" s="9">
        <f t="shared" si="37"/>
        <v>0.46451538461538455</v>
      </c>
      <c r="EZ13" s="9">
        <f t="shared" si="37"/>
        <v>0.52841538461538462</v>
      </c>
      <c r="FA13" s="9">
        <f t="shared" si="37"/>
        <v>0.56863846153846154</v>
      </c>
      <c r="FB13" s="9">
        <f t="shared" si="37"/>
        <v>0.65843076923076926</v>
      </c>
      <c r="FC13" s="9">
        <f t="shared" si="37"/>
        <v>0.8666307692307692</v>
      </c>
      <c r="FD13" s="32"/>
      <c r="FE13" s="32">
        <v>270601814.42471397</v>
      </c>
      <c r="FF13" s="32">
        <f t="shared" si="38"/>
        <v>0.27060181442471398</v>
      </c>
      <c r="FG13" s="32"/>
      <c r="FH13" s="32"/>
      <c r="FI13" s="32">
        <v>247762791.76671767</v>
      </c>
      <c r="FJ13" s="32">
        <f t="shared" si="39"/>
        <v>0.24776279176671767</v>
      </c>
      <c r="FK13" s="32"/>
      <c r="FL13" s="229">
        <v>45876</v>
      </c>
      <c r="FM13" s="230">
        <v>0.24776279176671767</v>
      </c>
      <c r="FN13" s="9">
        <f t="shared" si="40"/>
        <v>0.22718078262943292</v>
      </c>
      <c r="FO13" s="9">
        <f t="shared" si="40"/>
        <v>0.25450172015240585</v>
      </c>
      <c r="FP13" s="9">
        <f t="shared" si="40"/>
        <v>0.27238305054024897</v>
      </c>
      <c r="FQ13" s="9">
        <f t="shared" si="40"/>
        <v>0.28452481054605921</v>
      </c>
      <c r="FR13" s="9">
        <f t="shared" si="40"/>
        <v>0.30962179038514948</v>
      </c>
      <c r="FS13" s="9">
        <f t="shared" si="40"/>
        <v>0.34826038212639876</v>
      </c>
      <c r="FT13" s="9">
        <f t="shared" si="40"/>
        <v>0.40024325635557628</v>
      </c>
      <c r="FU13" s="9">
        <f t="shared" si="40"/>
        <v>0.45284892456563147</v>
      </c>
      <c r="FV13" s="9">
        <f t="shared" si="40"/>
        <v>0.4938577256652904</v>
      </c>
      <c r="FW13" s="9">
        <f t="shared" si="40"/>
        <v>0.58055079655918018</v>
      </c>
      <c r="FX13" s="9">
        <f t="shared" si="40"/>
        <v>0.78352798559403314</v>
      </c>
      <c r="FY13" s="32"/>
      <c r="FZ13" s="32">
        <v>270601814.42471397</v>
      </c>
      <c r="GA13" s="32">
        <f t="shared" si="41"/>
        <v>0.27060181442471398</v>
      </c>
      <c r="GB13" s="32"/>
      <c r="GC13" s="41">
        <v>45512</v>
      </c>
      <c r="GD13" s="9">
        <v>0.27060181442471398</v>
      </c>
      <c r="GE13" s="9">
        <f t="shared" si="42"/>
        <v>0.28662744149399139</v>
      </c>
      <c r="GF13" s="9">
        <f t="shared" si="42"/>
        <v>0.31330370958942372</v>
      </c>
      <c r="GG13" s="9">
        <f t="shared" si="42"/>
        <v>0.33573059071052996</v>
      </c>
      <c r="GH13" s="9">
        <f t="shared" si="42"/>
        <v>0.35049630595483816</v>
      </c>
      <c r="GI13" s="9">
        <f t="shared" si="42"/>
        <v>0.37824057520302967</v>
      </c>
      <c r="GJ13" s="9">
        <f t="shared" si="42"/>
        <v>0.41312052896321177</v>
      </c>
      <c r="GK13" s="9">
        <f t="shared" si="42"/>
        <v>0.45465675207205841</v>
      </c>
      <c r="GL13" s="9">
        <f t="shared" si="42"/>
        <v>0.49727916862883947</v>
      </c>
      <c r="GM13" s="9">
        <f t="shared" si="42"/>
        <v>0.52384791890989646</v>
      </c>
      <c r="GN13" s="9">
        <f t="shared" si="42"/>
        <v>0.57746456456183271</v>
      </c>
      <c r="GO13" s="9">
        <f t="shared" si="42"/>
        <v>0.72693575032911339</v>
      </c>
      <c r="GP13" s="32"/>
      <c r="GQ13" s="32"/>
      <c r="HA13" s="41">
        <f t="shared" si="43"/>
        <v>44784</v>
      </c>
      <c r="HB13" s="9">
        <f t="shared" si="9"/>
        <v>0.18374004427397994</v>
      </c>
      <c r="HC13" s="9"/>
      <c r="HD13" s="9"/>
      <c r="HE13" s="9"/>
      <c r="HF13" s="9"/>
      <c r="HG13" s="9"/>
      <c r="HH13" s="9"/>
      <c r="HI13" s="9"/>
      <c r="HJ13" s="9"/>
      <c r="HK13" s="9"/>
      <c r="HL13" s="9"/>
      <c r="HM13" s="9"/>
      <c r="HN13" s="9"/>
      <c r="HO13" s="9"/>
      <c r="HP13" s="9"/>
      <c r="HQ13" s="9"/>
      <c r="HR13" s="9"/>
      <c r="HS13" s="32">
        <v>4</v>
      </c>
      <c r="HT13" s="32"/>
      <c r="HU13" s="32"/>
      <c r="HV13" s="41">
        <f t="shared" si="44"/>
        <v>44784</v>
      </c>
      <c r="HW13" s="9">
        <f t="shared" si="45"/>
        <v>0.18374004427397994</v>
      </c>
      <c r="HX13" s="9">
        <f t="shared" si="59"/>
        <v>0.16343340056406</v>
      </c>
      <c r="HY13" s="9">
        <f t="shared" si="46"/>
        <v>0.18084653873120055</v>
      </c>
      <c r="HZ13" s="9">
        <f t="shared" si="46"/>
        <v>0.19522586881500689</v>
      </c>
      <c r="IA13" s="9">
        <f t="shared" si="46"/>
        <v>0.21712514059413257</v>
      </c>
      <c r="IB13" s="9">
        <f t="shared" si="46"/>
        <v>0.23453827876127317</v>
      </c>
      <c r="IC13" s="9">
        <f t="shared" si="46"/>
        <v>0.26283213260104121</v>
      </c>
      <c r="ID13" s="9">
        <f t="shared" si="46"/>
        <v>0.33043839638707545</v>
      </c>
      <c r="IE13" s="9">
        <f t="shared" si="46"/>
        <v>0.48137582465330914</v>
      </c>
      <c r="IF13" s="9">
        <f t="shared" si="46"/>
        <v>0.49575515473711546</v>
      </c>
      <c r="IG13" s="9">
        <f t="shared" si="46"/>
        <v>0.66323922063690355</v>
      </c>
      <c r="IH13" s="9">
        <f t="shared" si="46"/>
        <v>1.1712400494907576</v>
      </c>
      <c r="II13" s="9"/>
      <c r="IJ13" s="9"/>
      <c r="IK13" s="9"/>
      <c r="IL13" s="9"/>
      <c r="IM13" s="32">
        <v>4</v>
      </c>
      <c r="IN13" s="32"/>
      <c r="IO13" s="32"/>
      <c r="IZ13" s="41">
        <f t="shared" si="11"/>
        <v>44784</v>
      </c>
      <c r="JA13" s="9">
        <f t="shared" si="11"/>
        <v>0.18374004427397994</v>
      </c>
      <c r="JB13" s="9"/>
      <c r="JC13" s="9"/>
      <c r="JD13" s="9"/>
      <c r="JE13" s="9"/>
      <c r="JF13" s="9"/>
      <c r="JG13" s="9"/>
      <c r="JH13" s="9"/>
      <c r="JI13" s="9"/>
      <c r="JJ13" s="9"/>
      <c r="JK13" s="9"/>
      <c r="JL13" s="9"/>
      <c r="JM13" s="9"/>
      <c r="JX13" s="41">
        <v>44784</v>
      </c>
      <c r="JY13" s="9">
        <v>0.18964136704920004</v>
      </c>
      <c r="JZ13" s="9"/>
      <c r="KA13" s="9"/>
      <c r="KB13" s="9"/>
      <c r="KM13" s="41">
        <v>42957</v>
      </c>
      <c r="KN13" s="241">
        <v>12777094.582999999</v>
      </c>
      <c r="KO13" s="241">
        <f t="shared" si="47"/>
        <v>80850641.283500001</v>
      </c>
      <c r="KQ13" s="41">
        <v>43139</v>
      </c>
      <c r="KR13" s="241">
        <v>15019877.025999999</v>
      </c>
      <c r="KS13" s="241">
        <f t="shared" si="48"/>
        <v>173270119.75349998</v>
      </c>
      <c r="KU13" s="41">
        <v>43321</v>
      </c>
      <c r="KV13" s="241">
        <v>108858925.53360002</v>
      </c>
      <c r="KW13" s="241">
        <f t="shared" si="49"/>
        <v>309085973.49300009</v>
      </c>
      <c r="KY13" s="41">
        <v>43503</v>
      </c>
      <c r="KZ13" s="241">
        <v>30998780.670000006</v>
      </c>
      <c r="LA13" s="241">
        <f t="shared" si="50"/>
        <v>487417399.9266001</v>
      </c>
      <c r="LC13" s="41">
        <v>43685</v>
      </c>
      <c r="LD13" s="241">
        <v>29054344.162800003</v>
      </c>
      <c r="LE13" s="241">
        <f t="shared" si="51"/>
        <v>406854294.69960004</v>
      </c>
      <c r="LG13" s="41">
        <v>43867</v>
      </c>
      <c r="LH13" s="241">
        <v>81228117.597000003</v>
      </c>
      <c r="LI13" s="241">
        <f t="shared" si="52"/>
        <v>252612947.41320002</v>
      </c>
      <c r="LK13" s="41">
        <v>44049</v>
      </c>
      <c r="LL13" s="241">
        <v>26378588.253600001</v>
      </c>
      <c r="LM13" s="241">
        <f t="shared" si="53"/>
        <v>350609516.48579997</v>
      </c>
      <c r="LO13" s="41">
        <v>44238</v>
      </c>
      <c r="LP13" s="241">
        <v>58547522.147399999</v>
      </c>
      <c r="LQ13" s="241">
        <f t="shared" si="54"/>
        <v>229334891.49779999</v>
      </c>
      <c r="LS13" s="41">
        <v>44413</v>
      </c>
      <c r="LT13" s="241">
        <v>99278614.650600001</v>
      </c>
      <c r="LU13" s="241">
        <f t="shared" si="55"/>
        <v>369429561.19740003</v>
      </c>
      <c r="LW13" s="41">
        <v>44602</v>
      </c>
      <c r="LX13" s="241">
        <v>95947458.248400003</v>
      </c>
      <c r="LY13" s="241">
        <f t="shared" si="56"/>
        <v>350312668.0812</v>
      </c>
      <c r="MA13" s="32">
        <v>6</v>
      </c>
      <c r="MB13" s="42">
        <f t="shared" si="12"/>
        <v>8.0850641283500002E-2</v>
      </c>
      <c r="MC13" s="42">
        <f t="shared" si="13"/>
        <v>0.17327011975349998</v>
      </c>
      <c r="MD13" s="42">
        <f t="shared" si="14"/>
        <v>0.3090859734930001</v>
      </c>
      <c r="ME13" s="42">
        <f t="shared" si="15"/>
        <v>0.4874173999266001</v>
      </c>
      <c r="MF13" s="42">
        <f t="shared" si="16"/>
        <v>0.40685429469960005</v>
      </c>
      <c r="MG13" s="42">
        <f t="shared" si="17"/>
        <v>0.25261294741320001</v>
      </c>
      <c r="MH13" s="42">
        <f t="shared" si="18"/>
        <v>0.35060951648579997</v>
      </c>
      <c r="MI13" s="42">
        <f t="shared" si="19"/>
        <v>0.22933489149779998</v>
      </c>
      <c r="MJ13" s="42">
        <f t="shared" si="20"/>
        <v>0.36942956119740006</v>
      </c>
      <c r="MK13" s="42">
        <f t="shared" si="21"/>
        <v>0.35031266808119998</v>
      </c>
      <c r="ML13" s="9"/>
      <c r="MM13" s="9"/>
      <c r="MN13" s="9"/>
      <c r="MV13" s="52"/>
      <c r="MW13" s="54" t="s">
        <v>70</v>
      </c>
      <c r="MX13" s="53"/>
      <c r="MY13" s="53"/>
      <c r="MZ13" s="53"/>
      <c r="NA13" s="53"/>
      <c r="NB13" s="53"/>
      <c r="NC13" s="53"/>
      <c r="ND13" s="53"/>
      <c r="NE13" s="53"/>
      <c r="NF13" s="53"/>
      <c r="NG13" s="53">
        <f ca="1">(LY38)/1000000000</f>
        <v>1.7439737266775999</v>
      </c>
      <c r="NH13" s="53"/>
      <c r="NS13" s="41">
        <v>44602</v>
      </c>
      <c r="NT13" s="9">
        <f t="shared" si="22"/>
        <v>0.35031266808119998</v>
      </c>
      <c r="NU13" s="9">
        <f t="shared" si="57"/>
        <v>0.19730146926105002</v>
      </c>
      <c r="NV13" s="9">
        <f t="shared" si="57"/>
        <v>0.2333947283301569</v>
      </c>
      <c r="NW13" s="9">
        <f t="shared" si="57"/>
        <v>0.25448258125022188</v>
      </c>
      <c r="NX13" s="9">
        <f t="shared" si="57"/>
        <v>0.26927570543254614</v>
      </c>
      <c r="NY13" s="9">
        <f t="shared" si="57"/>
        <v>0.30032767413304612</v>
      </c>
      <c r="NZ13" s="9">
        <f t="shared" si="57"/>
        <v>0.35309708637409043</v>
      </c>
      <c r="OA13" s="9">
        <f t="shared" si="57"/>
        <v>0.40667861686358087</v>
      </c>
      <c r="OB13" s="9">
        <f t="shared" si="57"/>
        <v>0.46982305593858464</v>
      </c>
      <c r="OC13" s="9">
        <f t="shared" si="57"/>
        <v>0.51494559721427302</v>
      </c>
      <c r="OD13" s="9">
        <f t="shared" si="57"/>
        <v>0.6038559653946346</v>
      </c>
      <c r="OE13" s="9">
        <f t="shared" si="57"/>
        <v>0.78149811594169605</v>
      </c>
      <c r="OF13" s="9">
        <f t="shared" ca="1" si="57"/>
        <v>0.40245547538713838</v>
      </c>
      <c r="OG13" s="32"/>
      <c r="OR13" s="41">
        <f t="shared" si="58"/>
        <v>44602</v>
      </c>
      <c r="OS13" s="9">
        <f t="shared" si="58"/>
        <v>0.35031266808119998</v>
      </c>
      <c r="OT13" s="9"/>
      <c r="OU13" s="9"/>
      <c r="OV13" s="9"/>
      <c r="OW13" s="9"/>
      <c r="OX13" s="9"/>
      <c r="OY13" s="9"/>
      <c r="OZ13" s="9"/>
      <c r="PA13" s="9"/>
      <c r="PB13" s="9"/>
      <c r="PC13" s="9"/>
      <c r="PD13" s="9"/>
      <c r="PE13" s="9"/>
    </row>
    <row r="14" spans="2:423" x14ac:dyDescent="0.25">
      <c r="B14" s="48">
        <v>42782</v>
      </c>
      <c r="C14" s="49">
        <v>11627497.4035</v>
      </c>
      <c r="D14" s="49">
        <v>12515470</v>
      </c>
      <c r="E14" s="50">
        <v>3000000</v>
      </c>
      <c r="F14" s="50"/>
      <c r="G14" s="50"/>
      <c r="H14" s="50"/>
      <c r="I14" s="38">
        <v>42964</v>
      </c>
      <c r="J14" s="240">
        <v>3000000</v>
      </c>
      <c r="K14" s="240">
        <v>12212362.25</v>
      </c>
      <c r="L14" s="241">
        <f t="shared" si="24"/>
        <v>93063003.533500001</v>
      </c>
      <c r="N14" s="38">
        <v>43328</v>
      </c>
      <c r="O14" s="240">
        <v>100000000</v>
      </c>
      <c r="P14" s="240">
        <v>202730517.89760002</v>
      </c>
      <c r="Q14" s="241">
        <f t="shared" si="25"/>
        <v>511816491.39060009</v>
      </c>
      <c r="S14" s="38">
        <v>43692</v>
      </c>
      <c r="T14" s="240">
        <v>20000000</v>
      </c>
      <c r="U14" s="240">
        <v>37922780.682600006</v>
      </c>
      <c r="V14" s="241">
        <f t="shared" si="26"/>
        <v>444777075.38220006</v>
      </c>
      <c r="X14" s="38">
        <v>44056</v>
      </c>
      <c r="Y14" s="240">
        <v>8000000</v>
      </c>
      <c r="Z14" s="240">
        <v>32611764.127800003</v>
      </c>
      <c r="AA14" s="241">
        <f t="shared" si="27"/>
        <v>383221280.61359996</v>
      </c>
      <c r="AC14" s="38">
        <v>44420</v>
      </c>
      <c r="AD14" s="240">
        <v>80000000</v>
      </c>
      <c r="AE14" s="240">
        <v>160471586.99880001</v>
      </c>
      <c r="AF14" s="241">
        <f t="shared" si="28"/>
        <v>529901148.19620001</v>
      </c>
      <c r="AG14" s="241"/>
      <c r="AH14" s="38">
        <v>44791</v>
      </c>
      <c r="AI14" s="240">
        <v>4000000</v>
      </c>
      <c r="AJ14" s="240">
        <v>24294688.919331104</v>
      </c>
      <c r="AK14" s="241">
        <f t="shared" si="29"/>
        <v>208034733.19331104</v>
      </c>
      <c r="AM14" s="32">
        <v>7</v>
      </c>
      <c r="AN14" s="39">
        <f t="shared" si="0"/>
        <v>9.3063003533499999E-2</v>
      </c>
      <c r="AO14" s="39">
        <f t="shared" si="1"/>
        <v>0.51181649139060004</v>
      </c>
      <c r="AP14" s="39">
        <f t="shared" si="2"/>
        <v>0.44477707538220007</v>
      </c>
      <c r="AQ14" s="39">
        <f t="shared" si="3"/>
        <v>0.38322128061359995</v>
      </c>
      <c r="AR14" s="39">
        <f t="shared" si="30"/>
        <v>0.52990114819620004</v>
      </c>
      <c r="AS14" s="39">
        <f t="shared" si="31"/>
        <v>0.20803473319331103</v>
      </c>
      <c r="AT14" s="39"/>
      <c r="AU14" s="39">
        <f t="shared" si="32"/>
        <v>0.31763086012460101</v>
      </c>
      <c r="AV14" s="9"/>
      <c r="AW14" s="9"/>
      <c r="AX14" s="9"/>
      <c r="BF14" s="52"/>
      <c r="BG14" s="54" t="s">
        <v>71</v>
      </c>
      <c r="BL14" s="57">
        <f ca="1">BL12+JA71</f>
        <v>3.7961773156692002</v>
      </c>
      <c r="BN14" s="57"/>
      <c r="BZ14" s="52"/>
      <c r="CA14" s="54" t="s">
        <v>69</v>
      </c>
      <c r="CB14" s="55"/>
      <c r="CC14" s="55"/>
      <c r="CD14" s="55"/>
      <c r="CE14" s="55"/>
      <c r="CF14" s="55"/>
      <c r="CG14" s="55"/>
      <c r="CH14" s="55">
        <f>CH13/CH$11*52</f>
        <v>29.433962264150942</v>
      </c>
      <c r="CI14" s="55"/>
      <c r="CT14" s="41">
        <f t="shared" si="33"/>
        <v>44791</v>
      </c>
      <c r="CU14" s="9">
        <f t="shared" si="34"/>
        <v>0.20803473319331103</v>
      </c>
      <c r="CV14" s="9">
        <f t="shared" si="35"/>
        <v>0.26560547208966501</v>
      </c>
      <c r="CW14" s="9">
        <f t="shared" si="35"/>
        <v>0.31805419469813595</v>
      </c>
      <c r="CX14" s="9">
        <f t="shared" si="35"/>
        <v>0.33891773193926888</v>
      </c>
      <c r="CY14" s="9">
        <f t="shared" si="35"/>
        <v>0.35351405104417721</v>
      </c>
      <c r="CZ14" s="9">
        <f t="shared" si="35"/>
        <v>0.38296043803216795</v>
      </c>
      <c r="DA14" s="9">
        <f t="shared" si="35"/>
        <v>0.42146796210405252</v>
      </c>
      <c r="DB14" s="9">
        <f t="shared" si="35"/>
        <v>0.46362773479202479</v>
      </c>
      <c r="DC14" s="9">
        <f t="shared" si="35"/>
        <v>0.50830390273062021</v>
      </c>
      <c r="DD14" s="9">
        <f t="shared" si="35"/>
        <v>0.5350411704766207</v>
      </c>
      <c r="DE14" s="9">
        <f t="shared" si="35"/>
        <v>0.59310046932856963</v>
      </c>
      <c r="DF14" s="9">
        <f t="shared" si="35"/>
        <v>0.72017691975192444</v>
      </c>
      <c r="DG14" s="32"/>
      <c r="DH14" s="32"/>
      <c r="DR14" s="41">
        <v>45155</v>
      </c>
      <c r="DS14" s="9">
        <v>0.57346186099999996</v>
      </c>
      <c r="DT14" s="9">
        <f t="shared" si="36"/>
        <v>0.28651297915651042</v>
      </c>
      <c r="DU14" s="9">
        <f t="shared" si="36"/>
        <v>0.33848258130718972</v>
      </c>
      <c r="DV14" s="9">
        <f t="shared" si="36"/>
        <v>0.36610462530113885</v>
      </c>
      <c r="DW14" s="9">
        <f t="shared" si="36"/>
        <v>0.38295209529764818</v>
      </c>
      <c r="DX14" s="9">
        <f t="shared" si="36"/>
        <v>0.41564566644846468</v>
      </c>
      <c r="DY14" s="9">
        <f t="shared" si="36"/>
        <v>0.45677317646161808</v>
      </c>
      <c r="DZ14" s="9">
        <f t="shared" si="36"/>
        <v>0.50325845605377839</v>
      </c>
      <c r="EA14" s="9">
        <f t="shared" si="36"/>
        <v>0.5526984877158363</v>
      </c>
      <c r="EB14" s="9">
        <f t="shared" si="36"/>
        <v>0.5826061124733547</v>
      </c>
      <c r="EC14" s="9">
        <f t="shared" si="36"/>
        <v>0.64060260104858036</v>
      </c>
      <c r="ED14" s="9">
        <f t="shared" si="36"/>
        <v>0.82102258573683962</v>
      </c>
      <c r="EE14" s="32"/>
      <c r="EF14" s="32"/>
      <c r="EQ14" s="41">
        <v>45519</v>
      </c>
      <c r="ER14" s="76">
        <v>0.36496592642432168</v>
      </c>
      <c r="ES14" s="9">
        <f t="shared" si="37"/>
        <v>0.3046076923076923</v>
      </c>
      <c r="ET14" s="9">
        <f t="shared" si="37"/>
        <v>0.34084615384615385</v>
      </c>
      <c r="EU14" s="9">
        <f t="shared" si="37"/>
        <v>0.36701538461538463</v>
      </c>
      <c r="EV14" s="9">
        <f t="shared" si="37"/>
        <v>0.3859423076923077</v>
      </c>
      <c r="EW14" s="9">
        <f t="shared" si="37"/>
        <v>0.42312307692307699</v>
      </c>
      <c r="EX14" s="9">
        <f t="shared" si="37"/>
        <v>0.47669999999999996</v>
      </c>
      <c r="EY14" s="9">
        <f t="shared" si="37"/>
        <v>0.54193461538461529</v>
      </c>
      <c r="EZ14" s="9">
        <f t="shared" si="37"/>
        <v>0.61648461538461541</v>
      </c>
      <c r="FA14" s="9">
        <f t="shared" si="37"/>
        <v>0.66341153846153844</v>
      </c>
      <c r="FB14" s="9">
        <f t="shared" si="37"/>
        <v>0.76816923076923083</v>
      </c>
      <c r="FC14" s="9">
        <f t="shared" si="37"/>
        <v>1.0110692307692308</v>
      </c>
      <c r="FD14" s="32"/>
      <c r="FE14" s="32">
        <v>364965926.42432171</v>
      </c>
      <c r="FF14" s="32">
        <f t="shared" si="38"/>
        <v>0.36496592642432168</v>
      </c>
      <c r="FG14" s="32"/>
      <c r="FH14" s="32"/>
      <c r="FI14" s="32">
        <v>301991657.00858343</v>
      </c>
      <c r="FJ14" s="32">
        <f t="shared" si="39"/>
        <v>0.30199165700858344</v>
      </c>
      <c r="FK14" s="32"/>
      <c r="FL14" s="229">
        <v>45883</v>
      </c>
      <c r="FM14" s="230">
        <v>0.30199165700858344</v>
      </c>
      <c r="FN14" s="9">
        <f t="shared" si="40"/>
        <v>0.2650442464010051</v>
      </c>
      <c r="FO14" s="9">
        <f t="shared" si="40"/>
        <v>0.29691867351114015</v>
      </c>
      <c r="FP14" s="9">
        <f t="shared" si="40"/>
        <v>0.31778022563029046</v>
      </c>
      <c r="FQ14" s="9">
        <f t="shared" si="40"/>
        <v>0.33194561230373576</v>
      </c>
      <c r="FR14" s="9">
        <f t="shared" si="40"/>
        <v>0.36122542211600772</v>
      </c>
      <c r="FS14" s="9">
        <f t="shared" si="40"/>
        <v>0.40630377914746524</v>
      </c>
      <c r="FT14" s="9">
        <f t="shared" si="40"/>
        <v>0.46695046574817234</v>
      </c>
      <c r="FU14" s="9">
        <f t="shared" si="40"/>
        <v>0.52832374532657</v>
      </c>
      <c r="FV14" s="9">
        <f t="shared" si="40"/>
        <v>0.57616734660950542</v>
      </c>
      <c r="FW14" s="9">
        <f t="shared" si="40"/>
        <v>0.6773092626523769</v>
      </c>
      <c r="FX14" s="9">
        <f t="shared" si="40"/>
        <v>0.91411598319303866</v>
      </c>
      <c r="FY14" s="32"/>
      <c r="FZ14" s="32">
        <v>364965926.42432171</v>
      </c>
      <c r="GA14" s="32">
        <f t="shared" si="41"/>
        <v>0.36496592642432168</v>
      </c>
      <c r="GB14" s="32"/>
      <c r="GC14" s="41">
        <v>45519</v>
      </c>
      <c r="GD14" s="9">
        <v>0.36496592642432168</v>
      </c>
      <c r="GE14" s="9">
        <f t="shared" si="42"/>
        <v>0.33439868174298992</v>
      </c>
      <c r="GF14" s="9">
        <f t="shared" si="42"/>
        <v>0.36552099452099435</v>
      </c>
      <c r="GG14" s="9">
        <f t="shared" si="42"/>
        <v>0.39168568916228497</v>
      </c>
      <c r="GH14" s="9">
        <f t="shared" si="42"/>
        <v>0.40891235694731121</v>
      </c>
      <c r="GI14" s="9">
        <f t="shared" si="42"/>
        <v>0.4412806710702013</v>
      </c>
      <c r="GJ14" s="9">
        <f t="shared" si="42"/>
        <v>0.48197395045708041</v>
      </c>
      <c r="GK14" s="9">
        <f t="shared" si="42"/>
        <v>0.53043287741740153</v>
      </c>
      <c r="GL14" s="9">
        <f t="shared" si="42"/>
        <v>0.58015903006697944</v>
      </c>
      <c r="GM14" s="9">
        <f t="shared" si="42"/>
        <v>0.61115590539487918</v>
      </c>
      <c r="GN14" s="9">
        <f t="shared" si="42"/>
        <v>0.67370865865547147</v>
      </c>
      <c r="GO14" s="9">
        <f t="shared" si="42"/>
        <v>0.848091708717299</v>
      </c>
      <c r="GP14" s="32"/>
      <c r="GQ14" s="32"/>
      <c r="HA14" s="41">
        <f t="shared" si="43"/>
        <v>44791</v>
      </c>
      <c r="HB14" s="9">
        <f t="shared" si="9"/>
        <v>0.20803473319331103</v>
      </c>
      <c r="HC14" s="9"/>
      <c r="HD14" s="9"/>
      <c r="HE14" s="9"/>
      <c r="HF14" s="9"/>
      <c r="HG14" s="9"/>
      <c r="HH14" s="9"/>
      <c r="HI14" s="9"/>
      <c r="HJ14" s="9"/>
      <c r="HK14" s="9"/>
      <c r="HL14" s="9"/>
      <c r="HM14" s="9"/>
      <c r="HN14" s="9"/>
      <c r="HO14" s="9"/>
      <c r="HP14" s="9"/>
      <c r="HQ14" s="9"/>
      <c r="HR14" s="9"/>
      <c r="HS14" s="32">
        <v>4</v>
      </c>
      <c r="HT14" s="32"/>
      <c r="HU14" s="32"/>
      <c r="HV14" s="41">
        <f t="shared" si="44"/>
        <v>44791</v>
      </c>
      <c r="HW14" s="9">
        <f t="shared" si="45"/>
        <v>0.20803473319331103</v>
      </c>
      <c r="HX14" s="9">
        <f t="shared" si="59"/>
        <v>0.19067230065807</v>
      </c>
      <c r="HY14" s="9">
        <f t="shared" si="46"/>
        <v>0.21098762851973396</v>
      </c>
      <c r="HZ14" s="9">
        <f t="shared" si="46"/>
        <v>0.22776351361750805</v>
      </c>
      <c r="IA14" s="9">
        <f t="shared" si="46"/>
        <v>0.253312664026488</v>
      </c>
      <c r="IB14" s="9">
        <f t="shared" si="46"/>
        <v>0.27362799188815201</v>
      </c>
      <c r="IC14" s="9">
        <f t="shared" si="46"/>
        <v>0.3066374880345481</v>
      </c>
      <c r="ID14" s="9">
        <f t="shared" si="46"/>
        <v>0.38551146245158802</v>
      </c>
      <c r="IE14" s="9">
        <f t="shared" si="46"/>
        <v>0.56160512876219404</v>
      </c>
      <c r="IF14" s="9">
        <f t="shared" si="46"/>
        <v>0.57838101385996799</v>
      </c>
      <c r="IG14" s="9">
        <f t="shared" si="46"/>
        <v>0.77377909074305418</v>
      </c>
      <c r="IH14" s="9">
        <f t="shared" si="46"/>
        <v>1.3664467244058838</v>
      </c>
      <c r="II14" s="9"/>
      <c r="IJ14" s="9"/>
      <c r="IK14" s="9"/>
      <c r="IL14" s="9"/>
      <c r="IM14" s="32">
        <v>4</v>
      </c>
      <c r="IN14" s="32"/>
      <c r="IO14" s="32"/>
      <c r="IZ14" s="41">
        <f t="shared" si="11"/>
        <v>44791</v>
      </c>
      <c r="JA14" s="9">
        <f t="shared" si="11"/>
        <v>0.20803473319331103</v>
      </c>
      <c r="JB14" s="9"/>
      <c r="JC14" s="9"/>
      <c r="JD14" s="9"/>
      <c r="JE14" s="9"/>
      <c r="JF14" s="9"/>
      <c r="JG14" s="9"/>
      <c r="JH14" s="9"/>
      <c r="JI14" s="9"/>
      <c r="JJ14" s="9"/>
      <c r="JK14" s="9"/>
      <c r="JL14" s="9"/>
      <c r="JM14" s="9"/>
      <c r="JX14" s="41">
        <v>44791</v>
      </c>
      <c r="JY14" s="9">
        <v>0.21481934884740003</v>
      </c>
      <c r="JZ14" s="9"/>
      <c r="KA14" s="9"/>
      <c r="KB14" s="9"/>
      <c r="KM14" s="41">
        <v>42964</v>
      </c>
      <c r="KN14" s="241">
        <v>12212362.25</v>
      </c>
      <c r="KO14" s="241">
        <f t="shared" si="47"/>
        <v>93063003.533500001</v>
      </c>
      <c r="KQ14" s="41">
        <v>43146</v>
      </c>
      <c r="KR14" s="241">
        <v>13268654.937999999</v>
      </c>
      <c r="KS14" s="241">
        <f t="shared" si="48"/>
        <v>186538774.69149998</v>
      </c>
      <c r="KU14" s="41">
        <v>43328</v>
      </c>
      <c r="KV14" s="241">
        <v>202730517.89760002</v>
      </c>
      <c r="KW14" s="241">
        <f t="shared" si="49"/>
        <v>511816491.39060009</v>
      </c>
      <c r="KY14" s="41">
        <v>43510</v>
      </c>
      <c r="KZ14" s="241">
        <v>38759624.765400007</v>
      </c>
      <c r="LA14" s="241">
        <f t="shared" si="50"/>
        <v>526177024.69200009</v>
      </c>
      <c r="LC14" s="41">
        <v>43692</v>
      </c>
      <c r="LD14" s="241">
        <v>37922780.682600006</v>
      </c>
      <c r="LE14" s="241">
        <f t="shared" si="51"/>
        <v>444777075.38220006</v>
      </c>
      <c r="LG14" s="41">
        <v>43874</v>
      </c>
      <c r="LH14" s="241">
        <v>17358384.628200002</v>
      </c>
      <c r="LI14" s="241">
        <f t="shared" si="52"/>
        <v>269971332.04140002</v>
      </c>
      <c r="LK14" s="41">
        <v>44056</v>
      </c>
      <c r="LL14" s="241">
        <v>32611764.127800003</v>
      </c>
      <c r="LM14" s="241">
        <f t="shared" si="53"/>
        <v>383221280.61359996</v>
      </c>
      <c r="LO14" s="41">
        <v>44245</v>
      </c>
      <c r="LP14" s="241">
        <v>95321410.008000001</v>
      </c>
      <c r="LQ14" s="241">
        <f t="shared" si="54"/>
        <v>324656301.50580001</v>
      </c>
      <c r="LS14" s="41">
        <v>44420</v>
      </c>
      <c r="LT14" s="241">
        <v>160471586.99880001</v>
      </c>
      <c r="LU14" s="241">
        <f t="shared" si="55"/>
        <v>529901148.19620001</v>
      </c>
      <c r="LW14" s="41">
        <v>44609</v>
      </c>
      <c r="LX14" s="241">
        <v>141654425.088</v>
      </c>
      <c r="LY14" s="241">
        <f t="shared" si="56"/>
        <v>491967093.1692</v>
      </c>
      <c r="MA14" s="32">
        <v>7</v>
      </c>
      <c r="MB14" s="42">
        <f t="shared" si="12"/>
        <v>9.3063003533499999E-2</v>
      </c>
      <c r="MC14" s="42">
        <f t="shared" si="13"/>
        <v>0.18653877469149999</v>
      </c>
      <c r="MD14" s="42">
        <f t="shared" si="14"/>
        <v>0.51181649139060004</v>
      </c>
      <c r="ME14" s="42">
        <f t="shared" si="15"/>
        <v>0.52617702469200012</v>
      </c>
      <c r="MF14" s="42">
        <f t="shared" si="16"/>
        <v>0.44477707538220007</v>
      </c>
      <c r="MG14" s="42">
        <f t="shared" si="17"/>
        <v>0.2699713320414</v>
      </c>
      <c r="MH14" s="42">
        <f t="shared" si="18"/>
        <v>0.38322128061359995</v>
      </c>
      <c r="MI14" s="42">
        <f t="shared" si="19"/>
        <v>0.32465630150579999</v>
      </c>
      <c r="MJ14" s="42">
        <f t="shared" si="20"/>
        <v>0.52990114819620004</v>
      </c>
      <c r="MK14" s="42">
        <f t="shared" si="21"/>
        <v>0.49196709316920001</v>
      </c>
      <c r="ML14" s="9"/>
      <c r="MM14" s="9"/>
      <c r="MN14" s="9"/>
      <c r="MV14" s="52"/>
      <c r="MW14" s="54" t="s">
        <v>72</v>
      </c>
      <c r="MX14" s="53"/>
      <c r="MY14" s="53"/>
      <c r="MZ14" s="53"/>
      <c r="NA14" s="53"/>
      <c r="NB14" s="53"/>
      <c r="NC14" s="53"/>
      <c r="ND14" s="53"/>
      <c r="NE14" s="53"/>
      <c r="NF14" s="53"/>
      <c r="NG14" s="53">
        <f ca="1">NG12+OS43</f>
        <v>2.2322746980071999</v>
      </c>
      <c r="NH14" s="53"/>
      <c r="NS14" s="41">
        <v>44609</v>
      </c>
      <c r="NT14" s="9">
        <f t="shared" si="22"/>
        <v>0.49196709316920001</v>
      </c>
      <c r="NU14" s="9">
        <f t="shared" si="57"/>
        <v>0.23018504747122503</v>
      </c>
      <c r="NV14" s="9">
        <f t="shared" si="57"/>
        <v>0.27229384971851639</v>
      </c>
      <c r="NW14" s="9">
        <f t="shared" si="57"/>
        <v>0.2968963447919255</v>
      </c>
      <c r="NX14" s="9">
        <f t="shared" si="57"/>
        <v>0.31415498967130384</v>
      </c>
      <c r="NY14" s="9">
        <f t="shared" si="57"/>
        <v>0.3503822864885538</v>
      </c>
      <c r="NZ14" s="9">
        <f t="shared" si="57"/>
        <v>0.41194660076977219</v>
      </c>
      <c r="OA14" s="9">
        <f t="shared" si="57"/>
        <v>0.47445838634084436</v>
      </c>
      <c r="OB14" s="9">
        <f t="shared" si="57"/>
        <v>0.5481268985950154</v>
      </c>
      <c r="OC14" s="9">
        <f t="shared" si="57"/>
        <v>0.60076986341665184</v>
      </c>
      <c r="OD14" s="9">
        <f t="shared" si="57"/>
        <v>0.70449862629374038</v>
      </c>
      <c r="OE14" s="9">
        <f t="shared" si="57"/>
        <v>0.91174780193197869</v>
      </c>
      <c r="OF14" s="9">
        <f t="shared" ca="1" si="57"/>
        <v>0.46953138795166144</v>
      </c>
      <c r="OG14" s="32"/>
      <c r="OR14" s="41">
        <f t="shared" si="58"/>
        <v>44609</v>
      </c>
      <c r="OS14" s="9">
        <f t="shared" si="58"/>
        <v>0.49196709316920001</v>
      </c>
      <c r="OT14" s="9"/>
      <c r="OU14" s="9"/>
      <c r="OV14" s="9"/>
      <c r="OW14" s="9"/>
      <c r="OX14" s="9"/>
      <c r="OY14" s="9"/>
      <c r="OZ14" s="9"/>
      <c r="PA14" s="9"/>
      <c r="PB14" s="9"/>
      <c r="PC14" s="9"/>
      <c r="PD14" s="9"/>
      <c r="PE14" s="9"/>
    </row>
    <row r="15" spans="2:423" x14ac:dyDescent="0.25">
      <c r="B15" s="48">
        <v>42789</v>
      </c>
      <c r="C15" s="49">
        <v>15813936.060999999</v>
      </c>
      <c r="D15" s="49">
        <v>17021620</v>
      </c>
      <c r="E15" s="50">
        <v>6000000</v>
      </c>
      <c r="F15" s="50"/>
      <c r="G15" s="50"/>
      <c r="H15" s="50"/>
      <c r="I15" s="38">
        <v>42971</v>
      </c>
      <c r="J15" s="240">
        <v>6000000</v>
      </c>
      <c r="K15" s="240">
        <v>14976750.524999999</v>
      </c>
      <c r="L15" s="241">
        <f t="shared" si="24"/>
        <v>108039754.05849999</v>
      </c>
      <c r="N15" s="38">
        <v>43335</v>
      </c>
      <c r="O15" s="240">
        <v>3000000</v>
      </c>
      <c r="P15" s="240">
        <v>17721954.901200004</v>
      </c>
      <c r="Q15" s="241">
        <f t="shared" si="25"/>
        <v>529538446.29180008</v>
      </c>
      <c r="S15" s="38">
        <v>43699</v>
      </c>
      <c r="T15" s="240">
        <v>40000000</v>
      </c>
      <c r="U15" s="240">
        <v>49475212.48560001</v>
      </c>
      <c r="V15" s="241">
        <f t="shared" si="26"/>
        <v>494252287.86780006</v>
      </c>
      <c r="X15" s="38">
        <v>44063</v>
      </c>
      <c r="Y15" s="240">
        <v>3000000</v>
      </c>
      <c r="Z15" s="240">
        <v>22018352.0436</v>
      </c>
      <c r="AA15" s="241">
        <f t="shared" si="27"/>
        <v>405239632.65719998</v>
      </c>
      <c r="AC15" s="38">
        <v>44427</v>
      </c>
      <c r="AD15" s="240">
        <v>3000000</v>
      </c>
      <c r="AE15" s="240">
        <v>25638429.148200002</v>
      </c>
      <c r="AF15" s="241">
        <f t="shared" si="28"/>
        <v>555539577.34440005</v>
      </c>
      <c r="AG15" s="241"/>
      <c r="AH15" s="38">
        <v>44798</v>
      </c>
      <c r="AI15" s="240">
        <v>8000000</v>
      </c>
      <c r="AJ15" s="240">
        <v>30884046.038260873</v>
      </c>
      <c r="AK15" s="241">
        <f t="shared" si="29"/>
        <v>238918779.23157191</v>
      </c>
      <c r="AM15" s="32">
        <v>8</v>
      </c>
      <c r="AN15" s="39">
        <f t="shared" si="0"/>
        <v>0.1080397540585</v>
      </c>
      <c r="AO15" s="39">
        <f t="shared" si="1"/>
        <v>0.52953844629180014</v>
      </c>
      <c r="AP15" s="39">
        <f t="shared" si="2"/>
        <v>0.49425228786780007</v>
      </c>
      <c r="AQ15" s="39">
        <f t="shared" si="3"/>
        <v>0.40523963265719998</v>
      </c>
      <c r="AR15" s="39">
        <f t="shared" si="30"/>
        <v>0.55553957734440007</v>
      </c>
      <c r="AS15" s="39">
        <f t="shared" si="31"/>
        <v>0.23891877923157193</v>
      </c>
      <c r="AT15" s="39"/>
      <c r="AU15" s="39">
        <f t="shared" si="32"/>
        <v>0.37056933681203452</v>
      </c>
      <c r="AV15" s="9"/>
      <c r="AW15" s="9"/>
      <c r="AX15" s="9"/>
      <c r="BF15" s="52"/>
      <c r="BG15" s="54" t="s">
        <v>73</v>
      </c>
      <c r="BL15" s="57"/>
      <c r="BM15" s="58">
        <v>2.7944760670203199</v>
      </c>
      <c r="BN15" s="57"/>
      <c r="BZ15" s="52"/>
      <c r="CA15" s="54" t="s">
        <v>71</v>
      </c>
      <c r="CB15" s="55"/>
      <c r="CC15" s="55"/>
      <c r="CD15" s="55"/>
      <c r="CE15" s="55"/>
      <c r="CF15" s="55"/>
      <c r="CG15" s="55"/>
      <c r="CH15" s="55">
        <f>CH13+JG71</f>
        <v>37</v>
      </c>
      <c r="CI15" s="55"/>
      <c r="CT15" s="41">
        <f t="shared" si="33"/>
        <v>44798</v>
      </c>
      <c r="CU15" s="9">
        <f t="shared" si="34"/>
        <v>0.23891877923157193</v>
      </c>
      <c r="CV15" s="9">
        <f t="shared" si="35"/>
        <v>0.30354911095961717</v>
      </c>
      <c r="CW15" s="9">
        <f t="shared" si="35"/>
        <v>0.36349050822644108</v>
      </c>
      <c r="CX15" s="9">
        <f t="shared" si="35"/>
        <v>0.38733455078773588</v>
      </c>
      <c r="CY15" s="9">
        <f t="shared" si="35"/>
        <v>0.40401605833620252</v>
      </c>
      <c r="CZ15" s="9">
        <f t="shared" si="35"/>
        <v>0.43766907203676336</v>
      </c>
      <c r="DA15" s="9">
        <f t="shared" si="35"/>
        <v>0.48167767097606001</v>
      </c>
      <c r="DB15" s="9">
        <f t="shared" si="35"/>
        <v>0.52986026833374267</v>
      </c>
      <c r="DC15" s="9">
        <f t="shared" si="35"/>
        <v>0.58091874597785165</v>
      </c>
      <c r="DD15" s="9">
        <f t="shared" si="35"/>
        <v>0.61147562340185224</v>
      </c>
      <c r="DE15" s="9">
        <f t="shared" si="35"/>
        <v>0.67782910780407957</v>
      </c>
      <c r="DF15" s="9">
        <f t="shared" si="35"/>
        <v>0.82305933685934218</v>
      </c>
      <c r="DG15" s="32"/>
      <c r="DH15" s="32"/>
      <c r="DR15" s="41">
        <v>45162</v>
      </c>
      <c r="DS15" s="9">
        <v>0.63140233700000004</v>
      </c>
      <c r="DT15" s="9">
        <f t="shared" si="36"/>
        <v>0.3274434047502976</v>
      </c>
      <c r="DU15" s="9">
        <f t="shared" si="36"/>
        <v>0.38683723577964541</v>
      </c>
      <c r="DV15" s="9">
        <f t="shared" si="36"/>
        <v>0.4184052860584444</v>
      </c>
      <c r="DW15" s="9">
        <f t="shared" si="36"/>
        <v>0.4376595374830265</v>
      </c>
      <c r="DX15" s="9">
        <f t="shared" si="36"/>
        <v>0.47502361879824534</v>
      </c>
      <c r="DY15" s="9">
        <f t="shared" si="36"/>
        <v>0.52202648738470636</v>
      </c>
      <c r="DZ15" s="9">
        <f t="shared" si="36"/>
        <v>0.57515252120431815</v>
      </c>
      <c r="EA15" s="9">
        <f t="shared" si="36"/>
        <v>0.63165541453238427</v>
      </c>
      <c r="EB15" s="9">
        <f t="shared" si="36"/>
        <v>0.66583555711240539</v>
      </c>
      <c r="EC15" s="9">
        <f t="shared" si="36"/>
        <v>0.73211725834123476</v>
      </c>
      <c r="ED15" s="9">
        <f t="shared" si="36"/>
        <v>0.93831152655638816</v>
      </c>
      <c r="EE15" s="32"/>
      <c r="EF15" s="32"/>
      <c r="EQ15" s="41">
        <v>45526</v>
      </c>
      <c r="ER15" s="76">
        <v>0.56405793687374961</v>
      </c>
      <c r="ES15" s="9">
        <f t="shared" si="37"/>
        <v>0.34812307692307692</v>
      </c>
      <c r="ET15" s="9">
        <f t="shared" si="37"/>
        <v>0.38953846153846156</v>
      </c>
      <c r="EU15" s="9">
        <f t="shared" si="37"/>
        <v>0.41944615384615386</v>
      </c>
      <c r="EV15" s="9">
        <f t="shared" si="37"/>
        <v>0.44107692307692309</v>
      </c>
      <c r="EW15" s="9">
        <f t="shared" si="37"/>
        <v>0.48356923076923086</v>
      </c>
      <c r="EX15" s="9">
        <f t="shared" si="37"/>
        <v>0.54479999999999995</v>
      </c>
      <c r="EY15" s="9">
        <f t="shared" si="37"/>
        <v>0.61935384615384603</v>
      </c>
      <c r="EZ15" s="9">
        <f t="shared" si="37"/>
        <v>0.7045538461538462</v>
      </c>
      <c r="FA15" s="9">
        <f t="shared" si="37"/>
        <v>0.75818461538461535</v>
      </c>
      <c r="FB15" s="9">
        <f t="shared" si="37"/>
        <v>0.87790769230769239</v>
      </c>
      <c r="FC15" s="9">
        <f t="shared" si="37"/>
        <v>1.1555076923076923</v>
      </c>
      <c r="FD15" s="32"/>
      <c r="FE15" s="32">
        <v>564057936.87374961</v>
      </c>
      <c r="FF15" s="32">
        <f t="shared" si="38"/>
        <v>0.56405793687374961</v>
      </c>
      <c r="FG15" s="32"/>
      <c r="FH15" s="32"/>
      <c r="FI15" s="32">
        <v>365376928.4922483</v>
      </c>
      <c r="FJ15" s="32">
        <f t="shared" si="39"/>
        <v>0.36537692849224829</v>
      </c>
      <c r="FK15" s="32"/>
      <c r="FL15" s="229">
        <v>45890</v>
      </c>
      <c r="FM15" s="230">
        <v>0.36537692849224829</v>
      </c>
      <c r="FN15" s="9">
        <f t="shared" si="40"/>
        <v>0.30290771017257723</v>
      </c>
      <c r="FO15" s="9">
        <f t="shared" si="40"/>
        <v>0.33933562686987445</v>
      </c>
      <c r="FP15" s="9">
        <f t="shared" si="40"/>
        <v>0.36317740072033194</v>
      </c>
      <c r="FQ15" s="9">
        <f t="shared" si="40"/>
        <v>0.3793664140614123</v>
      </c>
      <c r="FR15" s="9">
        <f t="shared" si="40"/>
        <v>0.41282905384686597</v>
      </c>
      <c r="FS15" s="9">
        <f t="shared" si="40"/>
        <v>0.46434717616853172</v>
      </c>
      <c r="FT15" s="9">
        <f t="shared" si="40"/>
        <v>0.53365767514076834</v>
      </c>
      <c r="FU15" s="9">
        <f t="shared" si="40"/>
        <v>0.60379856608750859</v>
      </c>
      <c r="FV15" s="9">
        <f t="shared" si="40"/>
        <v>0.65847696755372054</v>
      </c>
      <c r="FW15" s="9">
        <f t="shared" si="40"/>
        <v>0.77406772874557361</v>
      </c>
      <c r="FX15" s="9">
        <f t="shared" si="40"/>
        <v>1.0447039807920442</v>
      </c>
      <c r="FY15" s="32"/>
      <c r="FZ15" s="32">
        <v>564057936.87374961</v>
      </c>
      <c r="GA15" s="32">
        <f t="shared" si="41"/>
        <v>0.56405793687374961</v>
      </c>
      <c r="GB15" s="32"/>
      <c r="GC15" s="41">
        <v>45526</v>
      </c>
      <c r="GD15" s="9">
        <v>0.56405793687374961</v>
      </c>
      <c r="GE15" s="9">
        <f t="shared" si="42"/>
        <v>0.38216992199198851</v>
      </c>
      <c r="GF15" s="9">
        <f t="shared" si="42"/>
        <v>0.41773827945256498</v>
      </c>
      <c r="GG15" s="9">
        <f t="shared" si="42"/>
        <v>0.44764078761403997</v>
      </c>
      <c r="GH15" s="9">
        <f t="shared" si="42"/>
        <v>0.46732840793978425</v>
      </c>
      <c r="GI15" s="9">
        <f t="shared" si="42"/>
        <v>0.50432076693737293</v>
      </c>
      <c r="GJ15" s="9">
        <f t="shared" si="42"/>
        <v>0.550827371950949</v>
      </c>
      <c r="GK15" s="9">
        <f t="shared" si="42"/>
        <v>0.60620900276274459</v>
      </c>
      <c r="GL15" s="9">
        <f t="shared" si="42"/>
        <v>0.6630388915051193</v>
      </c>
      <c r="GM15" s="9">
        <f t="shared" si="42"/>
        <v>0.69846389187986191</v>
      </c>
      <c r="GN15" s="9">
        <f t="shared" si="42"/>
        <v>0.76995275274911024</v>
      </c>
      <c r="GO15" s="9">
        <f t="shared" si="42"/>
        <v>0.9692476671054846</v>
      </c>
      <c r="GP15" s="32"/>
      <c r="GQ15" s="32"/>
      <c r="HA15" s="41">
        <f t="shared" si="43"/>
        <v>44798</v>
      </c>
      <c r="HB15" s="9">
        <f t="shared" si="9"/>
        <v>0.23891877923157193</v>
      </c>
      <c r="HC15" s="9"/>
      <c r="HD15" s="9"/>
      <c r="HE15" s="9"/>
      <c r="HF15" s="9"/>
      <c r="HG15" s="9"/>
      <c r="HH15" s="9"/>
      <c r="HI15" s="9"/>
      <c r="HJ15" s="9"/>
      <c r="HK15" s="9"/>
      <c r="HL15" s="9"/>
      <c r="HM15" s="9"/>
      <c r="HN15" s="9"/>
      <c r="HO15" s="9"/>
      <c r="HP15" s="9"/>
      <c r="HQ15" s="9"/>
      <c r="HR15" s="9"/>
      <c r="HS15" s="32">
        <v>4</v>
      </c>
      <c r="HT15" s="32"/>
      <c r="HU15" s="32"/>
      <c r="HV15" s="41">
        <f t="shared" si="44"/>
        <v>44798</v>
      </c>
      <c r="HW15" s="9">
        <f t="shared" si="45"/>
        <v>0.23891877923157193</v>
      </c>
      <c r="HX15" s="9">
        <f t="shared" si="59"/>
        <v>0.21791120075208001</v>
      </c>
      <c r="HY15" s="9">
        <f t="shared" si="46"/>
        <v>0.24112871830826738</v>
      </c>
      <c r="HZ15" s="9">
        <f t="shared" si="46"/>
        <v>0.26030115842000917</v>
      </c>
      <c r="IA15" s="9">
        <f t="shared" si="46"/>
        <v>0.28950018745884343</v>
      </c>
      <c r="IB15" s="9">
        <f t="shared" si="46"/>
        <v>0.31271770501503088</v>
      </c>
      <c r="IC15" s="9">
        <f t="shared" si="46"/>
        <v>0.35044284346805499</v>
      </c>
      <c r="ID15" s="9">
        <f t="shared" si="46"/>
        <v>0.44058452851610058</v>
      </c>
      <c r="IE15" s="9">
        <f t="shared" si="46"/>
        <v>0.64183443287107889</v>
      </c>
      <c r="IF15" s="9">
        <f t="shared" si="46"/>
        <v>0.66100687298282057</v>
      </c>
      <c r="IG15" s="9">
        <f t="shared" si="46"/>
        <v>0.8843189608492048</v>
      </c>
      <c r="IH15" s="9">
        <f t="shared" si="46"/>
        <v>1.56165339932101</v>
      </c>
      <c r="II15" s="9"/>
      <c r="IJ15" s="9"/>
      <c r="IK15" s="9"/>
      <c r="IL15" s="9"/>
      <c r="IM15" s="32">
        <v>4</v>
      </c>
      <c r="IN15" s="32"/>
      <c r="IO15" s="32"/>
      <c r="IZ15" s="41">
        <f t="shared" si="11"/>
        <v>44798</v>
      </c>
      <c r="JA15" s="9">
        <f t="shared" si="11"/>
        <v>0.23891877923157193</v>
      </c>
      <c r="JB15" s="9"/>
      <c r="JC15" s="9"/>
      <c r="JD15" s="9"/>
      <c r="JE15" s="9"/>
      <c r="JF15" s="9"/>
      <c r="JG15" s="9"/>
      <c r="JH15" s="9"/>
      <c r="JI15" s="9"/>
      <c r="JJ15" s="9"/>
      <c r="JK15" s="9"/>
      <c r="JL15" s="9"/>
      <c r="JM15" s="9"/>
      <c r="JX15" s="41">
        <v>44798</v>
      </c>
      <c r="JY15" s="9">
        <v>0.24540474424620001</v>
      </c>
      <c r="JZ15" s="9"/>
      <c r="KA15" s="9"/>
      <c r="KB15" s="9"/>
      <c r="KM15" s="41">
        <v>42971</v>
      </c>
      <c r="KN15" s="241">
        <v>14976750.524999999</v>
      </c>
      <c r="KO15" s="241">
        <f t="shared" si="47"/>
        <v>108039754.05849999</v>
      </c>
      <c r="KQ15" s="41">
        <v>43153</v>
      </c>
      <c r="KR15" s="241">
        <v>15915313.997</v>
      </c>
      <c r="KS15" s="241">
        <f t="shared" si="48"/>
        <v>202454088.68849999</v>
      </c>
      <c r="KU15" s="41">
        <v>43335</v>
      </c>
      <c r="KV15" s="241">
        <v>17721954.901200004</v>
      </c>
      <c r="KW15" s="241">
        <f t="shared" si="49"/>
        <v>529538446.29180008</v>
      </c>
      <c r="KY15" s="41">
        <v>43517</v>
      </c>
      <c r="KZ15" s="241">
        <v>47285578.916400008</v>
      </c>
      <c r="LA15" s="241">
        <f t="shared" si="50"/>
        <v>573462603.60840011</v>
      </c>
      <c r="LC15" s="41">
        <v>43699</v>
      </c>
      <c r="LD15" s="241">
        <v>49475212.48560001</v>
      </c>
      <c r="LE15" s="241">
        <f t="shared" si="51"/>
        <v>494252287.86780006</v>
      </c>
      <c r="LG15" s="41">
        <v>43881</v>
      </c>
      <c r="LH15" s="241">
        <v>26167262.939400002</v>
      </c>
      <c r="LI15" s="241">
        <f t="shared" si="52"/>
        <v>296138594.98080003</v>
      </c>
      <c r="LK15" s="41">
        <v>44063</v>
      </c>
      <c r="LL15" s="241">
        <v>22018352.0436</v>
      </c>
      <c r="LM15" s="241">
        <f t="shared" si="53"/>
        <v>405239632.65719998</v>
      </c>
      <c r="LO15" s="41">
        <v>44252</v>
      </c>
      <c r="LP15" s="241">
        <v>28874373.0462</v>
      </c>
      <c r="LQ15" s="241">
        <f t="shared" si="54"/>
        <v>353530674.55199999</v>
      </c>
      <c r="LS15" s="41">
        <v>44427</v>
      </c>
      <c r="LT15" s="241">
        <v>25638429.148200002</v>
      </c>
      <c r="LU15" s="241">
        <f t="shared" si="55"/>
        <v>555539577.34440005</v>
      </c>
      <c r="LW15" s="41">
        <v>44616</v>
      </c>
      <c r="LX15" s="241">
        <v>301559461.65180004</v>
      </c>
      <c r="LY15" s="241">
        <f t="shared" si="56"/>
        <v>793526554.8210001</v>
      </c>
      <c r="MA15" s="32">
        <v>8</v>
      </c>
      <c r="MB15" s="42">
        <f t="shared" si="12"/>
        <v>0.1080397540585</v>
      </c>
      <c r="MC15" s="42">
        <f t="shared" si="13"/>
        <v>0.20245408868849998</v>
      </c>
      <c r="MD15" s="42">
        <f t="shared" si="14"/>
        <v>0.52953844629180014</v>
      </c>
      <c r="ME15" s="42">
        <f t="shared" si="15"/>
        <v>0.57346260360840007</v>
      </c>
      <c r="MF15" s="42">
        <f t="shared" si="16"/>
        <v>0.49425228786780007</v>
      </c>
      <c r="MG15" s="42">
        <f t="shared" si="17"/>
        <v>0.29613859498080003</v>
      </c>
      <c r="MH15" s="42">
        <f t="shared" si="18"/>
        <v>0.40523963265719998</v>
      </c>
      <c r="MI15" s="42">
        <f t="shared" si="19"/>
        <v>0.35353067455199999</v>
      </c>
      <c r="MJ15" s="42">
        <f t="shared" si="20"/>
        <v>0.55553957734440007</v>
      </c>
      <c r="MK15" s="42">
        <f t="shared" si="21"/>
        <v>0.7935265548210001</v>
      </c>
      <c r="ML15" s="9"/>
      <c r="MM15" s="9"/>
      <c r="MN15" s="9"/>
      <c r="NS15" s="41">
        <v>44616</v>
      </c>
      <c r="NT15" s="9">
        <f t="shared" si="22"/>
        <v>0.7935265548210001</v>
      </c>
      <c r="NU15" s="9">
        <f t="shared" si="57"/>
        <v>0.26306862568140005</v>
      </c>
      <c r="NV15" s="9">
        <f t="shared" si="57"/>
        <v>0.31119297110687588</v>
      </c>
      <c r="NW15" s="9">
        <f t="shared" si="57"/>
        <v>0.33931010833362918</v>
      </c>
      <c r="NX15" s="9">
        <f t="shared" si="57"/>
        <v>0.35903427391006154</v>
      </c>
      <c r="NY15" s="9">
        <f t="shared" si="57"/>
        <v>0.40043689884406147</v>
      </c>
      <c r="NZ15" s="9">
        <f t="shared" si="57"/>
        <v>0.47079611516545394</v>
      </c>
      <c r="OA15" s="9">
        <f t="shared" si="57"/>
        <v>0.54223815581810786</v>
      </c>
      <c r="OB15" s="9">
        <f t="shared" si="57"/>
        <v>0.62643074125144615</v>
      </c>
      <c r="OC15" s="9">
        <f t="shared" si="57"/>
        <v>0.68659412961903066</v>
      </c>
      <c r="OD15" s="9">
        <f t="shared" si="57"/>
        <v>0.80514128719284617</v>
      </c>
      <c r="OE15" s="9">
        <f t="shared" si="57"/>
        <v>1.0419974879222613</v>
      </c>
      <c r="OF15" s="9">
        <f t="shared" ca="1" si="57"/>
        <v>0.53660730051618455</v>
      </c>
      <c r="OG15" s="32"/>
      <c r="OR15" s="41">
        <f t="shared" si="58"/>
        <v>44616</v>
      </c>
      <c r="OS15" s="9">
        <f t="shared" si="58"/>
        <v>0.7935265548210001</v>
      </c>
      <c r="OT15" s="9"/>
      <c r="OU15" s="9"/>
      <c r="OV15" s="9"/>
      <c r="OW15" s="9"/>
      <c r="OX15" s="9"/>
      <c r="OY15" s="9"/>
      <c r="OZ15" s="9"/>
      <c r="PA15" s="9"/>
      <c r="PB15" s="9"/>
      <c r="PC15" s="9"/>
      <c r="PD15" s="9"/>
      <c r="PE15" s="9"/>
    </row>
    <row r="16" spans="2:423" x14ac:dyDescent="0.25">
      <c r="B16" s="48">
        <v>42796</v>
      </c>
      <c r="C16" s="49">
        <v>21601165.030499998</v>
      </c>
      <c r="D16" s="49">
        <v>23250810</v>
      </c>
      <c r="E16" s="50">
        <v>10185195.74</v>
      </c>
      <c r="F16" s="50"/>
      <c r="G16" s="50"/>
      <c r="H16" s="50"/>
      <c r="I16" s="38">
        <v>42978</v>
      </c>
      <c r="J16" s="240">
        <v>10000000</v>
      </c>
      <c r="K16" s="240">
        <v>17345846.605999999</v>
      </c>
      <c r="L16" s="241">
        <f t="shared" si="24"/>
        <v>125385600.6645</v>
      </c>
      <c r="N16" s="38">
        <v>43342</v>
      </c>
      <c r="O16" s="240">
        <v>8000000</v>
      </c>
      <c r="P16" s="240">
        <v>20833577.034600001</v>
      </c>
      <c r="Q16" s="241">
        <f t="shared" si="25"/>
        <v>550372023.32640004</v>
      </c>
      <c r="S16" s="38">
        <v>43706</v>
      </c>
      <c r="T16" s="240">
        <v>60000000</v>
      </c>
      <c r="U16" s="240">
        <v>67743504.529800013</v>
      </c>
      <c r="V16" s="241">
        <f t="shared" si="26"/>
        <v>561995792.39760005</v>
      </c>
      <c r="X16" s="38">
        <v>44070</v>
      </c>
      <c r="Y16" s="240">
        <v>8000000</v>
      </c>
      <c r="Z16" s="240">
        <v>33171427.872000001</v>
      </c>
      <c r="AA16" s="241">
        <f t="shared" si="27"/>
        <v>438411060.52919996</v>
      </c>
      <c r="AC16" s="38">
        <v>44434</v>
      </c>
      <c r="AD16" s="240">
        <v>8000000</v>
      </c>
      <c r="AE16" s="240">
        <v>35501051.229600005</v>
      </c>
      <c r="AF16" s="241">
        <f t="shared" si="28"/>
        <v>591040628.574</v>
      </c>
      <c r="AG16" s="241"/>
      <c r="AH16" s="38">
        <v>44805</v>
      </c>
      <c r="AI16" s="240">
        <v>20000000</v>
      </c>
      <c r="AJ16" s="240">
        <v>48221067.620066889</v>
      </c>
      <c r="AK16" s="241">
        <f t="shared" si="29"/>
        <v>287139846.85163879</v>
      </c>
      <c r="AM16" s="32">
        <v>9</v>
      </c>
      <c r="AN16" s="39">
        <f t="shared" si="0"/>
        <v>0.1253856006645</v>
      </c>
      <c r="AO16" s="39">
        <f t="shared" si="1"/>
        <v>0.55037202332640001</v>
      </c>
      <c r="AP16" s="39">
        <f t="shared" si="2"/>
        <v>0.5619957923976</v>
      </c>
      <c r="AQ16" s="39">
        <f t="shared" si="3"/>
        <v>0.43841106052919998</v>
      </c>
      <c r="AR16" s="39">
        <f t="shared" si="30"/>
        <v>0.59104062857399997</v>
      </c>
      <c r="AS16" s="39">
        <f t="shared" si="31"/>
        <v>0.28713984685163879</v>
      </c>
      <c r="AT16" s="39"/>
      <c r="AU16" s="39">
        <f t="shared" si="32"/>
        <v>0.42350781349946803</v>
      </c>
      <c r="AV16" s="9"/>
      <c r="AW16" s="9"/>
      <c r="AX16" s="9"/>
      <c r="BZ16" s="52"/>
      <c r="CA16" s="54"/>
      <c r="CB16" s="55"/>
      <c r="CC16" s="55"/>
      <c r="CD16" s="55"/>
      <c r="CE16" s="55"/>
      <c r="CF16" s="55"/>
      <c r="CG16" s="55"/>
      <c r="CH16" s="55"/>
      <c r="CI16" s="55"/>
      <c r="CT16" s="41">
        <f t="shared" si="33"/>
        <v>44805</v>
      </c>
      <c r="CU16" s="9">
        <f t="shared" si="34"/>
        <v>0.28713984685163879</v>
      </c>
      <c r="CV16" s="9">
        <f t="shared" si="35"/>
        <v>0.34149274982956934</v>
      </c>
      <c r="CW16" s="9">
        <f t="shared" si="35"/>
        <v>0.40892682175474621</v>
      </c>
      <c r="CX16" s="9">
        <f t="shared" si="35"/>
        <v>0.43575136963620287</v>
      </c>
      <c r="CY16" s="9">
        <f t="shared" si="35"/>
        <v>0.45451806562822783</v>
      </c>
      <c r="CZ16" s="9">
        <f t="shared" si="35"/>
        <v>0.49237770604135878</v>
      </c>
      <c r="DA16" s="9">
        <f t="shared" si="35"/>
        <v>0.54188737984806756</v>
      </c>
      <c r="DB16" s="9">
        <f t="shared" si="35"/>
        <v>0.59609280187546054</v>
      </c>
      <c r="DC16" s="9">
        <f t="shared" si="35"/>
        <v>0.65353358922508309</v>
      </c>
      <c r="DD16" s="9">
        <f t="shared" si="35"/>
        <v>0.68791007632708379</v>
      </c>
      <c r="DE16" s="9">
        <f t="shared" si="35"/>
        <v>0.7625577462795895</v>
      </c>
      <c r="DF16" s="9">
        <f t="shared" si="35"/>
        <v>0.92594175396675993</v>
      </c>
      <c r="DG16" s="32"/>
      <c r="DH16" s="32"/>
      <c r="DR16" s="41">
        <v>45169</v>
      </c>
      <c r="DS16" s="9">
        <v>0.71185856199999997</v>
      </c>
      <c r="DT16" s="9">
        <f t="shared" si="36"/>
        <v>0.36837383034408477</v>
      </c>
      <c r="DU16" s="9">
        <f t="shared" si="36"/>
        <v>0.43519189025210109</v>
      </c>
      <c r="DV16" s="9">
        <f t="shared" si="36"/>
        <v>0.47070594681574995</v>
      </c>
      <c r="DW16" s="9">
        <f t="shared" si="36"/>
        <v>0.49236697966840481</v>
      </c>
      <c r="DX16" s="9">
        <f t="shared" si="36"/>
        <v>0.534401571148026</v>
      </c>
      <c r="DY16" s="9">
        <f t="shared" si="36"/>
        <v>0.58727979830779464</v>
      </c>
      <c r="DZ16" s="9">
        <f t="shared" si="36"/>
        <v>0.6470465863548579</v>
      </c>
      <c r="EA16" s="9">
        <f t="shared" si="36"/>
        <v>0.71061234134893225</v>
      </c>
      <c r="EB16" s="9">
        <f t="shared" si="36"/>
        <v>0.74906500175145607</v>
      </c>
      <c r="EC16" s="9">
        <f t="shared" si="36"/>
        <v>0.82363191563388916</v>
      </c>
      <c r="ED16" s="9">
        <f t="shared" si="36"/>
        <v>1.0556004673759367</v>
      </c>
      <c r="EE16" s="32"/>
      <c r="EF16" s="32"/>
      <c r="EQ16" s="41">
        <v>45533</v>
      </c>
      <c r="ER16" s="76">
        <v>0.59132073716430211</v>
      </c>
      <c r="ES16" s="9">
        <f t="shared" si="37"/>
        <v>0.39163846153846155</v>
      </c>
      <c r="ET16" s="9">
        <f t="shared" si="37"/>
        <v>0.43823076923076926</v>
      </c>
      <c r="EU16" s="9">
        <f t="shared" si="37"/>
        <v>0.47187692307692308</v>
      </c>
      <c r="EV16" s="9">
        <f t="shared" si="37"/>
        <v>0.49621153846153848</v>
      </c>
      <c r="EW16" s="9">
        <f t="shared" si="37"/>
        <v>0.54401538461538468</v>
      </c>
      <c r="EX16" s="9">
        <f t="shared" si="37"/>
        <v>0.6129</v>
      </c>
      <c r="EY16" s="9">
        <f t="shared" si="37"/>
        <v>0.69677307692307677</v>
      </c>
      <c r="EZ16" s="9">
        <f t="shared" si="37"/>
        <v>0.79262307692307699</v>
      </c>
      <c r="FA16" s="9">
        <f t="shared" si="37"/>
        <v>0.85295769230769225</v>
      </c>
      <c r="FB16" s="9">
        <f t="shared" si="37"/>
        <v>0.98764615384615395</v>
      </c>
      <c r="FC16" s="9">
        <f t="shared" si="37"/>
        <v>1.2999461538461539</v>
      </c>
      <c r="FD16" s="32"/>
      <c r="FE16" s="32">
        <v>591320737.16430211</v>
      </c>
      <c r="FF16" s="32">
        <f t="shared" si="38"/>
        <v>0.59132073716430211</v>
      </c>
      <c r="FG16" s="32"/>
      <c r="FH16" s="32"/>
      <c r="FI16" s="32">
        <v>455062354.85381591</v>
      </c>
      <c r="FJ16" s="32">
        <f t="shared" si="39"/>
        <v>0.45506235485381591</v>
      </c>
      <c r="FK16" s="32"/>
      <c r="FL16" s="229">
        <v>45897</v>
      </c>
      <c r="FM16" s="230">
        <v>0.45506235485381591</v>
      </c>
      <c r="FN16" s="9">
        <f t="shared" si="40"/>
        <v>0.34077117394414935</v>
      </c>
      <c r="FO16" s="9">
        <f t="shared" si="40"/>
        <v>0.38175258022860875</v>
      </c>
      <c r="FP16" s="9">
        <f t="shared" si="40"/>
        <v>0.40857457581037343</v>
      </c>
      <c r="FQ16" s="9">
        <f t="shared" si="40"/>
        <v>0.42678721581908885</v>
      </c>
      <c r="FR16" s="9">
        <f t="shared" si="40"/>
        <v>0.46443268557772421</v>
      </c>
      <c r="FS16" s="9">
        <f t="shared" si="40"/>
        <v>0.52239057318959814</v>
      </c>
      <c r="FT16" s="9">
        <f t="shared" si="40"/>
        <v>0.60036488453336434</v>
      </c>
      <c r="FU16" s="9">
        <f t="shared" si="40"/>
        <v>0.67927338684844718</v>
      </c>
      <c r="FV16" s="9">
        <f t="shared" si="40"/>
        <v>0.74078658849793566</v>
      </c>
      <c r="FW16" s="9">
        <f t="shared" si="40"/>
        <v>0.87082619483877033</v>
      </c>
      <c r="FX16" s="9">
        <f t="shared" si="40"/>
        <v>1.1752919783910496</v>
      </c>
      <c r="FY16" s="32"/>
      <c r="FZ16" s="32">
        <v>591320737.16430211</v>
      </c>
      <c r="GA16" s="32">
        <f t="shared" si="41"/>
        <v>0.59132073716430211</v>
      </c>
      <c r="GB16" s="32"/>
      <c r="GC16" s="41">
        <v>45533</v>
      </c>
      <c r="GD16" s="9">
        <v>0.59132073716430211</v>
      </c>
      <c r="GE16" s="9">
        <f t="shared" si="42"/>
        <v>0.42994116224098711</v>
      </c>
      <c r="GF16" s="9">
        <f t="shared" si="42"/>
        <v>0.4699555643841356</v>
      </c>
      <c r="GG16" s="9">
        <f t="shared" si="42"/>
        <v>0.50359588606579497</v>
      </c>
      <c r="GH16" s="9">
        <f t="shared" si="42"/>
        <v>0.5257444589322573</v>
      </c>
      <c r="GI16" s="9">
        <f t="shared" si="42"/>
        <v>0.56736086280454456</v>
      </c>
      <c r="GJ16" s="9">
        <f t="shared" si="42"/>
        <v>0.61968079344481763</v>
      </c>
      <c r="GK16" s="9">
        <f t="shared" si="42"/>
        <v>0.68198512810808765</v>
      </c>
      <c r="GL16" s="9">
        <f t="shared" si="42"/>
        <v>0.74591875294325916</v>
      </c>
      <c r="GM16" s="9">
        <f t="shared" si="42"/>
        <v>0.78577187836484463</v>
      </c>
      <c r="GN16" s="9">
        <f t="shared" si="42"/>
        <v>0.866196846842749</v>
      </c>
      <c r="GO16" s="9">
        <f t="shared" si="42"/>
        <v>1.0904036254936702</v>
      </c>
      <c r="GP16" s="32"/>
      <c r="GQ16" s="32"/>
      <c r="HA16" s="41">
        <f t="shared" si="43"/>
        <v>44805</v>
      </c>
      <c r="HB16" s="9">
        <f t="shared" si="9"/>
        <v>0.28713984685163879</v>
      </c>
      <c r="HC16" s="9"/>
      <c r="HD16" s="9"/>
      <c r="HE16" s="9"/>
      <c r="HF16" s="9"/>
      <c r="HG16" s="9"/>
      <c r="HH16" s="9"/>
      <c r="HI16" s="9"/>
      <c r="HJ16" s="9"/>
      <c r="HK16" s="9"/>
      <c r="HL16" s="9"/>
      <c r="HM16" s="9"/>
      <c r="HN16" s="9"/>
      <c r="HO16" s="9"/>
      <c r="HP16" s="9"/>
      <c r="HQ16" s="9"/>
      <c r="HR16" s="9"/>
      <c r="HS16" s="32">
        <v>4</v>
      </c>
      <c r="HT16" s="32"/>
      <c r="HU16" s="32"/>
      <c r="HV16" s="41">
        <f t="shared" si="44"/>
        <v>44805</v>
      </c>
      <c r="HW16" s="9">
        <f t="shared" si="45"/>
        <v>0.28713984685163879</v>
      </c>
      <c r="HX16" s="9">
        <f t="shared" si="59"/>
        <v>0.24515010084609001</v>
      </c>
      <c r="HY16" s="9">
        <f t="shared" si="46"/>
        <v>0.27126980809680079</v>
      </c>
      <c r="HZ16" s="9">
        <f t="shared" si="46"/>
        <v>0.29283880322251032</v>
      </c>
      <c r="IA16" s="9">
        <f t="shared" si="46"/>
        <v>0.32568771089119886</v>
      </c>
      <c r="IB16" s="9">
        <f t="shared" si="46"/>
        <v>0.35180741814190974</v>
      </c>
      <c r="IC16" s="9">
        <f t="shared" si="46"/>
        <v>0.39424819890156187</v>
      </c>
      <c r="ID16" s="9">
        <f t="shared" si="46"/>
        <v>0.49565759458061315</v>
      </c>
      <c r="IE16" s="9">
        <f t="shared" si="46"/>
        <v>0.72206373697996373</v>
      </c>
      <c r="IF16" s="9">
        <f t="shared" si="46"/>
        <v>0.74363273210567316</v>
      </c>
      <c r="IG16" s="9">
        <f t="shared" si="46"/>
        <v>0.99485883095535543</v>
      </c>
      <c r="IH16" s="9">
        <f t="shared" si="46"/>
        <v>1.7568600742361362</v>
      </c>
      <c r="II16" s="9"/>
      <c r="IJ16" s="9"/>
      <c r="IK16" s="9"/>
      <c r="IL16" s="9"/>
      <c r="IM16" s="32">
        <v>4</v>
      </c>
      <c r="IN16" s="32"/>
      <c r="IO16" s="32"/>
      <c r="IZ16" s="41">
        <f t="shared" si="11"/>
        <v>44805</v>
      </c>
      <c r="JA16" s="9">
        <f t="shared" si="11"/>
        <v>0.28713984685163879</v>
      </c>
      <c r="JB16" s="9"/>
      <c r="JC16" s="9"/>
      <c r="JD16" s="9"/>
      <c r="JE16" s="9"/>
      <c r="JF16" s="9"/>
      <c r="JG16" s="9"/>
      <c r="JH16" s="9"/>
      <c r="JI16" s="9"/>
      <c r="JJ16" s="9"/>
      <c r="JK16" s="9"/>
      <c r="JL16" s="9"/>
      <c r="JM16" s="9"/>
      <c r="JX16" s="41">
        <v>44805</v>
      </c>
      <c r="JY16" s="9">
        <v>0.29374114572660004</v>
      </c>
      <c r="JZ16" s="9"/>
      <c r="KA16" s="9"/>
      <c r="KB16" s="9"/>
      <c r="KM16" s="41">
        <v>42978</v>
      </c>
      <c r="KN16" s="241">
        <v>17345846.605999999</v>
      </c>
      <c r="KO16" s="241">
        <f t="shared" si="47"/>
        <v>125385600.6645</v>
      </c>
      <c r="KQ16" s="41">
        <v>43160</v>
      </c>
      <c r="KR16" s="241">
        <v>20082437.704999998</v>
      </c>
      <c r="KS16" s="241">
        <f t="shared" si="48"/>
        <v>222536526.39349997</v>
      </c>
      <c r="KU16" s="41">
        <v>43342</v>
      </c>
      <c r="KV16" s="241">
        <v>20833577.034600001</v>
      </c>
      <c r="KW16" s="241">
        <f t="shared" si="49"/>
        <v>550372023.32640004</v>
      </c>
      <c r="KY16" s="41">
        <v>43524</v>
      </c>
      <c r="KZ16" s="241">
        <v>54494451.89100001</v>
      </c>
      <c r="LA16" s="241">
        <f t="shared" si="50"/>
        <v>627957055.49940014</v>
      </c>
      <c r="LC16" s="41">
        <v>43706</v>
      </c>
      <c r="LD16" s="241">
        <v>67743504.529800013</v>
      </c>
      <c r="LE16" s="241">
        <f t="shared" si="51"/>
        <v>561995792.39760005</v>
      </c>
      <c r="LG16" s="41">
        <v>43888</v>
      </c>
      <c r="LH16" s="241">
        <v>33133390.916999999</v>
      </c>
      <c r="LI16" s="241">
        <f t="shared" si="52"/>
        <v>329271985.89780003</v>
      </c>
      <c r="LK16" s="41">
        <v>44070</v>
      </c>
      <c r="LL16" s="241">
        <v>33171427.872000001</v>
      </c>
      <c r="LM16" s="241">
        <f t="shared" si="53"/>
        <v>438411060.52919996</v>
      </c>
      <c r="LO16" s="41">
        <v>44259</v>
      </c>
      <c r="LP16" s="241">
        <v>45299290.759800002</v>
      </c>
      <c r="LQ16" s="241">
        <f t="shared" si="54"/>
        <v>398829965.3118</v>
      </c>
      <c r="LS16" s="41">
        <v>44434</v>
      </c>
      <c r="LT16" s="241">
        <v>35501051.229600005</v>
      </c>
      <c r="LU16" s="241">
        <f t="shared" si="55"/>
        <v>591040628.574</v>
      </c>
      <c r="LW16" s="41">
        <v>44623</v>
      </c>
      <c r="LX16" s="241">
        <v>24300168.954600003</v>
      </c>
      <c r="LY16" s="241">
        <f t="shared" si="56"/>
        <v>817826723.77560008</v>
      </c>
      <c r="MA16" s="32">
        <v>9</v>
      </c>
      <c r="MB16" s="42">
        <f t="shared" si="12"/>
        <v>0.1253856006645</v>
      </c>
      <c r="MC16" s="42">
        <f t="shared" si="13"/>
        <v>0.22253652639349997</v>
      </c>
      <c r="MD16" s="42">
        <f t="shared" si="14"/>
        <v>0.55037202332640001</v>
      </c>
      <c r="ME16" s="42">
        <f t="shared" si="15"/>
        <v>0.62795705549940017</v>
      </c>
      <c r="MF16" s="42">
        <f t="shared" si="16"/>
        <v>0.5619957923976</v>
      </c>
      <c r="MG16" s="42">
        <f t="shared" si="17"/>
        <v>0.32927198589780005</v>
      </c>
      <c r="MH16" s="42">
        <f t="shared" si="18"/>
        <v>0.43841106052919998</v>
      </c>
      <c r="MI16" s="42">
        <f t="shared" si="19"/>
        <v>0.39882996531179998</v>
      </c>
      <c r="MJ16" s="42">
        <f t="shared" si="20"/>
        <v>0.59104062857399997</v>
      </c>
      <c r="MK16" s="42">
        <f t="shared" si="21"/>
        <v>0.81782672377560006</v>
      </c>
      <c r="ML16" s="9"/>
      <c r="MM16" s="9"/>
      <c r="MN16" s="9"/>
      <c r="MV16" s="59" t="s">
        <v>74</v>
      </c>
      <c r="MW16" s="60" t="s">
        <v>75</v>
      </c>
      <c r="MX16" s="61">
        <v>3</v>
      </c>
      <c r="MY16" s="61">
        <v>40</v>
      </c>
      <c r="MZ16" s="61">
        <v>12</v>
      </c>
      <c r="NA16" s="61">
        <v>50</v>
      </c>
      <c r="NB16" s="61">
        <v>60</v>
      </c>
      <c r="NC16" s="61">
        <v>3</v>
      </c>
      <c r="ND16" s="61">
        <v>60</v>
      </c>
      <c r="NE16" s="61">
        <v>3</v>
      </c>
      <c r="NF16" s="61">
        <v>60</v>
      </c>
      <c r="NG16" s="61">
        <v>60</v>
      </c>
      <c r="NH16" s="61">
        <v>60</v>
      </c>
      <c r="NS16" s="41">
        <v>44623</v>
      </c>
      <c r="NT16" s="9">
        <f t="shared" si="22"/>
        <v>0.81782672377560006</v>
      </c>
      <c r="NU16" s="9">
        <f t="shared" si="57"/>
        <v>0.29595220389157506</v>
      </c>
      <c r="NV16" s="9">
        <f t="shared" si="57"/>
        <v>0.35009209249523537</v>
      </c>
      <c r="NW16" s="9">
        <f t="shared" si="57"/>
        <v>0.38172387187533285</v>
      </c>
      <c r="NX16" s="9">
        <f t="shared" si="57"/>
        <v>0.40391355814881924</v>
      </c>
      <c r="NY16" s="9">
        <f t="shared" si="57"/>
        <v>0.45049151119956915</v>
      </c>
      <c r="NZ16" s="9">
        <f t="shared" si="57"/>
        <v>0.5296456295611357</v>
      </c>
      <c r="OA16" s="9">
        <f t="shared" si="57"/>
        <v>0.61001792529537135</v>
      </c>
      <c r="OB16" s="9">
        <f t="shared" si="57"/>
        <v>0.70473458390787691</v>
      </c>
      <c r="OC16" s="9">
        <f t="shared" si="57"/>
        <v>0.77241839582140948</v>
      </c>
      <c r="OD16" s="9">
        <f t="shared" si="57"/>
        <v>0.90578394809195195</v>
      </c>
      <c r="OE16" s="9">
        <f t="shared" si="57"/>
        <v>1.172247173912544</v>
      </c>
      <c r="OF16" s="9">
        <f t="shared" ca="1" si="57"/>
        <v>0.6036832130807076</v>
      </c>
      <c r="OG16" s="32"/>
      <c r="OR16" s="41">
        <f t="shared" si="58"/>
        <v>44623</v>
      </c>
      <c r="OS16" s="9">
        <f t="shared" si="58"/>
        <v>0.81782672377560006</v>
      </c>
      <c r="OT16" s="9"/>
      <c r="OU16" s="9"/>
      <c r="OV16" s="9"/>
      <c r="OW16" s="9"/>
      <c r="OX16" s="9"/>
      <c r="OY16" s="9"/>
      <c r="OZ16" s="9"/>
      <c r="PA16" s="9"/>
      <c r="PB16" s="9"/>
      <c r="PC16" s="9"/>
      <c r="PD16" s="9"/>
      <c r="PE16" s="9"/>
    </row>
    <row r="17" spans="2:423" x14ac:dyDescent="0.25">
      <c r="B17" s="48">
        <v>42803</v>
      </c>
      <c r="C17" s="49">
        <v>13235032.6185</v>
      </c>
      <c r="D17" s="49">
        <v>14245770</v>
      </c>
      <c r="E17" s="50">
        <v>3000000</v>
      </c>
      <c r="F17" s="50"/>
      <c r="G17" s="50"/>
      <c r="H17" s="50"/>
      <c r="I17" s="38">
        <v>42985</v>
      </c>
      <c r="J17" s="240">
        <v>16000000</v>
      </c>
      <c r="K17" s="240">
        <v>23832910.359499998</v>
      </c>
      <c r="L17" s="241">
        <f t="shared" si="24"/>
        <v>149218511.02399999</v>
      </c>
      <c r="N17" s="38">
        <v>43349</v>
      </c>
      <c r="O17" s="240">
        <v>12000000</v>
      </c>
      <c r="P17" s="240">
        <v>26251321.179600004</v>
      </c>
      <c r="Q17" s="241">
        <f t="shared" si="25"/>
        <v>576623344.50600004</v>
      </c>
      <c r="S17" s="38">
        <v>43713</v>
      </c>
      <c r="T17" s="240">
        <v>80000000</v>
      </c>
      <c r="U17" s="240">
        <v>102861119.73060001</v>
      </c>
      <c r="V17" s="241">
        <f t="shared" si="26"/>
        <v>664856912.12820005</v>
      </c>
      <c r="X17" s="38">
        <v>44077</v>
      </c>
      <c r="Y17" s="240">
        <v>20000000</v>
      </c>
      <c r="Z17" s="240">
        <v>50490814.611600004</v>
      </c>
      <c r="AA17" s="241">
        <f t="shared" si="27"/>
        <v>488901875.14079994</v>
      </c>
      <c r="AC17" s="38">
        <v>44441</v>
      </c>
      <c r="AD17" s="240">
        <v>20000000</v>
      </c>
      <c r="AE17" s="240">
        <v>53277201.740400001</v>
      </c>
      <c r="AF17" s="241">
        <f t="shared" si="28"/>
        <v>644317830.31439996</v>
      </c>
      <c r="AG17" s="241"/>
      <c r="AH17" s="38">
        <v>44812</v>
      </c>
      <c r="AI17" s="240">
        <v>40000000</v>
      </c>
      <c r="AJ17" s="240">
        <v>74521581.000668898</v>
      </c>
      <c r="AK17" s="241">
        <f t="shared" si="29"/>
        <v>361661427.85230768</v>
      </c>
      <c r="AM17" s="32">
        <v>10</v>
      </c>
      <c r="AN17" s="39">
        <f t="shared" si="0"/>
        <v>0.14921851102399999</v>
      </c>
      <c r="AO17" s="39">
        <f t="shared" si="1"/>
        <v>0.57662334450600006</v>
      </c>
      <c r="AP17" s="39">
        <f t="shared" si="2"/>
        <v>0.66485691212820008</v>
      </c>
      <c r="AQ17" s="39">
        <f t="shared" si="3"/>
        <v>0.48890187514079991</v>
      </c>
      <c r="AR17" s="39">
        <f t="shared" si="30"/>
        <v>0.64431783031439993</v>
      </c>
      <c r="AS17" s="39">
        <f t="shared" si="31"/>
        <v>0.3616614278523077</v>
      </c>
      <c r="AT17" s="39"/>
      <c r="AU17" s="39">
        <f t="shared" si="32"/>
        <v>0.47644629018690154</v>
      </c>
      <c r="AV17" s="9"/>
      <c r="AW17" s="9"/>
      <c r="AX17" s="9"/>
      <c r="BF17" s="59" t="s">
        <v>74</v>
      </c>
      <c r="BG17" s="60" t="s">
        <v>75</v>
      </c>
      <c r="BH17" s="61">
        <v>3</v>
      </c>
      <c r="BI17" s="61">
        <v>12</v>
      </c>
      <c r="BJ17" s="61">
        <v>60</v>
      </c>
      <c r="BK17" s="61">
        <v>50</v>
      </c>
      <c r="BL17" s="61">
        <v>60</v>
      </c>
      <c r="BM17" s="61"/>
      <c r="BN17" s="61">
        <v>60</v>
      </c>
      <c r="BZ17" s="52" t="s">
        <v>287</v>
      </c>
      <c r="CA17" s="54" t="s">
        <v>29</v>
      </c>
      <c r="CB17" s="55">
        <f>CD17</f>
        <v>3</v>
      </c>
      <c r="CC17" s="55">
        <f>CD17</f>
        <v>3</v>
      </c>
      <c r="CD17" s="55">
        <f>COUNTIF(J$8:J$60,"&gt;=50000000")</f>
        <v>3</v>
      </c>
      <c r="CE17" s="55">
        <f>COUNTIF(O$8:O$60,"&gt;=50000000")</f>
        <v>7</v>
      </c>
      <c r="CF17" s="55">
        <f>COUNTIF(T$8:T$560,"&gt;=50000000")</f>
        <v>10</v>
      </c>
      <c r="CG17" s="55">
        <f>COUNTIF(Y$8:Y$60,"&gt;=50000000")</f>
        <v>7</v>
      </c>
      <c r="CH17" s="55">
        <f>COUNTIF(AD$8:AD$60,"&gt;=50000000")</f>
        <v>13</v>
      </c>
      <c r="CI17" s="56"/>
      <c r="CT17" s="41">
        <f t="shared" si="33"/>
        <v>44812</v>
      </c>
      <c r="CU17" s="9">
        <f t="shared" si="34"/>
        <v>0.3616614278523077</v>
      </c>
      <c r="CV17" s="9">
        <f t="shared" si="35"/>
        <v>0.37943638869952151</v>
      </c>
      <c r="CW17" s="9">
        <f t="shared" si="35"/>
        <v>0.45436313528305133</v>
      </c>
      <c r="CX17" s="9">
        <f t="shared" si="35"/>
        <v>0.48416818848466986</v>
      </c>
      <c r="CY17" s="9">
        <f t="shared" si="35"/>
        <v>0.50502007292025319</v>
      </c>
      <c r="CZ17" s="9">
        <f t="shared" si="35"/>
        <v>0.54708634004595424</v>
      </c>
      <c r="DA17" s="9">
        <f t="shared" si="35"/>
        <v>0.60209708872007506</v>
      </c>
      <c r="DB17" s="9">
        <f t="shared" si="35"/>
        <v>0.66232533541717842</v>
      </c>
      <c r="DC17" s="9">
        <f t="shared" si="35"/>
        <v>0.72614843247231453</v>
      </c>
      <c r="DD17" s="9">
        <f t="shared" si="35"/>
        <v>0.76434452925231533</v>
      </c>
      <c r="DE17" s="9">
        <f t="shared" si="35"/>
        <v>0.84728638475509943</v>
      </c>
      <c r="DF17" s="9">
        <f t="shared" si="35"/>
        <v>1.0288241710741777</v>
      </c>
      <c r="DG17" s="32"/>
      <c r="DH17" s="32"/>
      <c r="DR17" s="41">
        <v>45176</v>
      </c>
      <c r="DS17" s="9">
        <v>0.73910995300000004</v>
      </c>
      <c r="DT17" s="9">
        <f t="shared" si="36"/>
        <v>0.40930425593787195</v>
      </c>
      <c r="DU17" s="9">
        <f t="shared" si="36"/>
        <v>0.48354654472455677</v>
      </c>
      <c r="DV17" s="9">
        <f t="shared" si="36"/>
        <v>0.5230066075730555</v>
      </c>
      <c r="DW17" s="9">
        <f t="shared" si="36"/>
        <v>0.54707442185378308</v>
      </c>
      <c r="DX17" s="9">
        <f t="shared" si="36"/>
        <v>0.59377952349780672</v>
      </c>
      <c r="DY17" s="9">
        <f t="shared" si="36"/>
        <v>0.65253310923088292</v>
      </c>
      <c r="DZ17" s="9">
        <f t="shared" si="36"/>
        <v>0.71894065150539765</v>
      </c>
      <c r="EA17" s="9">
        <f t="shared" si="36"/>
        <v>0.78956926816548023</v>
      </c>
      <c r="EB17" s="9">
        <f t="shared" si="36"/>
        <v>0.83229444639050676</v>
      </c>
      <c r="EC17" s="9">
        <f t="shared" si="36"/>
        <v>0.91514657292654356</v>
      </c>
      <c r="ED17" s="9">
        <f t="shared" si="36"/>
        <v>1.1728894081954853</v>
      </c>
      <c r="EE17" s="32"/>
      <c r="EF17" s="32"/>
      <c r="EQ17" s="41">
        <v>45540</v>
      </c>
      <c r="ER17" s="76">
        <v>0.61927954708349142</v>
      </c>
      <c r="ES17" s="9">
        <f t="shared" si="37"/>
        <v>0.43515384615384617</v>
      </c>
      <c r="ET17" s="9">
        <f t="shared" si="37"/>
        <v>0.48692307692307696</v>
      </c>
      <c r="EU17" s="9">
        <f t="shared" si="37"/>
        <v>0.52430769230769236</v>
      </c>
      <c r="EV17" s="9">
        <f t="shared" si="37"/>
        <v>0.55134615384615382</v>
      </c>
      <c r="EW17" s="9">
        <f t="shared" si="37"/>
        <v>0.60446153846153849</v>
      </c>
      <c r="EX17" s="9">
        <f t="shared" si="37"/>
        <v>0.68100000000000005</v>
      </c>
      <c r="EY17" s="9">
        <f t="shared" si="37"/>
        <v>0.77419230769230751</v>
      </c>
      <c r="EZ17" s="9">
        <f t="shared" si="37"/>
        <v>0.88069230769230777</v>
      </c>
      <c r="FA17" s="9">
        <f t="shared" si="37"/>
        <v>0.94773076923076915</v>
      </c>
      <c r="FB17" s="9">
        <f t="shared" si="37"/>
        <v>1.0973846153846154</v>
      </c>
      <c r="FC17" s="9">
        <f t="shared" si="37"/>
        <v>1.4443846153846154</v>
      </c>
      <c r="FD17" s="32"/>
      <c r="FE17" s="32">
        <v>619279547.08349144</v>
      </c>
      <c r="FF17" s="32">
        <f t="shared" si="38"/>
        <v>0.61927954708349142</v>
      </c>
      <c r="FG17" s="32"/>
      <c r="FH17" s="32"/>
      <c r="FI17" s="32">
        <v>592420593.6783551</v>
      </c>
      <c r="FJ17" s="32">
        <f t="shared" si="39"/>
        <v>0.59242059367835509</v>
      </c>
      <c r="FK17" s="32"/>
      <c r="FL17" s="229">
        <v>45904</v>
      </c>
      <c r="FM17" s="230">
        <v>0.59242059367835509</v>
      </c>
      <c r="FN17" s="9">
        <f t="shared" si="40"/>
        <v>0.37863463771572148</v>
      </c>
      <c r="FO17" s="9">
        <f t="shared" si="40"/>
        <v>0.42416953358734305</v>
      </c>
      <c r="FP17" s="9">
        <f t="shared" si="40"/>
        <v>0.45397175090041492</v>
      </c>
      <c r="FQ17" s="9">
        <f t="shared" si="40"/>
        <v>0.47420801757676539</v>
      </c>
      <c r="FR17" s="9">
        <f t="shared" si="40"/>
        <v>0.51603631730858246</v>
      </c>
      <c r="FS17" s="9">
        <f t="shared" si="40"/>
        <v>0.58043397021066456</v>
      </c>
      <c r="FT17" s="9">
        <f t="shared" si="40"/>
        <v>0.66707209392596034</v>
      </c>
      <c r="FU17" s="9">
        <f t="shared" si="40"/>
        <v>0.75474820760938577</v>
      </c>
      <c r="FV17" s="9">
        <f t="shared" si="40"/>
        <v>0.82309620944215078</v>
      </c>
      <c r="FW17" s="9">
        <f t="shared" si="40"/>
        <v>0.96758466093196704</v>
      </c>
      <c r="FX17" s="9">
        <f t="shared" si="40"/>
        <v>1.305879975990055</v>
      </c>
      <c r="FY17" s="32"/>
      <c r="FZ17" s="32">
        <v>619279547.08349144</v>
      </c>
      <c r="GA17" s="32">
        <f t="shared" si="41"/>
        <v>0.61927954708349142</v>
      </c>
      <c r="GB17" s="32"/>
      <c r="GC17" s="41">
        <v>45540</v>
      </c>
      <c r="GD17" s="9">
        <v>0.61927954708349142</v>
      </c>
      <c r="GE17" s="9">
        <f t="shared" si="42"/>
        <v>0.4777124024899857</v>
      </c>
      <c r="GF17" s="9">
        <f t="shared" si="42"/>
        <v>0.52217284931570618</v>
      </c>
      <c r="GG17" s="9">
        <f t="shared" si="42"/>
        <v>0.55955098451754992</v>
      </c>
      <c r="GH17" s="9">
        <f t="shared" si="42"/>
        <v>0.58416050992473034</v>
      </c>
      <c r="GI17" s="9">
        <f t="shared" si="42"/>
        <v>0.63040095867171619</v>
      </c>
      <c r="GJ17" s="9">
        <f t="shared" si="42"/>
        <v>0.68853421493868627</v>
      </c>
      <c r="GK17" s="9">
        <f t="shared" si="42"/>
        <v>0.75776125345343071</v>
      </c>
      <c r="GL17" s="9">
        <f t="shared" si="42"/>
        <v>0.82879861438139901</v>
      </c>
      <c r="GM17" s="9">
        <f t="shared" si="42"/>
        <v>0.87307986484982736</v>
      </c>
      <c r="GN17" s="9">
        <f t="shared" si="42"/>
        <v>0.96244094093638777</v>
      </c>
      <c r="GO17" s="9">
        <f t="shared" si="42"/>
        <v>1.2115595838818558</v>
      </c>
      <c r="GP17" s="32"/>
      <c r="GQ17" s="32"/>
      <c r="HA17" s="41">
        <f t="shared" si="43"/>
        <v>44812</v>
      </c>
      <c r="HB17" s="9">
        <f t="shared" si="9"/>
        <v>0.3616614278523077</v>
      </c>
      <c r="HC17" s="9">
        <f>HB17</f>
        <v>0.3616614278523077</v>
      </c>
      <c r="HD17" s="9">
        <f>HB17</f>
        <v>0.3616614278523077</v>
      </c>
      <c r="HE17" s="9">
        <f t="shared" ref="HE17:HN17" si="60">HD17</f>
        <v>0.3616614278523077</v>
      </c>
      <c r="HF17" s="9">
        <f t="shared" si="60"/>
        <v>0.3616614278523077</v>
      </c>
      <c r="HG17" s="9">
        <f t="shared" si="60"/>
        <v>0.3616614278523077</v>
      </c>
      <c r="HH17" s="9">
        <f t="shared" si="60"/>
        <v>0.3616614278523077</v>
      </c>
      <c r="HI17" s="9">
        <f t="shared" si="60"/>
        <v>0.3616614278523077</v>
      </c>
      <c r="HJ17" s="9">
        <f t="shared" si="60"/>
        <v>0.3616614278523077</v>
      </c>
      <c r="HK17" s="9">
        <f t="shared" si="60"/>
        <v>0.3616614278523077</v>
      </c>
      <c r="HL17" s="9">
        <f t="shared" si="60"/>
        <v>0.3616614278523077</v>
      </c>
      <c r="HM17" s="9">
        <f t="shared" si="60"/>
        <v>0.3616614278523077</v>
      </c>
      <c r="HN17" s="9">
        <f t="shared" si="60"/>
        <v>0.3616614278523077</v>
      </c>
      <c r="HO17" s="9"/>
      <c r="HP17" s="9"/>
      <c r="HQ17" s="9"/>
      <c r="HR17" s="9"/>
      <c r="HS17" s="32">
        <v>4</v>
      </c>
      <c r="HT17" s="32"/>
      <c r="HU17" s="32"/>
      <c r="HV17" s="41">
        <f t="shared" si="44"/>
        <v>44812</v>
      </c>
      <c r="HW17" s="9">
        <f t="shared" si="45"/>
        <v>0.3616614278523077</v>
      </c>
      <c r="HX17" s="9">
        <f t="shared" si="59"/>
        <v>0.27238900094009999</v>
      </c>
      <c r="HY17" s="9">
        <f t="shared" si="46"/>
        <v>0.30141089788533421</v>
      </c>
      <c r="HZ17" s="9">
        <f t="shared" si="46"/>
        <v>0.32537644802501148</v>
      </c>
      <c r="IA17" s="9">
        <f t="shared" si="46"/>
        <v>0.36187523432355428</v>
      </c>
      <c r="IB17" s="9">
        <f t="shared" si="46"/>
        <v>0.39089713126878861</v>
      </c>
      <c r="IC17" s="9">
        <f t="shared" si="46"/>
        <v>0.43805355433506876</v>
      </c>
      <c r="ID17" s="9">
        <f t="shared" si="46"/>
        <v>0.55073066064512577</v>
      </c>
      <c r="IE17" s="9">
        <f t="shared" si="46"/>
        <v>0.80229304108884858</v>
      </c>
      <c r="IF17" s="9">
        <f t="shared" si="46"/>
        <v>0.82625859122852574</v>
      </c>
      <c r="IG17" s="9">
        <f t="shared" si="46"/>
        <v>1.1053987010615061</v>
      </c>
      <c r="IH17" s="9">
        <f t="shared" si="46"/>
        <v>1.9520667491512624</v>
      </c>
      <c r="II17" s="9"/>
      <c r="IJ17" s="9"/>
      <c r="IK17" s="9"/>
      <c r="IL17" s="9"/>
      <c r="IM17" s="32">
        <v>4</v>
      </c>
      <c r="IN17" s="32"/>
      <c r="IO17" s="32"/>
      <c r="IZ17" s="41">
        <f t="shared" si="11"/>
        <v>44812</v>
      </c>
      <c r="JA17" s="9">
        <f t="shared" si="11"/>
        <v>0.3616614278523077</v>
      </c>
      <c r="JB17" s="9"/>
      <c r="JC17" s="9"/>
      <c r="JD17" s="9"/>
      <c r="JE17" s="9"/>
      <c r="JF17" s="9"/>
      <c r="JG17" s="9"/>
      <c r="JH17" s="9"/>
      <c r="JI17" s="9"/>
      <c r="JJ17" s="9"/>
      <c r="JK17" s="9"/>
      <c r="JL17" s="9"/>
      <c r="JM17" s="9"/>
      <c r="JX17" s="41">
        <v>44812</v>
      </c>
      <c r="JY17" s="9">
        <v>0.36871903087800001</v>
      </c>
      <c r="JZ17" s="9"/>
      <c r="KA17" s="9"/>
      <c r="KB17" s="9"/>
      <c r="KM17" s="41">
        <v>42985</v>
      </c>
      <c r="KN17" s="241">
        <v>23832910.359499998</v>
      </c>
      <c r="KO17" s="241">
        <f t="shared" si="47"/>
        <v>149218511.02399999</v>
      </c>
      <c r="KQ17" s="41">
        <v>43167</v>
      </c>
      <c r="KR17" s="241">
        <v>25385464.395499997</v>
      </c>
      <c r="KS17" s="241">
        <f t="shared" si="48"/>
        <v>247921990.78899997</v>
      </c>
      <c r="KU17" s="41">
        <v>43349</v>
      </c>
      <c r="KV17" s="241">
        <v>26251321.179600004</v>
      </c>
      <c r="KW17" s="241">
        <f t="shared" si="49"/>
        <v>576623344.50600004</v>
      </c>
      <c r="KY17" s="41">
        <v>43531</v>
      </c>
      <c r="KZ17" s="241">
        <v>15442733.149800003</v>
      </c>
      <c r="LA17" s="241">
        <f t="shared" si="50"/>
        <v>643399788.6492002</v>
      </c>
      <c r="LC17" s="41">
        <v>43713</v>
      </c>
      <c r="LD17" s="241">
        <v>102861119.73060001</v>
      </c>
      <c r="LE17" s="241">
        <f t="shared" si="51"/>
        <v>664856912.12820005</v>
      </c>
      <c r="LG17" s="41">
        <v>43895</v>
      </c>
      <c r="LH17" s="241">
        <v>44847651.967799999</v>
      </c>
      <c r="LI17" s="241">
        <f t="shared" si="52"/>
        <v>374119637.86560005</v>
      </c>
      <c r="LK17" s="41">
        <v>44077</v>
      </c>
      <c r="LL17" s="241">
        <v>50490814.611600004</v>
      </c>
      <c r="LM17" s="241">
        <f t="shared" si="53"/>
        <v>488901875.14079994</v>
      </c>
      <c r="LO17" s="41">
        <v>44266</v>
      </c>
      <c r="LP17" s="241">
        <v>55487589.253800005</v>
      </c>
      <c r="LQ17" s="241">
        <f t="shared" si="54"/>
        <v>454317554.56560004</v>
      </c>
      <c r="LS17" s="41">
        <v>44441</v>
      </c>
      <c r="LT17" s="241">
        <v>53277201.740400001</v>
      </c>
      <c r="LU17" s="241">
        <f t="shared" si="55"/>
        <v>644317830.31439996</v>
      </c>
      <c r="LW17" s="41">
        <v>44630</v>
      </c>
      <c r="LX17" s="241">
        <v>31022299.875600003</v>
      </c>
      <c r="LY17" s="241">
        <f t="shared" si="56"/>
        <v>848849023.65120006</v>
      </c>
      <c r="MA17" s="32">
        <v>10</v>
      </c>
      <c r="MB17" s="42">
        <f t="shared" si="12"/>
        <v>0.14921851102399999</v>
      </c>
      <c r="MC17" s="42">
        <f t="shared" si="13"/>
        <v>0.24792199078899999</v>
      </c>
      <c r="MD17" s="42">
        <f t="shared" si="14"/>
        <v>0.57662334450600006</v>
      </c>
      <c r="ME17" s="42">
        <f t="shared" si="15"/>
        <v>0.64339978864920022</v>
      </c>
      <c r="MF17" s="42">
        <f t="shared" si="16"/>
        <v>0.66485691212820008</v>
      </c>
      <c r="MG17" s="42">
        <f t="shared" si="17"/>
        <v>0.37411963786560004</v>
      </c>
      <c r="MH17" s="42">
        <f t="shared" si="18"/>
        <v>0.48890187514079991</v>
      </c>
      <c r="MI17" s="42">
        <f t="shared" si="19"/>
        <v>0.45431755456560002</v>
      </c>
      <c r="MJ17" s="42">
        <f t="shared" si="20"/>
        <v>0.64431783031439993</v>
      </c>
      <c r="MK17" s="42">
        <f t="shared" si="21"/>
        <v>0.84884902365120007</v>
      </c>
      <c r="ML17" s="8"/>
      <c r="MM17" s="8"/>
      <c r="MN17" s="8"/>
      <c r="MV17" s="59"/>
      <c r="MW17" s="60" t="s">
        <v>76</v>
      </c>
      <c r="MX17" s="61">
        <v>6</v>
      </c>
      <c r="MY17" s="61">
        <v>12</v>
      </c>
      <c r="MZ17" s="61" t="s">
        <v>288</v>
      </c>
      <c r="NA17" s="61"/>
      <c r="NB17" s="61"/>
      <c r="NC17" s="61"/>
      <c r="ND17" s="61"/>
      <c r="NE17" s="61"/>
      <c r="NF17" s="61"/>
      <c r="NG17" s="61"/>
      <c r="NH17" s="61"/>
      <c r="NS17" s="41">
        <v>44630</v>
      </c>
      <c r="NT17" s="9">
        <f t="shared" si="22"/>
        <v>0.84884902365120007</v>
      </c>
      <c r="NU17" s="9">
        <f t="shared" si="57"/>
        <v>0.32883578210175007</v>
      </c>
      <c r="NV17" s="9">
        <f t="shared" si="57"/>
        <v>0.38899121388359487</v>
      </c>
      <c r="NW17" s="9">
        <f t="shared" si="57"/>
        <v>0.42413763541703653</v>
      </c>
      <c r="NX17" s="9">
        <f t="shared" si="57"/>
        <v>0.44879284238757694</v>
      </c>
      <c r="NY17" s="9">
        <f t="shared" si="57"/>
        <v>0.50054612355507688</v>
      </c>
      <c r="NZ17" s="9">
        <f t="shared" si="57"/>
        <v>0.58849514395681746</v>
      </c>
      <c r="OA17" s="9">
        <f t="shared" si="57"/>
        <v>0.67779769477263485</v>
      </c>
      <c r="OB17" s="9">
        <f t="shared" si="57"/>
        <v>0.78303842656430767</v>
      </c>
      <c r="OC17" s="9">
        <f t="shared" si="57"/>
        <v>0.85824266202378829</v>
      </c>
      <c r="OD17" s="9">
        <f t="shared" si="57"/>
        <v>1.0064266089910576</v>
      </c>
      <c r="OE17" s="9">
        <f t="shared" si="57"/>
        <v>1.3024968599028266</v>
      </c>
      <c r="OF17" s="9">
        <f t="shared" ca="1" si="57"/>
        <v>0.67075912564523066</v>
      </c>
      <c r="OG17" s="32"/>
      <c r="OR17" s="41">
        <f t="shared" si="58"/>
        <v>44630</v>
      </c>
      <c r="OS17" s="9">
        <f t="shared" si="58"/>
        <v>0.84884902365120007</v>
      </c>
      <c r="OT17" s="9"/>
      <c r="OU17" s="9"/>
      <c r="OV17" s="9"/>
      <c r="OW17" s="9"/>
      <c r="OX17" s="9"/>
      <c r="OY17" s="9"/>
      <c r="OZ17" s="9"/>
      <c r="PA17" s="9"/>
      <c r="PB17" s="9"/>
      <c r="PC17" s="9"/>
      <c r="PD17" s="9"/>
      <c r="PE17" s="9"/>
    </row>
    <row r="18" spans="2:423" x14ac:dyDescent="0.25">
      <c r="B18" s="48">
        <v>42810</v>
      </c>
      <c r="C18" s="49">
        <v>14735466.949499998</v>
      </c>
      <c r="D18" s="49">
        <v>15860790</v>
      </c>
      <c r="E18" s="50">
        <v>6000000</v>
      </c>
      <c r="F18" s="50"/>
      <c r="G18" s="50"/>
      <c r="H18" s="50"/>
      <c r="I18" s="38">
        <v>42992</v>
      </c>
      <c r="J18" s="240">
        <v>30000000</v>
      </c>
      <c r="K18" s="240">
        <v>39779700.570499994</v>
      </c>
      <c r="L18" s="241">
        <f t="shared" si="24"/>
        <v>188998211.59449998</v>
      </c>
      <c r="N18" s="38">
        <v>43356</v>
      </c>
      <c r="O18" s="240">
        <v>20000000</v>
      </c>
      <c r="P18" s="240">
        <v>34306163.694000006</v>
      </c>
      <c r="Q18" s="241">
        <f t="shared" si="25"/>
        <v>610929508.20000005</v>
      </c>
      <c r="S18" s="38">
        <v>43720</v>
      </c>
      <c r="T18" s="240">
        <v>100000000</v>
      </c>
      <c r="U18" s="240">
        <v>148115848.02960002</v>
      </c>
      <c r="V18" s="241">
        <f t="shared" si="26"/>
        <v>812972760.15780008</v>
      </c>
      <c r="X18" s="38">
        <v>44084</v>
      </c>
      <c r="Y18" s="240">
        <v>40000000</v>
      </c>
      <c r="Z18" s="240">
        <v>73730673.4164</v>
      </c>
      <c r="AA18" s="241">
        <f t="shared" si="27"/>
        <v>562632548.55719995</v>
      </c>
      <c r="AC18" s="38">
        <v>44448</v>
      </c>
      <c r="AD18" s="240">
        <v>3000000</v>
      </c>
      <c r="AE18" s="240">
        <v>23267325.490200002</v>
      </c>
      <c r="AF18" s="241">
        <f t="shared" si="28"/>
        <v>667585155.8046</v>
      </c>
      <c r="AG18" s="241"/>
      <c r="AH18" s="38">
        <v>44819</v>
      </c>
      <c r="AI18" s="240">
        <v>8000000</v>
      </c>
      <c r="AJ18" s="240">
        <v>30343199.468896318</v>
      </c>
      <c r="AK18" s="241">
        <f t="shared" si="29"/>
        <v>392004627.32120401</v>
      </c>
      <c r="AM18" s="32">
        <v>11</v>
      </c>
      <c r="AN18" s="39">
        <f t="shared" si="0"/>
        <v>0.18899821159449998</v>
      </c>
      <c r="AO18" s="39">
        <f t="shared" si="1"/>
        <v>0.61092950820000003</v>
      </c>
      <c r="AP18" s="39">
        <f t="shared" si="2"/>
        <v>0.81297276015780007</v>
      </c>
      <c r="AQ18" s="39">
        <f t="shared" si="3"/>
        <v>0.56263254855719991</v>
      </c>
      <c r="AR18" s="39">
        <f t="shared" si="30"/>
        <v>0.66758515580459998</v>
      </c>
      <c r="AS18" s="39">
        <f t="shared" si="31"/>
        <v>0.392004627321204</v>
      </c>
      <c r="AT18" s="39"/>
      <c r="AU18" s="39">
        <f t="shared" si="32"/>
        <v>0.529384766874335</v>
      </c>
      <c r="AV18" s="9"/>
      <c r="AW18" s="9"/>
      <c r="AX18" s="9"/>
      <c r="BF18" s="59"/>
      <c r="BG18" s="60" t="s">
        <v>76</v>
      </c>
      <c r="BH18" s="61">
        <v>6</v>
      </c>
      <c r="BI18" s="61">
        <v>3</v>
      </c>
      <c r="BJ18" s="61">
        <v>8</v>
      </c>
      <c r="BK18" s="61">
        <v>20</v>
      </c>
      <c r="BL18" s="61">
        <v>80</v>
      </c>
      <c r="BM18" s="61"/>
      <c r="BN18" s="61">
        <v>80</v>
      </c>
      <c r="BZ18" s="52"/>
      <c r="CA18" s="54" t="s">
        <v>69</v>
      </c>
      <c r="CB18" s="56"/>
      <c r="CC18" s="56"/>
      <c r="CD18" s="56"/>
      <c r="CE18" s="56"/>
      <c r="CF18" s="56"/>
      <c r="CG18" s="56"/>
      <c r="CH18" s="246">
        <f>CH17/CH$11*52</f>
        <v>12.754716981132075</v>
      </c>
      <c r="CI18" s="56"/>
      <c r="CT18" s="41">
        <f t="shared" si="33"/>
        <v>44819</v>
      </c>
      <c r="CU18" s="9">
        <f t="shared" si="34"/>
        <v>0.392004627321204</v>
      </c>
      <c r="CV18" s="9">
        <f t="shared" si="35"/>
        <v>0.41738002756947368</v>
      </c>
      <c r="CW18" s="9">
        <f t="shared" si="35"/>
        <v>0.49979944881135646</v>
      </c>
      <c r="CX18" s="9">
        <f t="shared" si="35"/>
        <v>0.53258500733313685</v>
      </c>
      <c r="CY18" s="9">
        <f t="shared" si="35"/>
        <v>0.55552208021227856</v>
      </c>
      <c r="CZ18" s="9">
        <f t="shared" si="35"/>
        <v>0.60179497405054971</v>
      </c>
      <c r="DA18" s="9">
        <f t="shared" si="35"/>
        <v>0.66230679759208255</v>
      </c>
      <c r="DB18" s="9">
        <f t="shared" si="35"/>
        <v>0.72855786895889629</v>
      </c>
      <c r="DC18" s="9">
        <f t="shared" si="35"/>
        <v>0.79876327571954597</v>
      </c>
      <c r="DD18" s="9">
        <f t="shared" si="35"/>
        <v>0.84077898217754687</v>
      </c>
      <c r="DE18" s="9">
        <f t="shared" si="35"/>
        <v>0.93201502323060936</v>
      </c>
      <c r="DF18" s="9">
        <f t="shared" si="35"/>
        <v>1.1317065881815955</v>
      </c>
      <c r="DG18" s="32"/>
      <c r="DH18" s="32"/>
      <c r="DR18" s="41">
        <v>45183</v>
      </c>
      <c r="DS18" s="9">
        <v>0.78255309299999998</v>
      </c>
      <c r="DT18" s="9">
        <f t="shared" si="36"/>
        <v>0.45023468153165913</v>
      </c>
      <c r="DU18" s="9">
        <f t="shared" si="36"/>
        <v>0.5319011991970124</v>
      </c>
      <c r="DV18" s="9">
        <f t="shared" si="36"/>
        <v>0.57530726833036105</v>
      </c>
      <c r="DW18" s="9">
        <f t="shared" si="36"/>
        <v>0.60178186403916134</v>
      </c>
      <c r="DX18" s="9">
        <f t="shared" si="36"/>
        <v>0.65315747584758743</v>
      </c>
      <c r="DY18" s="9">
        <f t="shared" si="36"/>
        <v>0.71778642015397121</v>
      </c>
      <c r="DZ18" s="9">
        <f t="shared" si="36"/>
        <v>0.79083471665593741</v>
      </c>
      <c r="EA18" s="9">
        <f t="shared" si="36"/>
        <v>0.86852619498202821</v>
      </c>
      <c r="EB18" s="9">
        <f t="shared" si="36"/>
        <v>0.91552389102955745</v>
      </c>
      <c r="EC18" s="9">
        <f t="shared" si="36"/>
        <v>1.006661230219198</v>
      </c>
      <c r="ED18" s="9">
        <f t="shared" si="36"/>
        <v>1.2901783490150338</v>
      </c>
      <c r="EE18" s="32"/>
      <c r="EF18" s="32"/>
      <c r="EQ18" s="41">
        <v>45547</v>
      </c>
      <c r="ER18" s="76">
        <v>0.66360829092422369</v>
      </c>
      <c r="ES18" s="9">
        <f t="shared" si="37"/>
        <v>0.47866923076923079</v>
      </c>
      <c r="ET18" s="9">
        <f t="shared" si="37"/>
        <v>0.5356153846153846</v>
      </c>
      <c r="EU18" s="9">
        <f t="shared" si="37"/>
        <v>0.57673846153846164</v>
      </c>
      <c r="EV18" s="9">
        <f t="shared" si="37"/>
        <v>0.60648076923076921</v>
      </c>
      <c r="EW18" s="9">
        <f t="shared" si="37"/>
        <v>0.66490769230769231</v>
      </c>
      <c r="EX18" s="9">
        <f t="shared" si="37"/>
        <v>0.7491000000000001</v>
      </c>
      <c r="EY18" s="9">
        <f t="shared" si="37"/>
        <v>0.85161153846153825</v>
      </c>
      <c r="EZ18" s="9">
        <f t="shared" si="37"/>
        <v>0.96876153846153856</v>
      </c>
      <c r="FA18" s="9">
        <f t="shared" si="37"/>
        <v>1.0425038461538461</v>
      </c>
      <c r="FB18" s="9">
        <f t="shared" si="37"/>
        <v>1.207123076923077</v>
      </c>
      <c r="FC18" s="9">
        <f t="shared" si="37"/>
        <v>1.5888230769230769</v>
      </c>
      <c r="FD18" s="32"/>
      <c r="FE18" s="32">
        <v>663608290.92422366</v>
      </c>
      <c r="FF18" s="32">
        <f t="shared" si="38"/>
        <v>0.66360829092422369</v>
      </c>
      <c r="FG18" s="32"/>
      <c r="FH18" s="32"/>
      <c r="FI18" s="32">
        <v>620024021.85055554</v>
      </c>
      <c r="FJ18" s="32">
        <f t="shared" si="39"/>
        <v>0.6200240218505555</v>
      </c>
      <c r="FK18" s="32"/>
      <c r="FL18" s="229">
        <v>45911</v>
      </c>
      <c r="FM18" s="230">
        <v>0.6200240218505555</v>
      </c>
      <c r="FN18" s="9">
        <f t="shared" si="40"/>
        <v>0.4164981014872936</v>
      </c>
      <c r="FO18" s="9">
        <f t="shared" si="40"/>
        <v>0.46658648694607735</v>
      </c>
      <c r="FP18" s="9">
        <f t="shared" si="40"/>
        <v>0.4993689259904564</v>
      </c>
      <c r="FQ18" s="9">
        <f t="shared" si="40"/>
        <v>0.52162881933444194</v>
      </c>
      <c r="FR18" s="9">
        <f t="shared" si="40"/>
        <v>0.56763994903944071</v>
      </c>
      <c r="FS18" s="9">
        <f t="shared" si="40"/>
        <v>0.63847736723173099</v>
      </c>
      <c r="FT18" s="9">
        <f t="shared" si="40"/>
        <v>0.73377930331855634</v>
      </c>
      <c r="FU18" s="9">
        <f t="shared" si="40"/>
        <v>0.83022302837032436</v>
      </c>
      <c r="FV18" s="9">
        <f t="shared" si="40"/>
        <v>0.90540583038636591</v>
      </c>
      <c r="FW18" s="9">
        <f t="shared" si="40"/>
        <v>1.0643431270251638</v>
      </c>
      <c r="FX18" s="9">
        <f t="shared" si="40"/>
        <v>1.4364679735890604</v>
      </c>
      <c r="FY18" s="32"/>
      <c r="FZ18" s="32">
        <v>663608290.92422366</v>
      </c>
      <c r="GA18" s="32">
        <f t="shared" si="41"/>
        <v>0.66360829092422369</v>
      </c>
      <c r="GB18" s="32"/>
      <c r="GC18" s="41">
        <v>45547</v>
      </c>
      <c r="GD18" s="9">
        <v>0.66360829092422369</v>
      </c>
      <c r="GE18" s="9">
        <f t="shared" si="42"/>
        <v>0.52548364273898429</v>
      </c>
      <c r="GF18" s="9">
        <f t="shared" si="42"/>
        <v>0.57439013424727681</v>
      </c>
      <c r="GG18" s="9">
        <f t="shared" si="42"/>
        <v>0.61550608296930487</v>
      </c>
      <c r="GH18" s="9">
        <f t="shared" si="42"/>
        <v>0.64257656091720339</v>
      </c>
      <c r="GI18" s="9">
        <f t="shared" si="42"/>
        <v>0.69344105453888782</v>
      </c>
      <c r="GJ18" s="9">
        <f t="shared" si="42"/>
        <v>0.75738763643255491</v>
      </c>
      <c r="GK18" s="9">
        <f t="shared" si="42"/>
        <v>0.83353737879877376</v>
      </c>
      <c r="GL18" s="9">
        <f t="shared" si="42"/>
        <v>0.91167847581953887</v>
      </c>
      <c r="GM18" s="9">
        <f t="shared" si="42"/>
        <v>0.96038785133481008</v>
      </c>
      <c r="GN18" s="9">
        <f t="shared" si="42"/>
        <v>1.0586850350300265</v>
      </c>
      <c r="GO18" s="9">
        <f t="shared" si="42"/>
        <v>1.3327155422700414</v>
      </c>
      <c r="GP18" s="32"/>
      <c r="GQ18" s="32"/>
      <c r="HA18" s="41">
        <f t="shared" si="43"/>
        <v>44819</v>
      </c>
      <c r="HB18" s="9"/>
      <c r="HC18" s="9">
        <f t="shared" ref="HC18:HC33" si="61">AK18/1000000000</f>
        <v>0.392004627321204</v>
      </c>
      <c r="HD18" s="9">
        <f>HD17+HD$3</f>
        <v>0.39834889675212021</v>
      </c>
      <c r="HE18" s="9">
        <f t="shared" ref="HE18:HN33" si="62">HE17+HE$3</f>
        <v>0.40388427717955144</v>
      </c>
      <c r="HF18" s="9">
        <f t="shared" si="62"/>
        <v>0.40693820624009647</v>
      </c>
      <c r="HG18" s="9">
        <f t="shared" si="62"/>
        <v>0.40944663465000147</v>
      </c>
      <c r="HH18" s="9">
        <f t="shared" si="62"/>
        <v>0.41569927076423147</v>
      </c>
      <c r="HI18" s="9">
        <f t="shared" si="62"/>
        <v>0.42229315291781272</v>
      </c>
      <c r="HJ18" s="9">
        <f t="shared" si="62"/>
        <v>0.43726896691388151</v>
      </c>
      <c r="HK18" s="9">
        <f t="shared" si="62"/>
        <v>0.45011548518169275</v>
      </c>
      <c r="HL18" s="9">
        <f t="shared" si="62"/>
        <v>0.45811002586442023</v>
      </c>
      <c r="HM18" s="9">
        <f t="shared" si="62"/>
        <v>0.47437088730951771</v>
      </c>
      <c r="HN18" s="9">
        <f t="shared" si="62"/>
        <v>0.52755810427626149</v>
      </c>
      <c r="HO18" s="9"/>
      <c r="HP18" s="9"/>
      <c r="HQ18" s="9"/>
      <c r="HR18" s="9"/>
      <c r="HS18" s="32">
        <v>4</v>
      </c>
      <c r="HT18" s="32">
        <v>4</v>
      </c>
      <c r="HU18" s="32"/>
      <c r="HV18" s="41">
        <f t="shared" si="44"/>
        <v>44819</v>
      </c>
      <c r="HW18" s="9">
        <f t="shared" ref="HW18:HW33" si="63">AK18/1000000000</f>
        <v>0.392004627321204</v>
      </c>
      <c r="HX18" s="9">
        <f>HX17+HX$3</f>
        <v>0.31423331209186323</v>
      </c>
      <c r="HY18" s="9">
        <f t="shared" ref="HY18:IH33" si="64">HY17+HY$3</f>
        <v>0.35006159563356248</v>
      </c>
      <c r="HZ18" s="9">
        <f t="shared" si="64"/>
        <v>0.37844626571489037</v>
      </c>
      <c r="IA18" s="9">
        <f t="shared" si="64"/>
        <v>0.41686563604891091</v>
      </c>
      <c r="IB18" s="9">
        <f t="shared" si="64"/>
        <v>0.45187613625970757</v>
      </c>
      <c r="IC18" s="9">
        <f t="shared" si="64"/>
        <v>0.50858452122674258</v>
      </c>
      <c r="ID18" s="9">
        <f t="shared" si="64"/>
        <v>0.6299991355554424</v>
      </c>
      <c r="IE18" s="9">
        <f t="shared" si="64"/>
        <v>0.88116196114291523</v>
      </c>
      <c r="IF18" s="9">
        <f t="shared" si="64"/>
        <v>0.91728778883434636</v>
      </c>
      <c r="IG18" s="9">
        <f t="shared" si="64"/>
        <v>1.1990954969540932</v>
      </c>
      <c r="IH18" s="9">
        <f t="shared" si="64"/>
        <v>2.0412015467534776</v>
      </c>
      <c r="II18" s="9"/>
      <c r="IJ18" s="9"/>
      <c r="IK18" s="9"/>
      <c r="IL18" s="9"/>
      <c r="IM18" s="32">
        <v>4</v>
      </c>
      <c r="IN18" s="32">
        <v>4</v>
      </c>
      <c r="IO18" s="32"/>
      <c r="IZ18" s="41">
        <f t="shared" si="11"/>
        <v>44819</v>
      </c>
      <c r="JA18" s="9">
        <f t="shared" si="11"/>
        <v>0.392004627321204</v>
      </c>
      <c r="JB18" s="9"/>
      <c r="JC18" s="9"/>
      <c r="JD18" s="9"/>
      <c r="JE18" s="9"/>
      <c r="JF18" s="9"/>
      <c r="JG18" s="9"/>
      <c r="JH18" s="9"/>
      <c r="JI18" s="9"/>
      <c r="JJ18" s="9"/>
      <c r="JK18" s="9"/>
      <c r="JL18" s="9"/>
      <c r="JM18" s="9"/>
      <c r="JX18" s="41">
        <v>44819</v>
      </c>
      <c r="JY18" s="9">
        <v>0.39902271257640004</v>
      </c>
      <c r="JZ18" s="9"/>
      <c r="KA18" s="9"/>
      <c r="KB18" s="9"/>
      <c r="KM18" s="41">
        <v>42992</v>
      </c>
      <c r="KN18" s="241">
        <v>39779700.570499994</v>
      </c>
      <c r="KO18" s="241">
        <f t="shared" si="47"/>
        <v>188998211.59449998</v>
      </c>
      <c r="KQ18" s="41">
        <v>43174</v>
      </c>
      <c r="KR18" s="241">
        <v>38932193.288999997</v>
      </c>
      <c r="KS18" s="241">
        <f t="shared" si="48"/>
        <v>286854184.07799995</v>
      </c>
      <c r="KU18" s="41">
        <v>43356</v>
      </c>
      <c r="KV18" s="241">
        <v>34306163.694000006</v>
      </c>
      <c r="KW18" s="241">
        <f t="shared" si="49"/>
        <v>610929508.20000005</v>
      </c>
      <c r="KY18" s="41">
        <v>43538</v>
      </c>
      <c r="KZ18" s="241">
        <v>19679960.566200003</v>
      </c>
      <c r="LA18" s="241">
        <f t="shared" si="50"/>
        <v>663079749.21540022</v>
      </c>
      <c r="LC18" s="41">
        <v>43720</v>
      </c>
      <c r="LD18" s="241">
        <v>148115848.02960002</v>
      </c>
      <c r="LE18" s="241">
        <f t="shared" si="51"/>
        <v>812972760.15780008</v>
      </c>
      <c r="LG18" s="41">
        <v>43902</v>
      </c>
      <c r="LH18" s="241">
        <v>56381497.735200003</v>
      </c>
      <c r="LI18" s="241">
        <f t="shared" si="52"/>
        <v>430501135.60080004</v>
      </c>
      <c r="LK18" s="41">
        <v>44084</v>
      </c>
      <c r="LL18" s="241">
        <v>73730673.4164</v>
      </c>
      <c r="LM18" s="241">
        <f t="shared" si="53"/>
        <v>562632548.55719995</v>
      </c>
      <c r="LO18" s="41">
        <v>44273</v>
      </c>
      <c r="LP18" s="241">
        <v>83260332.005400002</v>
      </c>
      <c r="LQ18" s="241">
        <f t="shared" si="54"/>
        <v>537577886.5710001</v>
      </c>
      <c r="LS18" s="41">
        <v>44448</v>
      </c>
      <c r="LT18" s="241">
        <v>23267325.490200002</v>
      </c>
      <c r="LU18" s="241">
        <f t="shared" si="55"/>
        <v>667585155.8046</v>
      </c>
      <c r="LW18" s="41">
        <v>44637</v>
      </c>
      <c r="LX18" s="241">
        <v>52436945.385000005</v>
      </c>
      <c r="LY18" s="241">
        <f t="shared" si="56"/>
        <v>901285969.03620005</v>
      </c>
      <c r="MA18" s="32">
        <v>11</v>
      </c>
      <c r="MB18" s="42">
        <f t="shared" si="12"/>
        <v>0.18899821159449998</v>
      </c>
      <c r="MC18" s="42">
        <f t="shared" si="13"/>
        <v>0.28685418407799995</v>
      </c>
      <c r="MD18" s="42">
        <f t="shared" si="14"/>
        <v>0.61092950820000003</v>
      </c>
      <c r="ME18" s="42">
        <f t="shared" si="15"/>
        <v>0.66307974921540025</v>
      </c>
      <c r="MF18" s="42">
        <f t="shared" si="16"/>
        <v>0.81297276015780007</v>
      </c>
      <c r="MG18" s="42">
        <f t="shared" si="17"/>
        <v>0.43050113560080006</v>
      </c>
      <c r="MH18" s="42">
        <f t="shared" si="18"/>
        <v>0.56263254855719991</v>
      </c>
      <c r="MI18" s="42">
        <f t="shared" si="19"/>
        <v>0.53757788657100014</v>
      </c>
      <c r="MJ18" s="42">
        <f t="shared" si="20"/>
        <v>0.66758515580459998</v>
      </c>
      <c r="MK18" s="42">
        <f t="shared" si="21"/>
        <v>0.90128596903620006</v>
      </c>
      <c r="ML18" s="8"/>
      <c r="MM18" s="8"/>
      <c r="MN18" s="8"/>
      <c r="NS18" s="41">
        <f t="shared" ref="NS18:NS33" si="65">NS17+7</f>
        <v>44637</v>
      </c>
      <c r="NT18" s="9">
        <f t="shared" si="22"/>
        <v>0.90128596903620006</v>
      </c>
      <c r="NU18" s="9">
        <f t="shared" si="57"/>
        <v>0.36171936031192509</v>
      </c>
      <c r="NV18" s="9">
        <f t="shared" si="57"/>
        <v>0.42789033527195436</v>
      </c>
      <c r="NW18" s="9">
        <f t="shared" si="57"/>
        <v>0.4665513989587402</v>
      </c>
      <c r="NX18" s="9">
        <f t="shared" si="57"/>
        <v>0.49367212662633464</v>
      </c>
      <c r="NY18" s="9">
        <f t="shared" si="57"/>
        <v>0.55060073591058456</v>
      </c>
      <c r="NZ18" s="9">
        <f t="shared" si="57"/>
        <v>0.64734465835249921</v>
      </c>
      <c r="OA18" s="9">
        <f t="shared" si="57"/>
        <v>0.74557746424989835</v>
      </c>
      <c r="OB18" s="9">
        <f t="shared" si="57"/>
        <v>0.86134226922073842</v>
      </c>
      <c r="OC18" s="9">
        <f t="shared" si="57"/>
        <v>0.94406692822616711</v>
      </c>
      <c r="OD18" s="9">
        <f t="shared" si="57"/>
        <v>1.1070692698901634</v>
      </c>
      <c r="OE18" s="9">
        <f t="shared" si="57"/>
        <v>1.4327465458931092</v>
      </c>
      <c r="OF18" s="9">
        <f t="shared" ca="1" si="57"/>
        <v>0.73783503820975371</v>
      </c>
      <c r="OG18" s="32"/>
      <c r="OR18" s="41">
        <f t="shared" si="58"/>
        <v>44637</v>
      </c>
      <c r="OS18" s="9">
        <f t="shared" si="58"/>
        <v>0.90128596903620006</v>
      </c>
      <c r="OT18" s="9"/>
      <c r="OU18" s="9"/>
      <c r="OV18" s="9"/>
      <c r="OW18" s="9"/>
      <c r="OX18" s="9"/>
      <c r="OY18" s="9"/>
      <c r="OZ18" s="9"/>
      <c r="PA18" s="9"/>
      <c r="PB18" s="9"/>
      <c r="PC18" s="9"/>
      <c r="PD18" s="9"/>
      <c r="PE18" s="9"/>
    </row>
    <row r="19" spans="2:423" x14ac:dyDescent="0.25">
      <c r="B19" s="48">
        <v>42817</v>
      </c>
      <c r="C19" s="49">
        <v>18869888.0975</v>
      </c>
      <c r="D19" s="49">
        <v>20310950</v>
      </c>
      <c r="E19" s="50">
        <v>10000000</v>
      </c>
      <c r="F19" s="50"/>
      <c r="G19" s="50"/>
      <c r="H19" s="50"/>
      <c r="I19" s="38">
        <v>42999</v>
      </c>
      <c r="J19" s="240">
        <v>50000000</v>
      </c>
      <c r="K19" s="240">
        <v>64684641.724999994</v>
      </c>
      <c r="L19" s="241">
        <f t="shared" si="24"/>
        <v>253682853.31949997</v>
      </c>
      <c r="N19" s="38">
        <v>43363</v>
      </c>
      <c r="O19" s="240">
        <v>30000000</v>
      </c>
      <c r="P19" s="240">
        <v>45161013.823200002</v>
      </c>
      <c r="Q19" s="241">
        <f t="shared" si="25"/>
        <v>656090522.02320004</v>
      </c>
      <c r="S19" s="38">
        <v>43727</v>
      </c>
      <c r="T19" s="240">
        <v>150000000</v>
      </c>
      <c r="U19" s="240">
        <v>249269713.78320003</v>
      </c>
      <c r="V19" s="241">
        <f t="shared" si="26"/>
        <v>1062242473.9410001</v>
      </c>
      <c r="X19" s="38">
        <v>44091</v>
      </c>
      <c r="Y19" s="240">
        <v>60000000</v>
      </c>
      <c r="Z19" s="240">
        <v>101493806.832</v>
      </c>
      <c r="AA19" s="241">
        <f t="shared" si="27"/>
        <v>664126355.38919997</v>
      </c>
      <c r="AC19" s="38">
        <v>44455</v>
      </c>
      <c r="AD19" s="240">
        <v>10000000</v>
      </c>
      <c r="AE19" s="240">
        <v>31729787.238600001</v>
      </c>
      <c r="AF19" s="241">
        <f t="shared" si="28"/>
        <v>699314943.04320002</v>
      </c>
      <c r="AG19" s="241"/>
      <c r="AH19" s="38">
        <v>44826</v>
      </c>
      <c r="AI19" s="240">
        <v>8000000</v>
      </c>
      <c r="AJ19" s="240">
        <v>27493171.418060202</v>
      </c>
      <c r="AK19" s="241">
        <f t="shared" si="29"/>
        <v>419497798.73926419</v>
      </c>
      <c r="AM19" s="32">
        <v>12</v>
      </c>
      <c r="AN19" s="39">
        <f t="shared" si="0"/>
        <v>0.25368285331949997</v>
      </c>
      <c r="AO19" s="39">
        <f t="shared" si="1"/>
        <v>0.65609052202320006</v>
      </c>
      <c r="AP19" s="39">
        <f t="shared" si="2"/>
        <v>1.0622424739410001</v>
      </c>
      <c r="AQ19" s="39">
        <f t="shared" si="3"/>
        <v>0.66412635538919995</v>
      </c>
      <c r="AR19" s="39">
        <f t="shared" si="30"/>
        <v>0.69931494304319997</v>
      </c>
      <c r="AS19" s="39">
        <f t="shared" si="31"/>
        <v>0.41949779873926418</v>
      </c>
      <c r="AT19" s="39"/>
      <c r="AU19" s="39">
        <f t="shared" si="32"/>
        <v>0.58232324356176846</v>
      </c>
      <c r="AV19" s="9"/>
      <c r="AW19" s="9"/>
      <c r="AX19" s="9"/>
      <c r="BZ19" s="52"/>
      <c r="CA19" s="54" t="s">
        <v>71</v>
      </c>
      <c r="CH19" s="55">
        <f>CH17+JH71</f>
        <v>15</v>
      </c>
      <c r="CI19" s="57"/>
      <c r="CT19" s="41">
        <f t="shared" si="33"/>
        <v>44826</v>
      </c>
      <c r="CU19" s="9">
        <f t="shared" si="34"/>
        <v>0.41949779873926418</v>
      </c>
      <c r="CV19" s="9">
        <f t="shared" si="35"/>
        <v>0.45532366643942584</v>
      </c>
      <c r="CW19" s="9">
        <f t="shared" si="35"/>
        <v>0.54523576233966164</v>
      </c>
      <c r="CX19" s="9">
        <f t="shared" si="35"/>
        <v>0.58100182618160379</v>
      </c>
      <c r="CY19" s="9">
        <f t="shared" si="35"/>
        <v>0.60602408750430392</v>
      </c>
      <c r="CZ19" s="9">
        <f t="shared" si="35"/>
        <v>0.65650360805514518</v>
      </c>
      <c r="DA19" s="9">
        <f t="shared" si="35"/>
        <v>0.72251650646409005</v>
      </c>
      <c r="DB19" s="9">
        <f t="shared" si="35"/>
        <v>0.79479040250061417</v>
      </c>
      <c r="DC19" s="9">
        <f t="shared" si="35"/>
        <v>0.87137811896677742</v>
      </c>
      <c r="DD19" s="9">
        <f t="shared" si="35"/>
        <v>0.91721343510277842</v>
      </c>
      <c r="DE19" s="9">
        <f t="shared" si="35"/>
        <v>1.0167436617061194</v>
      </c>
      <c r="DF19" s="9">
        <f t="shared" si="35"/>
        <v>1.2345890052890134</v>
      </c>
      <c r="DG19" s="32"/>
      <c r="DH19" s="32"/>
      <c r="DR19" s="41">
        <v>45190</v>
      </c>
      <c r="DS19" s="9">
        <v>0.83881109899999995</v>
      </c>
      <c r="DT19" s="9">
        <f t="shared" si="36"/>
        <v>0.49116510712544631</v>
      </c>
      <c r="DU19" s="9">
        <f t="shared" si="36"/>
        <v>0.58025585366946808</v>
      </c>
      <c r="DV19" s="9">
        <f t="shared" si="36"/>
        <v>0.62760792908766661</v>
      </c>
      <c r="DW19" s="9">
        <f t="shared" si="36"/>
        <v>0.6564893062245396</v>
      </c>
      <c r="DX19" s="9">
        <f t="shared" si="36"/>
        <v>0.71253542819736815</v>
      </c>
      <c r="DY19" s="9">
        <f t="shared" si="36"/>
        <v>0.78303973107705949</v>
      </c>
      <c r="DZ19" s="9">
        <f t="shared" si="36"/>
        <v>0.86272878180647716</v>
      </c>
      <c r="EA19" s="9">
        <f t="shared" si="36"/>
        <v>0.94748312179857619</v>
      </c>
      <c r="EB19" s="9">
        <f t="shared" si="36"/>
        <v>0.99875333566860813</v>
      </c>
      <c r="EC19" s="9">
        <f t="shared" si="36"/>
        <v>1.0981758875118524</v>
      </c>
      <c r="ED19" s="9">
        <f t="shared" si="36"/>
        <v>1.4074672898345824</v>
      </c>
      <c r="EE19" s="32"/>
      <c r="EF19" s="32"/>
      <c r="EQ19" s="41">
        <v>45554</v>
      </c>
      <c r="ER19" s="76">
        <v>0.72107712553069636</v>
      </c>
      <c r="ES19" s="9">
        <f t="shared" si="37"/>
        <v>0.52218461538461536</v>
      </c>
      <c r="ET19" s="9">
        <f t="shared" si="37"/>
        <v>0.58430769230769231</v>
      </c>
      <c r="EU19" s="9">
        <f t="shared" si="37"/>
        <v>0.62916923076923092</v>
      </c>
      <c r="EV19" s="9">
        <f t="shared" si="37"/>
        <v>0.66161538461538461</v>
      </c>
      <c r="EW19" s="9">
        <f t="shared" si="37"/>
        <v>0.72535384615384613</v>
      </c>
      <c r="EX19" s="9">
        <f t="shared" si="37"/>
        <v>0.81720000000000015</v>
      </c>
      <c r="EY19" s="9">
        <f t="shared" si="37"/>
        <v>0.92903076923076899</v>
      </c>
      <c r="EZ19" s="9">
        <f t="shared" si="37"/>
        <v>1.0568307692307692</v>
      </c>
      <c r="FA19" s="9">
        <f t="shared" si="37"/>
        <v>1.1372769230769231</v>
      </c>
      <c r="FB19" s="9">
        <f t="shared" si="37"/>
        <v>1.3168615384615385</v>
      </c>
      <c r="FC19" s="9">
        <f t="shared" si="37"/>
        <v>1.7332615384615384</v>
      </c>
      <c r="FD19" s="32"/>
      <c r="FE19" s="32">
        <v>721077125.53069639</v>
      </c>
      <c r="FF19" s="32">
        <f t="shared" si="38"/>
        <v>0.72107712553069636</v>
      </c>
      <c r="FG19" s="32"/>
      <c r="FH19" s="32"/>
      <c r="FI19" s="32">
        <v>661691524.22729385</v>
      </c>
      <c r="FJ19" s="32">
        <f t="shared" si="39"/>
        <v>0.66169152422729383</v>
      </c>
      <c r="FK19" s="32"/>
      <c r="FL19" s="229">
        <v>45918</v>
      </c>
      <c r="FM19" s="230">
        <v>0.66169152422729383</v>
      </c>
      <c r="FN19" s="9">
        <f t="shared" si="40"/>
        <v>0.45436156525886573</v>
      </c>
      <c r="FO19" s="9">
        <f t="shared" si="40"/>
        <v>0.50900344030481171</v>
      </c>
      <c r="FP19" s="9">
        <f t="shared" si="40"/>
        <v>0.54476610108049794</v>
      </c>
      <c r="FQ19" s="9">
        <f t="shared" si="40"/>
        <v>0.56904962109211843</v>
      </c>
      <c r="FR19" s="9">
        <f t="shared" si="40"/>
        <v>0.61924358077029895</v>
      </c>
      <c r="FS19" s="9">
        <f t="shared" si="40"/>
        <v>0.69652076425279741</v>
      </c>
      <c r="FT19" s="9">
        <f t="shared" si="40"/>
        <v>0.80048651271115234</v>
      </c>
      <c r="FU19" s="9">
        <f t="shared" si="40"/>
        <v>0.90569784913126294</v>
      </c>
      <c r="FV19" s="9">
        <f t="shared" si="40"/>
        <v>0.98771545133058103</v>
      </c>
      <c r="FW19" s="9">
        <f t="shared" si="40"/>
        <v>1.1611015931183604</v>
      </c>
      <c r="FX19" s="9">
        <f t="shared" si="40"/>
        <v>1.5670559711880658</v>
      </c>
      <c r="FY19" s="32"/>
      <c r="FZ19" s="32">
        <v>721077125.53069639</v>
      </c>
      <c r="GA19" s="32">
        <f t="shared" si="41"/>
        <v>0.72107712553069636</v>
      </c>
      <c r="GB19" s="32"/>
      <c r="GC19" s="41">
        <v>45554</v>
      </c>
      <c r="GD19" s="9">
        <v>0.72107712553069636</v>
      </c>
      <c r="GE19" s="9">
        <f t="shared" si="42"/>
        <v>0.57325488298798288</v>
      </c>
      <c r="GF19" s="9">
        <f t="shared" si="42"/>
        <v>0.62660741917884744</v>
      </c>
      <c r="GG19" s="9">
        <f t="shared" si="42"/>
        <v>0.67146118142105982</v>
      </c>
      <c r="GH19" s="9">
        <f t="shared" si="42"/>
        <v>0.70099261190967643</v>
      </c>
      <c r="GI19" s="9">
        <f t="shared" si="42"/>
        <v>0.75648115040605945</v>
      </c>
      <c r="GJ19" s="9">
        <f t="shared" si="42"/>
        <v>0.82624105792642355</v>
      </c>
      <c r="GK19" s="9">
        <f t="shared" si="42"/>
        <v>0.90931350414411682</v>
      </c>
      <c r="GL19" s="9">
        <f t="shared" si="42"/>
        <v>0.99455833725767873</v>
      </c>
      <c r="GM19" s="9">
        <f t="shared" si="42"/>
        <v>1.0476958378197929</v>
      </c>
      <c r="GN19" s="9">
        <f t="shared" si="42"/>
        <v>1.1549291291236654</v>
      </c>
      <c r="GO19" s="9">
        <f t="shared" si="42"/>
        <v>1.453871500658227</v>
      </c>
      <c r="GP19" s="32"/>
      <c r="GQ19" s="32"/>
      <c r="HA19" s="41">
        <f t="shared" si="43"/>
        <v>44826</v>
      </c>
      <c r="HB19" s="9"/>
      <c r="HC19" s="9">
        <f t="shared" si="61"/>
        <v>0.41949779873926418</v>
      </c>
      <c r="HD19" s="9">
        <f t="shared" ref="HD19:HD33" si="66">HD18+HD$3</f>
        <v>0.43503636565193271</v>
      </c>
      <c r="HE19" s="9">
        <f t="shared" si="62"/>
        <v>0.44610712650679518</v>
      </c>
      <c r="HF19" s="9">
        <f t="shared" si="62"/>
        <v>0.45221498462788523</v>
      </c>
      <c r="HG19" s="9">
        <f t="shared" si="62"/>
        <v>0.45723184144769524</v>
      </c>
      <c r="HH19" s="9">
        <f t="shared" si="62"/>
        <v>0.46973711367615523</v>
      </c>
      <c r="HI19" s="9">
        <f t="shared" si="62"/>
        <v>0.48292487798331774</v>
      </c>
      <c r="HJ19" s="9">
        <f t="shared" si="62"/>
        <v>0.51287650597545531</v>
      </c>
      <c r="HK19" s="9">
        <f t="shared" si="62"/>
        <v>0.5385695425110778</v>
      </c>
      <c r="HL19" s="9">
        <f t="shared" si="62"/>
        <v>0.55455862387653276</v>
      </c>
      <c r="HM19" s="9">
        <f t="shared" si="62"/>
        <v>0.58708034676672771</v>
      </c>
      <c r="HN19" s="9">
        <f t="shared" si="62"/>
        <v>0.69345478070021527</v>
      </c>
      <c r="HO19" s="9"/>
      <c r="HP19" s="9"/>
      <c r="HQ19" s="9"/>
      <c r="HR19" s="9"/>
      <c r="HS19" s="32"/>
      <c r="HT19" s="32">
        <v>4</v>
      </c>
      <c r="HU19" s="32"/>
      <c r="HV19" s="41">
        <f t="shared" si="44"/>
        <v>44826</v>
      </c>
      <c r="HW19" s="9">
        <f t="shared" si="63"/>
        <v>0.41949779873926418</v>
      </c>
      <c r="HX19" s="9">
        <f t="shared" ref="HX19:HX33" si="67">HX18+HX$3</f>
        <v>0.35607762324362646</v>
      </c>
      <c r="HY19" s="9">
        <f t="shared" si="64"/>
        <v>0.39871229338179076</v>
      </c>
      <c r="HZ19" s="9">
        <f t="shared" si="64"/>
        <v>0.43151608340476927</v>
      </c>
      <c r="IA19" s="9">
        <f t="shared" si="64"/>
        <v>0.47185603777426754</v>
      </c>
      <c r="IB19" s="9">
        <f t="shared" si="64"/>
        <v>0.51285514125062659</v>
      </c>
      <c r="IC19" s="9">
        <f t="shared" si="64"/>
        <v>0.5791154881184164</v>
      </c>
      <c r="ID19" s="9">
        <f t="shared" si="64"/>
        <v>0.70926761046575904</v>
      </c>
      <c r="IE19" s="9">
        <f t="shared" si="64"/>
        <v>0.96003088119698188</v>
      </c>
      <c r="IF19" s="9">
        <f t="shared" si="64"/>
        <v>1.0083169864401669</v>
      </c>
      <c r="IG19" s="9">
        <f t="shared" si="64"/>
        <v>1.2927922928466804</v>
      </c>
      <c r="IH19" s="9">
        <f t="shared" si="64"/>
        <v>2.1303363443556931</v>
      </c>
      <c r="II19" s="9"/>
      <c r="IJ19" s="9"/>
      <c r="IK19" s="9"/>
      <c r="IL19" s="9"/>
      <c r="IM19" s="32"/>
      <c r="IN19" s="32">
        <v>4</v>
      </c>
      <c r="IO19" s="32"/>
      <c r="IZ19" s="41">
        <f t="shared" si="11"/>
        <v>44826</v>
      </c>
      <c r="JA19" s="9">
        <f t="shared" si="11"/>
        <v>0.41949779873926418</v>
      </c>
      <c r="JB19" s="9"/>
      <c r="JC19" s="9"/>
      <c r="JD19" s="9"/>
      <c r="JE19" s="9"/>
      <c r="JF19" s="9"/>
      <c r="JG19" s="9"/>
      <c r="JH19" s="9"/>
      <c r="JI19" s="9"/>
      <c r="JJ19" s="9"/>
      <c r="JK19" s="9"/>
      <c r="JL19" s="9"/>
      <c r="JM19" s="9"/>
      <c r="JX19" s="41">
        <v>44826</v>
      </c>
      <c r="JY19" s="9">
        <v>0.42749853841200008</v>
      </c>
      <c r="JZ19" s="9"/>
      <c r="KA19" s="9"/>
      <c r="KB19" s="9"/>
      <c r="KM19" s="41">
        <v>42999</v>
      </c>
      <c r="KN19" s="241">
        <v>64684641.724999994</v>
      </c>
      <c r="KO19" s="241">
        <f t="shared" si="47"/>
        <v>253682853.31949997</v>
      </c>
      <c r="KQ19" s="41">
        <v>43181</v>
      </c>
      <c r="KR19" s="241">
        <v>48443528.473999999</v>
      </c>
      <c r="KS19" s="241">
        <f t="shared" si="48"/>
        <v>335297712.55199993</v>
      </c>
      <c r="KU19" s="41">
        <v>43363</v>
      </c>
      <c r="KV19" s="241">
        <v>45161013.823200002</v>
      </c>
      <c r="KW19" s="241">
        <f t="shared" si="49"/>
        <v>656090522.02320004</v>
      </c>
      <c r="KY19" s="41">
        <v>43545</v>
      </c>
      <c r="KZ19" s="241">
        <v>25763148.906000003</v>
      </c>
      <c r="LA19" s="241">
        <f t="shared" si="50"/>
        <v>688842898.12140024</v>
      </c>
      <c r="LC19" s="41">
        <v>43727</v>
      </c>
      <c r="LD19" s="241">
        <v>249269713.78320003</v>
      </c>
      <c r="LE19" s="241">
        <f t="shared" si="51"/>
        <v>1062242473.9410001</v>
      </c>
      <c r="LG19" s="41">
        <v>43909</v>
      </c>
      <c r="LH19" s="241">
        <v>79560497.412</v>
      </c>
      <c r="LI19" s="241">
        <f t="shared" si="52"/>
        <v>510061633.01280004</v>
      </c>
      <c r="LK19" s="41">
        <v>44091</v>
      </c>
      <c r="LL19" s="241">
        <v>101493806.832</v>
      </c>
      <c r="LM19" s="241">
        <f t="shared" si="53"/>
        <v>664126355.38919997</v>
      </c>
      <c r="LO19" s="41">
        <v>44280</v>
      </c>
      <c r="LP19" s="241">
        <v>28833533.3682</v>
      </c>
      <c r="LQ19" s="241">
        <f t="shared" si="54"/>
        <v>566411419.93920004</v>
      </c>
      <c r="LS19" s="41">
        <v>44455</v>
      </c>
      <c r="LT19" s="241">
        <v>31729787.238600001</v>
      </c>
      <c r="LU19" s="241">
        <f t="shared" si="55"/>
        <v>699314943.04320002</v>
      </c>
      <c r="LW19" s="41">
        <v>44644</v>
      </c>
      <c r="LX19" s="241">
        <v>23910910.768800002</v>
      </c>
      <c r="LY19" s="241">
        <f t="shared" si="56"/>
        <v>925196879.80500007</v>
      </c>
      <c r="MA19" s="32">
        <v>12</v>
      </c>
      <c r="MB19" s="42">
        <f t="shared" si="12"/>
        <v>0.25368285331949997</v>
      </c>
      <c r="MC19" s="42">
        <f t="shared" si="13"/>
        <v>0.33529771255199992</v>
      </c>
      <c r="MD19" s="42">
        <f t="shared" si="14"/>
        <v>0.65609052202320006</v>
      </c>
      <c r="ME19" s="42">
        <f t="shared" si="15"/>
        <v>0.6888428981214002</v>
      </c>
      <c r="MF19" s="42">
        <f t="shared" si="16"/>
        <v>1.0622424739410001</v>
      </c>
      <c r="MG19" s="42">
        <f t="shared" si="17"/>
        <v>0.51006163301280005</v>
      </c>
      <c r="MH19" s="42">
        <f t="shared" si="18"/>
        <v>0.66412635538919995</v>
      </c>
      <c r="MI19" s="42">
        <f t="shared" si="19"/>
        <v>0.56641141993920008</v>
      </c>
      <c r="MJ19" s="42">
        <f t="shared" si="20"/>
        <v>0.69931494304319997</v>
      </c>
      <c r="MK19" s="42">
        <f t="shared" si="21"/>
        <v>0.92519687980500009</v>
      </c>
      <c r="ML19" s="8"/>
      <c r="MM19" s="8"/>
      <c r="MN19" s="8"/>
      <c r="MV19" s="59" t="s">
        <v>77</v>
      </c>
      <c r="MW19" s="62" t="s">
        <v>78</v>
      </c>
      <c r="NB19" s="63"/>
      <c r="NC19" s="61"/>
      <c r="ND19" s="61"/>
      <c r="NE19" s="61"/>
      <c r="NF19" s="61"/>
      <c r="NG19" s="63">
        <f>NH26</f>
        <v>0.97847740477409995</v>
      </c>
      <c r="NH19" s="53"/>
      <c r="NS19" s="41">
        <f t="shared" si="65"/>
        <v>44644</v>
      </c>
      <c r="NT19" s="9">
        <f t="shared" si="22"/>
        <v>0.92519687980500009</v>
      </c>
      <c r="NU19" s="9">
        <f t="shared" si="57"/>
        <v>0.3946029385221001</v>
      </c>
      <c r="NV19" s="9">
        <f t="shared" si="57"/>
        <v>0.46678945666031385</v>
      </c>
      <c r="NW19" s="9">
        <f t="shared" si="57"/>
        <v>0.50896516250044388</v>
      </c>
      <c r="NX19" s="9">
        <f t="shared" si="57"/>
        <v>0.53855141086509228</v>
      </c>
      <c r="NY19" s="9">
        <f t="shared" si="57"/>
        <v>0.60065534826609224</v>
      </c>
      <c r="NZ19" s="9">
        <f t="shared" si="57"/>
        <v>0.70619417274818097</v>
      </c>
      <c r="OA19" s="9">
        <f t="shared" si="57"/>
        <v>0.81335723372716184</v>
      </c>
      <c r="OB19" s="9">
        <f t="shared" si="57"/>
        <v>0.93964611187716918</v>
      </c>
      <c r="OC19" s="9">
        <f t="shared" si="57"/>
        <v>1.029891194428546</v>
      </c>
      <c r="OD19" s="9">
        <f t="shared" si="57"/>
        <v>1.2077119307892692</v>
      </c>
      <c r="OE19" s="9">
        <f t="shared" si="57"/>
        <v>1.5629962318833919</v>
      </c>
      <c r="OF19" s="9">
        <f t="shared" ca="1" si="57"/>
        <v>0.80491095077427677</v>
      </c>
      <c r="OG19" s="32"/>
      <c r="OR19" s="41">
        <f t="shared" si="58"/>
        <v>44644</v>
      </c>
      <c r="OS19" s="9">
        <f t="shared" si="58"/>
        <v>0.92519687980500009</v>
      </c>
      <c r="OT19" s="9"/>
      <c r="OU19" s="9"/>
      <c r="OV19" s="9"/>
      <c r="OW19" s="9"/>
      <c r="OX19" s="9"/>
      <c r="OY19" s="9"/>
      <c r="OZ19" s="9"/>
      <c r="PA19" s="9"/>
      <c r="PB19" s="9"/>
      <c r="PC19" s="9"/>
      <c r="PD19" s="9"/>
      <c r="PE19" s="9"/>
    </row>
    <row r="20" spans="2:423" x14ac:dyDescent="0.25">
      <c r="B20" s="48">
        <v>42824</v>
      </c>
      <c r="C20" s="49">
        <v>23516819.677999999</v>
      </c>
      <c r="D20" s="49">
        <v>25312760</v>
      </c>
      <c r="E20" s="50">
        <v>15000000</v>
      </c>
      <c r="F20" s="50"/>
      <c r="G20" s="50"/>
      <c r="H20" s="50"/>
      <c r="I20" s="38">
        <v>43006</v>
      </c>
      <c r="J20" s="240">
        <v>3000000</v>
      </c>
      <c r="K20" s="240">
        <v>13254654.154499998</v>
      </c>
      <c r="L20" s="241">
        <f t="shared" si="24"/>
        <v>266937507.47399998</v>
      </c>
      <c r="N20" s="38">
        <v>43370</v>
      </c>
      <c r="O20" s="240">
        <v>3000000</v>
      </c>
      <c r="P20" s="240">
        <v>15546684.007800002</v>
      </c>
      <c r="Q20" s="241">
        <f t="shared" si="25"/>
        <v>671637206.03100002</v>
      </c>
      <c r="S20" s="38">
        <v>43734</v>
      </c>
      <c r="T20" s="240">
        <v>3000000</v>
      </c>
      <c r="U20" s="240">
        <v>18980395.097400002</v>
      </c>
      <c r="V20" s="241">
        <f t="shared" si="26"/>
        <v>1081222869.0384002</v>
      </c>
      <c r="X20" s="38">
        <v>44098</v>
      </c>
      <c r="Y20" s="240">
        <v>3000000</v>
      </c>
      <c r="Z20" s="240">
        <v>24737153.509199999</v>
      </c>
      <c r="AA20" s="241">
        <f t="shared" si="27"/>
        <v>688863508.89839995</v>
      </c>
      <c r="AC20" s="38">
        <v>44462</v>
      </c>
      <c r="AD20" s="240">
        <v>3000000</v>
      </c>
      <c r="AE20" s="240">
        <v>24174927.275400002</v>
      </c>
      <c r="AF20" s="241">
        <f t="shared" si="28"/>
        <v>723489870.31860006</v>
      </c>
      <c r="AG20" s="241"/>
      <c r="AH20" s="38">
        <v>44833</v>
      </c>
      <c r="AI20" s="240">
        <v>20000000</v>
      </c>
      <c r="AJ20" s="240">
        <v>43564028.681471571</v>
      </c>
      <c r="AK20" s="241">
        <f t="shared" si="29"/>
        <v>463061827.42073578</v>
      </c>
      <c r="AM20" s="32">
        <v>13</v>
      </c>
      <c r="AN20" s="39">
        <f t="shared" si="0"/>
        <v>0.26693750747399997</v>
      </c>
      <c r="AO20" s="39">
        <f t="shared" si="1"/>
        <v>0.67163720603099997</v>
      </c>
      <c r="AP20" s="39">
        <f t="shared" si="2"/>
        <v>1.0812228690384003</v>
      </c>
      <c r="AQ20" s="39">
        <f t="shared" si="3"/>
        <v>0.68886350889839998</v>
      </c>
      <c r="AR20" s="39">
        <f t="shared" si="30"/>
        <v>0.72348987031860001</v>
      </c>
      <c r="AS20" s="39">
        <f t="shared" si="31"/>
        <v>0.46306182742073576</v>
      </c>
      <c r="AT20" s="39"/>
      <c r="AU20" s="39">
        <f t="shared" si="32"/>
        <v>0.63526172024920191</v>
      </c>
      <c r="AV20" s="9"/>
      <c r="AW20" s="9"/>
      <c r="AX20" s="9"/>
      <c r="BF20" s="59" t="s">
        <v>79</v>
      </c>
      <c r="BG20" s="62" t="s">
        <v>80</v>
      </c>
      <c r="BL20" s="63">
        <f>BN27</f>
        <v>3.0602049846180996</v>
      </c>
      <c r="BM20" s="63"/>
      <c r="BN20" s="63"/>
      <c r="CT20" s="41">
        <f t="shared" si="33"/>
        <v>44833</v>
      </c>
      <c r="CU20" s="9">
        <f t="shared" si="34"/>
        <v>0.46306182742073576</v>
      </c>
      <c r="CV20" s="9">
        <f t="shared" si="35"/>
        <v>0.49326730530937801</v>
      </c>
      <c r="CW20" s="9">
        <f t="shared" si="35"/>
        <v>0.59067207586796677</v>
      </c>
      <c r="CX20" s="9">
        <f t="shared" si="35"/>
        <v>0.62941864503007072</v>
      </c>
      <c r="CY20" s="9">
        <f t="shared" si="35"/>
        <v>0.65652609479632928</v>
      </c>
      <c r="CZ20" s="9">
        <f t="shared" si="35"/>
        <v>0.71121224205974065</v>
      </c>
      <c r="DA20" s="9">
        <f t="shared" si="35"/>
        <v>0.78272621533609754</v>
      </c>
      <c r="DB20" s="9">
        <f t="shared" si="35"/>
        <v>0.86102293604233204</v>
      </c>
      <c r="DC20" s="9">
        <f t="shared" si="35"/>
        <v>0.94399296221400886</v>
      </c>
      <c r="DD20" s="9">
        <f t="shared" si="35"/>
        <v>0.99364788802800996</v>
      </c>
      <c r="DE20" s="9">
        <f t="shared" si="35"/>
        <v>1.1014723001816293</v>
      </c>
      <c r="DF20" s="9">
        <f t="shared" si="35"/>
        <v>1.3374714223964312</v>
      </c>
      <c r="DG20" s="32"/>
      <c r="DH20" s="32"/>
      <c r="DR20" s="41">
        <v>45197</v>
      </c>
      <c r="DS20" s="9">
        <v>0.915140913</v>
      </c>
      <c r="DT20" s="9">
        <f t="shared" si="36"/>
        <v>0.53209553271923349</v>
      </c>
      <c r="DU20" s="9">
        <f t="shared" si="36"/>
        <v>0.62861050814192376</v>
      </c>
      <c r="DV20" s="9">
        <f t="shared" si="36"/>
        <v>0.67990858984497216</v>
      </c>
      <c r="DW20" s="9">
        <f t="shared" si="36"/>
        <v>0.71119674840991787</v>
      </c>
      <c r="DX20" s="9">
        <f t="shared" si="36"/>
        <v>0.77191338054714886</v>
      </c>
      <c r="DY20" s="9">
        <f t="shared" si="36"/>
        <v>0.84829304200014777</v>
      </c>
      <c r="DZ20" s="9">
        <f t="shared" si="36"/>
        <v>0.93462284695701692</v>
      </c>
      <c r="EA20" s="9">
        <f t="shared" si="36"/>
        <v>1.0264400486151242</v>
      </c>
      <c r="EB20" s="9">
        <f t="shared" si="36"/>
        <v>1.0819827803076587</v>
      </c>
      <c r="EC20" s="9">
        <f t="shared" si="36"/>
        <v>1.1896905448045068</v>
      </c>
      <c r="ED20" s="9">
        <f t="shared" si="36"/>
        <v>1.5247562306541309</v>
      </c>
      <c r="EE20" s="32"/>
      <c r="EF20" s="32"/>
      <c r="EQ20" s="41">
        <v>45561</v>
      </c>
      <c r="ER20" s="76">
        <v>0.74897760053756146</v>
      </c>
      <c r="ES20" s="9">
        <f t="shared" si="37"/>
        <v>0.56569999999999998</v>
      </c>
      <c r="ET20" s="9">
        <f t="shared" si="37"/>
        <v>0.63300000000000001</v>
      </c>
      <c r="EU20" s="9">
        <f t="shared" si="37"/>
        <v>0.68160000000000021</v>
      </c>
      <c r="EV20" s="9">
        <f t="shared" si="37"/>
        <v>0.71675</v>
      </c>
      <c r="EW20" s="9">
        <f t="shared" si="37"/>
        <v>0.78579999999999994</v>
      </c>
      <c r="EX20" s="9">
        <f t="shared" si="37"/>
        <v>0.8853000000000002</v>
      </c>
      <c r="EY20" s="9">
        <f t="shared" si="37"/>
        <v>1.0064499999999998</v>
      </c>
      <c r="EZ20" s="9">
        <f t="shared" si="37"/>
        <v>1.1449</v>
      </c>
      <c r="FA20" s="9">
        <f t="shared" si="37"/>
        <v>1.2320500000000001</v>
      </c>
      <c r="FB20" s="9">
        <f t="shared" si="37"/>
        <v>1.4266000000000001</v>
      </c>
      <c r="FC20" s="9">
        <f t="shared" si="37"/>
        <v>1.8776999999999999</v>
      </c>
      <c r="FD20" s="32"/>
      <c r="FE20" s="32">
        <v>748977600.53756142</v>
      </c>
      <c r="FF20" s="32">
        <f t="shared" si="38"/>
        <v>0.74897760053756146</v>
      </c>
      <c r="FG20" s="32"/>
      <c r="FH20" s="32"/>
      <c r="FI20" s="32">
        <v>716082508.40628111</v>
      </c>
      <c r="FJ20" s="32">
        <f t="shared" si="39"/>
        <v>0.71608250840628107</v>
      </c>
      <c r="FK20" s="32"/>
      <c r="FL20" s="229">
        <v>45925</v>
      </c>
      <c r="FM20" s="230">
        <v>0.71608250840628107</v>
      </c>
      <c r="FN20" s="9">
        <f t="shared" si="40"/>
        <v>0.49222502903043786</v>
      </c>
      <c r="FO20" s="9">
        <f t="shared" si="40"/>
        <v>0.551420393663546</v>
      </c>
      <c r="FP20" s="9">
        <f t="shared" si="40"/>
        <v>0.59016327617053943</v>
      </c>
      <c r="FQ20" s="9">
        <f t="shared" si="40"/>
        <v>0.61647042284979492</v>
      </c>
      <c r="FR20" s="9">
        <f t="shared" si="40"/>
        <v>0.6708472125011572</v>
      </c>
      <c r="FS20" s="9">
        <f t="shared" si="40"/>
        <v>0.75456416127386383</v>
      </c>
      <c r="FT20" s="9">
        <f t="shared" si="40"/>
        <v>0.86719372210374834</v>
      </c>
      <c r="FU20" s="9">
        <f t="shared" si="40"/>
        <v>0.98117266989220153</v>
      </c>
      <c r="FV20" s="9">
        <f t="shared" si="40"/>
        <v>1.0700250722747962</v>
      </c>
      <c r="FW20" s="9">
        <f t="shared" si="40"/>
        <v>1.257860059211557</v>
      </c>
      <c r="FX20" s="9">
        <f t="shared" si="40"/>
        <v>1.6976439687870712</v>
      </c>
      <c r="FY20" s="32"/>
      <c r="FZ20" s="32">
        <v>748977600.53756142</v>
      </c>
      <c r="GA20" s="32">
        <f t="shared" si="41"/>
        <v>0.74897760053756146</v>
      </c>
      <c r="GB20" s="32"/>
      <c r="GC20" s="41">
        <v>45561</v>
      </c>
      <c r="GD20" s="9">
        <v>0.74897760053756146</v>
      </c>
      <c r="GE20" s="9">
        <f t="shared" si="42"/>
        <v>0.62102612323698148</v>
      </c>
      <c r="GF20" s="9">
        <f t="shared" si="42"/>
        <v>0.67882470411041806</v>
      </c>
      <c r="GG20" s="9">
        <f t="shared" si="42"/>
        <v>0.72741627987281476</v>
      </c>
      <c r="GH20" s="9">
        <f t="shared" si="42"/>
        <v>0.75940866290214948</v>
      </c>
      <c r="GI20" s="9">
        <f t="shared" si="42"/>
        <v>0.81952124627323109</v>
      </c>
      <c r="GJ20" s="9">
        <f t="shared" si="42"/>
        <v>0.89509447942029219</v>
      </c>
      <c r="GK20" s="9">
        <f t="shared" si="42"/>
        <v>0.98508962948945988</v>
      </c>
      <c r="GL20" s="9">
        <f t="shared" si="42"/>
        <v>1.0774381986958186</v>
      </c>
      <c r="GM20" s="9">
        <f t="shared" si="42"/>
        <v>1.1350038243047758</v>
      </c>
      <c r="GN20" s="9">
        <f t="shared" si="42"/>
        <v>1.2511732232173043</v>
      </c>
      <c r="GO20" s="9">
        <f t="shared" si="42"/>
        <v>1.5750274590464126</v>
      </c>
      <c r="GP20" s="32"/>
      <c r="GQ20" s="32"/>
      <c r="HA20" s="41">
        <f t="shared" si="43"/>
        <v>44833</v>
      </c>
      <c r="HB20" s="9"/>
      <c r="HC20" s="9">
        <f t="shared" si="61"/>
        <v>0.46306182742073576</v>
      </c>
      <c r="HD20" s="9">
        <f t="shared" si="66"/>
        <v>0.47172383455174521</v>
      </c>
      <c r="HE20" s="9">
        <f t="shared" si="62"/>
        <v>0.48832997583403892</v>
      </c>
      <c r="HF20" s="9">
        <f t="shared" si="62"/>
        <v>0.49749176301567399</v>
      </c>
      <c r="HG20" s="9">
        <f t="shared" si="62"/>
        <v>0.50501704824538896</v>
      </c>
      <c r="HH20" s="9">
        <f t="shared" si="62"/>
        <v>0.52377495658807893</v>
      </c>
      <c r="HI20" s="9">
        <f t="shared" si="62"/>
        <v>0.5435566030488227</v>
      </c>
      <c r="HJ20" s="9">
        <f t="shared" si="62"/>
        <v>0.58848404503702911</v>
      </c>
      <c r="HK20" s="9">
        <f t="shared" si="62"/>
        <v>0.62702359984046285</v>
      </c>
      <c r="HL20" s="9">
        <f t="shared" si="62"/>
        <v>0.65100722188864535</v>
      </c>
      <c r="HM20" s="9">
        <f t="shared" si="62"/>
        <v>0.69978980622393772</v>
      </c>
      <c r="HN20" s="9">
        <f t="shared" si="62"/>
        <v>0.85935145712416905</v>
      </c>
      <c r="HO20" s="9"/>
      <c r="HP20" s="9"/>
      <c r="HQ20" s="9"/>
      <c r="HR20" s="9"/>
      <c r="HS20" s="32"/>
      <c r="HT20" s="32">
        <v>4</v>
      </c>
      <c r="HU20" s="32"/>
      <c r="HV20" s="41">
        <f t="shared" si="44"/>
        <v>44833</v>
      </c>
      <c r="HW20" s="9">
        <f t="shared" si="63"/>
        <v>0.46306182742073576</v>
      </c>
      <c r="HX20" s="9">
        <f t="shared" si="67"/>
        <v>0.3979219343953897</v>
      </c>
      <c r="HY20" s="9">
        <f t="shared" si="64"/>
        <v>0.44736299113001904</v>
      </c>
      <c r="HZ20" s="9">
        <f t="shared" si="64"/>
        <v>0.48458590109464816</v>
      </c>
      <c r="IA20" s="9">
        <f t="shared" si="64"/>
        <v>0.52684643949962418</v>
      </c>
      <c r="IB20" s="9">
        <f t="shared" si="64"/>
        <v>0.57383414624154561</v>
      </c>
      <c r="IC20" s="9">
        <f t="shared" si="64"/>
        <v>0.64964645501009022</v>
      </c>
      <c r="ID20" s="9">
        <f t="shared" si="64"/>
        <v>0.78853608537607567</v>
      </c>
      <c r="IE20" s="9">
        <f t="shared" si="64"/>
        <v>1.0388998012510484</v>
      </c>
      <c r="IF20" s="9">
        <f t="shared" si="64"/>
        <v>1.0993461840459875</v>
      </c>
      <c r="IG20" s="9">
        <f t="shared" si="64"/>
        <v>1.3864890887392676</v>
      </c>
      <c r="IH20" s="9">
        <f t="shared" si="64"/>
        <v>2.2194711419579085</v>
      </c>
      <c r="II20" s="9"/>
      <c r="IJ20" s="9"/>
      <c r="IK20" s="9"/>
      <c r="IL20" s="9"/>
      <c r="IM20" s="32"/>
      <c r="IN20" s="32">
        <v>4</v>
      </c>
      <c r="IO20" s="32"/>
      <c r="IZ20" s="41">
        <f t="shared" si="11"/>
        <v>44833</v>
      </c>
      <c r="JA20" s="9">
        <f t="shared" si="11"/>
        <v>0.46306182742073576</v>
      </c>
      <c r="JB20" s="9"/>
      <c r="JC20" s="9"/>
      <c r="JD20" s="9"/>
      <c r="JE20" s="9"/>
      <c r="JF20" s="9"/>
      <c r="JG20" s="9"/>
      <c r="JH20" s="9"/>
      <c r="JI20" s="9"/>
      <c r="JJ20" s="9"/>
      <c r="JK20" s="9"/>
      <c r="JL20" s="9"/>
      <c r="JM20" s="9"/>
      <c r="JX20" s="41">
        <v>44833</v>
      </c>
      <c r="JY20" s="9">
        <v>0.47136307522920007</v>
      </c>
      <c r="JZ20" s="9"/>
      <c r="KA20" s="9"/>
      <c r="KB20" s="9"/>
      <c r="KM20" s="41">
        <v>43006</v>
      </c>
      <c r="KN20" s="241">
        <v>13254654.154499998</v>
      </c>
      <c r="KO20" s="241">
        <f t="shared" si="47"/>
        <v>266937507.47399998</v>
      </c>
      <c r="KQ20" s="41">
        <v>43188</v>
      </c>
      <c r="KR20" s="241">
        <v>14010287.681499999</v>
      </c>
      <c r="KS20" s="241">
        <f t="shared" si="48"/>
        <v>349308000.23349994</v>
      </c>
      <c r="KU20" s="41">
        <v>43370</v>
      </c>
      <c r="KV20" s="241">
        <v>15546684.007800002</v>
      </c>
      <c r="KW20" s="241">
        <f t="shared" si="49"/>
        <v>671637206.03100002</v>
      </c>
      <c r="KY20" s="41">
        <v>43552</v>
      </c>
      <c r="KZ20" s="241">
        <v>31628040.444000002</v>
      </c>
      <c r="LA20" s="241">
        <f t="shared" si="50"/>
        <v>720470938.56540024</v>
      </c>
      <c r="LC20" s="41">
        <v>43734</v>
      </c>
      <c r="LD20" s="241">
        <v>18980395.097400002</v>
      </c>
      <c r="LE20" s="241">
        <f t="shared" si="51"/>
        <v>1081222869.0384002</v>
      </c>
      <c r="LG20" s="41">
        <v>43916</v>
      </c>
      <c r="LH20" s="241">
        <v>104209725.49680001</v>
      </c>
      <c r="LI20" s="241">
        <f t="shared" si="52"/>
        <v>614271358.50960004</v>
      </c>
      <c r="LK20" s="41">
        <v>44098</v>
      </c>
      <c r="LL20" s="241">
        <v>24737153.509199999</v>
      </c>
      <c r="LM20" s="241">
        <f t="shared" si="53"/>
        <v>688863508.89839995</v>
      </c>
      <c r="LO20" s="41">
        <v>44287</v>
      </c>
      <c r="LP20" s="241">
        <v>45623605.849799998</v>
      </c>
      <c r="LQ20" s="241">
        <f t="shared" si="54"/>
        <v>612035025.78900003</v>
      </c>
      <c r="LS20" s="41">
        <v>44462</v>
      </c>
      <c r="LT20" s="241">
        <v>24174927.275400002</v>
      </c>
      <c r="LU20" s="241">
        <f t="shared" si="55"/>
        <v>723489870.31860006</v>
      </c>
      <c r="LW20" s="41">
        <v>44651</v>
      </c>
      <c r="LX20" s="241">
        <v>34507525.965000004</v>
      </c>
      <c r="LY20" s="241">
        <f t="shared" si="56"/>
        <v>959704405.7700001</v>
      </c>
      <c r="MA20" s="32">
        <v>13</v>
      </c>
      <c r="MB20" s="42">
        <f t="shared" si="12"/>
        <v>0.26693750747399997</v>
      </c>
      <c r="MC20" s="42">
        <f t="shared" si="13"/>
        <v>0.34930800023349995</v>
      </c>
      <c r="MD20" s="42">
        <f t="shared" si="14"/>
        <v>0.67163720603099997</v>
      </c>
      <c r="ME20" s="42">
        <f t="shared" si="15"/>
        <v>0.72047093856540023</v>
      </c>
      <c r="MF20" s="42">
        <f t="shared" si="16"/>
        <v>1.0812228690384003</v>
      </c>
      <c r="MG20" s="42">
        <f t="shared" si="17"/>
        <v>0.61427135850960002</v>
      </c>
      <c r="MH20" s="42">
        <f t="shared" si="18"/>
        <v>0.68886350889839998</v>
      </c>
      <c r="MI20" s="42">
        <f t="shared" si="19"/>
        <v>0.61203502578900004</v>
      </c>
      <c r="MJ20" s="42">
        <f t="shared" si="20"/>
        <v>0.72348987031860001</v>
      </c>
      <c r="MK20" s="42">
        <f t="shared" si="21"/>
        <v>0.95970440577000005</v>
      </c>
      <c r="ML20" s="8"/>
      <c r="MM20" s="8"/>
      <c r="MN20" s="8"/>
      <c r="NS20" s="41">
        <f t="shared" si="65"/>
        <v>44651</v>
      </c>
      <c r="NT20" s="9">
        <f t="shared" si="22"/>
        <v>0.95970440577000005</v>
      </c>
      <c r="NU20" s="9">
        <f t="shared" si="57"/>
        <v>0.42748651673227511</v>
      </c>
      <c r="NV20" s="9">
        <f t="shared" si="57"/>
        <v>0.50568857804867329</v>
      </c>
      <c r="NW20" s="9">
        <f t="shared" si="57"/>
        <v>0.55137892604214755</v>
      </c>
      <c r="NX20" s="9">
        <f t="shared" si="57"/>
        <v>0.58343069510384993</v>
      </c>
      <c r="NY20" s="9">
        <f t="shared" si="57"/>
        <v>0.65070996062159991</v>
      </c>
      <c r="NZ20" s="9">
        <f t="shared" si="57"/>
        <v>0.76504368714386273</v>
      </c>
      <c r="OA20" s="9">
        <f t="shared" si="57"/>
        <v>0.88113700320442534</v>
      </c>
      <c r="OB20" s="9">
        <f t="shared" si="57"/>
        <v>1.0179499545335999</v>
      </c>
      <c r="OC20" s="9">
        <f t="shared" si="57"/>
        <v>1.115715460630925</v>
      </c>
      <c r="OD20" s="9">
        <f t="shared" si="57"/>
        <v>1.308354591688375</v>
      </c>
      <c r="OE20" s="9">
        <f t="shared" si="57"/>
        <v>1.6932459178736745</v>
      </c>
      <c r="OF20" s="9">
        <f t="shared" ca="1" si="57"/>
        <v>0.87198686333879982</v>
      </c>
      <c r="OG20" s="32"/>
      <c r="OR20" s="41">
        <f t="shared" si="58"/>
        <v>44651</v>
      </c>
      <c r="OS20" s="9">
        <f t="shared" si="58"/>
        <v>0.95970440577000005</v>
      </c>
      <c r="OT20" s="9"/>
      <c r="OU20" s="9"/>
      <c r="OV20" s="9"/>
      <c r="OW20" s="9"/>
      <c r="OX20" s="9"/>
      <c r="OY20" s="9"/>
      <c r="OZ20" s="9"/>
      <c r="PA20" s="9"/>
      <c r="PB20" s="9"/>
      <c r="PC20" s="9"/>
      <c r="PD20" s="9"/>
      <c r="PE20" s="9"/>
    </row>
    <row r="21" spans="2:423" x14ac:dyDescent="0.25">
      <c r="B21" s="48">
        <v>42831</v>
      </c>
      <c r="C21" s="49">
        <v>12906474.085999999</v>
      </c>
      <c r="D21" s="49">
        <v>13892120</v>
      </c>
      <c r="E21" s="50">
        <v>3000000</v>
      </c>
      <c r="F21" s="50"/>
      <c r="G21" s="50"/>
      <c r="H21" s="50"/>
      <c r="I21" s="38">
        <v>43013</v>
      </c>
      <c r="J21" s="240">
        <v>6000000</v>
      </c>
      <c r="K21" s="240">
        <v>16254909.643499998</v>
      </c>
      <c r="L21" s="241">
        <f t="shared" si="24"/>
        <v>283192417.11749995</v>
      </c>
      <c r="N21" s="38">
        <v>43377</v>
      </c>
      <c r="O21" s="240">
        <v>8000000</v>
      </c>
      <c r="P21" s="240">
        <v>22194381.052800003</v>
      </c>
      <c r="Q21" s="241">
        <f t="shared" si="25"/>
        <v>693831587.08380008</v>
      </c>
      <c r="S21" s="38">
        <v>43741</v>
      </c>
      <c r="T21" s="240">
        <v>8000000</v>
      </c>
      <c r="U21" s="240">
        <v>22398321.204600003</v>
      </c>
      <c r="V21" s="241">
        <f t="shared" si="26"/>
        <v>1103621190.2430003</v>
      </c>
      <c r="X21" s="38">
        <v>44105</v>
      </c>
      <c r="Y21" s="240">
        <v>8000000</v>
      </c>
      <c r="Z21" s="240">
        <v>33317569.857000001</v>
      </c>
      <c r="AA21" s="241">
        <f t="shared" si="27"/>
        <v>722181078.75539994</v>
      </c>
      <c r="AC21" s="38">
        <v>44469</v>
      </c>
      <c r="AD21" s="240">
        <v>8000000</v>
      </c>
      <c r="AE21" s="240">
        <v>32480836.924800001</v>
      </c>
      <c r="AF21" s="241">
        <f t="shared" si="28"/>
        <v>755970707.2434001</v>
      </c>
      <c r="AG21" s="241"/>
      <c r="AH21" s="38">
        <v>44840</v>
      </c>
      <c r="AI21" s="240">
        <v>30000000</v>
      </c>
      <c r="AJ21" s="240">
        <v>57538545.835986614</v>
      </c>
      <c r="AK21" s="241">
        <f t="shared" si="29"/>
        <v>520600373.25672239</v>
      </c>
      <c r="AM21" s="32">
        <v>14</v>
      </c>
      <c r="AN21" s="39">
        <f t="shared" si="0"/>
        <v>0.28319241711749993</v>
      </c>
      <c r="AO21" s="39">
        <f t="shared" si="1"/>
        <v>0.69383158708380011</v>
      </c>
      <c r="AP21" s="39">
        <f t="shared" si="2"/>
        <v>1.1036211902430002</v>
      </c>
      <c r="AQ21" s="39">
        <f t="shared" si="3"/>
        <v>0.72218107875539994</v>
      </c>
      <c r="AR21" s="39">
        <f t="shared" si="30"/>
        <v>0.7559707072434001</v>
      </c>
      <c r="AS21" s="39">
        <f t="shared" si="31"/>
        <v>0.52060037325672237</v>
      </c>
      <c r="AT21" s="39"/>
      <c r="AU21" s="39">
        <f t="shared" si="32"/>
        <v>0.68820019693663537</v>
      </c>
      <c r="AV21" s="9"/>
      <c r="AW21" s="9"/>
      <c r="AX21" s="9"/>
      <c r="BZ21" s="59" t="s">
        <v>74</v>
      </c>
      <c r="CA21" s="60" t="s">
        <v>75</v>
      </c>
      <c r="CB21" s="61">
        <v>3</v>
      </c>
      <c r="CC21" s="61">
        <v>3</v>
      </c>
      <c r="CD21" s="61">
        <v>3</v>
      </c>
      <c r="CE21" s="61">
        <v>12</v>
      </c>
      <c r="CF21" s="61">
        <v>60</v>
      </c>
      <c r="CG21" s="61">
        <v>50</v>
      </c>
      <c r="CH21" s="61">
        <v>60</v>
      </c>
      <c r="CI21" s="61">
        <v>60</v>
      </c>
      <c r="CT21" s="41">
        <f t="shared" si="33"/>
        <v>44840</v>
      </c>
      <c r="CU21" s="9">
        <f t="shared" si="34"/>
        <v>0.52060037325672237</v>
      </c>
      <c r="CV21" s="9">
        <f t="shared" si="35"/>
        <v>0.53121094417933012</v>
      </c>
      <c r="CW21" s="9">
        <f t="shared" si="35"/>
        <v>0.6361083893962719</v>
      </c>
      <c r="CX21" s="9">
        <f t="shared" si="35"/>
        <v>0.67783546387853766</v>
      </c>
      <c r="CY21" s="9">
        <f t="shared" si="35"/>
        <v>0.70702810208835465</v>
      </c>
      <c r="CZ21" s="9">
        <f t="shared" si="35"/>
        <v>0.76592087606433612</v>
      </c>
      <c r="DA21" s="9">
        <f t="shared" si="35"/>
        <v>0.84293592420810504</v>
      </c>
      <c r="DB21" s="9">
        <f t="shared" si="35"/>
        <v>0.92725546958404992</v>
      </c>
      <c r="DC21" s="9">
        <f t="shared" si="35"/>
        <v>1.0166078054612404</v>
      </c>
      <c r="DD21" s="9">
        <f t="shared" si="35"/>
        <v>1.0700823409532414</v>
      </c>
      <c r="DE21" s="9">
        <f t="shared" si="35"/>
        <v>1.1862009386571393</v>
      </c>
      <c r="DF21" s="9">
        <f t="shared" si="35"/>
        <v>1.4403538395038491</v>
      </c>
      <c r="DG21" s="32"/>
      <c r="DH21" s="32"/>
      <c r="DR21" s="41">
        <v>45204</v>
      </c>
      <c r="DS21" s="9">
        <v>1.030205882</v>
      </c>
      <c r="DT21" s="9">
        <f t="shared" si="36"/>
        <v>0.57302595831302072</v>
      </c>
      <c r="DU21" s="9">
        <f t="shared" si="36"/>
        <v>0.67696516261437945</v>
      </c>
      <c r="DV21" s="9">
        <f t="shared" si="36"/>
        <v>0.73220925060227771</v>
      </c>
      <c r="DW21" s="9">
        <f t="shared" si="36"/>
        <v>0.76590419059529613</v>
      </c>
      <c r="DX21" s="9">
        <f t="shared" si="36"/>
        <v>0.83129133289692958</v>
      </c>
      <c r="DY21" s="9">
        <f t="shared" si="36"/>
        <v>0.91354635292323605</v>
      </c>
      <c r="DZ21" s="9">
        <f t="shared" si="36"/>
        <v>1.0065169121075568</v>
      </c>
      <c r="EA21" s="9">
        <f t="shared" si="36"/>
        <v>1.1053969754316721</v>
      </c>
      <c r="EB21" s="9">
        <f t="shared" si="36"/>
        <v>1.1652122249467094</v>
      </c>
      <c r="EC21" s="9">
        <f t="shared" si="36"/>
        <v>1.2812052020971612</v>
      </c>
      <c r="ED21" s="9">
        <f t="shared" si="36"/>
        <v>1.6420451714736795</v>
      </c>
      <c r="EE21" s="32"/>
      <c r="EF21" s="32"/>
      <c r="EQ21" s="41">
        <v>45568</v>
      </c>
      <c r="ER21" s="76">
        <v>0.79352683226727705</v>
      </c>
      <c r="ES21" s="9">
        <f t="shared" si="37"/>
        <v>0.6092153846153846</v>
      </c>
      <c r="ET21" s="9">
        <f t="shared" si="37"/>
        <v>0.68169230769230771</v>
      </c>
      <c r="EU21" s="9">
        <f t="shared" si="37"/>
        <v>0.73403076923076949</v>
      </c>
      <c r="EV21" s="9">
        <f t="shared" si="37"/>
        <v>0.77188461538461539</v>
      </c>
      <c r="EW21" s="9">
        <f t="shared" si="37"/>
        <v>0.84624615384615376</v>
      </c>
      <c r="EX21" s="9">
        <f t="shared" si="37"/>
        <v>0.95340000000000025</v>
      </c>
      <c r="EY21" s="9">
        <f t="shared" si="37"/>
        <v>1.0838692307692306</v>
      </c>
      <c r="EZ21" s="9">
        <f t="shared" si="37"/>
        <v>1.2329692307692308</v>
      </c>
      <c r="FA21" s="9">
        <f t="shared" si="37"/>
        <v>1.3268230769230771</v>
      </c>
      <c r="FB21" s="9">
        <f t="shared" si="37"/>
        <v>1.5363384615384617</v>
      </c>
      <c r="FC21" s="9">
        <f t="shared" si="37"/>
        <v>2.0221384615384617</v>
      </c>
      <c r="FD21" s="32"/>
      <c r="FE21" s="32">
        <v>793526832.267277</v>
      </c>
      <c r="FF21" s="32">
        <f t="shared" si="38"/>
        <v>0.79352683226727705</v>
      </c>
      <c r="FG21" s="32"/>
      <c r="FH21" s="32"/>
      <c r="FI21" s="32">
        <v>780602926.73138595</v>
      </c>
      <c r="FJ21" s="32">
        <f t="shared" si="39"/>
        <v>0.78060292673138598</v>
      </c>
      <c r="FK21" s="32"/>
      <c r="FL21" s="229">
        <v>45932</v>
      </c>
      <c r="FM21" s="230">
        <v>0.78060292673138598</v>
      </c>
      <c r="FN21" s="9">
        <f t="shared" si="40"/>
        <v>0.53008849280200998</v>
      </c>
      <c r="FO21" s="9">
        <f t="shared" si="40"/>
        <v>0.5938373470222803</v>
      </c>
      <c r="FP21" s="9">
        <f t="shared" si="40"/>
        <v>0.63556045126058092</v>
      </c>
      <c r="FQ21" s="9">
        <f t="shared" si="40"/>
        <v>0.66389122460747141</v>
      </c>
      <c r="FR21" s="9">
        <f t="shared" si="40"/>
        <v>0.72245084423201544</v>
      </c>
      <c r="FS21" s="9">
        <f t="shared" si="40"/>
        <v>0.81260755829493025</v>
      </c>
      <c r="FT21" s="9">
        <f t="shared" si="40"/>
        <v>0.93390093149634434</v>
      </c>
      <c r="FU21" s="9">
        <f t="shared" si="40"/>
        <v>1.05664749065314</v>
      </c>
      <c r="FV21" s="9">
        <f t="shared" si="40"/>
        <v>1.1523346932190113</v>
      </c>
      <c r="FW21" s="9">
        <f t="shared" si="40"/>
        <v>1.3546185253047536</v>
      </c>
      <c r="FX21" s="9">
        <f t="shared" si="40"/>
        <v>1.8282319663860767</v>
      </c>
      <c r="FY21" s="32"/>
      <c r="FZ21" s="32">
        <v>793526832.267277</v>
      </c>
      <c r="GA21" s="32">
        <f t="shared" si="41"/>
        <v>0.79352683226727705</v>
      </c>
      <c r="GB21" s="32"/>
      <c r="GC21" s="41">
        <v>45568</v>
      </c>
      <c r="GD21" s="9">
        <v>0.79352683226727705</v>
      </c>
      <c r="GE21" s="9">
        <f t="shared" si="42"/>
        <v>0.66879736348598007</v>
      </c>
      <c r="GF21" s="9">
        <f t="shared" si="42"/>
        <v>0.73104198904198869</v>
      </c>
      <c r="GG21" s="9">
        <f t="shared" si="42"/>
        <v>0.78337137832456971</v>
      </c>
      <c r="GH21" s="9">
        <f t="shared" si="42"/>
        <v>0.81782471389462252</v>
      </c>
      <c r="GI21" s="9">
        <f t="shared" si="42"/>
        <v>0.88256134214040272</v>
      </c>
      <c r="GJ21" s="9">
        <f t="shared" si="42"/>
        <v>0.96394790091416083</v>
      </c>
      <c r="GK21" s="9">
        <f t="shared" si="42"/>
        <v>1.0608657548348031</v>
      </c>
      <c r="GL21" s="9">
        <f t="shared" si="42"/>
        <v>1.1603180601339584</v>
      </c>
      <c r="GM21" s="9">
        <f t="shared" si="42"/>
        <v>1.2223118107897586</v>
      </c>
      <c r="GN21" s="9">
        <f t="shared" si="42"/>
        <v>1.3474173173109432</v>
      </c>
      <c r="GO21" s="9">
        <f t="shared" si="42"/>
        <v>1.6961834174345982</v>
      </c>
      <c r="GP21" s="32"/>
      <c r="GQ21" s="32"/>
      <c r="HA21" s="41">
        <f t="shared" si="43"/>
        <v>44840</v>
      </c>
      <c r="HB21" s="9"/>
      <c r="HC21" s="9">
        <f t="shared" si="61"/>
        <v>0.52060037325672237</v>
      </c>
      <c r="HD21" s="9">
        <f t="shared" si="66"/>
        <v>0.50841130345155772</v>
      </c>
      <c r="HE21" s="9">
        <f t="shared" si="62"/>
        <v>0.53055282516128266</v>
      </c>
      <c r="HF21" s="9">
        <f t="shared" si="62"/>
        <v>0.54276854140346276</v>
      </c>
      <c r="HG21" s="9">
        <f t="shared" si="62"/>
        <v>0.55280225504308267</v>
      </c>
      <c r="HH21" s="9">
        <f t="shared" si="62"/>
        <v>0.57781279950000264</v>
      </c>
      <c r="HI21" s="9">
        <f t="shared" si="62"/>
        <v>0.60418832811432766</v>
      </c>
      <c r="HJ21" s="9">
        <f t="shared" si="62"/>
        <v>0.66409158409860292</v>
      </c>
      <c r="HK21" s="9">
        <f t="shared" si="62"/>
        <v>0.7154776571698479</v>
      </c>
      <c r="HL21" s="9">
        <f t="shared" si="62"/>
        <v>0.74745581990075793</v>
      </c>
      <c r="HM21" s="9">
        <f t="shared" si="62"/>
        <v>0.81249926568114772</v>
      </c>
      <c r="HN21" s="9">
        <f t="shared" si="62"/>
        <v>1.0252481335481229</v>
      </c>
      <c r="HO21" s="9"/>
      <c r="HP21" s="9"/>
      <c r="HQ21" s="9"/>
      <c r="HR21" s="9"/>
      <c r="HS21" s="32"/>
      <c r="HT21" s="32">
        <v>4</v>
      </c>
      <c r="HU21" s="32"/>
      <c r="HV21" s="41">
        <f t="shared" si="44"/>
        <v>44840</v>
      </c>
      <c r="HW21" s="9">
        <f t="shared" si="63"/>
        <v>0.52060037325672237</v>
      </c>
      <c r="HX21" s="9">
        <f t="shared" si="67"/>
        <v>0.43976624554715293</v>
      </c>
      <c r="HY21" s="9">
        <f t="shared" si="64"/>
        <v>0.49601368887824732</v>
      </c>
      <c r="HZ21" s="9">
        <f t="shared" si="64"/>
        <v>0.53765571878452711</v>
      </c>
      <c r="IA21" s="9">
        <f t="shared" si="64"/>
        <v>0.58183684122498081</v>
      </c>
      <c r="IB21" s="9">
        <f t="shared" si="64"/>
        <v>0.63481315123246462</v>
      </c>
      <c r="IC21" s="9">
        <f t="shared" si="64"/>
        <v>0.72017742190176404</v>
      </c>
      <c r="ID21" s="9">
        <f t="shared" si="64"/>
        <v>0.8678045602863923</v>
      </c>
      <c r="IE21" s="9">
        <f t="shared" si="64"/>
        <v>1.1177687213051151</v>
      </c>
      <c r="IF21" s="9">
        <f t="shared" si="64"/>
        <v>1.1903753816518081</v>
      </c>
      <c r="IG21" s="9">
        <f t="shared" si="64"/>
        <v>1.4801858846318547</v>
      </c>
      <c r="IH21" s="9">
        <f t="shared" si="64"/>
        <v>2.3086059395601239</v>
      </c>
      <c r="II21" s="9"/>
      <c r="IJ21" s="9"/>
      <c r="IK21" s="9"/>
      <c r="IL21" s="9"/>
      <c r="IM21" s="32"/>
      <c r="IN21" s="32">
        <v>4</v>
      </c>
      <c r="IO21" s="32"/>
      <c r="IZ21" s="41">
        <f t="shared" si="11"/>
        <v>44840</v>
      </c>
      <c r="JA21" s="9">
        <f t="shared" si="11"/>
        <v>0.52060037325672237</v>
      </c>
      <c r="JB21" s="9"/>
      <c r="JC21" s="9"/>
      <c r="JD21" s="9"/>
      <c r="JE21" s="9"/>
      <c r="JF21" s="9"/>
      <c r="JG21" s="9"/>
      <c r="JH21" s="9"/>
      <c r="JI21" s="9"/>
      <c r="JJ21" s="9"/>
      <c r="JK21" s="9"/>
      <c r="JL21" s="9"/>
      <c r="JM21" s="9"/>
      <c r="JX21" s="41">
        <v>44840</v>
      </c>
      <c r="JY21" s="9">
        <v>0.52978191235200001</v>
      </c>
      <c r="JZ21" s="9"/>
      <c r="KA21" s="9"/>
      <c r="KB21" s="9"/>
      <c r="KM21" s="41">
        <v>43013</v>
      </c>
      <c r="KN21" s="241">
        <v>16254909.643499998</v>
      </c>
      <c r="KO21" s="241">
        <f t="shared" si="47"/>
        <v>283192417.11749995</v>
      </c>
      <c r="KQ21" s="41">
        <v>43195</v>
      </c>
      <c r="KR21" s="241">
        <v>17016981.487</v>
      </c>
      <c r="KS21" s="241">
        <f t="shared" si="48"/>
        <v>366324981.72049993</v>
      </c>
      <c r="KU21" s="41">
        <v>43377</v>
      </c>
      <c r="KV21" s="241">
        <v>22194381.052800003</v>
      </c>
      <c r="KW21" s="241">
        <f t="shared" si="49"/>
        <v>693831587.08380008</v>
      </c>
      <c r="KY21" s="41">
        <v>43559</v>
      </c>
      <c r="KZ21" s="241">
        <v>16092624.391800001</v>
      </c>
      <c r="LA21" s="241">
        <f t="shared" si="50"/>
        <v>736563562.95720029</v>
      </c>
      <c r="LC21" s="41">
        <v>43741</v>
      </c>
      <c r="LD21" s="241">
        <v>22398321.204600003</v>
      </c>
      <c r="LE21" s="241">
        <f t="shared" si="51"/>
        <v>1103621190.2430003</v>
      </c>
      <c r="LG21" s="41">
        <v>43923</v>
      </c>
      <c r="LH21" s="241">
        <v>18553786.0266</v>
      </c>
      <c r="LI21" s="241">
        <f t="shared" si="52"/>
        <v>632825144.53620005</v>
      </c>
      <c r="LK21" s="41">
        <v>44105</v>
      </c>
      <c r="LL21" s="241">
        <v>33317569.857000001</v>
      </c>
      <c r="LM21" s="241">
        <f t="shared" si="53"/>
        <v>722181078.75539994</v>
      </c>
      <c r="LO21" s="41">
        <v>44294</v>
      </c>
      <c r="LP21" s="241">
        <v>51381519.980999999</v>
      </c>
      <c r="LQ21" s="241">
        <f t="shared" si="54"/>
        <v>663416545.76999998</v>
      </c>
      <c r="LS21" s="41">
        <v>44469</v>
      </c>
      <c r="LT21" s="241">
        <v>32480836.924800001</v>
      </c>
      <c r="LU21" s="241">
        <f t="shared" si="55"/>
        <v>755970707.2434001</v>
      </c>
      <c r="LW21" s="38">
        <v>44658</v>
      </c>
      <c r="LX21" s="49">
        <v>53940326.0022</v>
      </c>
      <c r="LY21" s="241">
        <f t="shared" si="56"/>
        <v>1013644731.7722001</v>
      </c>
      <c r="MA21" s="32">
        <v>14</v>
      </c>
      <c r="MB21" s="42">
        <f t="shared" si="12"/>
        <v>0.28319241711749993</v>
      </c>
      <c r="MC21" s="42">
        <f t="shared" si="13"/>
        <v>0.36632498172049993</v>
      </c>
      <c r="MD21" s="42">
        <f t="shared" si="14"/>
        <v>0.69383158708380011</v>
      </c>
      <c r="ME21" s="42">
        <f t="shared" si="15"/>
        <v>0.73656356295720027</v>
      </c>
      <c r="MF21" s="42">
        <f t="shared" si="16"/>
        <v>1.1036211902430002</v>
      </c>
      <c r="MG21" s="42">
        <f t="shared" si="17"/>
        <v>0.63282514453620009</v>
      </c>
      <c r="MH21" s="42">
        <f t="shared" si="18"/>
        <v>0.72218107875539994</v>
      </c>
      <c r="MI21" s="42">
        <f t="shared" si="19"/>
        <v>0.66341654576999998</v>
      </c>
      <c r="MJ21" s="42">
        <f t="shared" si="20"/>
        <v>0.7559707072434001</v>
      </c>
      <c r="MK21" s="42">
        <f t="shared" si="21"/>
        <v>1.0136447317722002</v>
      </c>
      <c r="ML21" s="8"/>
      <c r="MM21" s="8"/>
      <c r="MN21" s="8"/>
      <c r="MV21" s="60"/>
      <c r="MW21" s="64" t="s">
        <v>30</v>
      </c>
      <c r="MX21" s="10">
        <v>0.37583408158170628</v>
      </c>
      <c r="MY21" s="53">
        <f t="shared" ref="MY21:MY31" si="68">MZ68</f>
        <v>0.48334225115126928</v>
      </c>
      <c r="MZ21" s="10">
        <v>0.61617600454795007</v>
      </c>
      <c r="NA21" s="10">
        <v>0.5812529123496698</v>
      </c>
      <c r="NB21" s="10">
        <v>0.64077554229480016</v>
      </c>
      <c r="NC21" s="10">
        <v>0.68960513609679974</v>
      </c>
      <c r="ND21" s="10">
        <v>0.89806694538667831</v>
      </c>
      <c r="NE21" s="10">
        <v>0.69842772105810014</v>
      </c>
      <c r="NF21" s="10">
        <v>0.92649137214238053</v>
      </c>
      <c r="NG21" s="10">
        <v>0.85497303346455</v>
      </c>
      <c r="NH21" s="10">
        <v>0.56828039575230005</v>
      </c>
      <c r="NS21" s="41">
        <f t="shared" si="65"/>
        <v>44658</v>
      </c>
      <c r="NT21" s="9">
        <f t="shared" si="22"/>
        <v>1.0136447317722002</v>
      </c>
      <c r="NU21" s="9">
        <f t="shared" si="57"/>
        <v>0.46037009494245013</v>
      </c>
      <c r="NV21" s="9">
        <f t="shared" si="57"/>
        <v>0.54458769943703278</v>
      </c>
      <c r="NW21" s="9">
        <f t="shared" si="57"/>
        <v>0.59379268958385123</v>
      </c>
      <c r="NX21" s="9">
        <f t="shared" si="57"/>
        <v>0.62830997934260757</v>
      </c>
      <c r="NY21" s="9">
        <f t="shared" si="57"/>
        <v>0.70076457297710759</v>
      </c>
      <c r="NZ21" s="9">
        <f t="shared" si="57"/>
        <v>0.82389320153954448</v>
      </c>
      <c r="OA21" s="9">
        <f t="shared" si="57"/>
        <v>0.94891677268168884</v>
      </c>
      <c r="OB21" s="9">
        <f t="shared" si="57"/>
        <v>1.0962537971900308</v>
      </c>
      <c r="OC21" s="9">
        <f t="shared" si="57"/>
        <v>1.2015397268333039</v>
      </c>
      <c r="OD21" s="9">
        <f t="shared" si="57"/>
        <v>1.4089972525874808</v>
      </c>
      <c r="OE21" s="9">
        <f t="shared" si="57"/>
        <v>1.8234956038639571</v>
      </c>
      <c r="OF21" s="9">
        <f t="shared" ca="1" si="57"/>
        <v>0.93906277590332288</v>
      </c>
      <c r="OG21" s="32"/>
      <c r="OR21" s="41">
        <f t="shared" si="58"/>
        <v>44658</v>
      </c>
      <c r="OS21" s="9">
        <f t="shared" si="58"/>
        <v>1.0136447317722002</v>
      </c>
      <c r="OT21" s="9"/>
      <c r="OU21" s="9"/>
      <c r="OV21" s="9"/>
      <c r="OW21" s="9"/>
      <c r="OX21" s="9"/>
      <c r="OY21" s="9"/>
      <c r="OZ21" s="9"/>
      <c r="PA21" s="9"/>
      <c r="PB21" s="9"/>
      <c r="PC21" s="9"/>
      <c r="PD21" s="9"/>
      <c r="PE21" s="9"/>
    </row>
    <row r="22" spans="2:423" x14ac:dyDescent="0.25">
      <c r="B22" s="48">
        <v>42838</v>
      </c>
      <c r="C22" s="49">
        <v>16394610.891999999</v>
      </c>
      <c r="D22" s="49">
        <v>17646640</v>
      </c>
      <c r="E22" s="50">
        <v>6000000</v>
      </c>
      <c r="F22" s="50"/>
      <c r="G22" s="50"/>
      <c r="H22" s="50"/>
      <c r="I22" s="38">
        <v>43020</v>
      </c>
      <c r="J22" s="240">
        <v>10000000</v>
      </c>
      <c r="K22" s="240">
        <v>23466130.709999997</v>
      </c>
      <c r="L22" s="241">
        <f t="shared" si="24"/>
        <v>306658547.82749993</v>
      </c>
      <c r="N22" s="38">
        <v>43384</v>
      </c>
      <c r="O22" s="240">
        <v>12000000</v>
      </c>
      <c r="P22" s="240">
        <v>29433169.656000003</v>
      </c>
      <c r="Q22" s="241">
        <f t="shared" si="25"/>
        <v>723264756.7398001</v>
      </c>
      <c r="S22" s="38">
        <v>43748</v>
      </c>
      <c r="T22" s="240">
        <v>12000000</v>
      </c>
      <c r="U22" s="240">
        <v>27503681.343600001</v>
      </c>
      <c r="V22" s="241">
        <f t="shared" si="26"/>
        <v>1131124871.5866003</v>
      </c>
      <c r="X22" s="38">
        <v>44112</v>
      </c>
      <c r="Y22" s="240">
        <v>20000000</v>
      </c>
      <c r="Z22" s="240">
        <v>53505343.3926</v>
      </c>
      <c r="AA22" s="241">
        <f t="shared" si="27"/>
        <v>775686422.148</v>
      </c>
      <c r="AC22" s="38">
        <v>44476</v>
      </c>
      <c r="AD22" s="240">
        <v>20000000</v>
      </c>
      <c r="AE22" s="240">
        <v>53936081.878800005</v>
      </c>
      <c r="AF22" s="241">
        <f t="shared" si="28"/>
        <v>809906789.12220013</v>
      </c>
      <c r="AG22" s="241"/>
      <c r="AH22" s="38">
        <v>44847</v>
      </c>
      <c r="AI22" s="240">
        <v>50000000</v>
      </c>
      <c r="AJ22" s="240">
        <v>94264499.235585287</v>
      </c>
      <c r="AK22" s="241">
        <f t="shared" si="29"/>
        <v>614864872.49230766</v>
      </c>
      <c r="AM22" s="32">
        <v>15</v>
      </c>
      <c r="AN22" s="39">
        <f t="shared" si="0"/>
        <v>0.30665854782749991</v>
      </c>
      <c r="AO22" s="39">
        <f t="shared" si="1"/>
        <v>0.72326475673980006</v>
      </c>
      <c r="AP22" s="39">
        <f t="shared" si="2"/>
        <v>1.1311248715866002</v>
      </c>
      <c r="AQ22" s="39">
        <f t="shared" si="3"/>
        <v>0.77568642214799999</v>
      </c>
      <c r="AR22" s="39">
        <f t="shared" si="30"/>
        <v>0.80990678912220015</v>
      </c>
      <c r="AS22" s="39">
        <f t="shared" si="31"/>
        <v>0.6148648724923077</v>
      </c>
      <c r="AT22" s="39"/>
      <c r="AU22" s="39">
        <f t="shared" si="32"/>
        <v>0.74113867362406882</v>
      </c>
      <c r="AV22" s="9"/>
      <c r="AW22" s="9"/>
      <c r="AX22" s="9"/>
      <c r="BF22" s="60"/>
      <c r="BG22" s="64" t="s">
        <v>30</v>
      </c>
      <c r="BH22" s="63">
        <f t="shared" ref="BH22:BH32" si="69">BJ69</f>
        <v>0.88898749196337468</v>
      </c>
      <c r="BI22" s="10">
        <v>1.2628339576374232</v>
      </c>
      <c r="BJ22" s="10">
        <v>1.497466908542763</v>
      </c>
      <c r="BK22" s="10">
        <v>1.8014767645404111</v>
      </c>
      <c r="BL22" s="10">
        <v>1.8374304196768296</v>
      </c>
      <c r="BM22" s="10">
        <v>1.6867811392566225</v>
      </c>
      <c r="BN22" s="10">
        <v>1.8374304196768296</v>
      </c>
      <c r="BZ22" s="59"/>
      <c r="CA22" s="60" t="s">
        <v>76</v>
      </c>
      <c r="CB22" s="61">
        <v>6</v>
      </c>
      <c r="CC22" s="61">
        <v>6</v>
      </c>
      <c r="CD22" s="61">
        <v>6</v>
      </c>
      <c r="CE22" s="61">
        <v>3</v>
      </c>
      <c r="CF22" s="61">
        <v>8</v>
      </c>
      <c r="CG22" s="61">
        <v>20</v>
      </c>
      <c r="CH22" s="61">
        <v>80</v>
      </c>
      <c r="CI22" s="61">
        <v>80</v>
      </c>
      <c r="CT22" s="41">
        <f t="shared" si="33"/>
        <v>44847</v>
      </c>
      <c r="CU22" s="9">
        <f t="shared" si="34"/>
        <v>0.6148648724923077</v>
      </c>
      <c r="CV22" s="9">
        <f t="shared" si="35"/>
        <v>0.56915458304928224</v>
      </c>
      <c r="CW22" s="9">
        <f t="shared" si="35"/>
        <v>0.68154470292457703</v>
      </c>
      <c r="CX22" s="9">
        <f t="shared" si="35"/>
        <v>0.72625228272700459</v>
      </c>
      <c r="CY22" s="9">
        <f t="shared" si="35"/>
        <v>0.75753010938038001</v>
      </c>
      <c r="CZ22" s="9">
        <f t="shared" si="35"/>
        <v>0.82062951006893159</v>
      </c>
      <c r="DA22" s="9">
        <f t="shared" si="35"/>
        <v>0.90314563308011253</v>
      </c>
      <c r="DB22" s="9">
        <f t="shared" si="35"/>
        <v>0.99348800312576779</v>
      </c>
      <c r="DC22" s="9">
        <f t="shared" si="35"/>
        <v>1.089222648708472</v>
      </c>
      <c r="DD22" s="9">
        <f t="shared" si="35"/>
        <v>1.1465167938784728</v>
      </c>
      <c r="DE22" s="9">
        <f t="shared" si="35"/>
        <v>1.2709295771326492</v>
      </c>
      <c r="DF22" s="9">
        <f t="shared" si="35"/>
        <v>1.543236256611267</v>
      </c>
      <c r="DG22" s="32"/>
      <c r="DH22" s="32"/>
      <c r="DR22" s="41">
        <v>45211</v>
      </c>
      <c r="DS22" s="9">
        <v>1.0570804819999999</v>
      </c>
      <c r="DT22" s="9">
        <f t="shared" si="36"/>
        <v>0.61395638390680796</v>
      </c>
      <c r="DU22" s="9">
        <f t="shared" si="36"/>
        <v>0.72531981708683513</v>
      </c>
      <c r="DV22" s="9">
        <f t="shared" si="36"/>
        <v>0.78450991135958326</v>
      </c>
      <c r="DW22" s="9">
        <f t="shared" si="36"/>
        <v>0.82061163278067439</v>
      </c>
      <c r="DX22" s="9">
        <f t="shared" si="36"/>
        <v>0.8906692852467103</v>
      </c>
      <c r="DY22" s="9">
        <f t="shared" si="36"/>
        <v>0.97879966384632433</v>
      </c>
      <c r="DZ22" s="9">
        <f t="shared" si="36"/>
        <v>1.0784109772580965</v>
      </c>
      <c r="EA22" s="9">
        <f t="shared" si="36"/>
        <v>1.1843539022482201</v>
      </c>
      <c r="EB22" s="9">
        <f t="shared" si="36"/>
        <v>1.2484416695857601</v>
      </c>
      <c r="EC22" s="9">
        <f t="shared" si="36"/>
        <v>1.3727198593898156</v>
      </c>
      <c r="ED22" s="9">
        <f t="shared" si="36"/>
        <v>1.759334112293228</v>
      </c>
      <c r="EE22" s="32"/>
      <c r="EF22" s="32"/>
      <c r="EQ22" s="41">
        <v>45575</v>
      </c>
      <c r="ER22" s="76">
        <v>0.83577560829892139</v>
      </c>
      <c r="ES22" s="9">
        <f t="shared" si="37"/>
        <v>0.65273076923076923</v>
      </c>
      <c r="ET22" s="9">
        <f t="shared" si="37"/>
        <v>0.73038461538461541</v>
      </c>
      <c r="EU22" s="9">
        <f t="shared" si="37"/>
        <v>0.78646153846153877</v>
      </c>
      <c r="EV22" s="9">
        <f t="shared" si="37"/>
        <v>0.82701923076923078</v>
      </c>
      <c r="EW22" s="9">
        <f t="shared" si="37"/>
        <v>0.90669230769230758</v>
      </c>
      <c r="EX22" s="9">
        <f t="shared" si="37"/>
        <v>1.0215000000000003</v>
      </c>
      <c r="EY22" s="9">
        <f t="shared" si="37"/>
        <v>1.1612884615384613</v>
      </c>
      <c r="EZ22" s="9">
        <f t="shared" si="37"/>
        <v>1.3210384615384616</v>
      </c>
      <c r="FA22" s="9">
        <f t="shared" si="37"/>
        <v>1.4215961538461541</v>
      </c>
      <c r="FB22" s="9">
        <f t="shared" si="37"/>
        <v>1.6460769230769232</v>
      </c>
      <c r="FC22" s="9">
        <f t="shared" si="37"/>
        <v>2.1665769230769234</v>
      </c>
      <c r="FD22" s="32"/>
      <c r="FE22" s="32">
        <v>835775608.29892135</v>
      </c>
      <c r="FF22" s="32">
        <f t="shared" si="38"/>
        <v>0.83577560829892139</v>
      </c>
      <c r="FG22" s="32"/>
      <c r="FH22" s="32"/>
      <c r="FI22" s="32">
        <v>871987099.47887409</v>
      </c>
      <c r="FJ22" s="32">
        <f t="shared" si="39"/>
        <v>0.87198709947887409</v>
      </c>
      <c r="FK22" s="32"/>
      <c r="FL22" s="229">
        <v>45939</v>
      </c>
      <c r="FM22" s="230">
        <v>0.87198709947887409</v>
      </c>
      <c r="FN22" s="9">
        <f t="shared" si="40"/>
        <v>0.56795195657358211</v>
      </c>
      <c r="FO22" s="9">
        <f t="shared" si="40"/>
        <v>0.6362543003810146</v>
      </c>
      <c r="FP22" s="9">
        <f t="shared" si="40"/>
        <v>0.6809576263506224</v>
      </c>
      <c r="FQ22" s="9">
        <f t="shared" si="40"/>
        <v>0.7113120263651479</v>
      </c>
      <c r="FR22" s="9">
        <f t="shared" si="40"/>
        <v>0.77405447596287369</v>
      </c>
      <c r="FS22" s="9">
        <f t="shared" si="40"/>
        <v>0.87065095531599668</v>
      </c>
      <c r="FT22" s="9">
        <f t="shared" si="40"/>
        <v>1.0006081408889405</v>
      </c>
      <c r="FU22" s="9">
        <f t="shared" si="40"/>
        <v>1.1321223114140786</v>
      </c>
      <c r="FV22" s="9">
        <f t="shared" si="40"/>
        <v>1.2346443141632264</v>
      </c>
      <c r="FW22" s="9">
        <f t="shared" si="40"/>
        <v>1.4513769913979502</v>
      </c>
      <c r="FX22" s="9">
        <f t="shared" si="40"/>
        <v>1.9588199639850821</v>
      </c>
      <c r="FY22" s="32"/>
      <c r="FZ22" s="32">
        <v>835775608.29892135</v>
      </c>
      <c r="GA22" s="32">
        <f t="shared" si="41"/>
        <v>0.83577560829892139</v>
      </c>
      <c r="GB22" s="32"/>
      <c r="GC22" s="41">
        <v>45575</v>
      </c>
      <c r="GD22" s="9">
        <v>0.83577560829892139</v>
      </c>
      <c r="GE22" s="9">
        <f t="shared" si="42"/>
        <v>0.71656860373497866</v>
      </c>
      <c r="GF22" s="9">
        <f t="shared" si="42"/>
        <v>0.78325927397355932</v>
      </c>
      <c r="GG22" s="9">
        <f t="shared" si="42"/>
        <v>0.83932647677632466</v>
      </c>
      <c r="GH22" s="9">
        <f t="shared" si="42"/>
        <v>0.87624076488709557</v>
      </c>
      <c r="GI22" s="9">
        <f t="shared" si="42"/>
        <v>0.94560143800757435</v>
      </c>
      <c r="GJ22" s="9">
        <f t="shared" si="42"/>
        <v>1.0328013224080295</v>
      </c>
      <c r="GK22" s="9">
        <f t="shared" si="42"/>
        <v>1.1366418801801461</v>
      </c>
      <c r="GL22" s="9">
        <f t="shared" si="42"/>
        <v>1.2431979215720983</v>
      </c>
      <c r="GM22" s="9">
        <f t="shared" si="42"/>
        <v>1.3096197972747414</v>
      </c>
      <c r="GN22" s="9">
        <f t="shared" si="42"/>
        <v>1.443661411404582</v>
      </c>
      <c r="GO22" s="9">
        <f t="shared" si="42"/>
        <v>1.8173393758227838</v>
      </c>
      <c r="GP22" s="32"/>
      <c r="GQ22" s="32"/>
      <c r="HA22" s="41">
        <f t="shared" si="43"/>
        <v>44847</v>
      </c>
      <c r="HB22" s="9"/>
      <c r="HC22" s="9">
        <f t="shared" si="61"/>
        <v>0.6148648724923077</v>
      </c>
      <c r="HD22" s="9">
        <f t="shared" si="66"/>
        <v>0.54509877235137028</v>
      </c>
      <c r="HE22" s="9">
        <f t="shared" si="62"/>
        <v>0.5727756744885264</v>
      </c>
      <c r="HF22" s="9">
        <f t="shared" si="62"/>
        <v>0.58804531979125152</v>
      </c>
      <c r="HG22" s="9">
        <f t="shared" si="62"/>
        <v>0.60058746184077638</v>
      </c>
      <c r="HH22" s="9">
        <f t="shared" si="62"/>
        <v>0.63185064241192634</v>
      </c>
      <c r="HI22" s="9">
        <f t="shared" si="62"/>
        <v>0.66482005317983262</v>
      </c>
      <c r="HJ22" s="9">
        <f t="shared" si="62"/>
        <v>0.73969912316017672</v>
      </c>
      <c r="HK22" s="9">
        <f t="shared" si="62"/>
        <v>0.80393171449923295</v>
      </c>
      <c r="HL22" s="9">
        <f t="shared" si="62"/>
        <v>0.84390441791287052</v>
      </c>
      <c r="HM22" s="9">
        <f t="shared" si="62"/>
        <v>0.92520872513835772</v>
      </c>
      <c r="HN22" s="9">
        <f t="shared" si="62"/>
        <v>1.1911448099720767</v>
      </c>
      <c r="HO22" s="9"/>
      <c r="HP22" s="9"/>
      <c r="HQ22" s="9"/>
      <c r="HR22" s="9"/>
      <c r="HS22" s="32"/>
      <c r="HT22" s="32">
        <v>4</v>
      </c>
      <c r="HU22" s="32"/>
      <c r="HV22" s="41">
        <f t="shared" si="44"/>
        <v>44847</v>
      </c>
      <c r="HW22" s="9">
        <f t="shared" si="63"/>
        <v>0.6148648724923077</v>
      </c>
      <c r="HX22" s="9">
        <f t="shared" si="67"/>
        <v>0.48161055669891617</v>
      </c>
      <c r="HY22" s="9">
        <f t="shared" si="64"/>
        <v>0.54466438662647554</v>
      </c>
      <c r="HZ22" s="9">
        <f t="shared" si="64"/>
        <v>0.59072553647440607</v>
      </c>
      <c r="IA22" s="9">
        <f t="shared" si="64"/>
        <v>0.63682724295033744</v>
      </c>
      <c r="IB22" s="9">
        <f t="shared" si="64"/>
        <v>0.69579215622338364</v>
      </c>
      <c r="IC22" s="9">
        <f t="shared" si="64"/>
        <v>0.79070838879343786</v>
      </c>
      <c r="ID22" s="9">
        <f t="shared" si="64"/>
        <v>0.94707303519670893</v>
      </c>
      <c r="IE22" s="9">
        <f t="shared" si="64"/>
        <v>1.1966376413591817</v>
      </c>
      <c r="IF22" s="9">
        <f t="shared" si="64"/>
        <v>1.2814045792576287</v>
      </c>
      <c r="IG22" s="9">
        <f t="shared" si="64"/>
        <v>1.5738826805244419</v>
      </c>
      <c r="IH22" s="9">
        <f t="shared" si="64"/>
        <v>2.3977407371623394</v>
      </c>
      <c r="II22" s="9"/>
      <c r="IJ22" s="9"/>
      <c r="IK22" s="9"/>
      <c r="IL22" s="9"/>
      <c r="IM22" s="32"/>
      <c r="IN22" s="32">
        <v>4</v>
      </c>
      <c r="IO22" s="32"/>
      <c r="IZ22" s="41">
        <f t="shared" si="11"/>
        <v>44847</v>
      </c>
      <c r="JA22" s="9">
        <f t="shared" si="11"/>
        <v>0.6148648724923077</v>
      </c>
      <c r="JB22" s="9"/>
      <c r="JC22" s="9"/>
      <c r="JD22" s="9"/>
      <c r="JE22" s="9"/>
      <c r="JF22" s="9"/>
      <c r="JG22" s="9"/>
      <c r="JH22" s="9"/>
      <c r="JI22" s="9"/>
      <c r="JJ22" s="9"/>
      <c r="JK22" s="9"/>
      <c r="JL22" s="9"/>
      <c r="JM22" s="9"/>
      <c r="JX22" s="41">
        <v>44847</v>
      </c>
      <c r="JY22" s="9">
        <v>0.62180275567740007</v>
      </c>
      <c r="JZ22" s="9"/>
      <c r="KA22" s="9"/>
      <c r="KB22" s="9"/>
      <c r="KM22" s="41">
        <v>43020</v>
      </c>
      <c r="KN22" s="241">
        <v>23466130.709999997</v>
      </c>
      <c r="KO22" s="241">
        <f t="shared" si="47"/>
        <v>306658547.82749993</v>
      </c>
      <c r="KQ22" s="41">
        <v>43202</v>
      </c>
      <c r="KR22" s="241">
        <v>11890446.424999999</v>
      </c>
      <c r="KS22" s="241">
        <f t="shared" si="48"/>
        <v>378215428.14549994</v>
      </c>
      <c r="KU22" s="41">
        <v>43384</v>
      </c>
      <c r="KV22" s="241">
        <v>29433169.656000003</v>
      </c>
      <c r="KW22" s="241">
        <f t="shared" si="49"/>
        <v>723264756.7398001</v>
      </c>
      <c r="KY22" s="41">
        <v>43566</v>
      </c>
      <c r="KZ22" s="241">
        <v>21837932.767200004</v>
      </c>
      <c r="LA22" s="241">
        <f t="shared" si="50"/>
        <v>758401495.72440028</v>
      </c>
      <c r="LC22" s="41">
        <v>43748</v>
      </c>
      <c r="LD22" s="241">
        <v>27503681.343600001</v>
      </c>
      <c r="LE22" s="241">
        <f t="shared" si="51"/>
        <v>1131124871.5866003</v>
      </c>
      <c r="LG22" s="41">
        <v>43930</v>
      </c>
      <c r="LH22" s="241">
        <v>28120760.8704</v>
      </c>
      <c r="LI22" s="241">
        <f t="shared" si="52"/>
        <v>660945905.4066</v>
      </c>
      <c r="LK22" s="41">
        <v>44112</v>
      </c>
      <c r="LL22" s="241">
        <v>53505343.3926</v>
      </c>
      <c r="LM22" s="241">
        <f t="shared" si="53"/>
        <v>775686422.148</v>
      </c>
      <c r="LO22" s="41">
        <v>44301</v>
      </c>
      <c r="LP22" s="241">
        <v>78958632.667199999</v>
      </c>
      <c r="LQ22" s="241">
        <f t="shared" si="54"/>
        <v>742375178.43719995</v>
      </c>
      <c r="LS22" s="41">
        <v>44476</v>
      </c>
      <c r="LT22" s="241">
        <v>53936081.878800005</v>
      </c>
      <c r="LU22" s="241">
        <f t="shared" si="55"/>
        <v>809906789.12220013</v>
      </c>
      <c r="LW22" s="38">
        <v>44665</v>
      </c>
      <c r="LX22" s="49">
        <v>25267348.623</v>
      </c>
      <c r="LY22" s="241">
        <f t="shared" si="56"/>
        <v>1038912080.3952001</v>
      </c>
      <c r="MA22" s="32">
        <v>15</v>
      </c>
      <c r="MB22" s="42">
        <f t="shared" si="12"/>
        <v>0.30665854782749991</v>
      </c>
      <c r="MC22" s="42">
        <f t="shared" si="13"/>
        <v>0.37821542814549997</v>
      </c>
      <c r="MD22" s="42">
        <f t="shared" si="14"/>
        <v>0.72326475673980006</v>
      </c>
      <c r="ME22" s="42">
        <f t="shared" si="15"/>
        <v>0.7584014957244003</v>
      </c>
      <c r="MF22" s="42">
        <f t="shared" si="16"/>
        <v>1.1311248715866002</v>
      </c>
      <c r="MG22" s="42">
        <f t="shared" si="17"/>
        <v>0.66094590540660003</v>
      </c>
      <c r="MH22" s="42">
        <f t="shared" si="18"/>
        <v>0.77568642214799999</v>
      </c>
      <c r="MI22" s="42">
        <f t="shared" si="19"/>
        <v>0.74237517843719991</v>
      </c>
      <c r="MJ22" s="42">
        <f t="shared" si="20"/>
        <v>0.80990678912220015</v>
      </c>
      <c r="MK22" s="42">
        <f t="shared" si="21"/>
        <v>1.0389120803952001</v>
      </c>
      <c r="ML22" s="8"/>
      <c r="MM22" s="8"/>
      <c r="MN22" s="8"/>
      <c r="MV22" s="60"/>
      <c r="MW22" s="62" t="s">
        <v>31</v>
      </c>
      <c r="MX22" s="10">
        <v>0.41762618991890754</v>
      </c>
      <c r="MY22" s="53">
        <f t="shared" si="68"/>
        <v>0.5434997066763847</v>
      </c>
      <c r="MZ22" s="10">
        <v>0.65880437342115017</v>
      </c>
      <c r="NA22" s="10">
        <v>0.68190696578025445</v>
      </c>
      <c r="NB22" s="10">
        <v>0.7446786225615003</v>
      </c>
      <c r="NC22" s="10">
        <v>0.76054932896030014</v>
      </c>
      <c r="ND22" s="10">
        <v>1.0769161586917642</v>
      </c>
      <c r="NE22" s="10">
        <v>0.82800781526760026</v>
      </c>
      <c r="NF22" s="10">
        <v>1.0804299726510955</v>
      </c>
      <c r="NG22" s="10">
        <v>1.0113771560973464</v>
      </c>
      <c r="NH22" s="10">
        <v>0.63333918395385003</v>
      </c>
      <c r="NS22" s="41">
        <f t="shared" si="65"/>
        <v>44665</v>
      </c>
      <c r="NT22" s="9">
        <f t="shared" si="22"/>
        <v>1.0389120803952001</v>
      </c>
      <c r="NU22" s="9">
        <f t="shared" si="57"/>
        <v>0.49325367315262514</v>
      </c>
      <c r="NV22" s="9">
        <f t="shared" si="57"/>
        <v>0.58348682082539227</v>
      </c>
      <c r="NW22" s="9">
        <f t="shared" si="57"/>
        <v>0.6362064531255549</v>
      </c>
      <c r="NX22" s="9">
        <f t="shared" si="57"/>
        <v>0.67318926358136522</v>
      </c>
      <c r="NY22" s="9">
        <f t="shared" si="57"/>
        <v>0.75081918533261527</v>
      </c>
      <c r="NZ22" s="9">
        <f t="shared" si="57"/>
        <v>0.88274271593522624</v>
      </c>
      <c r="OA22" s="9">
        <f t="shared" si="57"/>
        <v>1.0166965421589522</v>
      </c>
      <c r="OB22" s="9">
        <f t="shared" si="57"/>
        <v>1.1745576398464617</v>
      </c>
      <c r="OC22" s="9">
        <f t="shared" si="57"/>
        <v>1.2873639930356828</v>
      </c>
      <c r="OD22" s="9">
        <f t="shared" si="57"/>
        <v>1.5096399134865865</v>
      </c>
      <c r="OE22" s="9">
        <f t="shared" si="57"/>
        <v>1.9537452898542398</v>
      </c>
      <c r="OF22" s="9">
        <f t="shared" ca="1" si="57"/>
        <v>1.006138688467846</v>
      </c>
      <c r="OG22" s="32"/>
      <c r="OR22" s="41">
        <f t="shared" si="58"/>
        <v>44665</v>
      </c>
      <c r="OS22" s="9">
        <f t="shared" si="58"/>
        <v>1.0389120803952001</v>
      </c>
      <c r="OT22" s="9"/>
      <c r="OU22" s="9"/>
      <c r="OV22" s="9"/>
      <c r="OW22" s="9"/>
      <c r="OX22" s="9"/>
      <c r="OY22" s="9"/>
      <c r="OZ22" s="9"/>
      <c r="PA22" s="9"/>
      <c r="PB22" s="9"/>
      <c r="PC22" s="9"/>
      <c r="PD22" s="9"/>
      <c r="PE22" s="9"/>
    </row>
    <row r="23" spans="2:423" x14ac:dyDescent="0.25">
      <c r="B23" s="48">
        <v>42845</v>
      </c>
      <c r="C23" s="49">
        <v>21832433.446999997</v>
      </c>
      <c r="D23" s="49">
        <v>23499740</v>
      </c>
      <c r="E23" s="50">
        <v>10000000</v>
      </c>
      <c r="F23" s="50"/>
      <c r="G23" s="50"/>
      <c r="H23" s="50"/>
      <c r="I23" s="38">
        <v>43027</v>
      </c>
      <c r="J23" s="240">
        <v>16422787.609999999</v>
      </c>
      <c r="K23" s="240">
        <v>26354175.539999999</v>
      </c>
      <c r="L23" s="241">
        <f t="shared" si="24"/>
        <v>333012723.36749995</v>
      </c>
      <c r="N23" s="38">
        <v>43391</v>
      </c>
      <c r="O23" s="240">
        <v>20000000</v>
      </c>
      <c r="P23" s="240">
        <v>35094603.178800002</v>
      </c>
      <c r="Q23" s="241">
        <f t="shared" si="25"/>
        <v>758359359.91860008</v>
      </c>
      <c r="S23" s="38">
        <v>43755</v>
      </c>
      <c r="T23" s="240">
        <v>3000000</v>
      </c>
      <c r="U23" s="240">
        <v>18563555.518199999</v>
      </c>
      <c r="V23" s="241">
        <f t="shared" si="26"/>
        <v>1149688427.1048002</v>
      </c>
      <c r="X23" s="38">
        <v>44119</v>
      </c>
      <c r="Y23" s="240">
        <v>40000000</v>
      </c>
      <c r="Z23" s="240">
        <v>78724084.791000009</v>
      </c>
      <c r="AA23" s="241">
        <f t="shared" si="27"/>
        <v>854410506.93900001</v>
      </c>
      <c r="AC23" s="38">
        <v>44483</v>
      </c>
      <c r="AD23" s="240">
        <v>40000000</v>
      </c>
      <c r="AE23" s="240">
        <v>72394174.934400007</v>
      </c>
      <c r="AF23" s="241">
        <f t="shared" si="28"/>
        <v>882300964.05660009</v>
      </c>
      <c r="AG23" s="241"/>
      <c r="AH23" s="38">
        <v>44854</v>
      </c>
      <c r="AI23" s="240">
        <v>100000000</v>
      </c>
      <c r="AJ23" s="240">
        <v>222136391.20267558</v>
      </c>
      <c r="AK23" s="241">
        <f t="shared" si="29"/>
        <v>837001263.69498324</v>
      </c>
      <c r="AM23" s="32">
        <v>16</v>
      </c>
      <c r="AN23" s="39">
        <f t="shared" si="0"/>
        <v>0.33301272336749993</v>
      </c>
      <c r="AO23" s="39">
        <f t="shared" si="1"/>
        <v>0.75835935991860004</v>
      </c>
      <c r="AP23" s="39">
        <f t="shared" si="2"/>
        <v>1.1496884271048002</v>
      </c>
      <c r="AQ23" s="39">
        <f t="shared" si="3"/>
        <v>0.854410506939</v>
      </c>
      <c r="AR23" s="39">
        <f t="shared" si="30"/>
        <v>0.88230096405660008</v>
      </c>
      <c r="AS23" s="39">
        <f t="shared" si="31"/>
        <v>0.83700126369498329</v>
      </c>
      <c r="AT23" s="39"/>
      <c r="AU23" s="39">
        <f t="shared" si="32"/>
        <v>0.79407715031150228</v>
      </c>
      <c r="AV23" s="9"/>
      <c r="AW23" s="9"/>
      <c r="AX23" s="9"/>
      <c r="BF23" s="60"/>
      <c r="BG23" s="62" t="s">
        <v>31</v>
      </c>
      <c r="BH23" s="63">
        <f t="shared" si="69"/>
        <v>1.0031931247959438</v>
      </c>
      <c r="BI23" s="10">
        <v>1.4162343762933565</v>
      </c>
      <c r="BJ23" s="10">
        <v>1.70283576126088</v>
      </c>
      <c r="BK23" s="10">
        <v>2.0897777700525189</v>
      </c>
      <c r="BL23" s="10">
        <v>2.2619814525446018</v>
      </c>
      <c r="BM23" s="10">
        <v>1.9847371708969292</v>
      </c>
      <c r="BN23" s="10">
        <v>2.2619814525446018</v>
      </c>
      <c r="CT23" s="41">
        <f t="shared" si="33"/>
        <v>44854</v>
      </c>
      <c r="CU23" s="9">
        <f t="shared" si="34"/>
        <v>0.83700126369498329</v>
      </c>
      <c r="CV23" s="9">
        <f t="shared" si="35"/>
        <v>0.60709822191923435</v>
      </c>
      <c r="CW23" s="9">
        <f t="shared" si="35"/>
        <v>0.72698101645288216</v>
      </c>
      <c r="CX23" s="9">
        <f t="shared" si="35"/>
        <v>0.77466910157547153</v>
      </c>
      <c r="CY23" s="9">
        <f t="shared" si="35"/>
        <v>0.80803211667240538</v>
      </c>
      <c r="CZ23" s="9">
        <f t="shared" si="35"/>
        <v>0.87533814407352706</v>
      </c>
      <c r="DA23" s="9">
        <f t="shared" si="35"/>
        <v>0.96335534195212003</v>
      </c>
      <c r="DB23" s="9">
        <f t="shared" si="35"/>
        <v>1.0597205366674856</v>
      </c>
      <c r="DC23" s="9">
        <f t="shared" si="35"/>
        <v>1.1618374919557035</v>
      </c>
      <c r="DD23" s="9">
        <f t="shared" si="35"/>
        <v>1.2229512468037043</v>
      </c>
      <c r="DE23" s="9">
        <f t="shared" si="35"/>
        <v>1.3556582156081591</v>
      </c>
      <c r="DF23" s="9">
        <f t="shared" si="35"/>
        <v>1.6461186737186848</v>
      </c>
      <c r="DG23" s="32"/>
      <c r="DH23" s="32"/>
      <c r="DR23" s="41">
        <v>45218</v>
      </c>
      <c r="DS23" s="9">
        <v>1.0952677770000001</v>
      </c>
      <c r="DT23" s="9">
        <f t="shared" si="36"/>
        <v>0.65488680950059519</v>
      </c>
      <c r="DU23" s="9">
        <f t="shared" si="36"/>
        <v>0.77367447155929081</v>
      </c>
      <c r="DV23" s="9">
        <f t="shared" si="36"/>
        <v>0.83681057211688881</v>
      </c>
      <c r="DW23" s="9">
        <f t="shared" si="36"/>
        <v>0.87531907496605266</v>
      </c>
      <c r="DX23" s="9">
        <f t="shared" si="36"/>
        <v>0.95004723759649101</v>
      </c>
      <c r="DY23" s="9">
        <f t="shared" si="36"/>
        <v>1.0440529747694127</v>
      </c>
      <c r="DZ23" s="9">
        <f t="shared" si="36"/>
        <v>1.1503050424086363</v>
      </c>
      <c r="EA23" s="9">
        <f t="shared" si="36"/>
        <v>1.2633108290647681</v>
      </c>
      <c r="EB23" s="9">
        <f t="shared" si="36"/>
        <v>1.3316711142248108</v>
      </c>
      <c r="EC23" s="9">
        <f t="shared" si="36"/>
        <v>1.46423451668247</v>
      </c>
      <c r="ED23" s="9">
        <f t="shared" si="36"/>
        <v>1.8766230531127766</v>
      </c>
      <c r="EE23" s="32"/>
      <c r="EF23" s="32"/>
      <c r="EQ23" s="41">
        <v>45582</v>
      </c>
      <c r="ER23" s="76">
        <v>0.89477976738868925</v>
      </c>
      <c r="ES23" s="9">
        <f t="shared" si="37"/>
        <v>0.69624615384615385</v>
      </c>
      <c r="ET23" s="9">
        <f t="shared" si="37"/>
        <v>0.77907692307692311</v>
      </c>
      <c r="EU23" s="9">
        <f t="shared" si="37"/>
        <v>0.83889230769230805</v>
      </c>
      <c r="EV23" s="9">
        <f t="shared" si="37"/>
        <v>0.88215384615384618</v>
      </c>
      <c r="EW23" s="9">
        <f t="shared" si="37"/>
        <v>0.96713846153846139</v>
      </c>
      <c r="EX23" s="9">
        <f t="shared" si="37"/>
        <v>1.0896000000000003</v>
      </c>
      <c r="EY23" s="9">
        <f t="shared" si="37"/>
        <v>1.2387076923076921</v>
      </c>
      <c r="EZ23" s="9">
        <f t="shared" si="37"/>
        <v>1.4091076923076924</v>
      </c>
      <c r="FA23" s="9">
        <f t="shared" si="37"/>
        <v>1.5163692307692311</v>
      </c>
      <c r="FB23" s="9">
        <f t="shared" si="37"/>
        <v>1.7558153846153848</v>
      </c>
      <c r="FC23" s="9">
        <f t="shared" si="37"/>
        <v>2.3110153846153851</v>
      </c>
      <c r="FD23" s="32"/>
      <c r="FE23" s="32">
        <v>894779767.38868928</v>
      </c>
      <c r="FF23" s="32">
        <f t="shared" si="38"/>
        <v>0.89477976738868925</v>
      </c>
      <c r="FG23" s="32"/>
      <c r="FH23" s="32"/>
      <c r="FI23" s="32">
        <v>900887655.49244785</v>
      </c>
      <c r="FJ23" s="32">
        <f t="shared" si="39"/>
        <v>0.90088765549244787</v>
      </c>
      <c r="FK23" s="32"/>
      <c r="FL23" s="229">
        <v>45946</v>
      </c>
      <c r="FM23" s="230">
        <v>0.90088765549244787</v>
      </c>
      <c r="FN23" s="9">
        <f t="shared" si="40"/>
        <v>0.60581542034515423</v>
      </c>
      <c r="FO23" s="9">
        <f t="shared" si="40"/>
        <v>0.6786712537397489</v>
      </c>
      <c r="FP23" s="9">
        <f t="shared" si="40"/>
        <v>0.72635480144066389</v>
      </c>
      <c r="FQ23" s="9">
        <f t="shared" si="40"/>
        <v>0.75873282812282439</v>
      </c>
      <c r="FR23" s="9">
        <f t="shared" si="40"/>
        <v>0.82565810769373194</v>
      </c>
      <c r="FS23" s="9">
        <f t="shared" si="40"/>
        <v>0.9286943523370631</v>
      </c>
      <c r="FT23" s="9">
        <f t="shared" si="40"/>
        <v>1.0673153502815365</v>
      </c>
      <c r="FU23" s="9">
        <f t="shared" si="40"/>
        <v>1.2075971321750172</v>
      </c>
      <c r="FV23" s="9">
        <f t="shared" si="40"/>
        <v>1.3169539351074415</v>
      </c>
      <c r="FW23" s="9">
        <f t="shared" si="40"/>
        <v>1.5481354574911468</v>
      </c>
      <c r="FX23" s="9">
        <f t="shared" si="40"/>
        <v>2.0894079615840875</v>
      </c>
      <c r="FY23" s="32"/>
      <c r="FZ23" s="32">
        <v>894779767.38868928</v>
      </c>
      <c r="GA23" s="32">
        <f t="shared" si="41"/>
        <v>0.89477976738868925</v>
      </c>
      <c r="GB23" s="32"/>
      <c r="GC23" s="41">
        <v>45582</v>
      </c>
      <c r="GD23" s="9">
        <v>0.89477976738868925</v>
      </c>
      <c r="GE23" s="9">
        <f t="shared" si="42"/>
        <v>0.76433984398397725</v>
      </c>
      <c r="GF23" s="9">
        <f t="shared" si="42"/>
        <v>0.83547655890512995</v>
      </c>
      <c r="GG23" s="9">
        <f t="shared" si="42"/>
        <v>0.89528157522807961</v>
      </c>
      <c r="GH23" s="9">
        <f t="shared" si="42"/>
        <v>0.93465681587956861</v>
      </c>
      <c r="GI23" s="9">
        <f t="shared" si="42"/>
        <v>1.0086415338747459</v>
      </c>
      <c r="GJ23" s="9">
        <f t="shared" si="42"/>
        <v>1.101654743901898</v>
      </c>
      <c r="GK23" s="9">
        <f t="shared" si="42"/>
        <v>1.2124180055254892</v>
      </c>
      <c r="GL23" s="9">
        <f t="shared" si="42"/>
        <v>1.3260777830102382</v>
      </c>
      <c r="GM23" s="9">
        <f t="shared" si="42"/>
        <v>1.3969277837597243</v>
      </c>
      <c r="GN23" s="9">
        <f t="shared" si="42"/>
        <v>1.5399055054982209</v>
      </c>
      <c r="GO23" s="9">
        <f t="shared" si="42"/>
        <v>1.9384953342109694</v>
      </c>
      <c r="GP23" s="32"/>
      <c r="GQ23" s="32"/>
      <c r="HA23" s="41">
        <f t="shared" si="43"/>
        <v>44854</v>
      </c>
      <c r="HB23" s="9"/>
      <c r="HC23" s="9">
        <f t="shared" si="61"/>
        <v>0.83700126369498329</v>
      </c>
      <c r="HD23" s="9">
        <f t="shared" si="66"/>
        <v>0.58178624125118272</v>
      </c>
      <c r="HE23" s="9">
        <f t="shared" si="62"/>
        <v>0.61499852381577014</v>
      </c>
      <c r="HF23" s="9">
        <f t="shared" si="62"/>
        <v>0.63332209817904028</v>
      </c>
      <c r="HG23" s="9">
        <f t="shared" si="62"/>
        <v>0.6483726686384701</v>
      </c>
      <c r="HH23" s="9">
        <f t="shared" si="62"/>
        <v>0.68588848532385005</v>
      </c>
      <c r="HI23" s="9">
        <f t="shared" si="62"/>
        <v>0.72545177824533758</v>
      </c>
      <c r="HJ23" s="9">
        <f t="shared" si="62"/>
        <v>0.81530666222175052</v>
      </c>
      <c r="HK23" s="9">
        <f t="shared" si="62"/>
        <v>0.892385771828618</v>
      </c>
      <c r="HL23" s="9">
        <f t="shared" si="62"/>
        <v>0.9403530159249831</v>
      </c>
      <c r="HM23" s="9">
        <f t="shared" si="62"/>
        <v>1.0379181845955678</v>
      </c>
      <c r="HN23" s="9">
        <f t="shared" si="62"/>
        <v>1.3570414863960305</v>
      </c>
      <c r="HO23" s="9"/>
      <c r="HP23" s="9"/>
      <c r="HQ23" s="9"/>
      <c r="HR23" s="9"/>
      <c r="HS23" s="32"/>
      <c r="HT23" s="32">
        <v>4</v>
      </c>
      <c r="HU23" s="32"/>
      <c r="HV23" s="41">
        <f t="shared" si="44"/>
        <v>44854</v>
      </c>
      <c r="HW23" s="9">
        <f t="shared" si="63"/>
        <v>0.83700126369498329</v>
      </c>
      <c r="HX23" s="9">
        <f t="shared" si="67"/>
        <v>0.52345486785067941</v>
      </c>
      <c r="HY23" s="9">
        <f t="shared" si="64"/>
        <v>0.59331508437470382</v>
      </c>
      <c r="HZ23" s="9">
        <f t="shared" si="64"/>
        <v>0.64379535416428502</v>
      </c>
      <c r="IA23" s="9">
        <f t="shared" si="64"/>
        <v>0.69181764467569407</v>
      </c>
      <c r="IB23" s="9">
        <f t="shared" si="64"/>
        <v>0.75677116121430266</v>
      </c>
      <c r="IC23" s="9">
        <f t="shared" si="64"/>
        <v>0.86123935568511167</v>
      </c>
      <c r="ID23" s="9">
        <f t="shared" si="64"/>
        <v>1.0263415101070255</v>
      </c>
      <c r="IE23" s="9">
        <f t="shared" si="64"/>
        <v>1.2755065614132484</v>
      </c>
      <c r="IF23" s="9">
        <f t="shared" si="64"/>
        <v>1.3724337768634494</v>
      </c>
      <c r="IG23" s="9">
        <f t="shared" si="64"/>
        <v>1.6675794764170291</v>
      </c>
      <c r="IH23" s="9">
        <f t="shared" si="64"/>
        <v>2.4868755347645548</v>
      </c>
      <c r="II23" s="9"/>
      <c r="IJ23" s="9"/>
      <c r="IK23" s="9"/>
      <c r="IL23" s="9"/>
      <c r="IM23" s="32"/>
      <c r="IN23" s="32">
        <v>4</v>
      </c>
      <c r="IO23" s="32"/>
      <c r="IZ23" s="41">
        <f t="shared" si="11"/>
        <v>44854</v>
      </c>
      <c r="JA23" s="9">
        <f t="shared" si="11"/>
        <v>0.83700126369498329</v>
      </c>
      <c r="JB23" s="9"/>
      <c r="JC23" s="9"/>
      <c r="JD23" s="9"/>
      <c r="JE23" s="9"/>
      <c r="JF23" s="9"/>
      <c r="JG23" s="9"/>
      <c r="JH23" s="9"/>
      <c r="JI23" s="9"/>
      <c r="JJ23" s="9"/>
      <c r="JK23" s="9"/>
      <c r="JL23" s="9"/>
      <c r="JM23" s="9"/>
      <c r="JX23" s="41">
        <v>44854</v>
      </c>
      <c r="JY23" s="9">
        <v>0.84522318094500015</v>
      </c>
      <c r="JZ23" s="9"/>
      <c r="KA23" s="9"/>
      <c r="KB23" s="9"/>
      <c r="KM23" s="41">
        <v>43027</v>
      </c>
      <c r="KN23" s="241">
        <v>26354175.539999999</v>
      </c>
      <c r="KO23" s="241">
        <f t="shared" si="47"/>
        <v>333012723.36749995</v>
      </c>
      <c r="KQ23" s="41">
        <v>43209</v>
      </c>
      <c r="KR23" s="241">
        <v>21933948.445200004</v>
      </c>
      <c r="KS23" s="241">
        <f t="shared" si="48"/>
        <v>400149376.59069997</v>
      </c>
      <c r="KU23" s="41">
        <v>43391</v>
      </c>
      <c r="KV23" s="241">
        <v>35094603.178800002</v>
      </c>
      <c r="KW23" s="241">
        <f t="shared" si="49"/>
        <v>758359359.91860008</v>
      </c>
      <c r="KY23" s="41">
        <v>43573</v>
      </c>
      <c r="KZ23" s="241">
        <v>25804411.842000004</v>
      </c>
      <c r="LA23" s="241">
        <f t="shared" si="50"/>
        <v>784205907.56640029</v>
      </c>
      <c r="LC23" s="41">
        <v>43755</v>
      </c>
      <c r="LD23" s="241">
        <v>18563555.518199999</v>
      </c>
      <c r="LE23" s="241">
        <f t="shared" si="51"/>
        <v>1149688427.1048002</v>
      </c>
      <c r="LG23" s="41">
        <v>43937</v>
      </c>
      <c r="LH23" s="241">
        <v>34600416.213</v>
      </c>
      <c r="LI23" s="241">
        <f t="shared" si="52"/>
        <v>695546321.61960006</v>
      </c>
      <c r="LK23" s="41">
        <v>44119</v>
      </c>
      <c r="LL23" s="241">
        <v>78724084.791000009</v>
      </c>
      <c r="LM23" s="241">
        <f t="shared" si="53"/>
        <v>854410506.93900001</v>
      </c>
      <c r="LO23" s="41">
        <v>44308</v>
      </c>
      <c r="LP23" s="241">
        <v>140997947.2836</v>
      </c>
      <c r="LQ23" s="241">
        <f t="shared" si="54"/>
        <v>883373125.72079992</v>
      </c>
      <c r="LS23" s="41">
        <v>44483</v>
      </c>
      <c r="LT23" s="241">
        <v>72394174.934400007</v>
      </c>
      <c r="LU23" s="241">
        <f t="shared" si="55"/>
        <v>882300964.05660009</v>
      </c>
      <c r="LW23" s="38">
        <v>44672</v>
      </c>
      <c r="LX23" s="49">
        <v>29463185.1096</v>
      </c>
      <c r="LY23" s="241">
        <f t="shared" si="56"/>
        <v>1068375265.5048001</v>
      </c>
      <c r="MA23" s="32">
        <v>16</v>
      </c>
      <c r="MB23" s="42">
        <f t="shared" si="12"/>
        <v>0.33301272336749993</v>
      </c>
      <c r="MC23" s="42">
        <f t="shared" si="13"/>
        <v>0.40014937659069999</v>
      </c>
      <c r="MD23" s="42">
        <f t="shared" si="14"/>
        <v>0.75835935991860004</v>
      </c>
      <c r="ME23" s="42">
        <f t="shared" si="15"/>
        <v>0.7842059075664003</v>
      </c>
      <c r="MF23" s="42">
        <f t="shared" si="16"/>
        <v>1.1496884271048002</v>
      </c>
      <c r="MG23" s="42">
        <f t="shared" si="17"/>
        <v>0.69554632161960006</v>
      </c>
      <c r="MH23" s="42">
        <f t="shared" si="18"/>
        <v>0.854410506939</v>
      </c>
      <c r="MI23" s="42">
        <f t="shared" si="19"/>
        <v>0.88337312572079996</v>
      </c>
      <c r="MJ23" s="42">
        <f t="shared" si="20"/>
        <v>0.88230096405660008</v>
      </c>
      <c r="MK23" s="42">
        <f t="shared" si="21"/>
        <v>1.0683752655048</v>
      </c>
      <c r="ML23" s="8"/>
      <c r="MM23" s="8"/>
      <c r="MN23" s="8"/>
      <c r="MV23" s="60"/>
      <c r="MW23" s="62" t="s">
        <v>32</v>
      </c>
      <c r="MX23" s="10">
        <v>0.44962514369919832</v>
      </c>
      <c r="MY23" s="53">
        <f t="shared" si="68"/>
        <v>0.59419145052350353</v>
      </c>
      <c r="MZ23" s="10">
        <v>0.71281331793650016</v>
      </c>
      <c r="NA23" s="10">
        <v>0.75000366166714982</v>
      </c>
      <c r="NB23" s="10">
        <v>0.81991291272660016</v>
      </c>
      <c r="NC23" s="10">
        <v>0.81369761878900015</v>
      </c>
      <c r="ND23" s="10">
        <v>1.1803602536696141</v>
      </c>
      <c r="NE23" s="10">
        <v>0.90700829058724519</v>
      </c>
      <c r="NF23" s="10">
        <v>1.1861992606822604</v>
      </c>
      <c r="NG23" s="10">
        <v>1.1027578520842949</v>
      </c>
      <c r="NH23" s="10">
        <v>0.70387098949365001</v>
      </c>
      <c r="NS23" s="41">
        <f t="shared" si="65"/>
        <v>44672</v>
      </c>
      <c r="NT23" s="9">
        <f t="shared" si="22"/>
        <v>1.0683752655048</v>
      </c>
      <c r="NU23" s="9">
        <f t="shared" si="57"/>
        <v>0.5261372513628001</v>
      </c>
      <c r="NV23" s="9">
        <f t="shared" si="57"/>
        <v>0.62238594221375176</v>
      </c>
      <c r="NW23" s="9">
        <f t="shared" si="57"/>
        <v>0.67862021666725858</v>
      </c>
      <c r="NX23" s="9">
        <f t="shared" si="57"/>
        <v>0.71806854782012286</v>
      </c>
      <c r="NY23" s="9">
        <f t="shared" si="57"/>
        <v>0.80087379768812295</v>
      </c>
      <c r="NZ23" s="9">
        <f t="shared" si="57"/>
        <v>0.941592230330908</v>
      </c>
      <c r="OA23" s="9">
        <f t="shared" si="57"/>
        <v>1.0844763116362157</v>
      </c>
      <c r="OB23" s="9">
        <f t="shared" si="57"/>
        <v>1.2528614825028925</v>
      </c>
      <c r="OC23" s="9">
        <f t="shared" si="57"/>
        <v>1.3731882592380618</v>
      </c>
      <c r="OD23" s="9">
        <f t="shared" si="57"/>
        <v>1.6102825743856923</v>
      </c>
      <c r="OE23" s="9">
        <f t="shared" si="57"/>
        <v>2.0839949758445226</v>
      </c>
      <c r="OF23" s="9">
        <f t="shared" ca="1" si="57"/>
        <v>1.0732146010323691</v>
      </c>
      <c r="OG23" s="32"/>
      <c r="OR23" s="41">
        <f t="shared" si="58"/>
        <v>44672</v>
      </c>
      <c r="OS23" s="9">
        <f t="shared" si="58"/>
        <v>1.0683752655048</v>
      </c>
      <c r="OT23" s="9"/>
      <c r="OU23" s="9"/>
      <c r="OV23" s="9"/>
      <c r="OW23" s="9"/>
      <c r="OX23" s="9"/>
      <c r="OY23" s="9"/>
      <c r="OZ23" s="9"/>
      <c r="PA23" s="9"/>
      <c r="PB23" s="9"/>
      <c r="PC23" s="9"/>
      <c r="PD23" s="9"/>
      <c r="PE23" s="9"/>
    </row>
    <row r="24" spans="2:423" x14ac:dyDescent="0.25">
      <c r="B24" s="48">
        <v>42852</v>
      </c>
      <c r="C24" s="49">
        <v>24385685.818999998</v>
      </c>
      <c r="D24" s="49">
        <v>26247980</v>
      </c>
      <c r="E24" s="50">
        <v>16000000</v>
      </c>
      <c r="F24" s="50"/>
      <c r="G24" s="50"/>
      <c r="H24" s="50"/>
      <c r="I24" s="38">
        <v>43034</v>
      </c>
      <c r="J24" s="240">
        <v>3000000</v>
      </c>
      <c r="K24" s="240">
        <v>11809711.979999999</v>
      </c>
      <c r="L24" s="241">
        <f t="shared" si="24"/>
        <v>344822435.34749997</v>
      </c>
      <c r="N24" s="38">
        <v>43398</v>
      </c>
      <c r="O24" s="240">
        <v>30000000</v>
      </c>
      <c r="P24" s="240">
        <v>41656758.983400002</v>
      </c>
      <c r="Q24" s="241">
        <f t="shared" si="25"/>
        <v>800016118.90200007</v>
      </c>
      <c r="S24" s="38">
        <v>43762</v>
      </c>
      <c r="T24" s="240">
        <v>8000000</v>
      </c>
      <c r="U24" s="240">
        <v>26437685.670000002</v>
      </c>
      <c r="V24" s="241">
        <f t="shared" si="26"/>
        <v>1176126112.7748003</v>
      </c>
      <c r="X24" s="38">
        <v>44126</v>
      </c>
      <c r="Y24" s="240">
        <v>3000000</v>
      </c>
      <c r="Z24" s="240">
        <v>23505076.478399999</v>
      </c>
      <c r="AA24" s="241">
        <f t="shared" si="27"/>
        <v>877915583.4174</v>
      </c>
      <c r="AC24" s="38">
        <v>44490</v>
      </c>
      <c r="AD24" s="240">
        <v>60000000</v>
      </c>
      <c r="AE24" s="240">
        <v>106445817.984</v>
      </c>
      <c r="AF24" s="241">
        <f t="shared" si="28"/>
        <v>988746782.04060006</v>
      </c>
      <c r="AG24" s="241"/>
      <c r="AH24" s="38">
        <v>44861</v>
      </c>
      <c r="AI24" s="240">
        <v>160000000</v>
      </c>
      <c r="AJ24" s="240">
        <v>345593234.16789293</v>
      </c>
      <c r="AK24" s="241">
        <f t="shared" si="29"/>
        <v>1182594497.8628762</v>
      </c>
      <c r="AM24" s="32">
        <v>17</v>
      </c>
      <c r="AN24" s="39">
        <f t="shared" si="0"/>
        <v>0.34482243534749996</v>
      </c>
      <c r="AO24" s="39">
        <f t="shared" si="1"/>
        <v>0.80001611890200008</v>
      </c>
      <c r="AP24" s="39">
        <f t="shared" si="2"/>
        <v>1.1761261127748004</v>
      </c>
      <c r="AQ24" s="39">
        <f t="shared" si="3"/>
        <v>0.87791558341739995</v>
      </c>
      <c r="AR24" s="39">
        <f t="shared" si="30"/>
        <v>0.98874678204060007</v>
      </c>
      <c r="AS24" s="39">
        <f t="shared" si="31"/>
        <v>1.1825944978628762</v>
      </c>
      <c r="AT24" s="39"/>
      <c r="AU24" s="39">
        <f t="shared" si="32"/>
        <v>0.84701562699893573</v>
      </c>
      <c r="AV24" s="9"/>
      <c r="AW24" s="9"/>
      <c r="AX24" s="9"/>
      <c r="BF24" s="60"/>
      <c r="BG24" s="62" t="s">
        <v>32</v>
      </c>
      <c r="BH24" s="63">
        <f t="shared" si="69"/>
        <v>1.0777725391701525</v>
      </c>
      <c r="BI24" s="10">
        <v>1.5341679489467945</v>
      </c>
      <c r="BJ24" s="10">
        <v>1.8343704814361201</v>
      </c>
      <c r="BK24" s="10">
        <v>2.2608367112149503</v>
      </c>
      <c r="BL24" s="10">
        <v>2.4326526001258082</v>
      </c>
      <c r="BM24" s="10">
        <v>2.1605309142108888</v>
      </c>
      <c r="BN24" s="10">
        <v>2.4326526001258082</v>
      </c>
      <c r="BZ24" s="59" t="s">
        <v>79</v>
      </c>
      <c r="CA24" s="62"/>
      <c r="CT24" s="41">
        <f t="shared" si="33"/>
        <v>44861</v>
      </c>
      <c r="CU24" s="9">
        <f t="shared" si="34"/>
        <v>1.1825944978628762</v>
      </c>
      <c r="CV24" s="9">
        <f t="shared" si="35"/>
        <v>0.64504186078918646</v>
      </c>
      <c r="CW24" s="9">
        <f t="shared" si="35"/>
        <v>0.77241732998118728</v>
      </c>
      <c r="CX24" s="9">
        <f t="shared" si="35"/>
        <v>0.82308592042393847</v>
      </c>
      <c r="CY24" s="9">
        <f t="shared" si="35"/>
        <v>0.85853412396443074</v>
      </c>
      <c r="CZ24" s="9">
        <f t="shared" si="35"/>
        <v>0.93004677807812253</v>
      </c>
      <c r="DA24" s="9">
        <f t="shared" si="35"/>
        <v>1.0235650508241276</v>
      </c>
      <c r="DB24" s="9">
        <f t="shared" si="35"/>
        <v>1.1259530702092033</v>
      </c>
      <c r="DC24" s="9">
        <f t="shared" si="35"/>
        <v>1.2344523352029351</v>
      </c>
      <c r="DD24" s="9">
        <f t="shared" si="35"/>
        <v>1.2993856997289357</v>
      </c>
      <c r="DE24" s="9">
        <f t="shared" si="35"/>
        <v>1.4403868540836691</v>
      </c>
      <c r="DF24" s="9">
        <f t="shared" si="35"/>
        <v>1.7490010908261027</v>
      </c>
      <c r="DG24" s="32"/>
      <c r="DH24" s="32"/>
      <c r="DR24" s="41">
        <v>45225</v>
      </c>
      <c r="DS24" s="9">
        <v>1.1506577950000001</v>
      </c>
      <c r="DT24" s="9">
        <f t="shared" si="36"/>
        <v>0.69581723509438242</v>
      </c>
      <c r="DU24" s="9">
        <f t="shared" si="36"/>
        <v>0.82202912603174649</v>
      </c>
      <c r="DV24" s="9">
        <f t="shared" si="36"/>
        <v>0.88911123287419436</v>
      </c>
      <c r="DW24" s="9">
        <f t="shared" si="36"/>
        <v>0.93002651715143092</v>
      </c>
      <c r="DX24" s="9">
        <f t="shared" si="36"/>
        <v>1.0094251899462716</v>
      </c>
      <c r="DY24" s="9">
        <f t="shared" si="36"/>
        <v>1.1093062856925011</v>
      </c>
      <c r="DZ24" s="9">
        <f t="shared" si="36"/>
        <v>1.222199107559176</v>
      </c>
      <c r="EA24" s="9">
        <f t="shared" si="36"/>
        <v>1.3422677558813161</v>
      </c>
      <c r="EB24" s="9">
        <f t="shared" si="36"/>
        <v>1.4149005588638615</v>
      </c>
      <c r="EC24" s="9">
        <f t="shared" si="36"/>
        <v>1.5557491739751244</v>
      </c>
      <c r="ED24" s="9">
        <f t="shared" si="36"/>
        <v>1.9939119939323251</v>
      </c>
      <c r="EE24" s="32"/>
      <c r="EF24" s="32"/>
      <c r="EQ24" s="41">
        <v>45589</v>
      </c>
      <c r="ER24" s="76">
        <v>0.96325979754154967</v>
      </c>
      <c r="ES24" s="9">
        <f t="shared" si="37"/>
        <v>0.73976153846153847</v>
      </c>
      <c r="ET24" s="9">
        <f t="shared" si="37"/>
        <v>0.82776923076923081</v>
      </c>
      <c r="EU24" s="9">
        <f t="shared" si="37"/>
        <v>0.89132307692307733</v>
      </c>
      <c r="EV24" s="9">
        <f t="shared" si="37"/>
        <v>0.93728846153846157</v>
      </c>
      <c r="EW24" s="9">
        <f t="shared" si="37"/>
        <v>1.0275846153846153</v>
      </c>
      <c r="EX24" s="9">
        <f t="shared" si="37"/>
        <v>1.1577000000000004</v>
      </c>
      <c r="EY24" s="9">
        <f t="shared" si="37"/>
        <v>1.3161269230769228</v>
      </c>
      <c r="EZ24" s="9">
        <f t="shared" si="37"/>
        <v>1.4971769230769232</v>
      </c>
      <c r="FA24" s="9">
        <f t="shared" si="37"/>
        <v>1.6111423076923082</v>
      </c>
      <c r="FB24" s="9">
        <f t="shared" si="37"/>
        <v>1.8655538461538463</v>
      </c>
      <c r="FC24" s="9">
        <f t="shared" si="37"/>
        <v>2.4554538461538469</v>
      </c>
      <c r="FD24" s="32"/>
      <c r="FE24" s="32">
        <v>963259797.54154968</v>
      </c>
      <c r="FF24" s="32">
        <f t="shared" si="38"/>
        <v>0.96325979754154967</v>
      </c>
      <c r="FG24" s="32"/>
      <c r="FH24" s="32"/>
      <c r="FI24" s="32">
        <v>944131204.26934588</v>
      </c>
      <c r="FJ24" s="32">
        <f t="shared" si="39"/>
        <v>0.94413120426934583</v>
      </c>
      <c r="FK24" s="32"/>
      <c r="FL24" s="229">
        <v>45953</v>
      </c>
      <c r="FM24" s="230">
        <v>0.94413120426934583</v>
      </c>
      <c r="FN24" s="9">
        <f t="shared" si="40"/>
        <v>0.64367888411672636</v>
      </c>
      <c r="FO24" s="9">
        <f t="shared" si="40"/>
        <v>0.7210882070984832</v>
      </c>
      <c r="FP24" s="9">
        <f t="shared" si="40"/>
        <v>0.77175197653070537</v>
      </c>
      <c r="FQ24" s="9">
        <f t="shared" si="40"/>
        <v>0.80615362988050088</v>
      </c>
      <c r="FR24" s="9">
        <f t="shared" si="40"/>
        <v>0.87726173942459018</v>
      </c>
      <c r="FS24" s="9">
        <f t="shared" si="40"/>
        <v>0.98673774935812952</v>
      </c>
      <c r="FT24" s="9">
        <f t="shared" si="40"/>
        <v>1.1340225596741325</v>
      </c>
      <c r="FU24" s="9">
        <f t="shared" si="40"/>
        <v>1.2830719529359558</v>
      </c>
      <c r="FV24" s="9">
        <f t="shared" si="40"/>
        <v>1.3992635560516566</v>
      </c>
      <c r="FW24" s="9">
        <f t="shared" si="40"/>
        <v>1.6448939235843434</v>
      </c>
      <c r="FX24" s="9">
        <f t="shared" si="40"/>
        <v>2.2199959591830929</v>
      </c>
      <c r="FY24" s="32"/>
      <c r="FZ24" s="32">
        <v>963259797.54154968</v>
      </c>
      <c r="GA24" s="32">
        <f t="shared" si="41"/>
        <v>0.96325979754154967</v>
      </c>
      <c r="GB24" s="32"/>
      <c r="GC24" s="41">
        <v>45589</v>
      </c>
      <c r="GD24" s="9">
        <v>0.96325979754154967</v>
      </c>
      <c r="GE24" s="9">
        <f t="shared" si="42"/>
        <v>0.81211108423297584</v>
      </c>
      <c r="GF24" s="9">
        <f t="shared" si="42"/>
        <v>0.88769384383670058</v>
      </c>
      <c r="GG24" s="9">
        <f t="shared" si="42"/>
        <v>0.95123667367983455</v>
      </c>
      <c r="GH24" s="9">
        <f t="shared" si="42"/>
        <v>0.99307286687204166</v>
      </c>
      <c r="GI24" s="9">
        <f t="shared" si="42"/>
        <v>1.0716816297419174</v>
      </c>
      <c r="GJ24" s="9">
        <f t="shared" si="42"/>
        <v>1.1705081653957665</v>
      </c>
      <c r="GK24" s="9">
        <f t="shared" si="42"/>
        <v>1.2881941308708322</v>
      </c>
      <c r="GL24" s="9">
        <f t="shared" si="42"/>
        <v>1.408957644448378</v>
      </c>
      <c r="GM24" s="9">
        <f t="shared" si="42"/>
        <v>1.4842357702447071</v>
      </c>
      <c r="GN24" s="9">
        <f t="shared" si="42"/>
        <v>1.6361495995918598</v>
      </c>
      <c r="GO24" s="9">
        <f t="shared" si="42"/>
        <v>2.0596512925991548</v>
      </c>
      <c r="GP24" s="32"/>
      <c r="GQ24" s="32"/>
      <c r="HA24" s="41">
        <f t="shared" si="43"/>
        <v>44861</v>
      </c>
      <c r="HB24" s="9"/>
      <c r="HC24" s="9">
        <f t="shared" si="61"/>
        <v>1.1825944978628762</v>
      </c>
      <c r="HD24" s="9">
        <f t="shared" si="66"/>
        <v>0.61847371015099517</v>
      </c>
      <c r="HE24" s="9">
        <f t="shared" si="62"/>
        <v>0.65722137314301388</v>
      </c>
      <c r="HF24" s="9">
        <f t="shared" si="62"/>
        <v>0.67859887656682905</v>
      </c>
      <c r="HG24" s="9">
        <f t="shared" si="62"/>
        <v>0.69615787543616381</v>
      </c>
      <c r="HH24" s="9">
        <f t="shared" si="62"/>
        <v>0.73992632823577376</v>
      </c>
      <c r="HI24" s="9">
        <f t="shared" si="62"/>
        <v>0.78608350331084254</v>
      </c>
      <c r="HJ24" s="9">
        <f t="shared" si="62"/>
        <v>0.89091420128332433</v>
      </c>
      <c r="HK24" s="9">
        <f t="shared" si="62"/>
        <v>0.98083982915800305</v>
      </c>
      <c r="HL24" s="9">
        <f t="shared" si="62"/>
        <v>1.0368016139370957</v>
      </c>
      <c r="HM24" s="9">
        <f t="shared" si="62"/>
        <v>1.1506276440527778</v>
      </c>
      <c r="HN24" s="9">
        <f t="shared" si="62"/>
        <v>1.5229381628199843</v>
      </c>
      <c r="HO24" s="9"/>
      <c r="HP24" s="9"/>
      <c r="HQ24" s="9"/>
      <c r="HR24" s="9"/>
      <c r="HS24" s="32"/>
      <c r="HT24" s="32">
        <v>4</v>
      </c>
      <c r="HU24" s="32"/>
      <c r="HV24" s="41">
        <f t="shared" si="44"/>
        <v>44861</v>
      </c>
      <c r="HW24" s="9">
        <f t="shared" si="63"/>
        <v>1.1825944978628762</v>
      </c>
      <c r="HX24" s="9">
        <f t="shared" si="67"/>
        <v>0.56529917900244264</v>
      </c>
      <c r="HY24" s="9">
        <f t="shared" si="64"/>
        <v>0.64196578212293209</v>
      </c>
      <c r="HZ24" s="9">
        <f t="shared" si="64"/>
        <v>0.69686517185416397</v>
      </c>
      <c r="IA24" s="9">
        <f t="shared" si="64"/>
        <v>0.7468080464010507</v>
      </c>
      <c r="IB24" s="9">
        <f t="shared" si="64"/>
        <v>0.81775016620522167</v>
      </c>
      <c r="IC24" s="9">
        <f t="shared" si="64"/>
        <v>0.93177032257678549</v>
      </c>
      <c r="ID24" s="9">
        <f t="shared" si="64"/>
        <v>1.1056099850173422</v>
      </c>
      <c r="IE24" s="9">
        <f t="shared" si="64"/>
        <v>1.354375481467315</v>
      </c>
      <c r="IF24" s="9">
        <f t="shared" si="64"/>
        <v>1.46346297446927</v>
      </c>
      <c r="IG24" s="9">
        <f t="shared" si="64"/>
        <v>1.7612762723096163</v>
      </c>
      <c r="IH24" s="9">
        <f t="shared" si="64"/>
        <v>2.5760103323667702</v>
      </c>
      <c r="II24" s="9"/>
      <c r="IJ24" s="9"/>
      <c r="IK24" s="9"/>
      <c r="IL24" s="9"/>
      <c r="IM24" s="32"/>
      <c r="IN24" s="32">
        <v>4</v>
      </c>
      <c r="IO24" s="32"/>
      <c r="IZ24" s="41">
        <f t="shared" si="11"/>
        <v>44861</v>
      </c>
      <c r="JA24" s="9">
        <f t="shared" si="11"/>
        <v>1.1825944978628762</v>
      </c>
      <c r="JB24" s="9"/>
      <c r="JC24" s="9"/>
      <c r="JD24" s="9"/>
      <c r="JE24" s="9"/>
      <c r="JF24" s="9"/>
      <c r="JG24" s="9"/>
      <c r="JH24" s="9"/>
      <c r="JI24" s="9"/>
      <c r="JJ24" s="9"/>
      <c r="JK24" s="9"/>
      <c r="JL24" s="9"/>
      <c r="JM24" s="9"/>
      <c r="JX24" s="41">
        <v>44861</v>
      </c>
      <c r="JY24" s="9">
        <v>1.2046122672672002</v>
      </c>
      <c r="JZ24" s="9">
        <f>$JY24</f>
        <v>1.2046122672672002</v>
      </c>
      <c r="KA24" s="9">
        <f>$JY24</f>
        <v>1.2046122672672002</v>
      </c>
      <c r="KB24" s="9"/>
      <c r="KM24" s="41">
        <v>43034</v>
      </c>
      <c r="KN24" s="241">
        <v>11809711.979999999</v>
      </c>
      <c r="KO24" s="241">
        <f t="shared" si="47"/>
        <v>344822435.34749997</v>
      </c>
      <c r="KQ24" s="41">
        <v>43216</v>
      </c>
      <c r="KR24" s="241">
        <v>14165645.280600002</v>
      </c>
      <c r="KS24" s="241">
        <f t="shared" si="48"/>
        <v>414315021.87129998</v>
      </c>
      <c r="KU24" s="41">
        <v>43398</v>
      </c>
      <c r="KV24" s="241">
        <v>41656758.983400002</v>
      </c>
      <c r="KW24" s="241">
        <f t="shared" si="49"/>
        <v>800016118.90200007</v>
      </c>
      <c r="KY24" s="41">
        <v>43580</v>
      </c>
      <c r="KZ24" s="241">
        <v>27226951.560600005</v>
      </c>
      <c r="LA24" s="241">
        <f t="shared" si="50"/>
        <v>811432859.12700033</v>
      </c>
      <c r="LC24" s="41">
        <v>43762</v>
      </c>
      <c r="LD24" s="241">
        <v>26437685.670000002</v>
      </c>
      <c r="LE24" s="241">
        <f t="shared" si="51"/>
        <v>1176126112.7748003</v>
      </c>
      <c r="LG24" s="41">
        <v>43944</v>
      </c>
      <c r="LH24" s="241">
        <v>48641017.431600004</v>
      </c>
      <c r="LI24" s="241">
        <f t="shared" si="52"/>
        <v>744187339.05120003</v>
      </c>
      <c r="LK24" s="41">
        <v>44126</v>
      </c>
      <c r="LL24" s="241">
        <v>23505076.478399999</v>
      </c>
      <c r="LM24" s="241">
        <f t="shared" si="53"/>
        <v>877915583.4174</v>
      </c>
      <c r="LO24" s="41">
        <v>44315</v>
      </c>
      <c r="LP24" s="241">
        <v>29266273.799400002</v>
      </c>
      <c r="LQ24" s="241">
        <f t="shared" si="54"/>
        <v>912639399.52019989</v>
      </c>
      <c r="LS24" s="41">
        <v>44490</v>
      </c>
      <c r="LT24" s="241">
        <v>106445817.984</v>
      </c>
      <c r="LU24" s="241">
        <f t="shared" si="55"/>
        <v>988746782.04060006</v>
      </c>
      <c r="LW24" s="38">
        <v>44679</v>
      </c>
      <c r="LX24" s="49">
        <v>51475050.851400003</v>
      </c>
      <c r="LY24" s="241">
        <f t="shared" si="56"/>
        <v>1119850316.3562</v>
      </c>
      <c r="MA24" s="32">
        <v>17</v>
      </c>
      <c r="MB24" s="42">
        <f t="shared" si="12"/>
        <v>0.34482243534749996</v>
      </c>
      <c r="MC24" s="42">
        <f t="shared" si="13"/>
        <v>0.41431502187129998</v>
      </c>
      <c r="MD24" s="42">
        <f t="shared" si="14"/>
        <v>0.80001611890200008</v>
      </c>
      <c r="ME24" s="42">
        <f t="shared" si="15"/>
        <v>0.81143285912700036</v>
      </c>
      <c r="MF24" s="42">
        <f t="shared" si="16"/>
        <v>1.1761261127748004</v>
      </c>
      <c r="MG24" s="42">
        <f t="shared" si="17"/>
        <v>0.74418733905120005</v>
      </c>
      <c r="MH24" s="42">
        <f t="shared" si="18"/>
        <v>0.87791558341739995</v>
      </c>
      <c r="MI24" s="42">
        <f t="shared" si="19"/>
        <v>0.9126393995201999</v>
      </c>
      <c r="MJ24" s="42">
        <f t="shared" si="20"/>
        <v>0.98874678204060007</v>
      </c>
      <c r="MK24" s="42">
        <f t="shared" si="21"/>
        <v>1.1198503163561999</v>
      </c>
      <c r="ML24" s="8">
        <f>$MK24</f>
        <v>1.1198503163561999</v>
      </c>
      <c r="MM24" s="8">
        <f>$MK24</f>
        <v>1.1198503163561999</v>
      </c>
      <c r="MN24" s="8">
        <f>$MK24</f>
        <v>1.1198503163561999</v>
      </c>
      <c r="MV24" s="60"/>
      <c r="MW24" s="62" t="s">
        <v>33</v>
      </c>
      <c r="MX24" s="10">
        <v>0.47380642229669045</v>
      </c>
      <c r="MY24" s="53">
        <f t="shared" si="68"/>
        <v>0.62396985159338092</v>
      </c>
      <c r="MZ24" s="10">
        <v>0.74574198728370023</v>
      </c>
      <c r="NA24" s="10">
        <v>0.80304454728574992</v>
      </c>
      <c r="NB24" s="10">
        <v>0.86822767236843035</v>
      </c>
      <c r="NC24" s="10">
        <v>0.86244277739950004</v>
      </c>
      <c r="ND24" s="10">
        <v>1.2421529980627741</v>
      </c>
      <c r="NE24" s="10">
        <v>0.95173519657700023</v>
      </c>
      <c r="NF24" s="10">
        <v>1.2453993079938523</v>
      </c>
      <c r="NG24" s="10">
        <v>1.1668613902076999</v>
      </c>
      <c r="NH24" s="10">
        <v>0.74407290787500002</v>
      </c>
      <c r="NS24" s="41">
        <f t="shared" si="65"/>
        <v>44679</v>
      </c>
      <c r="NT24" s="9">
        <f t="shared" si="22"/>
        <v>1.1198503163561999</v>
      </c>
      <c r="NU24" s="9">
        <f t="shared" si="57"/>
        <v>0.55902082957297505</v>
      </c>
      <c r="NV24" s="9">
        <f t="shared" si="57"/>
        <v>0.66128506360211126</v>
      </c>
      <c r="NW24" s="9">
        <f t="shared" si="57"/>
        <v>0.72103398020896226</v>
      </c>
      <c r="NX24" s="9">
        <f t="shared" si="57"/>
        <v>0.7629478320588805</v>
      </c>
      <c r="NY24" s="9">
        <f t="shared" si="57"/>
        <v>0.85092841004363062</v>
      </c>
      <c r="NZ24" s="9">
        <f t="shared" si="57"/>
        <v>1.0004417447265896</v>
      </c>
      <c r="OA24" s="9">
        <f t="shared" si="57"/>
        <v>1.1522560811134792</v>
      </c>
      <c r="OB24" s="9">
        <f t="shared" si="57"/>
        <v>1.3311653251593234</v>
      </c>
      <c r="OC24" s="9">
        <f t="shared" si="57"/>
        <v>1.4590125254404407</v>
      </c>
      <c r="OD24" s="9">
        <f t="shared" si="57"/>
        <v>1.7109252352847981</v>
      </c>
      <c r="OE24" s="9">
        <f t="shared" si="57"/>
        <v>2.2142446618348055</v>
      </c>
      <c r="OF24" s="9">
        <f t="shared" ca="1" si="57"/>
        <v>1.1402905135968922</v>
      </c>
      <c r="OG24" s="32"/>
      <c r="OR24" s="41">
        <f t="shared" si="58"/>
        <v>44679</v>
      </c>
      <c r="OS24" s="9">
        <f t="shared" si="58"/>
        <v>1.1198503163561999</v>
      </c>
      <c r="OT24" s="9">
        <f>$OS24</f>
        <v>1.1198503163561999</v>
      </c>
      <c r="OU24" s="9">
        <f t="shared" ref="OU24:PE24" si="70">$OS24</f>
        <v>1.1198503163561999</v>
      </c>
      <c r="OV24" s="9">
        <f t="shared" si="70"/>
        <v>1.1198503163561999</v>
      </c>
      <c r="OW24" s="9">
        <f t="shared" si="70"/>
        <v>1.1198503163561999</v>
      </c>
      <c r="OX24" s="9">
        <f t="shared" si="70"/>
        <v>1.1198503163561999</v>
      </c>
      <c r="OY24" s="9">
        <f t="shared" si="70"/>
        <v>1.1198503163561999</v>
      </c>
      <c r="OZ24" s="9">
        <f t="shared" si="70"/>
        <v>1.1198503163561999</v>
      </c>
      <c r="PA24" s="9">
        <f t="shared" si="70"/>
        <v>1.1198503163561999</v>
      </c>
      <c r="PB24" s="9">
        <f t="shared" si="70"/>
        <v>1.1198503163561999</v>
      </c>
      <c r="PC24" s="9">
        <f t="shared" si="70"/>
        <v>1.1198503163561999</v>
      </c>
      <c r="PD24" s="9">
        <f t="shared" si="70"/>
        <v>1.1198503163561999</v>
      </c>
      <c r="PE24" s="9">
        <f t="shared" si="70"/>
        <v>1.1198503163561999</v>
      </c>
    </row>
    <row r="25" spans="2:423" x14ac:dyDescent="0.25">
      <c r="B25" s="48">
        <v>42859</v>
      </c>
      <c r="C25" s="49">
        <v>39692732.199999996</v>
      </c>
      <c r="D25" s="49">
        <v>42724000</v>
      </c>
      <c r="E25" s="50">
        <v>30000000</v>
      </c>
      <c r="F25" s="50"/>
      <c r="G25" s="50"/>
      <c r="H25" s="50"/>
      <c r="I25" s="38">
        <v>43041</v>
      </c>
      <c r="J25" s="240">
        <v>6000000</v>
      </c>
      <c r="K25" s="240">
        <v>14974604.419499999</v>
      </c>
      <c r="L25" s="241">
        <f t="shared" si="24"/>
        <v>359797039.76699996</v>
      </c>
      <c r="N25" s="38">
        <v>43405</v>
      </c>
      <c r="O25" s="240">
        <v>40000000</v>
      </c>
      <c r="P25" s="240">
        <v>50639620.798800007</v>
      </c>
      <c r="Q25" s="241">
        <f t="shared" si="25"/>
        <v>850655739.70080006</v>
      </c>
      <c r="S25" s="38">
        <v>43769</v>
      </c>
      <c r="T25" s="240">
        <v>12000000</v>
      </c>
      <c r="U25" s="240">
        <v>28366599.716400001</v>
      </c>
      <c r="V25" s="241">
        <f t="shared" si="26"/>
        <v>1204492712.4912002</v>
      </c>
      <c r="X25" s="38">
        <v>44133</v>
      </c>
      <c r="Y25" s="240">
        <v>8000000</v>
      </c>
      <c r="Z25" s="240">
        <v>30641209.625399999</v>
      </c>
      <c r="AA25" s="241">
        <f t="shared" si="27"/>
        <v>908556793.04279995</v>
      </c>
      <c r="AC25" s="38">
        <v>44497</v>
      </c>
      <c r="AD25" s="240">
        <v>3000000</v>
      </c>
      <c r="AE25" s="240">
        <v>23283180.8946</v>
      </c>
      <c r="AF25" s="241">
        <f t="shared" si="28"/>
        <v>1012029962.9352001</v>
      </c>
      <c r="AG25" s="241"/>
      <c r="AH25" s="38">
        <v>44868</v>
      </c>
      <c r="AI25" s="240">
        <v>8000000</v>
      </c>
      <c r="AJ25" s="240">
        <v>32763216.587826092</v>
      </c>
      <c r="AK25" s="241">
        <f t="shared" si="29"/>
        <v>1215357714.4507022</v>
      </c>
      <c r="AM25" s="32">
        <v>18</v>
      </c>
      <c r="AN25" s="39">
        <f t="shared" si="0"/>
        <v>0.35979703976699995</v>
      </c>
      <c r="AO25" s="39">
        <f t="shared" si="1"/>
        <v>0.85065573970080011</v>
      </c>
      <c r="AP25" s="39">
        <f t="shared" si="2"/>
        <v>1.2044927124912002</v>
      </c>
      <c r="AQ25" s="39">
        <f t="shared" si="3"/>
        <v>0.9085567930427999</v>
      </c>
      <c r="AR25" s="39">
        <f t="shared" si="30"/>
        <v>1.0120299629352001</v>
      </c>
      <c r="AS25" s="39">
        <f t="shared" si="31"/>
        <v>1.2153577144507022</v>
      </c>
      <c r="AT25" s="39"/>
      <c r="AU25" s="39">
        <f t="shared" si="32"/>
        <v>0.89995410368636919</v>
      </c>
      <c r="AV25" s="9"/>
      <c r="AW25" s="9"/>
      <c r="AX25" s="9"/>
      <c r="AZ25" t="s">
        <v>81</v>
      </c>
      <c r="BF25" s="60"/>
      <c r="BG25" s="62" t="s">
        <v>33</v>
      </c>
      <c r="BH25" s="63">
        <f t="shared" si="69"/>
        <v>1.1213729706992941</v>
      </c>
      <c r="BI25" s="10">
        <v>1.6069196911642787</v>
      </c>
      <c r="BJ25" s="10">
        <v>1.9217761502303401</v>
      </c>
      <c r="BK25" s="10">
        <v>2.3627406523472141</v>
      </c>
      <c r="BL25" s="10">
        <v>2.5528384182779047</v>
      </c>
      <c r="BM25" s="10">
        <v>2.2646179398186095</v>
      </c>
      <c r="BN25" s="10">
        <v>2.5528384182779047</v>
      </c>
      <c r="BP25" t="s">
        <v>81</v>
      </c>
      <c r="BZ25" s="59" t="s">
        <v>286</v>
      </c>
      <c r="CA25" s="62" t="s">
        <v>80</v>
      </c>
      <c r="CH25" s="63">
        <f>CI33</f>
        <v>20</v>
      </c>
      <c r="CI25" s="63"/>
      <c r="CK25" t="s">
        <v>81</v>
      </c>
      <c r="CT25" s="41">
        <f t="shared" si="33"/>
        <v>44868</v>
      </c>
      <c r="CU25" s="9">
        <f t="shared" si="34"/>
        <v>1.2153577144507022</v>
      </c>
      <c r="CV25" s="9">
        <f t="shared" ref="CV25:DF40" si="71">CV24+CV$2</f>
        <v>0.68298549965913857</v>
      </c>
      <c r="CW25" s="9">
        <f t="shared" si="71"/>
        <v>0.81785364350949241</v>
      </c>
      <c r="CX25" s="9">
        <f t="shared" si="71"/>
        <v>0.8715027392724054</v>
      </c>
      <c r="CY25" s="9">
        <f t="shared" si="71"/>
        <v>0.9090361312564561</v>
      </c>
      <c r="CZ25" s="9">
        <f t="shared" si="71"/>
        <v>0.984755412082718</v>
      </c>
      <c r="DA25" s="9">
        <f t="shared" si="71"/>
        <v>1.0837747596961351</v>
      </c>
      <c r="DB25" s="9">
        <f t="shared" si="71"/>
        <v>1.1921856037509211</v>
      </c>
      <c r="DC25" s="9">
        <f t="shared" si="71"/>
        <v>1.3070671784501666</v>
      </c>
      <c r="DD25" s="9">
        <f t="shared" si="71"/>
        <v>1.3758201526541671</v>
      </c>
      <c r="DE25" s="9">
        <f t="shared" si="71"/>
        <v>1.525115492559179</v>
      </c>
      <c r="DF25" s="9">
        <f t="shared" si="71"/>
        <v>1.8518835079335205</v>
      </c>
      <c r="DG25" s="32"/>
      <c r="DH25" s="32"/>
      <c r="DJ25" t="s">
        <v>81</v>
      </c>
      <c r="DR25" s="41">
        <v>45232</v>
      </c>
      <c r="DS25" s="9">
        <v>1.2292180699999999</v>
      </c>
      <c r="DT25" s="9">
        <f t="shared" ref="DT25:ED40" si="72">DT24+DT$2</f>
        <v>0.73674766068816966</v>
      </c>
      <c r="DU25" s="9">
        <f t="shared" si="72"/>
        <v>0.87038378050420218</v>
      </c>
      <c r="DV25" s="9">
        <f t="shared" si="72"/>
        <v>0.94141189363149991</v>
      </c>
      <c r="DW25" s="9">
        <f t="shared" si="72"/>
        <v>0.98473395933680918</v>
      </c>
      <c r="DX25" s="9">
        <f t="shared" si="72"/>
        <v>1.0688031422960522</v>
      </c>
      <c r="DY25" s="9">
        <f t="shared" si="72"/>
        <v>1.1745595966155895</v>
      </c>
      <c r="DZ25" s="9">
        <f t="shared" si="72"/>
        <v>1.2940931727097158</v>
      </c>
      <c r="EA25" s="9">
        <f t="shared" si="72"/>
        <v>1.4212246826978641</v>
      </c>
      <c r="EB25" s="9">
        <f t="shared" si="72"/>
        <v>1.4981300035029121</v>
      </c>
      <c r="EC25" s="9">
        <f t="shared" si="72"/>
        <v>1.6472638312677788</v>
      </c>
      <c r="ED25" s="9">
        <f t="shared" si="72"/>
        <v>2.1112009347518734</v>
      </c>
      <c r="EE25" s="32"/>
      <c r="EF25" s="32"/>
      <c r="EH25" t="s">
        <v>81</v>
      </c>
      <c r="EQ25" s="41">
        <v>45596</v>
      </c>
      <c r="ER25" s="76">
        <v>1.0058395081267082</v>
      </c>
      <c r="ES25" s="9">
        <f t="shared" ref="ES25:FC33" si="73">ES24+ES$2</f>
        <v>0.78327692307692309</v>
      </c>
      <c r="ET25" s="9">
        <f t="shared" si="73"/>
        <v>0.87646153846153851</v>
      </c>
      <c r="EU25" s="9">
        <f t="shared" si="73"/>
        <v>0.94375384615384661</v>
      </c>
      <c r="EV25" s="9">
        <f t="shared" si="73"/>
        <v>0.99242307692307696</v>
      </c>
      <c r="EW25" s="9">
        <f t="shared" si="73"/>
        <v>1.0880307692307691</v>
      </c>
      <c r="EX25" s="9">
        <f t="shared" si="73"/>
        <v>1.2258000000000004</v>
      </c>
      <c r="EY25" s="9">
        <f t="shared" si="73"/>
        <v>1.3935461538461535</v>
      </c>
      <c r="EZ25" s="9">
        <f t="shared" si="73"/>
        <v>1.585246153846154</v>
      </c>
      <c r="FA25" s="9">
        <f t="shared" si="73"/>
        <v>1.7059153846153852</v>
      </c>
      <c r="FB25" s="9">
        <f t="shared" si="73"/>
        <v>1.9752923076923079</v>
      </c>
      <c r="FC25" s="9">
        <f t="shared" si="73"/>
        <v>2.5998923076923086</v>
      </c>
      <c r="FD25" s="32"/>
      <c r="FE25" s="32">
        <v>1005839508.1267083</v>
      </c>
      <c r="FF25" s="32">
        <f t="shared" si="38"/>
        <v>1.0058395081267082</v>
      </c>
      <c r="FG25" s="32"/>
      <c r="FH25" s="32"/>
      <c r="FI25" s="32">
        <v>998036866.98782349</v>
      </c>
      <c r="FJ25" s="32">
        <f t="shared" si="39"/>
        <v>0.99803686698782346</v>
      </c>
      <c r="FK25" s="32"/>
      <c r="FL25" s="229">
        <v>45960</v>
      </c>
      <c r="FM25" s="230">
        <v>0.99803686698782346</v>
      </c>
      <c r="FN25" s="9">
        <f t="shared" ref="FN25:FX33" si="74">FN24+FN$2</f>
        <v>0.68154234788829848</v>
      </c>
      <c r="FO25" s="9">
        <f t="shared" si="74"/>
        <v>0.7635051604572175</v>
      </c>
      <c r="FP25" s="9">
        <f t="shared" si="74"/>
        <v>0.81714915162074686</v>
      </c>
      <c r="FQ25" s="9">
        <f t="shared" si="74"/>
        <v>0.85357443163817737</v>
      </c>
      <c r="FR25" s="9">
        <f t="shared" si="74"/>
        <v>0.92886537115544843</v>
      </c>
      <c r="FS25" s="9">
        <f t="shared" si="74"/>
        <v>1.0447811463791961</v>
      </c>
      <c r="FT25" s="9">
        <f t="shared" si="74"/>
        <v>1.2007297690667285</v>
      </c>
      <c r="FU25" s="9">
        <f t="shared" si="74"/>
        <v>1.3585467736968944</v>
      </c>
      <c r="FV25" s="9">
        <f t="shared" si="74"/>
        <v>1.4815731769958718</v>
      </c>
      <c r="FW25" s="9">
        <f t="shared" si="74"/>
        <v>1.74165238967754</v>
      </c>
      <c r="FX25" s="9">
        <f t="shared" si="74"/>
        <v>2.3505839567820983</v>
      </c>
      <c r="FY25" s="32"/>
      <c r="FZ25" s="32">
        <v>1005839508.1267083</v>
      </c>
      <c r="GA25" s="32">
        <f t="shared" si="41"/>
        <v>1.0058395081267082</v>
      </c>
      <c r="GB25" s="32"/>
      <c r="GC25" s="41">
        <v>45596</v>
      </c>
      <c r="GD25" s="9">
        <v>1.0058395081267082</v>
      </c>
      <c r="GE25" s="9">
        <f t="shared" ref="GE25:GO40" si="75">GE24+GE$2</f>
        <v>0.85988232448197444</v>
      </c>
      <c r="GF25" s="9">
        <f t="shared" si="75"/>
        <v>0.93991112876827121</v>
      </c>
      <c r="GG25" s="9">
        <f t="shared" si="75"/>
        <v>1.0071917721315895</v>
      </c>
      <c r="GH25" s="9">
        <f t="shared" si="75"/>
        <v>1.0514889178645146</v>
      </c>
      <c r="GI25" s="9">
        <f t="shared" si="75"/>
        <v>1.1347217256090889</v>
      </c>
      <c r="GJ25" s="9">
        <f t="shared" si="75"/>
        <v>1.239361586889635</v>
      </c>
      <c r="GK25" s="9">
        <f t="shared" si="75"/>
        <v>1.3639702562161753</v>
      </c>
      <c r="GL25" s="9">
        <f t="shared" si="75"/>
        <v>1.4918375058865179</v>
      </c>
      <c r="GM25" s="9">
        <f t="shared" si="75"/>
        <v>1.5715437567296899</v>
      </c>
      <c r="GN25" s="9">
        <f t="shared" si="75"/>
        <v>1.7323936936854987</v>
      </c>
      <c r="GO25" s="9">
        <f t="shared" si="75"/>
        <v>2.1808072509873404</v>
      </c>
      <c r="GP25" s="32"/>
      <c r="GQ25" s="32"/>
      <c r="GS25" t="s">
        <v>81</v>
      </c>
      <c r="HA25" s="41">
        <f t="shared" si="43"/>
        <v>44868</v>
      </c>
      <c r="HB25" s="9"/>
      <c r="HC25" s="9">
        <f t="shared" si="61"/>
        <v>1.2153577144507022</v>
      </c>
      <c r="HD25" s="9">
        <f t="shared" si="66"/>
        <v>0.65516117905080762</v>
      </c>
      <c r="HE25" s="9">
        <f t="shared" si="62"/>
        <v>0.69944422247025761</v>
      </c>
      <c r="HF25" s="9">
        <f t="shared" si="62"/>
        <v>0.72387565495461781</v>
      </c>
      <c r="HG25" s="9">
        <f t="shared" si="62"/>
        <v>0.74394308223385752</v>
      </c>
      <c r="HH25" s="9">
        <f t="shared" si="62"/>
        <v>0.79396417114769746</v>
      </c>
      <c r="HI25" s="9">
        <f t="shared" si="62"/>
        <v>0.8467152283763475</v>
      </c>
      <c r="HJ25" s="9">
        <f t="shared" si="62"/>
        <v>0.96652174034489813</v>
      </c>
      <c r="HK25" s="9">
        <f t="shared" si="62"/>
        <v>1.069293886487388</v>
      </c>
      <c r="HL25" s="9">
        <f t="shared" si="62"/>
        <v>1.1332502119492083</v>
      </c>
      <c r="HM25" s="9">
        <f t="shared" si="62"/>
        <v>1.2633371035099878</v>
      </c>
      <c r="HN25" s="9">
        <f t="shared" si="62"/>
        <v>1.6888348392439381</v>
      </c>
      <c r="HO25" s="9"/>
      <c r="HP25" s="9"/>
      <c r="HQ25" s="9"/>
      <c r="HR25" s="9"/>
      <c r="HS25" s="32"/>
      <c r="HT25" s="32">
        <v>4</v>
      </c>
      <c r="HU25" s="32"/>
      <c r="HV25" s="41">
        <f t="shared" si="44"/>
        <v>44868</v>
      </c>
      <c r="HW25" s="9">
        <f t="shared" si="63"/>
        <v>1.2153577144507022</v>
      </c>
      <c r="HX25" s="9">
        <f t="shared" si="67"/>
        <v>0.60714349015420588</v>
      </c>
      <c r="HY25" s="9">
        <f t="shared" si="64"/>
        <v>0.69061647987116037</v>
      </c>
      <c r="HZ25" s="9">
        <f t="shared" si="64"/>
        <v>0.74993498954404292</v>
      </c>
      <c r="IA25" s="9">
        <f t="shared" si="64"/>
        <v>0.80179844812640733</v>
      </c>
      <c r="IB25" s="9">
        <f t="shared" si="64"/>
        <v>0.87872917119614069</v>
      </c>
      <c r="IC25" s="9">
        <f t="shared" si="64"/>
        <v>1.0023012894684593</v>
      </c>
      <c r="ID25" s="9">
        <f t="shared" si="64"/>
        <v>1.1848784599276589</v>
      </c>
      <c r="IE25" s="9">
        <f t="shared" si="64"/>
        <v>1.4332444015213817</v>
      </c>
      <c r="IF25" s="9">
        <f t="shared" si="64"/>
        <v>1.5544921720750906</v>
      </c>
      <c r="IG25" s="9">
        <f t="shared" si="64"/>
        <v>1.8549730682022034</v>
      </c>
      <c r="IH25" s="9">
        <f t="shared" si="64"/>
        <v>2.6651451299689857</v>
      </c>
      <c r="II25" s="9"/>
      <c r="IJ25" s="9"/>
      <c r="IK25" s="9"/>
      <c r="IL25" s="9"/>
      <c r="IM25" s="32"/>
      <c r="IN25" s="32">
        <v>4</v>
      </c>
      <c r="IO25" s="32"/>
      <c r="IQ25" t="s">
        <v>81</v>
      </c>
      <c r="IZ25" s="41">
        <f t="shared" si="11"/>
        <v>44868</v>
      </c>
      <c r="JA25" s="9">
        <f t="shared" si="11"/>
        <v>1.2153577144507022</v>
      </c>
      <c r="JB25" s="9"/>
      <c r="JC25" s="9"/>
      <c r="JD25" s="9"/>
      <c r="JE25" s="9"/>
      <c r="JF25" s="9"/>
      <c r="JG25" s="9"/>
      <c r="JH25" s="9"/>
      <c r="JI25" s="9"/>
      <c r="JJ25" s="9"/>
      <c r="JK25" s="9"/>
      <c r="JL25" s="9"/>
      <c r="JM25" s="9"/>
      <c r="JX25" s="41">
        <v>44868</v>
      </c>
      <c r="JY25" s="9"/>
      <c r="JZ25" s="9">
        <f t="shared" ref="JZ25:KA40" si="76">JZ24+JZ$2</f>
        <v>1.2721816996776847</v>
      </c>
      <c r="KA25" s="9">
        <f t="shared" si="76"/>
        <v>1.2584243930504539</v>
      </c>
      <c r="KB25" s="9"/>
      <c r="KM25" s="41">
        <v>43041</v>
      </c>
      <c r="KN25" s="241">
        <v>14974604.419499999</v>
      </c>
      <c r="KO25" s="241">
        <f t="shared" si="47"/>
        <v>359797039.76699996</v>
      </c>
      <c r="KQ25" s="41">
        <v>43223</v>
      </c>
      <c r="KR25" s="241">
        <v>20204475.964200001</v>
      </c>
      <c r="KS25" s="241">
        <f t="shared" si="48"/>
        <v>434519497.8355</v>
      </c>
      <c r="KU25" s="41">
        <v>43405</v>
      </c>
      <c r="KV25" s="241">
        <v>50639620.798800007</v>
      </c>
      <c r="KW25" s="241">
        <f t="shared" si="49"/>
        <v>850655739.70080006</v>
      </c>
      <c r="KY25" s="41">
        <v>43587</v>
      </c>
      <c r="KZ25" s="241">
        <v>41381487.589200005</v>
      </c>
      <c r="LA25" s="241">
        <f t="shared" si="50"/>
        <v>852814346.71620035</v>
      </c>
      <c r="LC25" s="41">
        <v>43769</v>
      </c>
      <c r="LD25" s="241">
        <v>28366599.716400001</v>
      </c>
      <c r="LE25" s="241">
        <f t="shared" si="51"/>
        <v>1204492712.4912002</v>
      </c>
      <c r="LG25" s="41">
        <v>43951</v>
      </c>
      <c r="LH25" s="241">
        <v>20986309.3572</v>
      </c>
      <c r="LI25" s="241">
        <f t="shared" si="52"/>
        <v>765173648.40840006</v>
      </c>
      <c r="LK25" s="41">
        <v>44133</v>
      </c>
      <c r="LL25" s="241">
        <v>30641209.625399999</v>
      </c>
      <c r="LM25" s="241">
        <f t="shared" si="53"/>
        <v>908556793.04279995</v>
      </c>
      <c r="LO25" s="41">
        <v>44322</v>
      </c>
      <c r="LP25" s="241">
        <v>45293044.691399999</v>
      </c>
      <c r="LQ25" s="241">
        <f t="shared" si="54"/>
        <v>957932444.21159995</v>
      </c>
      <c r="LS25" s="41">
        <v>44497</v>
      </c>
      <c r="LT25" s="241">
        <v>23283180.8946</v>
      </c>
      <c r="LU25" s="241">
        <f t="shared" si="55"/>
        <v>1012029962.9352001</v>
      </c>
      <c r="LW25" s="38">
        <v>44686</v>
      </c>
      <c r="LX25" s="49">
        <v>72590205.38880001</v>
      </c>
      <c r="LY25" s="241">
        <f t="shared" si="56"/>
        <v>1192440521.7449999</v>
      </c>
      <c r="MA25" s="32">
        <v>18</v>
      </c>
      <c r="MB25" s="42">
        <f t="shared" si="12"/>
        <v>0.35979703976699995</v>
      </c>
      <c r="MC25" s="42">
        <f t="shared" si="13"/>
        <v>0.43451949783549998</v>
      </c>
      <c r="MD25" s="42">
        <f t="shared" si="14"/>
        <v>0.85065573970080011</v>
      </c>
      <c r="ME25" s="42">
        <f t="shared" si="15"/>
        <v>0.85281434671620038</v>
      </c>
      <c r="MF25" s="42">
        <f t="shared" si="16"/>
        <v>1.2044927124912002</v>
      </c>
      <c r="MG25" s="42">
        <f t="shared" si="17"/>
        <v>0.76517364840840008</v>
      </c>
      <c r="MH25" s="42">
        <f t="shared" si="18"/>
        <v>0.9085567930427999</v>
      </c>
      <c r="MI25" s="42">
        <f t="shared" si="19"/>
        <v>0.95793244421159995</v>
      </c>
      <c r="MJ25" s="42">
        <f t="shared" si="20"/>
        <v>1.0120299629352001</v>
      </c>
      <c r="MK25" s="42">
        <f t="shared" si="21"/>
        <v>1.1924405217449998</v>
      </c>
      <c r="ML25" s="8">
        <f t="shared" ref="ML25:MN33" ca="1" si="77">ML24+ML$3</f>
        <v>1.1735110464078184</v>
      </c>
      <c r="MM25" s="8">
        <f t="shared" ca="1" si="77"/>
        <v>1.186926228920723</v>
      </c>
      <c r="MN25" s="8">
        <f t="shared" ca="1" si="77"/>
        <v>1.2003414114336275</v>
      </c>
      <c r="MP25" t="s">
        <v>81</v>
      </c>
      <c r="MV25" s="60"/>
      <c r="MW25" s="62" t="s">
        <v>34</v>
      </c>
      <c r="MX25" s="10">
        <v>0.51889231437388883</v>
      </c>
      <c r="MY25" s="53">
        <f t="shared" si="68"/>
        <v>0.68701070266700803</v>
      </c>
      <c r="MZ25" s="10">
        <v>0.82901100211600021</v>
      </c>
      <c r="NA25" s="10">
        <v>0.90370797791692026</v>
      </c>
      <c r="NB25" s="10">
        <v>0.97154668428840008</v>
      </c>
      <c r="NC25" s="10">
        <v>0.94261736476710001</v>
      </c>
      <c r="ND25" s="10">
        <v>1.3598209744212502</v>
      </c>
      <c r="NE25" s="10">
        <v>1.0642352966300002</v>
      </c>
      <c r="NF25" s="10">
        <v>1.38013841660376</v>
      </c>
      <c r="NG25" s="10">
        <v>1.3014199212432001</v>
      </c>
      <c r="NH25" s="10">
        <v>0.83494751757120012</v>
      </c>
      <c r="NJ25" t="s">
        <v>81</v>
      </c>
      <c r="NS25" s="41">
        <f t="shared" si="65"/>
        <v>44686</v>
      </c>
      <c r="NT25" s="9">
        <f t="shared" si="22"/>
        <v>1.1924405217449998</v>
      </c>
      <c r="NU25" s="9">
        <f t="shared" ref="NU25:OF33" si="78">NU24+NU$2</f>
        <v>0.59190440778315001</v>
      </c>
      <c r="NV25" s="9">
        <f t="shared" si="78"/>
        <v>0.70018418499047075</v>
      </c>
      <c r="NW25" s="9">
        <f t="shared" si="78"/>
        <v>0.76344774375066593</v>
      </c>
      <c r="NX25" s="9">
        <f t="shared" si="78"/>
        <v>0.80782711629763815</v>
      </c>
      <c r="NY25" s="9">
        <f t="shared" si="78"/>
        <v>0.9009830223991383</v>
      </c>
      <c r="NZ25" s="9">
        <f t="shared" si="78"/>
        <v>1.0592912591222714</v>
      </c>
      <c r="OA25" s="9">
        <f t="shared" si="78"/>
        <v>1.2200358505907427</v>
      </c>
      <c r="OB25" s="9">
        <f t="shared" si="78"/>
        <v>1.4094691678157543</v>
      </c>
      <c r="OC25" s="9">
        <f t="shared" si="78"/>
        <v>1.5448367916428196</v>
      </c>
      <c r="OD25" s="9">
        <f t="shared" si="78"/>
        <v>1.8115678961839039</v>
      </c>
      <c r="OE25" s="9">
        <f t="shared" si="78"/>
        <v>2.3444943478250884</v>
      </c>
      <c r="OF25" s="9">
        <f t="shared" ca="1" si="78"/>
        <v>1.2073664261614152</v>
      </c>
      <c r="OG25" s="32"/>
      <c r="OI25" t="s">
        <v>81</v>
      </c>
      <c r="OR25" s="41">
        <f t="shared" si="58"/>
        <v>44686</v>
      </c>
      <c r="OS25" s="9"/>
      <c r="OT25" s="9">
        <f t="shared" ref="OT25:PE33" si="79">OT24+OT$2</f>
        <v>1.1496042884258166</v>
      </c>
      <c r="OU25" s="9">
        <f t="shared" si="79"/>
        <v>1.1539092264661499</v>
      </c>
      <c r="OV25" s="9">
        <f t="shared" si="79"/>
        <v>1.1567800467375167</v>
      </c>
      <c r="OW25" s="9">
        <f t="shared" si="79"/>
        <v>1.1610290348638665</v>
      </c>
      <c r="OX25" s="9">
        <f t="shared" si="79"/>
        <v>1.1661040277215999</v>
      </c>
      <c r="OY25" s="9">
        <f t="shared" si="79"/>
        <v>1.1741059798372666</v>
      </c>
      <c r="OZ25" s="9">
        <f t="shared" si="79"/>
        <v>1.1993777260661167</v>
      </c>
      <c r="PA25" s="9">
        <f t="shared" si="79"/>
        <v>1.2093080850687832</v>
      </c>
      <c r="PB25" s="9">
        <f t="shared" si="79"/>
        <v>1.2171449523509832</v>
      </c>
      <c r="PC25" s="9">
        <f t="shared" si="79"/>
        <v>1.2492459605879611</v>
      </c>
      <c r="PD25" s="9">
        <f t="shared" si="79"/>
        <v>1.37132563183055</v>
      </c>
      <c r="PE25" s="9">
        <f t="shared" ca="1" si="79"/>
        <v>1.186926228920723</v>
      </c>
    </row>
    <row r="26" spans="2:423" x14ac:dyDescent="0.25">
      <c r="B26" s="48">
        <v>42866</v>
      </c>
      <c r="C26" s="49">
        <v>62286522.121999994</v>
      </c>
      <c r="D26" s="49">
        <v>67043240</v>
      </c>
      <c r="E26" s="50">
        <v>50000000</v>
      </c>
      <c r="F26" s="50"/>
      <c r="G26" s="50"/>
      <c r="H26" s="50"/>
      <c r="I26" s="38">
        <v>43048</v>
      </c>
      <c r="J26" s="240">
        <v>3000000</v>
      </c>
      <c r="K26" s="240">
        <v>12112415.050999999</v>
      </c>
      <c r="L26" s="241">
        <f t="shared" si="24"/>
        <v>371909454.81799996</v>
      </c>
      <c r="N26" s="38">
        <v>43412</v>
      </c>
      <c r="O26" s="240">
        <v>60000000</v>
      </c>
      <c r="P26" s="240">
        <v>83405486.703000009</v>
      </c>
      <c r="Q26" s="241">
        <f t="shared" si="25"/>
        <v>934061226.40380001</v>
      </c>
      <c r="S26" s="38">
        <v>43776</v>
      </c>
      <c r="T26" s="240">
        <v>20000000</v>
      </c>
      <c r="U26" s="240">
        <v>37094919.760800004</v>
      </c>
      <c r="V26" s="241">
        <f t="shared" si="26"/>
        <v>1241587632.2520003</v>
      </c>
      <c r="X26" s="38">
        <v>44140</v>
      </c>
      <c r="Y26" s="240">
        <v>20000000</v>
      </c>
      <c r="Z26" s="240">
        <v>48481102.065000005</v>
      </c>
      <c r="AA26" s="241">
        <f t="shared" si="27"/>
        <v>957037895.10780001</v>
      </c>
      <c r="AC26" s="38">
        <v>44504</v>
      </c>
      <c r="AD26" s="240">
        <v>8000000</v>
      </c>
      <c r="AE26" s="240">
        <v>31844058.259200003</v>
      </c>
      <c r="AF26" s="241">
        <f t="shared" si="28"/>
        <v>1043874021.1944001</v>
      </c>
      <c r="AG26" s="241"/>
      <c r="AH26" s="38">
        <v>44875</v>
      </c>
      <c r="AI26" s="240">
        <v>20000000</v>
      </c>
      <c r="AJ26" s="240">
        <v>53774675.718795985</v>
      </c>
      <c r="AK26" s="241">
        <f t="shared" si="29"/>
        <v>1269132390.1694982</v>
      </c>
      <c r="AM26" s="32">
        <v>19</v>
      </c>
      <c r="AN26" s="39">
        <f t="shared" si="0"/>
        <v>0.37190945481799997</v>
      </c>
      <c r="AO26" s="39">
        <f t="shared" si="1"/>
        <v>0.93406122640379996</v>
      </c>
      <c r="AP26" s="39">
        <f t="shared" si="2"/>
        <v>1.2415876322520003</v>
      </c>
      <c r="AQ26" s="39">
        <f t="shared" si="3"/>
        <v>0.95703789510780002</v>
      </c>
      <c r="AR26" s="39">
        <f t="shared" si="30"/>
        <v>1.0438740211944</v>
      </c>
      <c r="AS26" s="39">
        <f t="shared" si="31"/>
        <v>1.2691323901694982</v>
      </c>
      <c r="AT26" s="39"/>
      <c r="AU26" s="39">
        <f t="shared" si="32"/>
        <v>0.95289258037380264</v>
      </c>
      <c r="AV26" s="9"/>
      <c r="AW26" s="9"/>
      <c r="AX26" s="9"/>
      <c r="BF26" s="60"/>
      <c r="BG26" s="62" t="s">
        <v>34</v>
      </c>
      <c r="BH26" s="63">
        <f t="shared" si="69"/>
        <v>1.2103326945096888</v>
      </c>
      <c r="BI26" s="10">
        <v>1.7672502102134127</v>
      </c>
      <c r="BJ26" s="10">
        <v>2.0879069669960146</v>
      </c>
      <c r="BK26" s="10">
        <v>2.5578023954928919</v>
      </c>
      <c r="BL26" s="10">
        <v>2.7761261950701948</v>
      </c>
      <c r="BM26" s="10">
        <v>2.4701402342191239</v>
      </c>
      <c r="BN26" s="10">
        <v>2.7761261950701948</v>
      </c>
      <c r="BZ26" s="59" t="s">
        <v>287</v>
      </c>
      <c r="CA26" s="62" t="s">
        <v>80</v>
      </c>
      <c r="CH26" s="63">
        <f>CI74</f>
        <v>8</v>
      </c>
      <c r="CI26" s="63"/>
      <c r="CT26" s="41">
        <f t="shared" si="33"/>
        <v>44875</v>
      </c>
      <c r="CU26" s="9">
        <f t="shared" si="34"/>
        <v>1.2691323901694982</v>
      </c>
      <c r="CV26" s="9">
        <f t="shared" si="71"/>
        <v>0.72092913852909069</v>
      </c>
      <c r="CW26" s="9">
        <f t="shared" si="71"/>
        <v>0.86328995703779754</v>
      </c>
      <c r="CX26" s="9">
        <f t="shared" si="71"/>
        <v>0.91991955812087234</v>
      </c>
      <c r="CY26" s="9">
        <f t="shared" si="71"/>
        <v>0.95953813854848147</v>
      </c>
      <c r="CZ26" s="9">
        <f t="shared" si="71"/>
        <v>1.0394640460873135</v>
      </c>
      <c r="DA26" s="9">
        <f t="shared" si="71"/>
        <v>1.1439844685681426</v>
      </c>
      <c r="DB26" s="9">
        <f t="shared" si="71"/>
        <v>1.2584181372926388</v>
      </c>
      <c r="DC26" s="9">
        <f t="shared" si="71"/>
        <v>1.3796820216973982</v>
      </c>
      <c r="DD26" s="9">
        <f t="shared" si="71"/>
        <v>1.4522546055793986</v>
      </c>
      <c r="DE26" s="9">
        <f t="shared" si="71"/>
        <v>1.6098441310346889</v>
      </c>
      <c r="DF26" s="9">
        <f t="shared" si="71"/>
        <v>1.9547659250409384</v>
      </c>
      <c r="DG26" s="32"/>
      <c r="DH26" s="32"/>
      <c r="DR26" s="41">
        <v>45239</v>
      </c>
      <c r="DS26" s="9">
        <v>1.262217449</v>
      </c>
      <c r="DT26" s="9">
        <f t="shared" si="72"/>
        <v>0.77767808628195689</v>
      </c>
      <c r="DU26" s="9">
        <f t="shared" si="72"/>
        <v>0.91873843497665786</v>
      </c>
      <c r="DV26" s="9">
        <f t="shared" si="72"/>
        <v>0.99371255438880546</v>
      </c>
      <c r="DW26" s="9">
        <f t="shared" si="72"/>
        <v>1.0394414015221876</v>
      </c>
      <c r="DX26" s="9">
        <f t="shared" si="72"/>
        <v>1.1281810946458328</v>
      </c>
      <c r="DY26" s="9">
        <f t="shared" si="72"/>
        <v>1.2398129075386779</v>
      </c>
      <c r="DZ26" s="9">
        <f t="shared" si="72"/>
        <v>1.3659872378602556</v>
      </c>
      <c r="EA26" s="9">
        <f t="shared" si="72"/>
        <v>1.500181609514412</v>
      </c>
      <c r="EB26" s="9">
        <f t="shared" si="72"/>
        <v>1.5813594481419628</v>
      </c>
      <c r="EC26" s="9">
        <f t="shared" si="72"/>
        <v>1.7387784885604332</v>
      </c>
      <c r="ED26" s="9">
        <f t="shared" si="72"/>
        <v>2.2284898755714218</v>
      </c>
      <c r="EE26" s="32"/>
      <c r="EF26" s="32"/>
      <c r="EQ26" s="41">
        <v>45603</v>
      </c>
      <c r="ER26" s="76">
        <v>1.0624266875112132</v>
      </c>
      <c r="ES26" s="9">
        <f t="shared" si="73"/>
        <v>0.82679230769230772</v>
      </c>
      <c r="ET26" s="9">
        <f t="shared" si="73"/>
        <v>0.92515384615384622</v>
      </c>
      <c r="EU26" s="9">
        <f t="shared" si="73"/>
        <v>0.99618461538461589</v>
      </c>
      <c r="EV26" s="9">
        <f t="shared" si="73"/>
        <v>1.0475576923076924</v>
      </c>
      <c r="EW26" s="9">
        <f t="shared" si="73"/>
        <v>1.148476923076923</v>
      </c>
      <c r="EX26" s="9">
        <f t="shared" si="73"/>
        <v>1.2939000000000005</v>
      </c>
      <c r="EY26" s="9">
        <f t="shared" si="73"/>
        <v>1.4709653846153843</v>
      </c>
      <c r="EZ26" s="9">
        <f t="shared" si="73"/>
        <v>1.6733153846153848</v>
      </c>
      <c r="FA26" s="9">
        <f t="shared" si="73"/>
        <v>1.8006884615384622</v>
      </c>
      <c r="FB26" s="9">
        <f t="shared" si="73"/>
        <v>2.0850307692307695</v>
      </c>
      <c r="FC26" s="9">
        <f t="shared" si="73"/>
        <v>2.7443307692307704</v>
      </c>
      <c r="FD26" s="32"/>
      <c r="FE26" s="32">
        <v>1062426687.5112131</v>
      </c>
      <c r="FF26" s="32">
        <f t="shared" si="38"/>
        <v>1.0624266875112132</v>
      </c>
      <c r="FG26" s="32"/>
      <c r="FH26" s="32"/>
      <c r="FI26" s="32">
        <v>1067006659.6328251</v>
      </c>
      <c r="FJ26" s="32">
        <f t="shared" si="39"/>
        <v>1.0670066596328251</v>
      </c>
      <c r="FK26" s="32"/>
      <c r="FL26" s="229">
        <v>45967</v>
      </c>
      <c r="FM26" s="230">
        <v>1.0670066596328251</v>
      </c>
      <c r="FN26" s="9">
        <f t="shared" si="74"/>
        <v>0.71940581165987061</v>
      </c>
      <c r="FO26" s="9">
        <f t="shared" si="74"/>
        <v>0.8059221138159518</v>
      </c>
      <c r="FP26" s="9">
        <f t="shared" si="74"/>
        <v>0.86254632671078835</v>
      </c>
      <c r="FQ26" s="9">
        <f t="shared" si="74"/>
        <v>0.90099523339585386</v>
      </c>
      <c r="FR26" s="9">
        <f t="shared" si="74"/>
        <v>0.98046900288630667</v>
      </c>
      <c r="FS26" s="9">
        <f t="shared" si="74"/>
        <v>1.1028245434002626</v>
      </c>
      <c r="FT26" s="9">
        <f t="shared" si="74"/>
        <v>1.2674369784593245</v>
      </c>
      <c r="FU26" s="9">
        <f t="shared" si="74"/>
        <v>1.4340215944578329</v>
      </c>
      <c r="FV26" s="9">
        <f t="shared" si="74"/>
        <v>1.5638827979400869</v>
      </c>
      <c r="FW26" s="9">
        <f t="shared" si="74"/>
        <v>1.8384108557707366</v>
      </c>
      <c r="FX26" s="9">
        <f t="shared" si="74"/>
        <v>2.4811719543811037</v>
      </c>
      <c r="FY26" s="32"/>
      <c r="FZ26" s="32">
        <v>1062426687.5112131</v>
      </c>
      <c r="GA26" s="32">
        <f t="shared" si="41"/>
        <v>1.0624266875112132</v>
      </c>
      <c r="GB26" s="32"/>
      <c r="GC26" s="41">
        <v>45603</v>
      </c>
      <c r="GD26" s="9">
        <v>1.0624266875112132</v>
      </c>
      <c r="GE26" s="9">
        <f t="shared" si="75"/>
        <v>0.90765356473097303</v>
      </c>
      <c r="GF26" s="9">
        <f t="shared" si="75"/>
        <v>0.99212841369984184</v>
      </c>
      <c r="GG26" s="9">
        <f t="shared" si="75"/>
        <v>1.0631468705833444</v>
      </c>
      <c r="GH26" s="9">
        <f t="shared" si="75"/>
        <v>1.1099049688569875</v>
      </c>
      <c r="GI26" s="9">
        <f t="shared" si="75"/>
        <v>1.1977618214762604</v>
      </c>
      <c r="GJ26" s="9">
        <f t="shared" si="75"/>
        <v>1.3082150083835036</v>
      </c>
      <c r="GK26" s="9">
        <f t="shared" si="75"/>
        <v>1.4397463815615184</v>
      </c>
      <c r="GL26" s="9">
        <f t="shared" si="75"/>
        <v>1.5747173673246577</v>
      </c>
      <c r="GM26" s="9">
        <f t="shared" si="75"/>
        <v>1.6588517432146728</v>
      </c>
      <c r="GN26" s="9">
        <f t="shared" si="75"/>
        <v>1.8286377877791375</v>
      </c>
      <c r="GO26" s="9">
        <f t="shared" si="75"/>
        <v>2.301963209375526</v>
      </c>
      <c r="GP26" s="32"/>
      <c r="GQ26" s="32"/>
      <c r="HA26" s="41">
        <f t="shared" si="43"/>
        <v>44875</v>
      </c>
      <c r="HB26" s="9"/>
      <c r="HC26" s="9">
        <f t="shared" si="61"/>
        <v>1.2691323901694982</v>
      </c>
      <c r="HD26" s="9">
        <f t="shared" si="66"/>
        <v>0.69184864795062007</v>
      </c>
      <c r="HE26" s="9">
        <f t="shared" si="62"/>
        <v>0.74166707179750135</v>
      </c>
      <c r="HF26" s="9">
        <f t="shared" si="62"/>
        <v>0.76915243334240657</v>
      </c>
      <c r="HG26" s="9">
        <f t="shared" si="62"/>
        <v>0.79172828903155124</v>
      </c>
      <c r="HH26" s="9">
        <f t="shared" si="62"/>
        <v>0.84800201405962117</v>
      </c>
      <c r="HI26" s="9">
        <f t="shared" si="62"/>
        <v>0.90734695344185246</v>
      </c>
      <c r="HJ26" s="9">
        <f t="shared" si="62"/>
        <v>1.0421292794064718</v>
      </c>
      <c r="HK26" s="9">
        <f t="shared" si="62"/>
        <v>1.157747943816773</v>
      </c>
      <c r="HL26" s="9">
        <f t="shared" si="62"/>
        <v>1.2296988099613209</v>
      </c>
      <c r="HM26" s="9">
        <f t="shared" si="62"/>
        <v>1.3760465629671979</v>
      </c>
      <c r="HN26" s="9">
        <f t="shared" si="62"/>
        <v>1.8547315156678919</v>
      </c>
      <c r="HO26" s="9"/>
      <c r="HP26" s="9"/>
      <c r="HQ26" s="9"/>
      <c r="HR26" s="9"/>
      <c r="HS26" s="32"/>
      <c r="HT26" s="32">
        <v>4</v>
      </c>
      <c r="HU26" s="32"/>
      <c r="HV26" s="41">
        <f t="shared" si="44"/>
        <v>44875</v>
      </c>
      <c r="HW26" s="9">
        <f t="shared" si="63"/>
        <v>1.2691323901694982</v>
      </c>
      <c r="HX26" s="9">
        <f t="shared" si="67"/>
        <v>0.64898780130596911</v>
      </c>
      <c r="HY26" s="9">
        <f t="shared" si="64"/>
        <v>0.73926717761938865</v>
      </c>
      <c r="HZ26" s="9">
        <f t="shared" si="64"/>
        <v>0.80300480723392187</v>
      </c>
      <c r="IA26" s="9">
        <f t="shared" si="64"/>
        <v>0.85678884985176396</v>
      </c>
      <c r="IB26" s="9">
        <f t="shared" si="64"/>
        <v>0.93970817618705971</v>
      </c>
      <c r="IC26" s="9">
        <f t="shared" si="64"/>
        <v>1.0728322563601331</v>
      </c>
      <c r="ID26" s="9">
        <f t="shared" si="64"/>
        <v>1.2641469348379757</v>
      </c>
      <c r="IE26" s="9">
        <f t="shared" si="64"/>
        <v>1.5121133215754483</v>
      </c>
      <c r="IF26" s="9">
        <f t="shared" si="64"/>
        <v>1.6455213696809112</v>
      </c>
      <c r="IG26" s="9">
        <f t="shared" si="64"/>
        <v>1.9486698640947906</v>
      </c>
      <c r="IH26" s="9">
        <f t="shared" si="64"/>
        <v>2.7542799275712011</v>
      </c>
      <c r="II26" s="9"/>
      <c r="IJ26" s="9"/>
      <c r="IK26" s="9"/>
      <c r="IL26" s="9"/>
      <c r="IM26" s="32"/>
      <c r="IN26" s="32">
        <v>4</v>
      </c>
      <c r="IO26" s="32"/>
      <c r="IZ26" s="41">
        <f t="shared" si="11"/>
        <v>44875</v>
      </c>
      <c r="JA26" s="9">
        <f t="shared" si="11"/>
        <v>1.2691323901694982</v>
      </c>
      <c r="JB26" s="9"/>
      <c r="JC26" s="9"/>
      <c r="JD26" s="9"/>
      <c r="JE26" s="9"/>
      <c r="JF26" s="9"/>
      <c r="JG26" s="9"/>
      <c r="JH26" s="9"/>
      <c r="JI26" s="9"/>
      <c r="JJ26" s="9"/>
      <c r="JK26" s="9"/>
      <c r="JL26" s="9"/>
      <c r="JM26" s="9"/>
      <c r="JX26" s="41">
        <v>44875</v>
      </c>
      <c r="JY26" s="9"/>
      <c r="JZ26" s="9">
        <f t="shared" si="76"/>
        <v>1.3397511320881692</v>
      </c>
      <c r="KA26" s="9">
        <f t="shared" si="76"/>
        <v>1.3122365188337077</v>
      </c>
      <c r="KB26" s="9"/>
      <c r="KM26" s="41">
        <v>43048</v>
      </c>
      <c r="KN26" s="241">
        <v>12112415.050999999</v>
      </c>
      <c r="KO26" s="241">
        <f t="shared" si="47"/>
        <v>371909454.81799996</v>
      </c>
      <c r="KQ26" s="41">
        <v>43230</v>
      </c>
      <c r="KR26" s="241">
        <v>21182169.492000002</v>
      </c>
      <c r="KS26" s="241">
        <f t="shared" si="48"/>
        <v>455701667.32749999</v>
      </c>
      <c r="KU26" s="41">
        <v>43412</v>
      </c>
      <c r="KV26" s="241">
        <v>83405486.703000009</v>
      </c>
      <c r="KW26" s="241">
        <f t="shared" si="49"/>
        <v>934061226.40380001</v>
      </c>
      <c r="KY26" s="41">
        <v>43594</v>
      </c>
      <c r="KZ26" s="241">
        <v>13900927.675800001</v>
      </c>
      <c r="LA26" s="241">
        <f t="shared" si="50"/>
        <v>866715274.39200032</v>
      </c>
      <c r="LC26" s="41">
        <v>43776</v>
      </c>
      <c r="LD26" s="241">
        <v>37094919.760800004</v>
      </c>
      <c r="LE26" s="241">
        <f t="shared" si="51"/>
        <v>1241587632.2520003</v>
      </c>
      <c r="LG26" s="41">
        <v>43958</v>
      </c>
      <c r="LH26" s="241">
        <v>27935620.996800002</v>
      </c>
      <c r="LI26" s="241">
        <f t="shared" si="52"/>
        <v>793109269.4052</v>
      </c>
      <c r="LK26" s="41">
        <v>44140</v>
      </c>
      <c r="LL26" s="241">
        <v>48481102.065000005</v>
      </c>
      <c r="LM26" s="241">
        <f t="shared" si="53"/>
        <v>957037895.10780001</v>
      </c>
      <c r="LO26" s="41">
        <v>44329</v>
      </c>
      <c r="LP26" s="241">
        <v>59826044.302200004</v>
      </c>
      <c r="LQ26" s="241">
        <f t="shared" si="54"/>
        <v>1017758488.5137999</v>
      </c>
      <c r="LS26" s="41">
        <v>44504</v>
      </c>
      <c r="LT26" s="241">
        <v>31844058.259200003</v>
      </c>
      <c r="LU26" s="241">
        <f t="shared" si="55"/>
        <v>1043874021.1944001</v>
      </c>
      <c r="LW26" s="38">
        <v>44693</v>
      </c>
      <c r="LX26" s="49">
        <v>103770738.9972</v>
      </c>
      <c r="LY26" s="241">
        <f t="shared" si="56"/>
        <v>1296211260.7421999</v>
      </c>
      <c r="MA26" s="32">
        <v>19</v>
      </c>
      <c r="MB26" s="42">
        <f t="shared" si="12"/>
        <v>0.37190945481799997</v>
      </c>
      <c r="MC26" s="42">
        <f t="shared" si="13"/>
        <v>0.4557016673275</v>
      </c>
      <c r="MD26" s="42">
        <f t="shared" si="14"/>
        <v>0.93406122640379996</v>
      </c>
      <c r="ME26" s="42">
        <f t="shared" si="15"/>
        <v>0.86671527439200036</v>
      </c>
      <c r="MF26" s="42">
        <f t="shared" si="16"/>
        <v>1.2415876322520003</v>
      </c>
      <c r="MG26" s="42">
        <f t="shared" si="17"/>
        <v>0.79310926940519999</v>
      </c>
      <c r="MH26" s="42">
        <f t="shared" si="18"/>
        <v>0.95703789510780002</v>
      </c>
      <c r="MI26" s="42">
        <f t="shared" si="19"/>
        <v>1.0177584885137998</v>
      </c>
      <c r="MJ26" s="42">
        <f t="shared" si="20"/>
        <v>1.0438740211944</v>
      </c>
      <c r="MK26" s="42">
        <f t="shared" si="21"/>
        <v>1.2962112607421998</v>
      </c>
      <c r="ML26" s="8">
        <f t="shared" ca="1" si="77"/>
        <v>1.227171776459437</v>
      </c>
      <c r="MM26" s="8">
        <f t="shared" ca="1" si="77"/>
        <v>1.254002141485246</v>
      </c>
      <c r="MN26" s="8">
        <f t="shared" ca="1" si="77"/>
        <v>1.2808325065110551</v>
      </c>
      <c r="MV26" s="60"/>
      <c r="MW26" s="62" t="s">
        <v>35</v>
      </c>
      <c r="MX26" s="10">
        <v>0.58694072275100795</v>
      </c>
      <c r="MY26" s="53">
        <f t="shared" si="68"/>
        <v>0.77310761847410792</v>
      </c>
      <c r="MZ26" s="10">
        <v>0.96941166639845078</v>
      </c>
      <c r="NA26" s="10">
        <v>1.0683672690746</v>
      </c>
      <c r="NB26" s="10">
        <v>1.1223956437155</v>
      </c>
      <c r="NC26" s="10">
        <v>1.0642568242118999</v>
      </c>
      <c r="ND26" s="10">
        <v>1.5206680782033715</v>
      </c>
      <c r="NE26" s="10">
        <v>1.2099246151729002</v>
      </c>
      <c r="NF26" s="10">
        <v>1.6005199160539603</v>
      </c>
      <c r="NG26" s="10">
        <v>1.530087374287725</v>
      </c>
      <c r="NH26" s="10">
        <v>0.97847740477409995</v>
      </c>
      <c r="NS26" s="41">
        <f t="shared" si="65"/>
        <v>44693</v>
      </c>
      <c r="NT26" s="9">
        <f t="shared" si="22"/>
        <v>1.2962112607421998</v>
      </c>
      <c r="NU26" s="9">
        <f t="shared" si="78"/>
        <v>0.62478798599332497</v>
      </c>
      <c r="NV26" s="9">
        <f t="shared" si="78"/>
        <v>0.73908330637883024</v>
      </c>
      <c r="NW26" s="9">
        <f t="shared" si="78"/>
        <v>0.80586150729236961</v>
      </c>
      <c r="NX26" s="9">
        <f t="shared" si="78"/>
        <v>0.85270640053639579</v>
      </c>
      <c r="NY26" s="9">
        <f t="shared" si="78"/>
        <v>0.95103763475464598</v>
      </c>
      <c r="NZ26" s="9">
        <f t="shared" si="78"/>
        <v>1.1181407735179532</v>
      </c>
      <c r="OA26" s="9">
        <f t="shared" si="78"/>
        <v>1.2878156200680062</v>
      </c>
      <c r="OB26" s="9">
        <f t="shared" si="78"/>
        <v>1.4877730104721851</v>
      </c>
      <c r="OC26" s="9">
        <f t="shared" si="78"/>
        <v>1.6306610578451985</v>
      </c>
      <c r="OD26" s="9">
        <f t="shared" si="78"/>
        <v>1.9122105570830097</v>
      </c>
      <c r="OE26" s="9">
        <f t="shared" si="78"/>
        <v>2.4747440338153712</v>
      </c>
      <c r="OF26" s="9">
        <f t="shared" ca="1" si="78"/>
        <v>1.2744423387259383</v>
      </c>
      <c r="OG26" s="32"/>
      <c r="OR26" s="41">
        <f t="shared" si="58"/>
        <v>44693</v>
      </c>
      <c r="OS26" s="9"/>
      <c r="OT26" s="9">
        <f t="shared" si="79"/>
        <v>1.1793582604954334</v>
      </c>
      <c r="OU26" s="9">
        <f t="shared" si="79"/>
        <v>1.1879681365760999</v>
      </c>
      <c r="OV26" s="9">
        <f t="shared" si="79"/>
        <v>1.1937097771188334</v>
      </c>
      <c r="OW26" s="9">
        <f t="shared" si="79"/>
        <v>1.2022077533715332</v>
      </c>
      <c r="OX26" s="9">
        <f t="shared" si="79"/>
        <v>1.212357739087</v>
      </c>
      <c r="OY26" s="9">
        <f t="shared" si="79"/>
        <v>1.2283616433183333</v>
      </c>
      <c r="OZ26" s="9">
        <f t="shared" si="79"/>
        <v>1.2789051357760335</v>
      </c>
      <c r="PA26" s="9">
        <f t="shared" si="79"/>
        <v>1.2987658537813664</v>
      </c>
      <c r="PB26" s="9">
        <f t="shared" si="79"/>
        <v>1.3144395883457665</v>
      </c>
      <c r="PC26" s="9">
        <f t="shared" si="79"/>
        <v>1.3786416048197223</v>
      </c>
      <c r="PD26" s="9">
        <f t="shared" si="79"/>
        <v>1.6228009473049001</v>
      </c>
      <c r="PE26" s="9">
        <f t="shared" ca="1" si="79"/>
        <v>1.254002141485246</v>
      </c>
    </row>
    <row r="27" spans="2:423" x14ac:dyDescent="0.25">
      <c r="B27" s="48">
        <v>42873</v>
      </c>
      <c r="C27" s="49">
        <v>12713937.763999999</v>
      </c>
      <c r="D27" s="49">
        <v>13684880</v>
      </c>
      <c r="E27" s="50">
        <v>3000000</v>
      </c>
      <c r="F27" s="50"/>
      <c r="G27" s="50"/>
      <c r="H27" s="50"/>
      <c r="I27" s="38">
        <v>43055</v>
      </c>
      <c r="J27" s="240">
        <v>6000000</v>
      </c>
      <c r="K27" s="240">
        <v>16160991.978999998</v>
      </c>
      <c r="L27" s="241">
        <f t="shared" si="24"/>
        <v>388070446.79699993</v>
      </c>
      <c r="N27" s="38">
        <v>43419</v>
      </c>
      <c r="O27" s="240">
        <v>3000000</v>
      </c>
      <c r="P27" s="240">
        <v>16310127.675600002</v>
      </c>
      <c r="Q27" s="241">
        <f t="shared" si="25"/>
        <v>950371354.07940006</v>
      </c>
      <c r="S27" s="38">
        <v>43783</v>
      </c>
      <c r="T27" s="240">
        <v>30000000</v>
      </c>
      <c r="U27" s="240">
        <v>48927856.111200005</v>
      </c>
      <c r="V27" s="241">
        <f t="shared" si="26"/>
        <v>1290515488.3632004</v>
      </c>
      <c r="X27" s="38">
        <v>44147</v>
      </c>
      <c r="Y27" s="240">
        <v>3000000</v>
      </c>
      <c r="Z27" s="240">
        <v>21949164.8244</v>
      </c>
      <c r="AA27" s="241">
        <f t="shared" si="27"/>
        <v>978987059.93219995</v>
      </c>
      <c r="AC27" s="38">
        <v>44511</v>
      </c>
      <c r="AD27" s="240">
        <v>20000000</v>
      </c>
      <c r="AE27" s="240">
        <v>49816399.380000003</v>
      </c>
      <c r="AF27" s="241">
        <f t="shared" si="28"/>
        <v>1093690420.5744002</v>
      </c>
      <c r="AG27" s="241"/>
      <c r="AH27" s="38">
        <v>44882</v>
      </c>
      <c r="AI27" s="240">
        <v>30000000</v>
      </c>
      <c r="AJ27" s="240">
        <v>61910058.579397991</v>
      </c>
      <c r="AK27" s="241">
        <f t="shared" si="29"/>
        <v>1331042448.7488961</v>
      </c>
      <c r="AM27" s="32">
        <v>20</v>
      </c>
      <c r="AN27" s="39">
        <f t="shared" si="0"/>
        <v>0.38807044679699992</v>
      </c>
      <c r="AO27" s="39">
        <f t="shared" si="1"/>
        <v>0.9503713540794001</v>
      </c>
      <c r="AP27" s="39">
        <f t="shared" si="2"/>
        <v>1.2905154883632004</v>
      </c>
      <c r="AQ27" s="39">
        <f t="shared" si="3"/>
        <v>0.97898705993219992</v>
      </c>
      <c r="AR27" s="39">
        <f t="shared" si="30"/>
        <v>1.0936904205744002</v>
      </c>
      <c r="AS27" s="39">
        <f t="shared" si="31"/>
        <v>1.3310424487488961</v>
      </c>
      <c r="AT27" s="39"/>
      <c r="AU27" s="39">
        <f t="shared" si="32"/>
        <v>1.0058310570612361</v>
      </c>
      <c r="AV27" s="9"/>
      <c r="AW27" s="9"/>
      <c r="AX27" s="9"/>
      <c r="BF27" s="60"/>
      <c r="BG27" s="62" t="s">
        <v>35</v>
      </c>
      <c r="BH27" s="63">
        <f t="shared" si="69"/>
        <v>1.3267778605845755</v>
      </c>
      <c r="BI27" s="10">
        <v>1.9872182048483018</v>
      </c>
      <c r="BJ27" s="10">
        <v>2.3285456441066303</v>
      </c>
      <c r="BK27" s="10">
        <v>2.7944760670203199</v>
      </c>
      <c r="BL27" s="10">
        <v>3.0602049846181001</v>
      </c>
      <c r="BM27" s="10">
        <v>2.7528007877465419</v>
      </c>
      <c r="BN27" s="10">
        <v>3.0602049846180996</v>
      </c>
      <c r="BU27" t="s">
        <v>82</v>
      </c>
      <c r="CP27" t="s">
        <v>82</v>
      </c>
      <c r="CT27" s="41">
        <f t="shared" si="33"/>
        <v>44882</v>
      </c>
      <c r="CU27" s="9">
        <f t="shared" si="34"/>
        <v>1.3310424487488961</v>
      </c>
      <c r="CV27" s="9">
        <f t="shared" si="71"/>
        <v>0.7588727773990428</v>
      </c>
      <c r="CW27" s="9">
        <f t="shared" si="71"/>
        <v>0.90872627056610267</v>
      </c>
      <c r="CX27" s="9">
        <f t="shared" si="71"/>
        <v>0.96833637696933927</v>
      </c>
      <c r="CY27" s="9">
        <f t="shared" si="71"/>
        <v>1.0100401458405068</v>
      </c>
      <c r="CZ27" s="9">
        <f t="shared" si="71"/>
        <v>1.0941726800919089</v>
      </c>
      <c r="DA27" s="9">
        <f t="shared" si="71"/>
        <v>1.2041941774401501</v>
      </c>
      <c r="DB27" s="9">
        <f t="shared" si="71"/>
        <v>1.3246506708343566</v>
      </c>
      <c r="DC27" s="9">
        <f t="shared" si="71"/>
        <v>1.4522968649446297</v>
      </c>
      <c r="DD27" s="9">
        <f t="shared" si="71"/>
        <v>1.52868905850463</v>
      </c>
      <c r="DE27" s="9">
        <f t="shared" si="71"/>
        <v>1.6945727695101989</v>
      </c>
      <c r="DF27" s="9">
        <f t="shared" si="71"/>
        <v>2.0576483421483562</v>
      </c>
      <c r="DG27" s="32"/>
      <c r="DH27" s="32"/>
      <c r="DJ27" s="40" t="s">
        <v>278</v>
      </c>
      <c r="DR27" s="41">
        <v>45246</v>
      </c>
      <c r="DS27" s="9">
        <v>1.2960779819999999</v>
      </c>
      <c r="DT27" s="9">
        <f t="shared" si="72"/>
        <v>0.81860851187574413</v>
      </c>
      <c r="DU27" s="9">
        <f t="shared" si="72"/>
        <v>0.96709308944911354</v>
      </c>
      <c r="DV27" s="9">
        <f t="shared" si="72"/>
        <v>1.046013215146111</v>
      </c>
      <c r="DW27" s="9">
        <f t="shared" si="72"/>
        <v>1.0941488437075659</v>
      </c>
      <c r="DX27" s="9">
        <f t="shared" si="72"/>
        <v>1.1875590469956134</v>
      </c>
      <c r="DY27" s="9">
        <f t="shared" si="72"/>
        <v>1.3050662184617663</v>
      </c>
      <c r="DZ27" s="9">
        <f t="shared" si="72"/>
        <v>1.4378813030107953</v>
      </c>
      <c r="EA27" s="9">
        <f t="shared" si="72"/>
        <v>1.57913853633096</v>
      </c>
      <c r="EB27" s="9">
        <f t="shared" si="72"/>
        <v>1.6645888927810135</v>
      </c>
      <c r="EC27" s="9">
        <f t="shared" si="72"/>
        <v>1.8302931458530876</v>
      </c>
      <c r="ED27" s="9">
        <f t="shared" si="72"/>
        <v>2.3457788163909701</v>
      </c>
      <c r="EE27" s="32"/>
      <c r="EF27" s="32"/>
      <c r="EH27" s="40" t="s">
        <v>278</v>
      </c>
      <c r="EQ27" s="41">
        <v>45610</v>
      </c>
      <c r="ER27" s="76">
        <v>1.1296929783830014</v>
      </c>
      <c r="ES27" s="9">
        <f t="shared" si="73"/>
        <v>0.87030769230769234</v>
      </c>
      <c r="ET27" s="9">
        <f t="shared" si="73"/>
        <v>0.97384615384615392</v>
      </c>
      <c r="EU27" s="9">
        <f t="shared" si="73"/>
        <v>1.0486153846153852</v>
      </c>
      <c r="EV27" s="9">
        <f t="shared" si="73"/>
        <v>1.1026923076923076</v>
      </c>
      <c r="EW27" s="9">
        <f t="shared" si="73"/>
        <v>1.2089230769230768</v>
      </c>
      <c r="EX27" s="9">
        <f t="shared" si="73"/>
        <v>1.3620000000000005</v>
      </c>
      <c r="EY27" s="9">
        <f t="shared" si="73"/>
        <v>1.548384615384615</v>
      </c>
      <c r="EZ27" s="9">
        <f t="shared" si="73"/>
        <v>1.7613846153846155</v>
      </c>
      <c r="FA27" s="9">
        <f t="shared" si="73"/>
        <v>1.8954615384615392</v>
      </c>
      <c r="FB27" s="9">
        <f t="shared" si="73"/>
        <v>2.1947692307692308</v>
      </c>
      <c r="FC27" s="9">
        <f t="shared" si="73"/>
        <v>2.8887692307692321</v>
      </c>
      <c r="FD27" s="32"/>
      <c r="FE27" s="32">
        <v>1129692978.3830013</v>
      </c>
      <c r="FF27" s="32">
        <f t="shared" si="38"/>
        <v>1.1296929783830014</v>
      </c>
      <c r="FG27" s="32"/>
      <c r="FH27" s="32"/>
      <c r="FI27" s="32">
        <v>1166156649.8179092</v>
      </c>
      <c r="FJ27" s="32">
        <f t="shared" si="39"/>
        <v>1.1661566498179092</v>
      </c>
      <c r="FK27" s="32"/>
      <c r="FL27" s="229">
        <v>45974</v>
      </c>
      <c r="FM27" s="230">
        <v>1.1661566498179092</v>
      </c>
      <c r="FN27" s="9">
        <f t="shared" si="74"/>
        <v>0.75726927543144273</v>
      </c>
      <c r="FO27" s="9">
        <f t="shared" si="74"/>
        <v>0.8483390671746861</v>
      </c>
      <c r="FP27" s="9">
        <f t="shared" si="74"/>
        <v>0.90794350180082983</v>
      </c>
      <c r="FQ27" s="9">
        <f t="shared" si="74"/>
        <v>0.94841603515353035</v>
      </c>
      <c r="FR27" s="9">
        <f t="shared" si="74"/>
        <v>1.0320726346171649</v>
      </c>
      <c r="FS27" s="9">
        <f t="shared" si="74"/>
        <v>1.1608679404213291</v>
      </c>
      <c r="FT27" s="9">
        <f t="shared" si="74"/>
        <v>1.3341441878519205</v>
      </c>
      <c r="FU27" s="9">
        <f t="shared" si="74"/>
        <v>1.5094964152187715</v>
      </c>
      <c r="FV27" s="9">
        <f t="shared" si="74"/>
        <v>1.646192418884302</v>
      </c>
      <c r="FW27" s="9">
        <f t="shared" si="74"/>
        <v>1.9351693218639332</v>
      </c>
      <c r="FX27" s="9">
        <f t="shared" si="74"/>
        <v>2.6117599519801091</v>
      </c>
      <c r="FY27" s="32"/>
      <c r="FZ27" s="32">
        <v>1129692978.3830013</v>
      </c>
      <c r="GA27" s="32">
        <f t="shared" si="41"/>
        <v>1.1296929783830014</v>
      </c>
      <c r="GB27" s="32"/>
      <c r="GC27" s="41">
        <v>45610</v>
      </c>
      <c r="GD27" s="9">
        <v>1.1296929783830014</v>
      </c>
      <c r="GE27" s="9">
        <f t="shared" si="75"/>
        <v>0.95542480497997162</v>
      </c>
      <c r="GF27" s="9">
        <f t="shared" si="75"/>
        <v>1.0443456986314124</v>
      </c>
      <c r="GG27" s="9">
        <f t="shared" si="75"/>
        <v>1.1191019690350994</v>
      </c>
      <c r="GH27" s="9">
        <f t="shared" si="75"/>
        <v>1.1683210198494605</v>
      </c>
      <c r="GI27" s="9">
        <f t="shared" si="75"/>
        <v>1.2608019173434319</v>
      </c>
      <c r="GJ27" s="9">
        <f t="shared" si="75"/>
        <v>1.3770684298773721</v>
      </c>
      <c r="GK27" s="9">
        <f t="shared" si="75"/>
        <v>1.5155225069068614</v>
      </c>
      <c r="GL27" s="9">
        <f t="shared" si="75"/>
        <v>1.6575972287627976</v>
      </c>
      <c r="GM27" s="9">
        <f t="shared" si="75"/>
        <v>1.7461597296996556</v>
      </c>
      <c r="GN27" s="9">
        <f t="shared" si="75"/>
        <v>1.9248818818727764</v>
      </c>
      <c r="GO27" s="9">
        <f t="shared" si="75"/>
        <v>2.4231191677637116</v>
      </c>
      <c r="GP27" s="32"/>
      <c r="GQ27" s="32"/>
      <c r="GS27" s="40" t="s">
        <v>278</v>
      </c>
      <c r="HA27" s="41">
        <f t="shared" si="43"/>
        <v>44882</v>
      </c>
      <c r="HB27" s="9"/>
      <c r="HC27" s="9">
        <f t="shared" si="61"/>
        <v>1.3310424487488961</v>
      </c>
      <c r="HD27" s="9">
        <f t="shared" si="66"/>
        <v>0.72853611685043251</v>
      </c>
      <c r="HE27" s="9">
        <f t="shared" si="62"/>
        <v>0.78388992112474509</v>
      </c>
      <c r="HF27" s="9">
        <f t="shared" si="62"/>
        <v>0.81442921173019533</v>
      </c>
      <c r="HG27" s="9">
        <f t="shared" si="62"/>
        <v>0.83951349582924495</v>
      </c>
      <c r="HH27" s="9">
        <f t="shared" si="62"/>
        <v>0.90203985697154487</v>
      </c>
      <c r="HI27" s="9">
        <f t="shared" si="62"/>
        <v>0.96797867850735742</v>
      </c>
      <c r="HJ27" s="9">
        <f t="shared" si="62"/>
        <v>1.1177368184680456</v>
      </c>
      <c r="HK27" s="9">
        <f t="shared" si="62"/>
        <v>1.2462020011461581</v>
      </c>
      <c r="HL27" s="9">
        <f t="shared" si="62"/>
        <v>1.3261474079734334</v>
      </c>
      <c r="HM27" s="9">
        <f t="shared" si="62"/>
        <v>1.4887560224244079</v>
      </c>
      <c r="HN27" s="9">
        <f t="shared" si="62"/>
        <v>2.0206281920918459</v>
      </c>
      <c r="HO27" s="9"/>
      <c r="HP27" s="9"/>
      <c r="HQ27" s="9"/>
      <c r="HR27" s="9"/>
      <c r="HS27" s="32"/>
      <c r="HT27" s="32">
        <v>4</v>
      </c>
      <c r="HU27" s="32"/>
      <c r="HV27" s="41">
        <f t="shared" si="44"/>
        <v>44882</v>
      </c>
      <c r="HW27" s="9">
        <f t="shared" si="63"/>
        <v>1.3310424487488961</v>
      </c>
      <c r="HX27" s="9">
        <f t="shared" si="67"/>
        <v>0.69083211245773235</v>
      </c>
      <c r="HY27" s="9">
        <f t="shared" si="64"/>
        <v>0.78791787536761693</v>
      </c>
      <c r="HZ27" s="9">
        <f t="shared" si="64"/>
        <v>0.85607462492380082</v>
      </c>
      <c r="IA27" s="9">
        <f t="shared" si="64"/>
        <v>0.91177925157712059</v>
      </c>
      <c r="IB27" s="9">
        <f t="shared" si="64"/>
        <v>1.0006871811779787</v>
      </c>
      <c r="IC27" s="9">
        <f t="shared" si="64"/>
        <v>1.1433632232518069</v>
      </c>
      <c r="ID27" s="9">
        <f t="shared" si="64"/>
        <v>1.3434154097482924</v>
      </c>
      <c r="IE27" s="9">
        <f t="shared" si="64"/>
        <v>1.590982241629515</v>
      </c>
      <c r="IF27" s="9">
        <f t="shared" si="64"/>
        <v>1.7365505672867318</v>
      </c>
      <c r="IG27" s="9">
        <f t="shared" si="64"/>
        <v>2.042366659987378</v>
      </c>
      <c r="IH27" s="9">
        <f t="shared" si="64"/>
        <v>2.8434147251734165</v>
      </c>
      <c r="II27" s="9"/>
      <c r="IJ27" s="9"/>
      <c r="IK27" s="9"/>
      <c r="IL27" s="9"/>
      <c r="IM27" s="32"/>
      <c r="IN27" s="32">
        <v>4</v>
      </c>
      <c r="IO27" s="32"/>
      <c r="IQ27" s="40" t="s">
        <v>278</v>
      </c>
      <c r="IZ27" s="41">
        <f t="shared" si="11"/>
        <v>44882</v>
      </c>
      <c r="JA27" s="9">
        <f t="shared" si="11"/>
        <v>1.3310424487488961</v>
      </c>
      <c r="JB27" s="9"/>
      <c r="JC27" s="9"/>
      <c r="JD27" s="9"/>
      <c r="JE27" s="9"/>
      <c r="JF27" s="9"/>
      <c r="JG27" s="9"/>
      <c r="JH27" s="9"/>
      <c r="JI27" s="9"/>
      <c r="JJ27" s="9"/>
      <c r="JK27" s="9"/>
      <c r="JL27" s="9"/>
      <c r="JM27" s="9"/>
      <c r="JO27" t="s">
        <v>81</v>
      </c>
      <c r="JX27" s="41">
        <v>44882</v>
      </c>
      <c r="JY27" s="9"/>
      <c r="JZ27" s="9">
        <f t="shared" si="76"/>
        <v>1.4073205644986537</v>
      </c>
      <c r="KA27" s="9">
        <f t="shared" si="76"/>
        <v>1.3660486446169615</v>
      </c>
      <c r="KB27" s="9"/>
      <c r="KD27" t="s">
        <v>81</v>
      </c>
      <c r="KM27" s="41">
        <v>43055</v>
      </c>
      <c r="KN27" s="241">
        <v>16160991.978999998</v>
      </c>
      <c r="KO27" s="241">
        <f t="shared" si="47"/>
        <v>388070446.79699993</v>
      </c>
      <c r="KQ27" s="41">
        <v>43237</v>
      </c>
      <c r="KR27" s="241">
        <v>31720405.939200003</v>
      </c>
      <c r="KS27" s="241">
        <f t="shared" si="48"/>
        <v>487422073.26669997</v>
      </c>
      <c r="KU27" s="41">
        <v>43419</v>
      </c>
      <c r="KV27" s="241">
        <v>16310127.675600002</v>
      </c>
      <c r="KW27" s="241">
        <f t="shared" si="49"/>
        <v>950371354.07940006</v>
      </c>
      <c r="KY27" s="41">
        <v>43601</v>
      </c>
      <c r="KZ27" s="241">
        <v>20721373.589400001</v>
      </c>
      <c r="LA27" s="241">
        <f t="shared" si="50"/>
        <v>887436647.98140037</v>
      </c>
      <c r="LC27" s="41">
        <v>43783</v>
      </c>
      <c r="LD27" s="241">
        <v>48927856.111200005</v>
      </c>
      <c r="LE27" s="241">
        <f t="shared" si="51"/>
        <v>1290515488.3632004</v>
      </c>
      <c r="LG27" s="41">
        <v>43965</v>
      </c>
      <c r="LH27" s="241">
        <v>21279153.871800002</v>
      </c>
      <c r="LI27" s="241">
        <f t="shared" si="52"/>
        <v>814388423.27699995</v>
      </c>
      <c r="LK27" s="41">
        <v>44147</v>
      </c>
      <c r="LL27" s="241">
        <v>21949164.8244</v>
      </c>
      <c r="LM27" s="241">
        <f t="shared" si="53"/>
        <v>978987059.93219995</v>
      </c>
      <c r="LO27" s="41">
        <v>44336</v>
      </c>
      <c r="LP27" s="241">
        <v>24344852.367000002</v>
      </c>
      <c r="LQ27" s="241">
        <f t="shared" si="54"/>
        <v>1042103340.8807999</v>
      </c>
      <c r="LS27" s="41">
        <v>44511</v>
      </c>
      <c r="LT27" s="241">
        <v>49816399.380000003</v>
      </c>
      <c r="LU27" s="241">
        <f t="shared" si="55"/>
        <v>1093690420.5744002</v>
      </c>
      <c r="LW27" s="38">
        <v>44700</v>
      </c>
      <c r="LX27" s="49">
        <v>144637403.21580002</v>
      </c>
      <c r="LY27" s="241">
        <f t="shared" si="56"/>
        <v>1440848663.9579999</v>
      </c>
      <c r="MA27" s="32">
        <v>20</v>
      </c>
      <c r="MB27" s="42">
        <f t="shared" si="12"/>
        <v>0.38807044679699992</v>
      </c>
      <c r="MC27" s="42">
        <f t="shared" si="13"/>
        <v>0.48742207326669995</v>
      </c>
      <c r="MD27" s="42">
        <f t="shared" si="14"/>
        <v>0.9503713540794001</v>
      </c>
      <c r="ME27" s="42">
        <f t="shared" si="15"/>
        <v>0.88743664798140032</v>
      </c>
      <c r="MF27" s="42">
        <f t="shared" si="16"/>
        <v>1.2905154883632004</v>
      </c>
      <c r="MG27" s="42">
        <f t="shared" si="17"/>
        <v>0.8143884232769999</v>
      </c>
      <c r="MH27" s="42">
        <f t="shared" si="18"/>
        <v>0.97898705993219992</v>
      </c>
      <c r="MI27" s="42">
        <f t="shared" si="19"/>
        <v>1.0421033408807998</v>
      </c>
      <c r="MJ27" s="42">
        <f t="shared" si="20"/>
        <v>1.0936904205744002</v>
      </c>
      <c r="MK27" s="42">
        <f t="shared" si="21"/>
        <v>1.440848663958</v>
      </c>
      <c r="ML27" s="8">
        <f t="shared" ca="1" si="77"/>
        <v>1.2808325065110555</v>
      </c>
      <c r="MM27" s="8">
        <f t="shared" ca="1" si="77"/>
        <v>1.3210780540497691</v>
      </c>
      <c r="MN27" s="8">
        <f t="shared" ca="1" si="77"/>
        <v>1.3613236015884826</v>
      </c>
      <c r="MV27" s="60"/>
      <c r="MW27" s="62" t="s">
        <v>36</v>
      </c>
      <c r="MX27" s="10">
        <v>0.66629327621836509</v>
      </c>
      <c r="MY27" s="53">
        <f t="shared" si="68"/>
        <v>0.88069409730657311</v>
      </c>
      <c r="MZ27" s="10">
        <v>1.1447990683129006</v>
      </c>
      <c r="NA27" s="10">
        <v>1.2680618188449202</v>
      </c>
      <c r="NB27" s="10">
        <v>1.3346788066326001</v>
      </c>
      <c r="NC27" s="10">
        <v>1.2391489282051003</v>
      </c>
      <c r="ND27" s="10">
        <v>1.7220573791049361</v>
      </c>
      <c r="NE27" s="10">
        <v>1.3905264531543005</v>
      </c>
      <c r="NF27" s="10">
        <v>1.8498540352380002</v>
      </c>
      <c r="NG27" s="10">
        <v>1.76227400640885</v>
      </c>
      <c r="NH27" s="10">
        <v>1.20246071691735</v>
      </c>
      <c r="NS27" s="41">
        <f t="shared" si="65"/>
        <v>44700</v>
      </c>
      <c r="NT27" s="9">
        <f t="shared" si="22"/>
        <v>1.440848663958</v>
      </c>
      <c r="NU27" s="9">
        <f t="shared" si="78"/>
        <v>0.65767156420349993</v>
      </c>
      <c r="NV27" s="9">
        <f t="shared" si="78"/>
        <v>0.77798242776718973</v>
      </c>
      <c r="NW27" s="9">
        <f t="shared" si="78"/>
        <v>0.84827527083407328</v>
      </c>
      <c r="NX27" s="9">
        <f t="shared" si="78"/>
        <v>0.89758568477515344</v>
      </c>
      <c r="NY27" s="9">
        <f t="shared" si="78"/>
        <v>1.0010922471101538</v>
      </c>
      <c r="NZ27" s="9">
        <f t="shared" si="78"/>
        <v>1.1769902879136349</v>
      </c>
      <c r="OA27" s="9">
        <f t="shared" si="78"/>
        <v>1.3555953895452697</v>
      </c>
      <c r="OB27" s="9">
        <f t="shared" si="78"/>
        <v>1.566076853128616</v>
      </c>
      <c r="OC27" s="9">
        <f t="shared" si="78"/>
        <v>1.7164853240475775</v>
      </c>
      <c r="OD27" s="9">
        <f t="shared" si="78"/>
        <v>2.0128532179821153</v>
      </c>
      <c r="OE27" s="9">
        <f t="shared" si="78"/>
        <v>2.6049937198056541</v>
      </c>
      <c r="OF27" s="9">
        <f t="shared" ca="1" si="78"/>
        <v>1.3415182512904613</v>
      </c>
      <c r="OG27" s="32"/>
      <c r="OI27" s="40" t="s">
        <v>281</v>
      </c>
      <c r="OR27" s="41">
        <f t="shared" si="58"/>
        <v>44700</v>
      </c>
      <c r="OS27" s="9"/>
      <c r="OT27" s="9">
        <f t="shared" si="79"/>
        <v>1.2091122325650501</v>
      </c>
      <c r="OU27" s="9">
        <f t="shared" si="79"/>
        <v>1.2220270466860499</v>
      </c>
      <c r="OV27" s="9">
        <f t="shared" si="79"/>
        <v>1.2306395075001502</v>
      </c>
      <c r="OW27" s="9">
        <f t="shared" si="79"/>
        <v>1.2433864718791998</v>
      </c>
      <c r="OX27" s="9">
        <f t="shared" si="79"/>
        <v>1.2586114504524</v>
      </c>
      <c r="OY27" s="9">
        <f t="shared" si="79"/>
        <v>1.2826173067994</v>
      </c>
      <c r="OZ27" s="9">
        <f t="shared" si="79"/>
        <v>1.3584325454859503</v>
      </c>
      <c r="PA27" s="9">
        <f t="shared" si="79"/>
        <v>1.3882236224939497</v>
      </c>
      <c r="PB27" s="9">
        <f t="shared" si="79"/>
        <v>1.4117342243405497</v>
      </c>
      <c r="PC27" s="9">
        <f t="shared" si="79"/>
        <v>1.5080372490514835</v>
      </c>
      <c r="PD27" s="9">
        <f t="shared" si="79"/>
        <v>1.8742762627792502</v>
      </c>
      <c r="PE27" s="9">
        <f t="shared" ca="1" si="79"/>
        <v>1.3210780540497691</v>
      </c>
      <c r="PG27" t="s">
        <v>81</v>
      </c>
    </row>
    <row r="28" spans="2:423" x14ac:dyDescent="0.25">
      <c r="B28" s="48">
        <v>42880</v>
      </c>
      <c r="C28" s="49">
        <v>15023351.672999999</v>
      </c>
      <c r="D28" s="49">
        <v>16170660</v>
      </c>
      <c r="E28" s="50">
        <v>6000000</v>
      </c>
      <c r="F28" s="50"/>
      <c r="G28" s="50"/>
      <c r="H28" s="50"/>
      <c r="I28" s="38">
        <v>43062</v>
      </c>
      <c r="J28" s="240">
        <v>10658989.09</v>
      </c>
      <c r="K28" s="240">
        <v>23353511.268999998</v>
      </c>
      <c r="L28" s="241">
        <f t="shared" si="24"/>
        <v>411423958.06599993</v>
      </c>
      <c r="N28" s="38">
        <v>43426</v>
      </c>
      <c r="O28" s="240">
        <v>3000000</v>
      </c>
      <c r="P28" s="240">
        <v>15836794.188600002</v>
      </c>
      <c r="Q28" s="241">
        <f t="shared" si="25"/>
        <v>966208148.26800001</v>
      </c>
      <c r="S28" s="38">
        <v>43790</v>
      </c>
      <c r="T28" s="240">
        <v>40000000</v>
      </c>
      <c r="U28" s="240">
        <v>58922766.718200006</v>
      </c>
      <c r="V28" s="241">
        <f t="shared" si="26"/>
        <v>1349438255.0814004</v>
      </c>
      <c r="X28" s="38">
        <v>44154</v>
      </c>
      <c r="Y28" s="240">
        <v>8000000</v>
      </c>
      <c r="Z28" s="240">
        <v>30118381.669199999</v>
      </c>
      <c r="AA28" s="241">
        <f t="shared" si="27"/>
        <v>1009105441.6013999</v>
      </c>
      <c r="AC28" s="38">
        <v>44518</v>
      </c>
      <c r="AD28" s="240">
        <v>40000000</v>
      </c>
      <c r="AE28" s="240">
        <v>72366468.015599996</v>
      </c>
      <c r="AF28" s="241">
        <f t="shared" si="28"/>
        <v>1166056888.5900002</v>
      </c>
      <c r="AG28" s="241"/>
      <c r="AH28" s="38">
        <v>44889</v>
      </c>
      <c r="AI28" s="240">
        <v>50000000</v>
      </c>
      <c r="AJ28" s="240">
        <v>86467758.623411372</v>
      </c>
      <c r="AK28" s="241">
        <f t="shared" si="29"/>
        <v>1417510207.3723075</v>
      </c>
      <c r="AM28" s="32">
        <v>21</v>
      </c>
      <c r="AN28" s="39">
        <f t="shared" si="0"/>
        <v>0.41142395806599991</v>
      </c>
      <c r="AO28" s="39">
        <f t="shared" si="1"/>
        <v>0.96620814826800006</v>
      </c>
      <c r="AP28" s="39">
        <f t="shared" si="2"/>
        <v>1.3494382550814004</v>
      </c>
      <c r="AQ28" s="39">
        <f t="shared" si="3"/>
        <v>1.0091054416013998</v>
      </c>
      <c r="AR28" s="39">
        <f t="shared" si="30"/>
        <v>1.1660568885900002</v>
      </c>
      <c r="AS28" s="39">
        <f t="shared" si="31"/>
        <v>1.4175102073723076</v>
      </c>
      <c r="AT28" s="39"/>
      <c r="AU28" s="39">
        <f t="shared" si="32"/>
        <v>1.0587695337486696</v>
      </c>
      <c r="AV28" s="9"/>
      <c r="AW28" s="9"/>
      <c r="AX28" s="9"/>
      <c r="AZ28" s="3"/>
      <c r="BA28" s="3"/>
      <c r="BB28" s="3"/>
      <c r="BC28" s="3"/>
      <c r="BD28" s="3"/>
      <c r="BF28" s="60"/>
      <c r="BG28" s="62" t="s">
        <v>36</v>
      </c>
      <c r="BH28" s="63">
        <f t="shared" si="69"/>
        <v>1.4672063600062959</v>
      </c>
      <c r="BI28" s="10">
        <v>2.2442862413628211</v>
      </c>
      <c r="BJ28" s="10">
        <v>2.603118435864352</v>
      </c>
      <c r="BK28" s="10">
        <v>3.0758987637034783</v>
      </c>
      <c r="BL28" s="10">
        <v>3.3828917842199151</v>
      </c>
      <c r="BM28" s="10">
        <v>3.0685063886395967</v>
      </c>
      <c r="BN28" s="10">
        <v>3.3828917842199151</v>
      </c>
      <c r="BP28" s="40" t="s">
        <v>289</v>
      </c>
      <c r="BZ28" s="59" t="s">
        <v>286</v>
      </c>
      <c r="CA28" s="64" t="s">
        <v>30</v>
      </c>
      <c r="CB28" s="63">
        <f t="shared" ref="CB28:CD38" si="80">CB56</f>
        <v>3</v>
      </c>
      <c r="CC28" s="63">
        <f t="shared" si="80"/>
        <v>10</v>
      </c>
      <c r="CD28" s="63">
        <f t="shared" si="80"/>
        <v>4.4807692307692308</v>
      </c>
      <c r="CE28" s="10">
        <v>11</v>
      </c>
      <c r="CF28" s="10">
        <v>9</v>
      </c>
      <c r="CG28" s="10">
        <v>16</v>
      </c>
      <c r="CH28" s="10">
        <v>14</v>
      </c>
      <c r="CI28" s="10">
        <v>10</v>
      </c>
      <c r="CK28" s="40" t="s">
        <v>289</v>
      </c>
      <c r="CT28" s="41">
        <f t="shared" si="33"/>
        <v>44889</v>
      </c>
      <c r="CU28" s="9">
        <f t="shared" si="34"/>
        <v>1.4175102073723076</v>
      </c>
      <c r="CV28" s="9">
        <f t="shared" si="71"/>
        <v>0.79681641626899491</v>
      </c>
      <c r="CW28" s="9">
        <f t="shared" si="71"/>
        <v>0.9541625840944078</v>
      </c>
      <c r="CX28" s="9">
        <f t="shared" si="71"/>
        <v>1.0167531958178062</v>
      </c>
      <c r="CY28" s="9">
        <f t="shared" si="71"/>
        <v>1.0605421531325321</v>
      </c>
      <c r="CZ28" s="9">
        <f t="shared" si="71"/>
        <v>1.1488813140965044</v>
      </c>
      <c r="DA28" s="9">
        <f t="shared" si="71"/>
        <v>1.2644038863121576</v>
      </c>
      <c r="DB28" s="9">
        <f t="shared" si="71"/>
        <v>1.3908832043760744</v>
      </c>
      <c r="DC28" s="9">
        <f t="shared" si="71"/>
        <v>1.5249117081918613</v>
      </c>
      <c r="DD28" s="9">
        <f t="shared" si="71"/>
        <v>1.6051235114298614</v>
      </c>
      <c r="DE28" s="9">
        <f t="shared" si="71"/>
        <v>1.7793014079857088</v>
      </c>
      <c r="DF28" s="9">
        <f t="shared" si="71"/>
        <v>2.1605307592557739</v>
      </c>
      <c r="DG28" s="32"/>
      <c r="DH28" s="32"/>
      <c r="DR28" s="41">
        <v>45253</v>
      </c>
      <c r="DS28" s="9">
        <v>1.346875869</v>
      </c>
      <c r="DT28" s="9">
        <f t="shared" si="72"/>
        <v>0.85953893746953136</v>
      </c>
      <c r="DU28" s="9">
        <f t="shared" si="72"/>
        <v>1.0154477439215692</v>
      </c>
      <c r="DV28" s="9">
        <f t="shared" si="72"/>
        <v>1.0983138759034166</v>
      </c>
      <c r="DW28" s="9">
        <f t="shared" si="72"/>
        <v>1.1488562858929443</v>
      </c>
      <c r="DX28" s="9">
        <f t="shared" si="72"/>
        <v>1.246936999345394</v>
      </c>
      <c r="DY28" s="9">
        <f t="shared" si="72"/>
        <v>1.3703195293848547</v>
      </c>
      <c r="DZ28" s="9">
        <f t="shared" si="72"/>
        <v>1.5097753681613351</v>
      </c>
      <c r="EA28" s="9">
        <f t="shared" si="72"/>
        <v>1.658095463147508</v>
      </c>
      <c r="EB28" s="9">
        <f t="shared" si="72"/>
        <v>1.7478183374200642</v>
      </c>
      <c r="EC28" s="9">
        <f t="shared" si="72"/>
        <v>1.921807803145742</v>
      </c>
      <c r="ED28" s="9">
        <f t="shared" si="72"/>
        <v>2.4630677572105184</v>
      </c>
      <c r="EE28" s="32"/>
      <c r="EF28" s="32"/>
      <c r="EQ28" s="41">
        <v>45617</v>
      </c>
      <c r="ER28" s="76">
        <v>1.2233563217890817</v>
      </c>
      <c r="ES28" s="9">
        <f t="shared" si="73"/>
        <v>0.91382307692307696</v>
      </c>
      <c r="ET28" s="9">
        <f t="shared" si="73"/>
        <v>1.0225384615384616</v>
      </c>
      <c r="EU28" s="9">
        <f t="shared" si="73"/>
        <v>1.1010461538461545</v>
      </c>
      <c r="EV28" s="9">
        <f t="shared" si="73"/>
        <v>1.1578269230769229</v>
      </c>
      <c r="EW28" s="9">
        <f t="shared" si="73"/>
        <v>1.2693692307692306</v>
      </c>
      <c r="EX28" s="9">
        <f t="shared" si="73"/>
        <v>1.4301000000000006</v>
      </c>
      <c r="EY28" s="9">
        <f t="shared" si="73"/>
        <v>1.6258038461538458</v>
      </c>
      <c r="EZ28" s="9">
        <f t="shared" si="73"/>
        <v>1.8494538461538463</v>
      </c>
      <c r="FA28" s="9">
        <f t="shared" si="73"/>
        <v>1.9902346153846162</v>
      </c>
      <c r="FB28" s="9">
        <f t="shared" si="73"/>
        <v>2.3045076923076921</v>
      </c>
      <c r="FC28" s="9">
        <f t="shared" si="73"/>
        <v>3.0332076923076938</v>
      </c>
      <c r="FD28" s="32"/>
      <c r="FE28" s="32">
        <v>1223356321.7890818</v>
      </c>
      <c r="FF28" s="32">
        <f t="shared" si="38"/>
        <v>1.2233563217890817</v>
      </c>
      <c r="FG28" s="32"/>
      <c r="FH28" s="32"/>
      <c r="FI28" s="32">
        <v>1198802158.8869033</v>
      </c>
      <c r="FJ28" s="32">
        <f t="shared" si="39"/>
        <v>1.1988021588869033</v>
      </c>
      <c r="FK28" s="32"/>
      <c r="FL28" s="229">
        <v>45981</v>
      </c>
      <c r="FM28" s="230">
        <v>1.1988021588869033</v>
      </c>
      <c r="FN28" s="9">
        <f t="shared" si="74"/>
        <v>0.79513273920301486</v>
      </c>
      <c r="FO28" s="9">
        <f t="shared" si="74"/>
        <v>0.8907560205334204</v>
      </c>
      <c r="FP28" s="9">
        <f t="shared" si="74"/>
        <v>0.95334067689087132</v>
      </c>
      <c r="FQ28" s="9">
        <f t="shared" si="74"/>
        <v>0.99583683691120684</v>
      </c>
      <c r="FR28" s="9">
        <f t="shared" si="74"/>
        <v>1.0836762663480233</v>
      </c>
      <c r="FS28" s="9">
        <f t="shared" si="74"/>
        <v>1.2189113374423957</v>
      </c>
      <c r="FT28" s="9">
        <f t="shared" si="74"/>
        <v>1.4008513972445165</v>
      </c>
      <c r="FU28" s="9">
        <f t="shared" si="74"/>
        <v>1.5849712359797101</v>
      </c>
      <c r="FV28" s="9">
        <f t="shared" si="74"/>
        <v>1.7285020398285171</v>
      </c>
      <c r="FW28" s="9">
        <f t="shared" si="74"/>
        <v>2.0319277879571298</v>
      </c>
      <c r="FX28" s="9">
        <f t="shared" si="74"/>
        <v>2.7423479495791145</v>
      </c>
      <c r="FY28" s="32"/>
      <c r="FZ28" s="32">
        <v>1223356321.7890818</v>
      </c>
      <c r="GA28" s="32">
        <f t="shared" si="41"/>
        <v>1.2233563217890817</v>
      </c>
      <c r="GB28" s="32"/>
      <c r="GC28" s="41">
        <v>45617</v>
      </c>
      <c r="GD28" s="9">
        <v>1.2233563217890817</v>
      </c>
      <c r="GE28" s="9">
        <f t="shared" si="75"/>
        <v>1.0031960452289701</v>
      </c>
      <c r="GF28" s="9">
        <f t="shared" si="75"/>
        <v>1.0965629835629829</v>
      </c>
      <c r="GG28" s="9">
        <f t="shared" si="75"/>
        <v>1.1750570674868543</v>
      </c>
      <c r="GH28" s="9">
        <f t="shared" si="75"/>
        <v>1.2267370708419334</v>
      </c>
      <c r="GI28" s="9">
        <f t="shared" si="75"/>
        <v>1.3238420132106035</v>
      </c>
      <c r="GJ28" s="9">
        <f t="shared" si="75"/>
        <v>1.4459218513712406</v>
      </c>
      <c r="GK28" s="9">
        <f t="shared" si="75"/>
        <v>1.5912986322522045</v>
      </c>
      <c r="GL28" s="9">
        <f t="shared" si="75"/>
        <v>1.7404770902009374</v>
      </c>
      <c r="GM28" s="9">
        <f t="shared" si="75"/>
        <v>1.8334677161846384</v>
      </c>
      <c r="GN28" s="9">
        <f t="shared" si="75"/>
        <v>2.0211259759664153</v>
      </c>
      <c r="GO28" s="9">
        <f t="shared" si="75"/>
        <v>2.5442751261518972</v>
      </c>
      <c r="GP28" s="32"/>
      <c r="GQ28" s="32"/>
      <c r="HA28" s="41">
        <f t="shared" si="43"/>
        <v>44889</v>
      </c>
      <c r="HB28" s="9"/>
      <c r="HC28" s="9">
        <f t="shared" si="61"/>
        <v>1.4175102073723076</v>
      </c>
      <c r="HD28" s="9">
        <f t="shared" si="66"/>
        <v>0.76522358575024496</v>
      </c>
      <c r="HE28" s="9">
        <f t="shared" si="62"/>
        <v>0.82611277045198883</v>
      </c>
      <c r="HF28" s="9">
        <f t="shared" si="62"/>
        <v>0.8597059901179841</v>
      </c>
      <c r="HG28" s="9">
        <f t="shared" si="62"/>
        <v>0.88729870262693866</v>
      </c>
      <c r="HH28" s="9">
        <f t="shared" si="62"/>
        <v>0.95607769988346858</v>
      </c>
      <c r="HI28" s="9">
        <f t="shared" si="62"/>
        <v>1.0286104035728625</v>
      </c>
      <c r="HJ28" s="9">
        <f t="shared" si="62"/>
        <v>1.1933443575296194</v>
      </c>
      <c r="HK28" s="9">
        <f t="shared" si="62"/>
        <v>1.3346560584755431</v>
      </c>
      <c r="HL28" s="9">
        <f t="shared" si="62"/>
        <v>1.422596005985546</v>
      </c>
      <c r="HM28" s="9">
        <f t="shared" si="62"/>
        <v>1.6014654818816179</v>
      </c>
      <c r="HN28" s="9">
        <f t="shared" si="62"/>
        <v>2.1865248685157996</v>
      </c>
      <c r="HO28" s="9"/>
      <c r="HP28" s="9"/>
      <c r="HQ28" s="9"/>
      <c r="HR28" s="9"/>
      <c r="HS28" s="32"/>
      <c r="HT28" s="32">
        <v>4</v>
      </c>
      <c r="HU28" s="32"/>
      <c r="HV28" s="41">
        <f t="shared" si="44"/>
        <v>44889</v>
      </c>
      <c r="HW28" s="9">
        <f t="shared" si="63"/>
        <v>1.4175102073723076</v>
      </c>
      <c r="HX28" s="9">
        <f t="shared" si="67"/>
        <v>0.73267642360949559</v>
      </c>
      <c r="HY28" s="9">
        <f t="shared" si="64"/>
        <v>0.8365685731158452</v>
      </c>
      <c r="HZ28" s="9">
        <f t="shared" si="64"/>
        <v>0.90914444261367977</v>
      </c>
      <c r="IA28" s="9">
        <f t="shared" si="64"/>
        <v>0.96676965330247722</v>
      </c>
      <c r="IB28" s="9">
        <f t="shared" si="64"/>
        <v>1.0616661861688976</v>
      </c>
      <c r="IC28" s="9">
        <f t="shared" si="64"/>
        <v>1.2138941901434808</v>
      </c>
      <c r="ID28" s="9">
        <f t="shared" si="64"/>
        <v>1.4226838846586092</v>
      </c>
      <c r="IE28" s="9">
        <f t="shared" si="64"/>
        <v>1.6698511616835816</v>
      </c>
      <c r="IF28" s="9">
        <f t="shared" si="64"/>
        <v>1.8275797648925525</v>
      </c>
      <c r="IG28" s="9">
        <f t="shared" si="64"/>
        <v>2.1360634558799654</v>
      </c>
      <c r="IH28" s="9">
        <f t="shared" si="64"/>
        <v>2.932549522775632</v>
      </c>
      <c r="II28" s="9"/>
      <c r="IJ28" s="9"/>
      <c r="IK28" s="9"/>
      <c r="IL28" s="9"/>
      <c r="IM28" s="32"/>
      <c r="IN28" s="32">
        <v>4</v>
      </c>
      <c r="IO28" s="32"/>
      <c r="IZ28" s="41">
        <f t="shared" si="11"/>
        <v>44889</v>
      </c>
      <c r="JA28" s="9">
        <f t="shared" si="11"/>
        <v>1.4175102073723076</v>
      </c>
      <c r="JB28" s="9"/>
      <c r="JC28" s="9"/>
      <c r="JD28" s="9"/>
      <c r="JE28" s="9"/>
      <c r="JF28" s="9"/>
      <c r="JG28" s="9"/>
      <c r="JH28" s="9"/>
      <c r="JI28" s="9"/>
      <c r="JJ28" s="9"/>
      <c r="JK28" s="9"/>
      <c r="JL28" s="9"/>
      <c r="JM28" s="9"/>
      <c r="JX28" s="41">
        <v>44889</v>
      </c>
      <c r="JY28" s="9"/>
      <c r="JZ28" s="9">
        <f t="shared" si="76"/>
        <v>1.4748899969091382</v>
      </c>
      <c r="KA28" s="9">
        <f t="shared" si="76"/>
        <v>1.4198607704002153</v>
      </c>
      <c r="KB28" s="9"/>
      <c r="KM28" s="41">
        <v>43062</v>
      </c>
      <c r="KN28" s="241">
        <v>23353511.268999998</v>
      </c>
      <c r="KO28" s="241">
        <f t="shared" si="47"/>
        <v>411423958.06599993</v>
      </c>
      <c r="KQ28" s="41">
        <v>43244</v>
      </c>
      <c r="KR28" s="241">
        <v>43577628.006000005</v>
      </c>
      <c r="KS28" s="241">
        <f t="shared" si="48"/>
        <v>530999701.27269995</v>
      </c>
      <c r="KU28" s="41">
        <v>43426</v>
      </c>
      <c r="KV28" s="241">
        <v>15836794.188600002</v>
      </c>
      <c r="KW28" s="241">
        <f t="shared" si="49"/>
        <v>966208148.26800001</v>
      </c>
      <c r="KY28" s="41">
        <v>43608</v>
      </c>
      <c r="KZ28" s="241">
        <v>14551612.435800001</v>
      </c>
      <c r="LA28" s="241">
        <f t="shared" si="50"/>
        <v>901988260.41720033</v>
      </c>
      <c r="LC28" s="41">
        <v>43790</v>
      </c>
      <c r="LD28" s="241">
        <v>58922766.718200006</v>
      </c>
      <c r="LE28" s="241">
        <f t="shared" si="51"/>
        <v>1349438255.0814004</v>
      </c>
      <c r="LG28" s="41">
        <v>43972</v>
      </c>
      <c r="LH28" s="241">
        <v>29899609.119600002</v>
      </c>
      <c r="LI28" s="241">
        <f t="shared" si="52"/>
        <v>844288032.39660001</v>
      </c>
      <c r="LK28" s="41">
        <v>44154</v>
      </c>
      <c r="LL28" s="241">
        <v>30118381.669199999</v>
      </c>
      <c r="LM28" s="241">
        <f t="shared" si="53"/>
        <v>1009105441.6013999</v>
      </c>
      <c r="LO28" s="41">
        <v>44343</v>
      </c>
      <c r="LP28" s="241">
        <v>31106141.332200002</v>
      </c>
      <c r="LQ28" s="241">
        <f t="shared" si="54"/>
        <v>1073209482.2129999</v>
      </c>
      <c r="LS28" s="41">
        <v>44518</v>
      </c>
      <c r="LT28" s="241">
        <v>72366468.015599996</v>
      </c>
      <c r="LU28" s="241">
        <f t="shared" si="55"/>
        <v>1166056888.5900002</v>
      </c>
      <c r="LW28" s="38">
        <v>44707</v>
      </c>
      <c r="LX28" s="49">
        <v>24966976.795200001</v>
      </c>
      <c r="LY28" s="241">
        <f t="shared" si="56"/>
        <v>1465815640.7532001</v>
      </c>
      <c r="MA28" s="32">
        <v>21</v>
      </c>
      <c r="MB28" s="42">
        <f t="shared" si="12"/>
        <v>0.41142395806599991</v>
      </c>
      <c r="MC28" s="42">
        <f t="shared" si="13"/>
        <v>0.53099970127269991</v>
      </c>
      <c r="MD28" s="42">
        <f t="shared" si="14"/>
        <v>0.96620814826800006</v>
      </c>
      <c r="ME28" s="42">
        <f t="shared" si="15"/>
        <v>0.90198826041720037</v>
      </c>
      <c r="MF28" s="42">
        <f t="shared" si="16"/>
        <v>1.3494382550814004</v>
      </c>
      <c r="MG28" s="42">
        <f t="shared" si="17"/>
        <v>0.8442880323966</v>
      </c>
      <c r="MH28" s="42">
        <f t="shared" si="18"/>
        <v>1.0091054416013998</v>
      </c>
      <c r="MI28" s="42">
        <f t="shared" si="19"/>
        <v>1.0732094822129998</v>
      </c>
      <c r="MJ28" s="42">
        <f t="shared" si="20"/>
        <v>1.1660568885900002</v>
      </c>
      <c r="MK28" s="42">
        <f t="shared" si="21"/>
        <v>1.4658156407532001</v>
      </c>
      <c r="ML28" s="8">
        <f t="shared" ca="1" si="77"/>
        <v>1.334493236562674</v>
      </c>
      <c r="MM28" s="8">
        <f t="shared" ca="1" si="77"/>
        <v>1.3881539666142921</v>
      </c>
      <c r="MN28" s="8">
        <f t="shared" ca="1" si="77"/>
        <v>1.4418146966659102</v>
      </c>
      <c r="MV28" s="60"/>
      <c r="MW28" s="62" t="s">
        <v>37</v>
      </c>
      <c r="MX28" s="10">
        <v>0.75340799294537697</v>
      </c>
      <c r="MY28" s="53">
        <f t="shared" si="68"/>
        <v>0.99466318789992414</v>
      </c>
      <c r="MZ28" s="10">
        <v>1.3313924546564964</v>
      </c>
      <c r="NA28" s="10">
        <v>1.4781160581020898</v>
      </c>
      <c r="NB28" s="10">
        <v>1.5631874786583</v>
      </c>
      <c r="NC28" s="10">
        <v>1.4317832831071005</v>
      </c>
      <c r="ND28" s="10">
        <v>1.9352432079971571</v>
      </c>
      <c r="NE28" s="10">
        <v>1.5734073502158001</v>
      </c>
      <c r="NF28" s="10">
        <v>2.1281585701123</v>
      </c>
      <c r="NG28" s="10">
        <v>2.0358999090672003</v>
      </c>
      <c r="NH28" s="10">
        <v>1.4120083439962503</v>
      </c>
      <c r="NJ28" s="40" t="s">
        <v>290</v>
      </c>
      <c r="NS28" s="41">
        <f t="shared" si="65"/>
        <v>44707</v>
      </c>
      <c r="NT28" s="9">
        <f t="shared" si="22"/>
        <v>1.4658156407532001</v>
      </c>
      <c r="NU28" s="9">
        <f t="shared" si="78"/>
        <v>0.69055514241367488</v>
      </c>
      <c r="NV28" s="9">
        <f t="shared" si="78"/>
        <v>0.81688154915554922</v>
      </c>
      <c r="NW28" s="9">
        <f t="shared" si="78"/>
        <v>0.89068903437577696</v>
      </c>
      <c r="NX28" s="9">
        <f t="shared" si="78"/>
        <v>0.94246496901391108</v>
      </c>
      <c r="NY28" s="9">
        <f t="shared" si="78"/>
        <v>1.0511468594656614</v>
      </c>
      <c r="NZ28" s="9">
        <f t="shared" si="78"/>
        <v>1.2358398023093167</v>
      </c>
      <c r="OA28" s="9">
        <f t="shared" si="78"/>
        <v>1.4233751590225332</v>
      </c>
      <c r="OB28" s="9">
        <f t="shared" si="78"/>
        <v>1.6443806957850469</v>
      </c>
      <c r="OC28" s="9">
        <f t="shared" si="78"/>
        <v>1.8023095902499564</v>
      </c>
      <c r="OD28" s="9">
        <f t="shared" si="78"/>
        <v>2.113495878881221</v>
      </c>
      <c r="OE28" s="9">
        <f t="shared" si="78"/>
        <v>2.7352434057959369</v>
      </c>
      <c r="OF28" s="9">
        <f t="shared" ca="1" si="78"/>
        <v>1.4085941638549844</v>
      </c>
      <c r="OG28" s="32"/>
      <c r="OR28" s="41">
        <f t="shared" si="58"/>
        <v>44707</v>
      </c>
      <c r="OS28" s="9"/>
      <c r="OT28" s="9">
        <f t="shared" si="79"/>
        <v>1.2388662046346668</v>
      </c>
      <c r="OU28" s="9">
        <f t="shared" si="79"/>
        <v>1.2560859567959999</v>
      </c>
      <c r="OV28" s="9">
        <f t="shared" si="79"/>
        <v>1.2675692378814669</v>
      </c>
      <c r="OW28" s="9">
        <f t="shared" si="79"/>
        <v>1.2845651903868665</v>
      </c>
      <c r="OX28" s="9">
        <f t="shared" si="79"/>
        <v>1.3048651618178</v>
      </c>
      <c r="OY28" s="9">
        <f t="shared" si="79"/>
        <v>1.3368729702804667</v>
      </c>
      <c r="OZ28" s="9">
        <f t="shared" si="79"/>
        <v>1.4379599551958671</v>
      </c>
      <c r="PA28" s="9">
        <f t="shared" si="79"/>
        <v>1.477681391206533</v>
      </c>
      <c r="PB28" s="9">
        <f t="shared" si="79"/>
        <v>1.509028860335333</v>
      </c>
      <c r="PC28" s="9">
        <f t="shared" si="79"/>
        <v>1.6374328932832447</v>
      </c>
      <c r="PD28" s="9">
        <f t="shared" si="79"/>
        <v>2.1257515782536003</v>
      </c>
      <c r="PE28" s="9">
        <f t="shared" ca="1" si="79"/>
        <v>1.3881539666142921</v>
      </c>
    </row>
    <row r="29" spans="2:423" x14ac:dyDescent="0.25">
      <c r="B29" s="48">
        <v>42887</v>
      </c>
      <c r="C29" s="49">
        <v>21604537.481999997</v>
      </c>
      <c r="D29" s="49">
        <v>23254440</v>
      </c>
      <c r="E29" s="50">
        <v>10000000</v>
      </c>
      <c r="F29" s="50"/>
      <c r="G29" s="50"/>
      <c r="H29" s="50"/>
      <c r="I29" s="38">
        <v>43069</v>
      </c>
      <c r="J29" s="240">
        <v>3000000</v>
      </c>
      <c r="K29" s="240">
        <v>12124985.097499998</v>
      </c>
      <c r="L29" s="241">
        <f t="shared" si="24"/>
        <v>423548943.16349995</v>
      </c>
      <c r="N29" s="38">
        <v>43433</v>
      </c>
      <c r="O29" s="240">
        <v>8000000</v>
      </c>
      <c r="P29" s="240">
        <v>23525586.849600002</v>
      </c>
      <c r="Q29" s="241">
        <f t="shared" si="25"/>
        <v>989733735.11759996</v>
      </c>
      <c r="S29" s="38">
        <v>43797</v>
      </c>
      <c r="T29" s="240">
        <v>3000000</v>
      </c>
      <c r="U29" s="240">
        <v>17306974.680600002</v>
      </c>
      <c r="V29" s="241">
        <f t="shared" si="26"/>
        <v>1366745229.7620003</v>
      </c>
      <c r="X29" s="38">
        <v>44161</v>
      </c>
      <c r="Y29" s="240">
        <v>20000000</v>
      </c>
      <c r="Z29" s="240">
        <v>48476697.785999998</v>
      </c>
      <c r="AA29" s="241">
        <f t="shared" si="27"/>
        <v>1057582139.3873999</v>
      </c>
      <c r="AC29" s="38">
        <v>44525</v>
      </c>
      <c r="AD29" s="240">
        <v>60000000</v>
      </c>
      <c r="AE29" s="240">
        <v>101441836.3398</v>
      </c>
      <c r="AF29" s="241">
        <f t="shared" si="28"/>
        <v>1267498724.9298</v>
      </c>
      <c r="AG29" s="241"/>
      <c r="AH29" s="38">
        <v>44896</v>
      </c>
      <c r="AI29" s="240">
        <v>8000000</v>
      </c>
      <c r="AJ29" s="240">
        <v>30591003.211638793</v>
      </c>
      <c r="AK29" s="241">
        <f t="shared" si="29"/>
        <v>1448101210.5839462</v>
      </c>
      <c r="AM29" s="32">
        <v>22</v>
      </c>
      <c r="AN29" s="39">
        <f t="shared" si="0"/>
        <v>0.42354894316349995</v>
      </c>
      <c r="AO29" s="39">
        <f t="shared" si="1"/>
        <v>0.98973373511759999</v>
      </c>
      <c r="AP29" s="39">
        <f t="shared" si="2"/>
        <v>1.3667452297620004</v>
      </c>
      <c r="AQ29" s="39">
        <f t="shared" si="3"/>
        <v>1.0575821393873999</v>
      </c>
      <c r="AR29" s="39">
        <f t="shared" si="30"/>
        <v>1.2674987249298</v>
      </c>
      <c r="AS29" s="39">
        <f t="shared" si="31"/>
        <v>1.4481012105839461</v>
      </c>
      <c r="AT29" s="39"/>
      <c r="AU29" s="39">
        <f t="shared" si="32"/>
        <v>1.111708010436103</v>
      </c>
      <c r="AV29" s="9"/>
      <c r="AW29" s="9"/>
      <c r="AX29" s="9"/>
      <c r="AZ29" s="40" t="s">
        <v>291</v>
      </c>
      <c r="BF29" s="60"/>
      <c r="BG29" s="62" t="s">
        <v>37</v>
      </c>
      <c r="BH29" s="63">
        <f t="shared" si="69"/>
        <v>1.6182942104790026</v>
      </c>
      <c r="BI29" s="10">
        <v>2.520898765991872</v>
      </c>
      <c r="BJ29" s="10">
        <v>2.8854888323142296</v>
      </c>
      <c r="BK29" s="10">
        <v>3.3688035843883393</v>
      </c>
      <c r="BL29" s="10">
        <v>3.729386841002361</v>
      </c>
      <c r="BM29" s="10">
        <v>3.4038394203331857</v>
      </c>
      <c r="BN29" s="10">
        <v>3.729386841002361</v>
      </c>
      <c r="BZ29" s="60"/>
      <c r="CA29" s="62" t="s">
        <v>31</v>
      </c>
      <c r="CB29" s="63">
        <f t="shared" si="80"/>
        <v>8</v>
      </c>
      <c r="CC29" s="63">
        <f t="shared" si="80"/>
        <v>15</v>
      </c>
      <c r="CD29" s="63">
        <f t="shared" si="80"/>
        <v>9.4807692307692299</v>
      </c>
      <c r="CE29" s="10">
        <v>15</v>
      </c>
      <c r="CF29" s="10">
        <v>14</v>
      </c>
      <c r="CG29" s="10">
        <v>20</v>
      </c>
      <c r="CH29" s="10">
        <v>19</v>
      </c>
      <c r="CI29" s="10">
        <v>14</v>
      </c>
      <c r="CT29" s="41">
        <f t="shared" si="33"/>
        <v>44896</v>
      </c>
      <c r="CU29" s="9">
        <f t="shared" si="34"/>
        <v>1.4481012105839461</v>
      </c>
      <c r="CV29" s="9">
        <f t="shared" si="71"/>
        <v>0.83476005513894702</v>
      </c>
      <c r="CW29" s="9">
        <f t="shared" si="71"/>
        <v>0.99959889762271292</v>
      </c>
      <c r="CX29" s="9">
        <f t="shared" si="71"/>
        <v>1.0651700146662733</v>
      </c>
      <c r="CY29" s="9">
        <f t="shared" si="71"/>
        <v>1.1110441604245573</v>
      </c>
      <c r="CZ29" s="9">
        <f t="shared" si="71"/>
        <v>1.2035899481010999</v>
      </c>
      <c r="DA29" s="9">
        <f t="shared" si="71"/>
        <v>1.3246135951841651</v>
      </c>
      <c r="DB29" s="9">
        <f t="shared" si="71"/>
        <v>1.4571157379177921</v>
      </c>
      <c r="DC29" s="9">
        <f t="shared" si="71"/>
        <v>1.5975265514390928</v>
      </c>
      <c r="DD29" s="9">
        <f t="shared" si="71"/>
        <v>1.6815579643550929</v>
      </c>
      <c r="DE29" s="9">
        <f t="shared" si="71"/>
        <v>1.8640300464612187</v>
      </c>
      <c r="DF29" s="9">
        <f t="shared" si="71"/>
        <v>2.2634131763631915</v>
      </c>
      <c r="DG29" s="32"/>
      <c r="DH29" s="32"/>
      <c r="DR29" s="41">
        <v>45260</v>
      </c>
      <c r="DS29" s="9">
        <v>1.378413192</v>
      </c>
      <c r="DT29" s="9">
        <f t="shared" si="72"/>
        <v>0.9004693630633186</v>
      </c>
      <c r="DU29" s="9">
        <f t="shared" si="72"/>
        <v>1.0638023983940248</v>
      </c>
      <c r="DV29" s="9">
        <f t="shared" si="72"/>
        <v>1.1506145366607221</v>
      </c>
      <c r="DW29" s="9">
        <f t="shared" si="72"/>
        <v>1.2035637280783227</v>
      </c>
      <c r="DX29" s="9">
        <f t="shared" si="72"/>
        <v>1.3063149516951746</v>
      </c>
      <c r="DY29" s="9">
        <f t="shared" si="72"/>
        <v>1.4355728403079431</v>
      </c>
      <c r="DZ29" s="9">
        <f t="shared" si="72"/>
        <v>1.5816694333118748</v>
      </c>
      <c r="EA29" s="9">
        <f t="shared" si="72"/>
        <v>1.737052389964056</v>
      </c>
      <c r="EB29" s="9">
        <f t="shared" si="72"/>
        <v>1.8310477820591149</v>
      </c>
      <c r="EC29" s="9">
        <f t="shared" si="72"/>
        <v>2.0133224604383964</v>
      </c>
      <c r="ED29" s="9">
        <f t="shared" si="72"/>
        <v>2.5803566980300667</v>
      </c>
      <c r="EE29" s="32"/>
      <c r="EF29" s="32"/>
      <c r="EQ29" s="41">
        <v>45624</v>
      </c>
      <c r="ER29" s="76">
        <v>1.4069614365286698</v>
      </c>
      <c r="ES29" s="9">
        <f t="shared" si="73"/>
        <v>0.95733846153846158</v>
      </c>
      <c r="ET29" s="9">
        <f t="shared" si="73"/>
        <v>1.0712307692307692</v>
      </c>
      <c r="EU29" s="9">
        <f t="shared" si="73"/>
        <v>1.1534769230769237</v>
      </c>
      <c r="EV29" s="9">
        <f t="shared" si="73"/>
        <v>1.2129615384615382</v>
      </c>
      <c r="EW29" s="9">
        <f t="shared" si="73"/>
        <v>1.3298153846153844</v>
      </c>
      <c r="EX29" s="9">
        <f t="shared" si="73"/>
        <v>1.4982000000000006</v>
      </c>
      <c r="EY29" s="9">
        <f t="shared" si="73"/>
        <v>1.7032230769230765</v>
      </c>
      <c r="EZ29" s="9">
        <f t="shared" si="73"/>
        <v>1.9375230769230771</v>
      </c>
      <c r="FA29" s="9">
        <f t="shared" si="73"/>
        <v>2.085007692307693</v>
      </c>
      <c r="FB29" s="9">
        <f t="shared" si="73"/>
        <v>2.4142461538461535</v>
      </c>
      <c r="FC29" s="9">
        <f t="shared" si="73"/>
        <v>3.1776461538461556</v>
      </c>
      <c r="FD29" s="32"/>
      <c r="FE29" s="32">
        <v>1406961436.5286698</v>
      </c>
      <c r="FF29" s="32">
        <f t="shared" si="38"/>
        <v>1.4069614365286698</v>
      </c>
      <c r="FG29" s="32"/>
      <c r="FH29" s="32"/>
      <c r="FI29" s="32">
        <v>1230027355.0067382</v>
      </c>
      <c r="FJ29" s="32">
        <f t="shared" si="39"/>
        <v>1.2300273550067382</v>
      </c>
      <c r="FK29" s="32"/>
      <c r="FL29" s="229">
        <v>45988</v>
      </c>
      <c r="FM29" s="230">
        <v>1.2300273550067382</v>
      </c>
      <c r="FN29" s="9">
        <f t="shared" si="74"/>
        <v>0.83299620297458699</v>
      </c>
      <c r="FO29" s="9">
        <f t="shared" si="74"/>
        <v>0.9331729738921547</v>
      </c>
      <c r="FP29" s="9">
        <f t="shared" si="74"/>
        <v>0.99873785198091281</v>
      </c>
      <c r="FQ29" s="9">
        <f t="shared" si="74"/>
        <v>1.0432576386688834</v>
      </c>
      <c r="FR29" s="9">
        <f t="shared" si="74"/>
        <v>1.1352798980788816</v>
      </c>
      <c r="FS29" s="9">
        <f t="shared" si="74"/>
        <v>1.2769547344634622</v>
      </c>
      <c r="FT29" s="9">
        <f t="shared" si="74"/>
        <v>1.4675586066371125</v>
      </c>
      <c r="FU29" s="9">
        <f t="shared" si="74"/>
        <v>1.6604460567406487</v>
      </c>
      <c r="FV29" s="9">
        <f t="shared" si="74"/>
        <v>1.8108116607727323</v>
      </c>
      <c r="FW29" s="9">
        <f t="shared" si="74"/>
        <v>2.1286862540503266</v>
      </c>
      <c r="FX29" s="9">
        <f t="shared" si="74"/>
        <v>2.87293594717812</v>
      </c>
      <c r="FY29" s="32"/>
      <c r="FZ29" s="32">
        <v>1406961436.5286698</v>
      </c>
      <c r="GA29" s="32">
        <f t="shared" si="41"/>
        <v>1.4069614365286698</v>
      </c>
      <c r="GB29" s="32"/>
      <c r="GC29" s="41">
        <v>45624</v>
      </c>
      <c r="GD29" s="9">
        <v>1.4069614365286698</v>
      </c>
      <c r="GE29" s="9">
        <f t="shared" si="75"/>
        <v>1.0509672854779686</v>
      </c>
      <c r="GF29" s="9">
        <f t="shared" si="75"/>
        <v>1.1487802684945534</v>
      </c>
      <c r="GG29" s="9">
        <f t="shared" si="75"/>
        <v>1.2310121659386093</v>
      </c>
      <c r="GH29" s="9">
        <f t="shared" si="75"/>
        <v>1.2851531218344063</v>
      </c>
      <c r="GI29" s="9">
        <f t="shared" si="75"/>
        <v>1.386882109077775</v>
      </c>
      <c r="GJ29" s="9">
        <f t="shared" si="75"/>
        <v>1.5147752728651092</v>
      </c>
      <c r="GK29" s="9">
        <f t="shared" si="75"/>
        <v>1.6670747575975475</v>
      </c>
      <c r="GL29" s="9">
        <f t="shared" si="75"/>
        <v>1.8233569516390773</v>
      </c>
      <c r="GM29" s="9">
        <f t="shared" si="75"/>
        <v>1.9207757026696213</v>
      </c>
      <c r="GN29" s="9">
        <f t="shared" si="75"/>
        <v>2.117370070060054</v>
      </c>
      <c r="GO29" s="9">
        <f t="shared" si="75"/>
        <v>2.6654310845400828</v>
      </c>
      <c r="GP29" s="32"/>
      <c r="GQ29" s="32"/>
      <c r="HA29" s="41">
        <f t="shared" si="43"/>
        <v>44896</v>
      </c>
      <c r="HB29" s="9"/>
      <c r="HC29" s="9">
        <f t="shared" si="61"/>
        <v>1.4481012105839461</v>
      </c>
      <c r="HD29" s="9">
        <f t="shared" si="66"/>
        <v>0.80191105465005741</v>
      </c>
      <c r="HE29" s="9">
        <f t="shared" si="62"/>
        <v>0.86833561977923257</v>
      </c>
      <c r="HF29" s="9">
        <f t="shared" si="62"/>
        <v>0.90498276850577286</v>
      </c>
      <c r="HG29" s="9">
        <f t="shared" si="62"/>
        <v>0.93508390942463238</v>
      </c>
      <c r="HH29" s="9">
        <f t="shared" si="62"/>
        <v>1.0101155427953923</v>
      </c>
      <c r="HI29" s="9">
        <f t="shared" si="62"/>
        <v>1.0892421286383676</v>
      </c>
      <c r="HJ29" s="9">
        <f t="shared" si="62"/>
        <v>1.2689518965911932</v>
      </c>
      <c r="HK29" s="9">
        <f t="shared" si="62"/>
        <v>1.4231101158049282</v>
      </c>
      <c r="HL29" s="9">
        <f t="shared" si="62"/>
        <v>1.5190446039976586</v>
      </c>
      <c r="HM29" s="9">
        <f t="shared" si="62"/>
        <v>1.7141749413388279</v>
      </c>
      <c r="HN29" s="9">
        <f t="shared" si="62"/>
        <v>2.3524215449397534</v>
      </c>
      <c r="HO29" s="9"/>
      <c r="HP29" s="9"/>
      <c r="HQ29" s="9"/>
      <c r="HR29" s="9"/>
      <c r="HS29" s="32"/>
      <c r="HT29" s="32">
        <v>4</v>
      </c>
      <c r="HU29" s="32"/>
      <c r="HV29" s="41">
        <f t="shared" si="44"/>
        <v>44896</v>
      </c>
      <c r="HW29" s="9">
        <f t="shared" si="63"/>
        <v>1.4481012105839461</v>
      </c>
      <c r="HX29" s="9">
        <f t="shared" si="67"/>
        <v>0.77452073476125882</v>
      </c>
      <c r="HY29" s="9">
        <f t="shared" si="64"/>
        <v>0.88521927086407348</v>
      </c>
      <c r="HZ29" s="9">
        <f t="shared" si="64"/>
        <v>0.96221426030355872</v>
      </c>
      <c r="IA29" s="9">
        <f t="shared" si="64"/>
        <v>1.0217600550278338</v>
      </c>
      <c r="IB29" s="9">
        <f t="shared" si="64"/>
        <v>1.1226451911598165</v>
      </c>
      <c r="IC29" s="9">
        <f t="shared" si="64"/>
        <v>1.2844251570351546</v>
      </c>
      <c r="ID29" s="9">
        <f t="shared" si="64"/>
        <v>1.5019523595689259</v>
      </c>
      <c r="IE29" s="9">
        <f t="shared" si="64"/>
        <v>1.7487200817376483</v>
      </c>
      <c r="IF29" s="9">
        <f t="shared" si="64"/>
        <v>1.9186089624983731</v>
      </c>
      <c r="IG29" s="9">
        <f t="shared" si="64"/>
        <v>2.2297602517725528</v>
      </c>
      <c r="IH29" s="9">
        <f t="shared" si="64"/>
        <v>3.0216843203778474</v>
      </c>
      <c r="II29" s="9"/>
      <c r="IJ29" s="9"/>
      <c r="IK29" s="9"/>
      <c r="IL29" s="9"/>
      <c r="IM29" s="32"/>
      <c r="IN29" s="32">
        <v>4</v>
      </c>
      <c r="IO29" s="32"/>
      <c r="IZ29" s="41">
        <f t="shared" si="11"/>
        <v>44896</v>
      </c>
      <c r="JA29" s="9">
        <f t="shared" si="11"/>
        <v>1.4481012105839461</v>
      </c>
      <c r="JB29" s="9"/>
      <c r="JC29" s="9"/>
      <c r="JD29" s="9"/>
      <c r="JE29" s="9"/>
      <c r="JF29" s="9"/>
      <c r="JG29" s="9"/>
      <c r="JH29" s="9"/>
      <c r="JI29" s="9"/>
      <c r="JJ29" s="9"/>
      <c r="JK29" s="9"/>
      <c r="JL29" s="9"/>
      <c r="JM29" s="9"/>
      <c r="JX29" s="41">
        <v>44896</v>
      </c>
      <c r="JY29" s="9"/>
      <c r="JZ29" s="9">
        <f t="shared" si="76"/>
        <v>1.5424594293196228</v>
      </c>
      <c r="KA29" s="9">
        <f t="shared" si="76"/>
        <v>1.4736728961834691</v>
      </c>
      <c r="KB29" s="9"/>
      <c r="KM29" s="41">
        <v>43069</v>
      </c>
      <c r="KN29" s="241">
        <v>12124985.097499998</v>
      </c>
      <c r="KO29" s="241">
        <f t="shared" si="47"/>
        <v>423548943.16349995</v>
      </c>
      <c r="KQ29" s="41">
        <v>43251</v>
      </c>
      <c r="KR29" s="241">
        <v>55628865.223800004</v>
      </c>
      <c r="KS29" s="241">
        <f t="shared" si="48"/>
        <v>586628566.49650002</v>
      </c>
      <c r="KU29" s="41">
        <v>43433</v>
      </c>
      <c r="KV29" s="241">
        <v>23525586.849600002</v>
      </c>
      <c r="KW29" s="241">
        <f t="shared" si="49"/>
        <v>989733735.11759996</v>
      </c>
      <c r="KY29" s="41">
        <v>43615</v>
      </c>
      <c r="KZ29" s="241">
        <v>19315259.693400003</v>
      </c>
      <c r="LA29" s="241">
        <f t="shared" si="50"/>
        <v>921303520.11060035</v>
      </c>
      <c r="LC29" s="41">
        <v>43797</v>
      </c>
      <c r="LD29" s="241">
        <v>17306974.680600002</v>
      </c>
      <c r="LE29" s="241">
        <f t="shared" si="51"/>
        <v>1366745229.7620003</v>
      </c>
      <c r="LG29" s="41">
        <v>43979</v>
      </c>
      <c r="LH29" s="241">
        <v>45264857.305799998</v>
      </c>
      <c r="LI29" s="241">
        <f t="shared" si="52"/>
        <v>889552889.70239997</v>
      </c>
      <c r="LK29" s="41">
        <v>44161</v>
      </c>
      <c r="LL29" s="241">
        <v>48476697.785999998</v>
      </c>
      <c r="LM29" s="241">
        <f t="shared" si="53"/>
        <v>1057582139.3873999</v>
      </c>
      <c r="LO29" s="41">
        <v>44350</v>
      </c>
      <c r="LP29" s="241">
        <v>23467680.145800002</v>
      </c>
      <c r="LQ29" s="241">
        <f t="shared" si="54"/>
        <v>1096677162.3587999</v>
      </c>
      <c r="LS29" s="41">
        <v>44525</v>
      </c>
      <c r="LT29" s="241">
        <v>101441836.3398</v>
      </c>
      <c r="LU29" s="241">
        <f t="shared" si="55"/>
        <v>1267498724.9298</v>
      </c>
      <c r="LW29" s="38">
        <v>44714</v>
      </c>
      <c r="LX29" s="49">
        <v>26827184.089200001</v>
      </c>
      <c r="LY29" s="241">
        <f t="shared" si="56"/>
        <v>1492642824.8424001</v>
      </c>
      <c r="MA29" s="32">
        <v>22</v>
      </c>
      <c r="MB29" s="42">
        <f t="shared" si="12"/>
        <v>0.42354894316349995</v>
      </c>
      <c r="MC29" s="42">
        <f t="shared" si="13"/>
        <v>0.58662856649649997</v>
      </c>
      <c r="MD29" s="42">
        <f t="shared" si="14"/>
        <v>0.98973373511759999</v>
      </c>
      <c r="ME29" s="42">
        <f t="shared" si="15"/>
        <v>0.92130352011060035</v>
      </c>
      <c r="MF29" s="42">
        <f t="shared" si="16"/>
        <v>1.3667452297620004</v>
      </c>
      <c r="MG29" s="42">
        <f t="shared" si="17"/>
        <v>0.88955288970239998</v>
      </c>
      <c r="MH29" s="42">
        <f t="shared" si="18"/>
        <v>1.0575821393873999</v>
      </c>
      <c r="MI29" s="42">
        <f t="shared" si="19"/>
        <v>1.0966771623587999</v>
      </c>
      <c r="MJ29" s="42">
        <f t="shared" si="20"/>
        <v>1.2674987249298</v>
      </c>
      <c r="MK29" s="42">
        <f t="shared" si="21"/>
        <v>1.4926428248424002</v>
      </c>
      <c r="ML29" s="8">
        <f t="shared" ca="1" si="77"/>
        <v>1.3881539666142926</v>
      </c>
      <c r="MM29" s="8">
        <f t="shared" ca="1" si="77"/>
        <v>1.4552298791788152</v>
      </c>
      <c r="MN29" s="8">
        <f t="shared" ca="1" si="77"/>
        <v>1.5223057917433378</v>
      </c>
      <c r="MP29" s="40" t="s">
        <v>292</v>
      </c>
      <c r="MV29" s="60"/>
      <c r="MW29" s="62" t="s">
        <v>38</v>
      </c>
      <c r="MX29" s="10">
        <v>0.82678459031471407</v>
      </c>
      <c r="MY29" s="53">
        <f t="shared" si="68"/>
        <v>1.0723737130659254</v>
      </c>
      <c r="MZ29" s="10">
        <v>1.4401871391369558</v>
      </c>
      <c r="NA29" s="10">
        <v>1.6245481799152983</v>
      </c>
      <c r="NB29" s="10">
        <v>1.7104265164691113</v>
      </c>
      <c r="NC29" s="10">
        <v>1.5823059375024002</v>
      </c>
      <c r="ND29" s="10">
        <v>2.0859256710753216</v>
      </c>
      <c r="NE29" s="10">
        <v>1.7294739268980257</v>
      </c>
      <c r="NF29" s="10">
        <v>2.2978601334877546</v>
      </c>
      <c r="NG29" s="10">
        <v>2.2314309212618499</v>
      </c>
      <c r="NH29" s="10">
        <v>1.5654598505996999</v>
      </c>
      <c r="NS29" s="41">
        <f t="shared" si="65"/>
        <v>44714</v>
      </c>
      <c r="NT29" s="9">
        <f t="shared" si="22"/>
        <v>1.4926428248424002</v>
      </c>
      <c r="NU29" s="9">
        <f t="shared" si="78"/>
        <v>0.72343872062384984</v>
      </c>
      <c r="NV29" s="9">
        <f t="shared" si="78"/>
        <v>0.85578067054390872</v>
      </c>
      <c r="NW29" s="9">
        <f t="shared" si="78"/>
        <v>0.93310279791748063</v>
      </c>
      <c r="NX29" s="9">
        <f t="shared" si="78"/>
        <v>0.98734425325266872</v>
      </c>
      <c r="NY29" s="9">
        <f t="shared" si="78"/>
        <v>1.1012014718211691</v>
      </c>
      <c r="NZ29" s="9">
        <f t="shared" si="78"/>
        <v>1.2946893167049984</v>
      </c>
      <c r="OA29" s="9">
        <f t="shared" si="78"/>
        <v>1.4911549284997967</v>
      </c>
      <c r="OB29" s="9">
        <f t="shared" si="78"/>
        <v>1.7226845384414777</v>
      </c>
      <c r="OC29" s="9">
        <f t="shared" si="78"/>
        <v>1.8881338564523353</v>
      </c>
      <c r="OD29" s="9">
        <f t="shared" si="78"/>
        <v>2.2141385397803268</v>
      </c>
      <c r="OE29" s="9">
        <f t="shared" si="78"/>
        <v>2.8654930917862198</v>
      </c>
      <c r="OF29" s="9">
        <f t="shared" ca="1" si="78"/>
        <v>1.4756700764195074</v>
      </c>
      <c r="OG29" s="32"/>
      <c r="OR29" s="41">
        <f t="shared" si="58"/>
        <v>44714</v>
      </c>
      <c r="OS29" s="9"/>
      <c r="OT29" s="9">
        <f t="shared" si="79"/>
        <v>1.2686201767042835</v>
      </c>
      <c r="OU29" s="9">
        <f t="shared" si="79"/>
        <v>1.2901448669059499</v>
      </c>
      <c r="OV29" s="9">
        <f t="shared" si="79"/>
        <v>1.3044989682627837</v>
      </c>
      <c r="OW29" s="9">
        <f t="shared" si="79"/>
        <v>1.3257439088945331</v>
      </c>
      <c r="OX29" s="9">
        <f t="shared" si="79"/>
        <v>1.3511188731832</v>
      </c>
      <c r="OY29" s="9">
        <f t="shared" si="79"/>
        <v>1.3911286337615334</v>
      </c>
      <c r="OZ29" s="9">
        <f t="shared" si="79"/>
        <v>1.5174873649057838</v>
      </c>
      <c r="PA29" s="9">
        <f t="shared" si="79"/>
        <v>1.5671391599191162</v>
      </c>
      <c r="PB29" s="9">
        <f t="shared" si="79"/>
        <v>1.6063234963301163</v>
      </c>
      <c r="PC29" s="9">
        <f t="shared" si="79"/>
        <v>1.7668285375150059</v>
      </c>
      <c r="PD29" s="9">
        <f t="shared" si="79"/>
        <v>2.3772268937279502</v>
      </c>
      <c r="PE29" s="9">
        <f t="shared" ca="1" si="79"/>
        <v>1.4552298791788152</v>
      </c>
    </row>
    <row r="30" spans="2:423" x14ac:dyDescent="0.25">
      <c r="B30" s="48">
        <v>42894</v>
      </c>
      <c r="C30" s="49">
        <v>28123588.426999997</v>
      </c>
      <c r="D30" s="49">
        <v>30271340</v>
      </c>
      <c r="E30" s="50">
        <v>16000000</v>
      </c>
      <c r="F30" s="50"/>
      <c r="G30" s="50"/>
      <c r="H30" s="50"/>
      <c r="I30" s="38">
        <v>43076</v>
      </c>
      <c r="J30" s="240">
        <v>6000000</v>
      </c>
      <c r="K30" s="240">
        <v>15890582.685999999</v>
      </c>
      <c r="L30" s="241">
        <f t="shared" si="24"/>
        <v>439439525.84949994</v>
      </c>
      <c r="N30" s="38">
        <v>43440</v>
      </c>
      <c r="O30" s="240">
        <v>12000000</v>
      </c>
      <c r="P30" s="240">
        <v>28901591.947800003</v>
      </c>
      <c r="Q30" s="241">
        <f t="shared" si="25"/>
        <v>1018635327.0654</v>
      </c>
      <c r="S30" s="38">
        <v>43804</v>
      </c>
      <c r="T30" s="240">
        <v>8000000</v>
      </c>
      <c r="U30" s="240">
        <v>24380567.0658</v>
      </c>
      <c r="V30" s="241">
        <f t="shared" si="26"/>
        <v>1391125796.8278003</v>
      </c>
      <c r="X30" s="38">
        <v>44168</v>
      </c>
      <c r="Y30" s="240">
        <v>3000000</v>
      </c>
      <c r="Z30" s="240">
        <v>21570396.830400001</v>
      </c>
      <c r="AA30" s="241">
        <f t="shared" si="27"/>
        <v>1079152536.2177999</v>
      </c>
      <c r="AC30" s="38">
        <v>44532</v>
      </c>
      <c r="AD30" s="240">
        <v>80000000</v>
      </c>
      <c r="AE30" s="240">
        <v>136230034.99380001</v>
      </c>
      <c r="AF30" s="241">
        <f t="shared" si="28"/>
        <v>1403728759.9236</v>
      </c>
      <c r="AG30" s="241"/>
      <c r="AH30" s="38">
        <v>44903</v>
      </c>
      <c r="AI30" s="240">
        <v>20000000</v>
      </c>
      <c r="AJ30" s="240">
        <v>46519895.005083613</v>
      </c>
      <c r="AK30" s="241">
        <f t="shared" si="29"/>
        <v>1494621105.5890298</v>
      </c>
      <c r="AM30" s="32">
        <v>23</v>
      </c>
      <c r="AN30" s="39">
        <f t="shared" si="0"/>
        <v>0.43943952584949997</v>
      </c>
      <c r="AO30" s="39">
        <f t="shared" si="1"/>
        <v>1.0186353270654001</v>
      </c>
      <c r="AP30" s="39">
        <f t="shared" si="2"/>
        <v>1.3911257968278004</v>
      </c>
      <c r="AQ30" s="39">
        <f t="shared" si="3"/>
        <v>1.0791525362177998</v>
      </c>
      <c r="AR30" s="39">
        <f t="shared" si="30"/>
        <v>1.4037287599235999</v>
      </c>
      <c r="AS30" s="39">
        <f t="shared" si="31"/>
        <v>1.4946211055890297</v>
      </c>
      <c r="AT30" s="39"/>
      <c r="AU30" s="39">
        <f t="shared" si="32"/>
        <v>1.1646464871235365</v>
      </c>
      <c r="AV30" s="9"/>
      <c r="AW30" s="9"/>
      <c r="AX30" s="9"/>
      <c r="BF30" s="60"/>
      <c r="BG30" s="62" t="s">
        <v>38</v>
      </c>
      <c r="BH30" s="63">
        <f t="shared" si="69"/>
        <v>1.7151236520354054</v>
      </c>
      <c r="BI30" s="10">
        <v>2.6988576745773694</v>
      </c>
      <c r="BJ30" s="10">
        <v>3.0774774296448699</v>
      </c>
      <c r="BK30" s="10">
        <v>3.5640080499799622</v>
      </c>
      <c r="BL30" s="10">
        <v>3.9393521660675934</v>
      </c>
      <c r="BM30" s="10">
        <v>3.5972547098849477</v>
      </c>
      <c r="BN30" s="10">
        <v>3.9393521660675934</v>
      </c>
      <c r="BZ30" s="60"/>
      <c r="CA30" s="62" t="s">
        <v>32</v>
      </c>
      <c r="CB30" s="63">
        <f t="shared" si="80"/>
        <v>11</v>
      </c>
      <c r="CC30" s="63">
        <f t="shared" si="80"/>
        <v>17</v>
      </c>
      <c r="CD30" s="63">
        <f t="shared" si="80"/>
        <v>12.26923076923077</v>
      </c>
      <c r="CE30" s="10">
        <v>18</v>
      </c>
      <c r="CF30" s="10">
        <v>16</v>
      </c>
      <c r="CG30" s="10">
        <v>23</v>
      </c>
      <c r="CH30" s="10">
        <v>22</v>
      </c>
      <c r="CI30" s="10">
        <v>16</v>
      </c>
      <c r="CT30" s="41">
        <f t="shared" si="33"/>
        <v>44903</v>
      </c>
      <c r="CU30" s="9">
        <f t="shared" si="34"/>
        <v>1.4946211055890297</v>
      </c>
      <c r="CV30" s="9">
        <f t="shared" si="71"/>
        <v>0.87270369400889913</v>
      </c>
      <c r="CW30" s="9">
        <f t="shared" si="71"/>
        <v>1.0450352111510182</v>
      </c>
      <c r="CX30" s="9">
        <f t="shared" si="71"/>
        <v>1.1135868335147403</v>
      </c>
      <c r="CY30" s="9">
        <f t="shared" si="71"/>
        <v>1.1615461677165826</v>
      </c>
      <c r="CZ30" s="9">
        <f t="shared" si="71"/>
        <v>1.2582985821056953</v>
      </c>
      <c r="DA30" s="9">
        <f t="shared" si="71"/>
        <v>1.3848233040561726</v>
      </c>
      <c r="DB30" s="9">
        <f t="shared" si="71"/>
        <v>1.5233482714595099</v>
      </c>
      <c r="DC30" s="9">
        <f t="shared" si="71"/>
        <v>1.6701413946863244</v>
      </c>
      <c r="DD30" s="9">
        <f t="shared" si="71"/>
        <v>1.7579924172803243</v>
      </c>
      <c r="DE30" s="9">
        <f t="shared" si="71"/>
        <v>1.9487586849367287</v>
      </c>
      <c r="DF30" s="9">
        <f t="shared" si="71"/>
        <v>2.3662955934706091</v>
      </c>
      <c r="DG30" s="32"/>
      <c r="DH30" s="32"/>
      <c r="DR30" s="41">
        <v>45267</v>
      </c>
      <c r="DS30" s="9">
        <v>1.42463859</v>
      </c>
      <c r="DT30" s="9">
        <f t="shared" si="72"/>
        <v>0.94139978865710583</v>
      </c>
      <c r="DU30" s="9">
        <f t="shared" si="72"/>
        <v>1.1121570528664804</v>
      </c>
      <c r="DV30" s="9">
        <f t="shared" si="72"/>
        <v>1.2029151974180277</v>
      </c>
      <c r="DW30" s="9">
        <f t="shared" si="72"/>
        <v>1.2582711702637011</v>
      </c>
      <c r="DX30" s="9">
        <f t="shared" si="72"/>
        <v>1.3656929040449552</v>
      </c>
      <c r="DY30" s="9">
        <f t="shared" si="72"/>
        <v>1.5008261512310315</v>
      </c>
      <c r="DZ30" s="9">
        <f t="shared" si="72"/>
        <v>1.6535634984624146</v>
      </c>
      <c r="EA30" s="9">
        <f t="shared" si="72"/>
        <v>1.816009316780604</v>
      </c>
      <c r="EB30" s="9">
        <f t="shared" si="72"/>
        <v>1.9142772266981656</v>
      </c>
      <c r="EC30" s="9">
        <f t="shared" si="72"/>
        <v>2.1048371177310505</v>
      </c>
      <c r="ED30" s="9">
        <f t="shared" si="72"/>
        <v>2.6976456388496151</v>
      </c>
      <c r="EE30" s="32"/>
      <c r="EF30" s="32"/>
      <c r="EQ30" s="41">
        <v>45631</v>
      </c>
      <c r="ER30" s="76">
        <v>1.4345289190909449</v>
      </c>
      <c r="ES30" s="9">
        <f t="shared" si="73"/>
        <v>1.0008538461538461</v>
      </c>
      <c r="ET30" s="9">
        <f t="shared" si="73"/>
        <v>1.1199230769230768</v>
      </c>
      <c r="EU30" s="9">
        <f t="shared" si="73"/>
        <v>1.205907692307693</v>
      </c>
      <c r="EV30" s="9">
        <f t="shared" si="73"/>
        <v>1.2680961538461535</v>
      </c>
      <c r="EW30" s="9">
        <f t="shared" si="73"/>
        <v>1.3902615384615382</v>
      </c>
      <c r="EX30" s="9">
        <f t="shared" si="73"/>
        <v>1.5663000000000007</v>
      </c>
      <c r="EY30" s="9">
        <f t="shared" si="73"/>
        <v>1.7806423076923072</v>
      </c>
      <c r="EZ30" s="9">
        <f t="shared" si="73"/>
        <v>2.0255923076923077</v>
      </c>
      <c r="FA30" s="9">
        <f t="shared" si="73"/>
        <v>2.1797807692307698</v>
      </c>
      <c r="FB30" s="9">
        <f t="shared" si="73"/>
        <v>2.5239846153846148</v>
      </c>
      <c r="FC30" s="9">
        <f t="shared" si="73"/>
        <v>3.3220846153846173</v>
      </c>
      <c r="FD30" s="32"/>
      <c r="FE30" s="32">
        <v>1434528919.090945</v>
      </c>
      <c r="FF30" s="32">
        <f t="shared" si="38"/>
        <v>1.4345289190909449</v>
      </c>
      <c r="FG30" s="32"/>
      <c r="FH30" s="32"/>
      <c r="FI30" s="32">
        <v>1260492000.6417747</v>
      </c>
      <c r="FJ30" s="32">
        <f t="shared" si="39"/>
        <v>1.2604920006417746</v>
      </c>
      <c r="FK30" s="32"/>
      <c r="FL30" s="229">
        <v>45995</v>
      </c>
      <c r="FM30" s="230">
        <v>1.2604920006417746</v>
      </c>
      <c r="FN30" s="9">
        <f t="shared" si="74"/>
        <v>0.87085966674615911</v>
      </c>
      <c r="FO30" s="9">
        <f t="shared" si="74"/>
        <v>0.975589927250889</v>
      </c>
      <c r="FP30" s="9">
        <f t="shared" si="74"/>
        <v>1.0441350270709544</v>
      </c>
      <c r="FQ30" s="9">
        <f t="shared" si="74"/>
        <v>1.0906784404265599</v>
      </c>
      <c r="FR30" s="9">
        <f t="shared" si="74"/>
        <v>1.18688352980974</v>
      </c>
      <c r="FS30" s="9">
        <f t="shared" si="74"/>
        <v>1.3349981314845287</v>
      </c>
      <c r="FT30" s="9">
        <f t="shared" si="74"/>
        <v>1.5342658160297085</v>
      </c>
      <c r="FU30" s="9">
        <f t="shared" si="74"/>
        <v>1.7359208775015873</v>
      </c>
      <c r="FV30" s="9">
        <f t="shared" si="74"/>
        <v>1.8931212817169474</v>
      </c>
      <c r="FW30" s="9">
        <f t="shared" si="74"/>
        <v>2.2254447201435235</v>
      </c>
      <c r="FX30" s="9">
        <f t="shared" si="74"/>
        <v>3.0035239447771254</v>
      </c>
      <c r="FY30" s="32"/>
      <c r="FZ30" s="32">
        <v>1434528919.090945</v>
      </c>
      <c r="GA30" s="32">
        <f t="shared" si="41"/>
        <v>1.4345289190909449</v>
      </c>
      <c r="GB30" s="32"/>
      <c r="GC30" s="41">
        <v>45631</v>
      </c>
      <c r="GD30" s="9">
        <v>1.4345289190909449</v>
      </c>
      <c r="GE30" s="9">
        <f t="shared" si="75"/>
        <v>1.0987385257269671</v>
      </c>
      <c r="GF30" s="9">
        <f t="shared" si="75"/>
        <v>1.2009975534261239</v>
      </c>
      <c r="GG30" s="9">
        <f t="shared" si="75"/>
        <v>1.2869672643903642</v>
      </c>
      <c r="GH30" s="9">
        <f t="shared" si="75"/>
        <v>1.3435691728268793</v>
      </c>
      <c r="GI30" s="9">
        <f t="shared" si="75"/>
        <v>1.4499222049449465</v>
      </c>
      <c r="GJ30" s="9">
        <f t="shared" si="75"/>
        <v>1.5836286943589777</v>
      </c>
      <c r="GK30" s="9">
        <f t="shared" si="75"/>
        <v>1.7428508829428906</v>
      </c>
      <c r="GL30" s="9">
        <f t="shared" si="75"/>
        <v>1.9062368130772172</v>
      </c>
      <c r="GM30" s="9">
        <f t="shared" si="75"/>
        <v>2.0080836891546041</v>
      </c>
      <c r="GN30" s="9">
        <f t="shared" si="75"/>
        <v>2.2136141641536926</v>
      </c>
      <c r="GO30" s="9">
        <f t="shared" si="75"/>
        <v>2.7865870429282684</v>
      </c>
      <c r="GP30" s="32"/>
      <c r="GQ30" s="32"/>
      <c r="HA30" s="41">
        <f t="shared" si="43"/>
        <v>44903</v>
      </c>
      <c r="HB30" s="9"/>
      <c r="HC30" s="9">
        <f t="shared" si="61"/>
        <v>1.4946211055890297</v>
      </c>
      <c r="HD30" s="9">
        <f t="shared" si="66"/>
        <v>0.83859852354986986</v>
      </c>
      <c r="HE30" s="9">
        <f t="shared" si="62"/>
        <v>0.91055846910647631</v>
      </c>
      <c r="HF30" s="9">
        <f t="shared" si="62"/>
        <v>0.95025954689356162</v>
      </c>
      <c r="HG30" s="9">
        <f t="shared" si="62"/>
        <v>0.98286911622232609</v>
      </c>
      <c r="HH30" s="9">
        <f t="shared" si="62"/>
        <v>1.064153385707316</v>
      </c>
      <c r="HI30" s="9">
        <f t="shared" si="62"/>
        <v>1.1498738537038726</v>
      </c>
      <c r="HJ30" s="9">
        <f t="shared" si="62"/>
        <v>1.344559435652767</v>
      </c>
      <c r="HK30" s="9">
        <f t="shared" si="62"/>
        <v>1.5115641731343132</v>
      </c>
      <c r="HL30" s="9">
        <f t="shared" si="62"/>
        <v>1.6154932020097712</v>
      </c>
      <c r="HM30" s="9">
        <f t="shared" si="62"/>
        <v>1.8268844007960379</v>
      </c>
      <c r="HN30" s="9">
        <f t="shared" si="62"/>
        <v>2.5183182213637072</v>
      </c>
      <c r="HO30" s="9"/>
      <c r="HP30" s="9"/>
      <c r="HQ30" s="9"/>
      <c r="HR30" s="9"/>
      <c r="HS30" s="32"/>
      <c r="HT30" s="32">
        <v>4</v>
      </c>
      <c r="HU30" s="32"/>
      <c r="HV30" s="41">
        <f t="shared" si="44"/>
        <v>44903</v>
      </c>
      <c r="HW30" s="9">
        <f t="shared" si="63"/>
        <v>1.4946211055890297</v>
      </c>
      <c r="HX30" s="9">
        <f t="shared" si="67"/>
        <v>0.81636504591302206</v>
      </c>
      <c r="HY30" s="9">
        <f t="shared" si="64"/>
        <v>0.93386996861230176</v>
      </c>
      <c r="HZ30" s="9">
        <f t="shared" si="64"/>
        <v>1.0152840779934376</v>
      </c>
      <c r="IA30" s="9">
        <f t="shared" si="64"/>
        <v>1.0767504567531905</v>
      </c>
      <c r="IB30" s="9">
        <f t="shared" si="64"/>
        <v>1.1836241961507354</v>
      </c>
      <c r="IC30" s="9">
        <f t="shared" si="64"/>
        <v>1.3549561239268284</v>
      </c>
      <c r="ID30" s="9">
        <f t="shared" si="64"/>
        <v>1.5812208344792427</v>
      </c>
      <c r="IE30" s="9">
        <f t="shared" si="64"/>
        <v>1.8275890017917149</v>
      </c>
      <c r="IF30" s="9">
        <f t="shared" si="64"/>
        <v>2.0096381601041937</v>
      </c>
      <c r="IG30" s="9">
        <f t="shared" si="64"/>
        <v>2.3234570476651402</v>
      </c>
      <c r="IH30" s="9">
        <f t="shared" si="64"/>
        <v>3.1108191179800628</v>
      </c>
      <c r="II30" s="9"/>
      <c r="IJ30" s="9"/>
      <c r="IK30" s="9"/>
      <c r="IL30" s="9"/>
      <c r="IM30" s="32"/>
      <c r="IN30" s="32">
        <v>4</v>
      </c>
      <c r="IO30" s="32"/>
      <c r="IZ30" s="41">
        <f t="shared" si="11"/>
        <v>44903</v>
      </c>
      <c r="JA30" s="9">
        <f t="shared" si="11"/>
        <v>1.4946211055890297</v>
      </c>
      <c r="JB30" s="9"/>
      <c r="JC30" s="9"/>
      <c r="JD30" s="9"/>
      <c r="JE30" s="9"/>
      <c r="JF30" s="9"/>
      <c r="JG30" s="9"/>
      <c r="JH30" s="9"/>
      <c r="JI30" s="9"/>
      <c r="JJ30" s="9"/>
      <c r="JK30" s="9"/>
      <c r="JL30" s="9"/>
      <c r="JM30" s="9"/>
      <c r="JO30" s="40" t="s">
        <v>284</v>
      </c>
      <c r="JX30" s="41">
        <v>44903</v>
      </c>
      <c r="JY30" s="9"/>
      <c r="JZ30" s="9">
        <f t="shared" si="76"/>
        <v>1.6100288617301073</v>
      </c>
      <c r="KA30" s="9">
        <f t="shared" si="76"/>
        <v>1.5274850219667229</v>
      </c>
      <c r="KB30" s="9"/>
      <c r="KD30" s="40"/>
      <c r="KM30" s="41">
        <v>43076</v>
      </c>
      <c r="KN30" s="241">
        <v>15890582.685999999</v>
      </c>
      <c r="KO30" s="241">
        <f t="shared" si="47"/>
        <v>439439525.84949994</v>
      </c>
      <c r="KQ30" s="41">
        <v>43258</v>
      </c>
      <c r="KR30" s="241">
        <v>68210807.280000001</v>
      </c>
      <c r="KS30" s="241">
        <f t="shared" si="48"/>
        <v>654839373.77649999</v>
      </c>
      <c r="KU30" s="41">
        <v>43440</v>
      </c>
      <c r="KV30" s="241">
        <v>28901591.947800003</v>
      </c>
      <c r="KW30" s="241">
        <f t="shared" si="49"/>
        <v>1018635327.0654</v>
      </c>
      <c r="KY30" s="41">
        <v>43622</v>
      </c>
      <c r="KZ30" s="241">
        <v>23195800.768800002</v>
      </c>
      <c r="LA30" s="241">
        <f t="shared" si="50"/>
        <v>944499320.87940037</v>
      </c>
      <c r="LC30" s="41">
        <v>43804</v>
      </c>
      <c r="LD30" s="241">
        <v>24380567.0658</v>
      </c>
      <c r="LE30" s="241">
        <f t="shared" si="51"/>
        <v>1391125796.8278003</v>
      </c>
      <c r="LG30" s="41">
        <v>43986</v>
      </c>
      <c r="LH30" s="241">
        <v>23735620.464600001</v>
      </c>
      <c r="LI30" s="241">
        <f t="shared" si="52"/>
        <v>913288510.16699994</v>
      </c>
      <c r="LK30" s="41">
        <v>44168</v>
      </c>
      <c r="LL30" s="241">
        <v>21570396.830400001</v>
      </c>
      <c r="LM30" s="241">
        <f t="shared" si="53"/>
        <v>1079152536.2177999</v>
      </c>
      <c r="LO30" s="41">
        <v>44357</v>
      </c>
      <c r="LP30" s="241">
        <v>27519536.748</v>
      </c>
      <c r="LQ30" s="241">
        <f t="shared" si="54"/>
        <v>1124196699.1067998</v>
      </c>
      <c r="LS30" s="41">
        <v>44532</v>
      </c>
      <c r="LT30" s="241">
        <v>136230034.99380001</v>
      </c>
      <c r="LU30" s="241">
        <f t="shared" si="55"/>
        <v>1403728759.9236</v>
      </c>
      <c r="LW30" s="38">
        <v>44721</v>
      </c>
      <c r="LX30" s="49">
        <v>33356167.356600001</v>
      </c>
      <c r="LY30" s="241">
        <f t="shared" si="56"/>
        <v>1525998992.1990001</v>
      </c>
      <c r="MA30" s="32">
        <v>23</v>
      </c>
      <c r="MB30" s="42">
        <f t="shared" si="12"/>
        <v>0.43943952584949997</v>
      </c>
      <c r="MC30" s="42">
        <f t="shared" si="13"/>
        <v>0.65483937377650003</v>
      </c>
      <c r="MD30" s="42">
        <f t="shared" si="14"/>
        <v>1.0186353270654001</v>
      </c>
      <c r="ME30" s="42">
        <f t="shared" si="15"/>
        <v>0.94449932087940036</v>
      </c>
      <c r="MF30" s="42">
        <f t="shared" si="16"/>
        <v>1.3911257968278004</v>
      </c>
      <c r="MG30" s="42">
        <f t="shared" si="17"/>
        <v>0.91328851016699997</v>
      </c>
      <c r="MH30" s="42">
        <f t="shared" si="18"/>
        <v>1.0791525362177998</v>
      </c>
      <c r="MI30" s="42">
        <f t="shared" si="19"/>
        <v>1.1241966991067998</v>
      </c>
      <c r="MJ30" s="42">
        <f t="shared" si="20"/>
        <v>1.4037287599235999</v>
      </c>
      <c r="MK30" s="42">
        <f t="shared" si="21"/>
        <v>1.525998992199</v>
      </c>
      <c r="ML30" s="8">
        <f t="shared" ca="1" si="77"/>
        <v>1.4418146966659111</v>
      </c>
      <c r="MM30" s="8">
        <f t="shared" ca="1" si="77"/>
        <v>1.5223057917433382</v>
      </c>
      <c r="MN30" s="8">
        <f t="shared" ca="1" si="77"/>
        <v>1.6027968868207654</v>
      </c>
      <c r="MV30" s="60"/>
      <c r="MW30" s="62" t="s">
        <v>39</v>
      </c>
      <c r="MX30" s="10">
        <v>0.9728355715769601</v>
      </c>
      <c r="MY30" s="53">
        <f t="shared" si="68"/>
        <v>1.2396932352641714</v>
      </c>
      <c r="MZ30" s="10">
        <v>1.7376968930088588</v>
      </c>
      <c r="NA30" s="10">
        <v>1.9268383342536903</v>
      </c>
      <c r="NB30" s="10">
        <v>2.0318687290836008</v>
      </c>
      <c r="NC30" s="10">
        <v>1.8729555624824261</v>
      </c>
      <c r="ND30" s="10">
        <v>2.3823380715745861</v>
      </c>
      <c r="NE30" s="10">
        <v>2.0060862996343749</v>
      </c>
      <c r="NF30" s="10">
        <v>2.6650158389877001</v>
      </c>
      <c r="NG30" s="10">
        <v>2.61670918337675</v>
      </c>
      <c r="NH30" s="10">
        <v>1.9249007302722998</v>
      </c>
      <c r="NS30" s="41">
        <f t="shared" si="65"/>
        <v>44721</v>
      </c>
      <c r="NT30" s="9">
        <f t="shared" si="22"/>
        <v>1.525998992199</v>
      </c>
      <c r="NU30" s="9">
        <f t="shared" si="78"/>
        <v>0.7563222988340248</v>
      </c>
      <c r="NV30" s="9">
        <f t="shared" si="78"/>
        <v>0.89467979193226821</v>
      </c>
      <c r="NW30" s="9">
        <f t="shared" si="78"/>
        <v>0.97551656145918431</v>
      </c>
      <c r="NX30" s="9">
        <f t="shared" si="78"/>
        <v>1.0322235374914264</v>
      </c>
      <c r="NY30" s="9">
        <f t="shared" si="78"/>
        <v>1.1512560841766768</v>
      </c>
      <c r="NZ30" s="9">
        <f t="shared" si="78"/>
        <v>1.3535388311006802</v>
      </c>
      <c r="OA30" s="9">
        <f t="shared" si="78"/>
        <v>1.5589346979770602</v>
      </c>
      <c r="OB30" s="9">
        <f t="shared" si="78"/>
        <v>1.8009883810979086</v>
      </c>
      <c r="OC30" s="9">
        <f t="shared" si="78"/>
        <v>1.9739581226547143</v>
      </c>
      <c r="OD30" s="9">
        <f t="shared" si="78"/>
        <v>2.3147812006794326</v>
      </c>
      <c r="OE30" s="9">
        <f t="shared" si="78"/>
        <v>2.9957427777765027</v>
      </c>
      <c r="OF30" s="9">
        <f t="shared" ca="1" si="78"/>
        <v>1.5427459889840305</v>
      </c>
      <c r="OG30" s="32"/>
      <c r="OR30" s="41">
        <f t="shared" si="58"/>
        <v>44721</v>
      </c>
      <c r="OS30" s="9"/>
      <c r="OT30" s="9">
        <f t="shared" si="79"/>
        <v>1.2983741487739002</v>
      </c>
      <c r="OU30" s="9">
        <f t="shared" si="79"/>
        <v>1.3242037770158999</v>
      </c>
      <c r="OV30" s="9">
        <f t="shared" si="79"/>
        <v>1.3414286986441004</v>
      </c>
      <c r="OW30" s="9">
        <f t="shared" si="79"/>
        <v>1.3669226274021997</v>
      </c>
      <c r="OX30" s="9">
        <f t="shared" si="79"/>
        <v>1.3973725845486</v>
      </c>
      <c r="OY30" s="9">
        <f t="shared" si="79"/>
        <v>1.4453842972426001</v>
      </c>
      <c r="OZ30" s="9">
        <f t="shared" si="79"/>
        <v>1.5970147746157006</v>
      </c>
      <c r="PA30" s="9">
        <f t="shared" si="79"/>
        <v>1.6565969286316995</v>
      </c>
      <c r="PB30" s="9">
        <f t="shared" si="79"/>
        <v>1.7036181323248996</v>
      </c>
      <c r="PC30" s="9">
        <f t="shared" si="79"/>
        <v>1.8962241817467671</v>
      </c>
      <c r="PD30" s="9">
        <f t="shared" si="79"/>
        <v>2.6287022092023</v>
      </c>
      <c r="PE30" s="9">
        <f t="shared" ca="1" si="79"/>
        <v>1.5223057917433382</v>
      </c>
      <c r="PG30" s="40" t="s">
        <v>285</v>
      </c>
    </row>
    <row r="31" spans="2:423" x14ac:dyDescent="0.25">
      <c r="B31" s="48">
        <v>42901</v>
      </c>
      <c r="C31" s="49">
        <v>40371923.493000001</v>
      </c>
      <c r="D31" s="49">
        <v>43455060</v>
      </c>
      <c r="E31" s="50">
        <v>30000000</v>
      </c>
      <c r="F31" s="50"/>
      <c r="G31" s="50"/>
      <c r="H31" s="50"/>
      <c r="I31" s="38">
        <v>43083</v>
      </c>
      <c r="J31" s="240">
        <v>10000000</v>
      </c>
      <c r="K31" s="240">
        <v>18074807.107499998</v>
      </c>
      <c r="L31" s="241">
        <f t="shared" si="24"/>
        <v>457514332.95699996</v>
      </c>
      <c r="N31" s="38">
        <v>43447</v>
      </c>
      <c r="O31" s="240">
        <v>20000000</v>
      </c>
      <c r="P31" s="240">
        <v>38292401.367000006</v>
      </c>
      <c r="Q31" s="241">
        <f t="shared" si="25"/>
        <v>1056927728.4324</v>
      </c>
      <c r="S31" s="38">
        <v>43811</v>
      </c>
      <c r="T31" s="240">
        <v>12000000</v>
      </c>
      <c r="U31" s="240">
        <v>31890743.616599999</v>
      </c>
      <c r="V31" s="241">
        <f t="shared" si="26"/>
        <v>1423016540.4444003</v>
      </c>
      <c r="X31" s="38">
        <v>44175</v>
      </c>
      <c r="Y31" s="240">
        <v>8000000</v>
      </c>
      <c r="Z31" s="240">
        <v>32757505.7238</v>
      </c>
      <c r="AA31" s="241">
        <f t="shared" si="27"/>
        <v>1111910041.9415998</v>
      </c>
      <c r="AC31" s="38">
        <v>44539</v>
      </c>
      <c r="AD31" s="240">
        <v>3000000</v>
      </c>
      <c r="AE31" s="240">
        <v>22880469.6384</v>
      </c>
      <c r="AF31" s="241">
        <f t="shared" si="28"/>
        <v>1426609229.562</v>
      </c>
      <c r="AG31" s="241"/>
      <c r="AH31" s="38">
        <v>44910</v>
      </c>
      <c r="AI31" s="240">
        <v>30000000</v>
      </c>
      <c r="AJ31" s="240">
        <v>60779484.759866223</v>
      </c>
      <c r="AK31" s="241">
        <f t="shared" si="29"/>
        <v>1555400590.348896</v>
      </c>
      <c r="AM31" s="32">
        <v>24</v>
      </c>
      <c r="AN31" s="39">
        <f t="shared" si="0"/>
        <v>0.45751433295699995</v>
      </c>
      <c r="AO31" s="39">
        <f t="shared" si="1"/>
        <v>1.0569277284323999</v>
      </c>
      <c r="AP31" s="39">
        <f t="shared" si="2"/>
        <v>1.4230165404444004</v>
      </c>
      <c r="AQ31" s="39">
        <f t="shared" si="3"/>
        <v>1.1119100419415999</v>
      </c>
      <c r="AR31" s="39">
        <f t="shared" si="30"/>
        <v>1.4266092295620001</v>
      </c>
      <c r="AS31" s="39">
        <f t="shared" si="31"/>
        <v>1.5554005903488961</v>
      </c>
      <c r="AT31" s="39"/>
      <c r="AU31" s="39">
        <f t="shared" si="32"/>
        <v>1.2175849638109699</v>
      </c>
      <c r="AV31" s="9"/>
      <c r="AW31" s="9"/>
      <c r="AX31" s="9"/>
      <c r="BF31" s="60"/>
      <c r="BG31" s="62" t="s">
        <v>39</v>
      </c>
      <c r="BH31" s="63">
        <f t="shared" si="69"/>
        <v>1.9114188154862917</v>
      </c>
      <c r="BI31" s="10">
        <v>3.0398237142643669</v>
      </c>
      <c r="BJ31" s="10">
        <v>3.4825158048329832</v>
      </c>
      <c r="BK31" s="10">
        <v>3.9835787736037909</v>
      </c>
      <c r="BL31" s="10">
        <v>4.3849263512960599</v>
      </c>
      <c r="BM31" s="10">
        <v>4.0285887598819281</v>
      </c>
      <c r="BN31" s="10">
        <v>4.3849263512960599</v>
      </c>
      <c r="BZ31" s="60"/>
      <c r="CA31" s="62" t="s">
        <v>33</v>
      </c>
      <c r="CB31" s="63">
        <f t="shared" si="80"/>
        <v>12</v>
      </c>
      <c r="CC31" s="63">
        <f t="shared" si="80"/>
        <v>18</v>
      </c>
      <c r="CD31" s="63">
        <f t="shared" si="80"/>
        <v>13.26923076923077</v>
      </c>
      <c r="CE31" s="10">
        <v>20</v>
      </c>
      <c r="CF31" s="10">
        <v>17</v>
      </c>
      <c r="CG31" s="10">
        <v>24</v>
      </c>
      <c r="CH31" s="10">
        <v>23</v>
      </c>
      <c r="CI31" s="10">
        <v>17</v>
      </c>
      <c r="CT31" s="41">
        <f t="shared" si="33"/>
        <v>44910</v>
      </c>
      <c r="CU31" s="9">
        <f t="shared" si="34"/>
        <v>1.5554005903488961</v>
      </c>
      <c r="CV31" s="9">
        <f t="shared" si="71"/>
        <v>0.91064733287885125</v>
      </c>
      <c r="CW31" s="9">
        <f t="shared" si="71"/>
        <v>1.0904715246793233</v>
      </c>
      <c r="CX31" s="9">
        <f t="shared" si="71"/>
        <v>1.1620036523632074</v>
      </c>
      <c r="CY31" s="9">
        <f t="shared" si="71"/>
        <v>1.2120481750086078</v>
      </c>
      <c r="CZ31" s="9">
        <f t="shared" si="71"/>
        <v>1.3130072161102908</v>
      </c>
      <c r="DA31" s="9">
        <f t="shared" si="71"/>
        <v>1.4450330129281801</v>
      </c>
      <c r="DB31" s="9">
        <f t="shared" si="71"/>
        <v>1.5895808050012277</v>
      </c>
      <c r="DC31" s="9">
        <f t="shared" si="71"/>
        <v>1.7427562379335559</v>
      </c>
      <c r="DD31" s="9">
        <f t="shared" si="71"/>
        <v>1.8344268702055557</v>
      </c>
      <c r="DE31" s="9">
        <f t="shared" si="71"/>
        <v>2.0334873234122388</v>
      </c>
      <c r="DF31" s="9">
        <f t="shared" si="71"/>
        <v>2.4691780105780268</v>
      </c>
      <c r="DG31" s="32"/>
      <c r="DH31" s="32"/>
      <c r="DR31" s="41">
        <v>45274</v>
      </c>
      <c r="DS31" s="9">
        <v>1.480372759</v>
      </c>
      <c r="DT31" s="9">
        <f t="shared" si="72"/>
        <v>0.98233021425089306</v>
      </c>
      <c r="DU31" s="9">
        <f t="shared" si="72"/>
        <v>1.1605117073389359</v>
      </c>
      <c r="DV31" s="9">
        <f t="shared" si="72"/>
        <v>1.2552158581753332</v>
      </c>
      <c r="DW31" s="9">
        <f t="shared" si="72"/>
        <v>1.3129786124490794</v>
      </c>
      <c r="DX31" s="9">
        <f t="shared" si="72"/>
        <v>1.4250708563947359</v>
      </c>
      <c r="DY31" s="9">
        <f t="shared" si="72"/>
        <v>1.5660794621541199</v>
      </c>
      <c r="DZ31" s="9">
        <f t="shared" si="72"/>
        <v>1.7254575636129543</v>
      </c>
      <c r="EA31" s="9">
        <f t="shared" si="72"/>
        <v>1.8949662435971519</v>
      </c>
      <c r="EB31" s="9">
        <f t="shared" si="72"/>
        <v>1.9975066713372163</v>
      </c>
      <c r="EC31" s="9">
        <f t="shared" si="72"/>
        <v>2.1963517750237047</v>
      </c>
      <c r="ED31" s="9">
        <f t="shared" si="72"/>
        <v>2.8149345796691634</v>
      </c>
      <c r="EE31" s="32"/>
      <c r="EF31" s="32"/>
      <c r="EQ31" s="41">
        <v>45638</v>
      </c>
      <c r="ER31" s="76">
        <v>1.475594429634129</v>
      </c>
      <c r="ES31" s="9">
        <f t="shared" si="73"/>
        <v>1.0443692307692307</v>
      </c>
      <c r="ET31" s="9">
        <f t="shared" si="73"/>
        <v>1.1686153846153844</v>
      </c>
      <c r="EU31" s="9">
        <f t="shared" si="73"/>
        <v>1.2583384615384623</v>
      </c>
      <c r="EV31" s="9">
        <f t="shared" si="73"/>
        <v>1.3232307692307688</v>
      </c>
      <c r="EW31" s="9">
        <f t="shared" si="73"/>
        <v>1.450707692307692</v>
      </c>
      <c r="EX31" s="9">
        <f t="shared" si="73"/>
        <v>1.6344000000000007</v>
      </c>
      <c r="EY31" s="9">
        <f t="shared" si="73"/>
        <v>1.858061538461538</v>
      </c>
      <c r="EZ31" s="9">
        <f t="shared" si="73"/>
        <v>2.1136615384615385</v>
      </c>
      <c r="FA31" s="9">
        <f t="shared" si="73"/>
        <v>2.2745538461538466</v>
      </c>
      <c r="FB31" s="9">
        <f t="shared" si="73"/>
        <v>2.6337230769230762</v>
      </c>
      <c r="FC31" s="9">
        <f t="shared" si="73"/>
        <v>3.466523076923079</v>
      </c>
      <c r="FD31" s="32"/>
      <c r="FE31" s="32">
        <v>1475594429.634129</v>
      </c>
      <c r="FF31" s="32">
        <f t="shared" si="38"/>
        <v>1.475594429634129</v>
      </c>
      <c r="FG31" s="32"/>
      <c r="FH31" s="32"/>
      <c r="FI31" s="32">
        <v>1303109743.5807781</v>
      </c>
      <c r="FJ31" s="32">
        <f t="shared" si="39"/>
        <v>1.3031097435807781</v>
      </c>
      <c r="FK31" s="32"/>
      <c r="FL31" s="229">
        <v>46002</v>
      </c>
      <c r="FM31" s="230">
        <v>1.3031097435807781</v>
      </c>
      <c r="FN31" s="9">
        <f t="shared" si="74"/>
        <v>0.90872313051773124</v>
      </c>
      <c r="FO31" s="9">
        <f t="shared" si="74"/>
        <v>1.0180068806096234</v>
      </c>
      <c r="FP31" s="9">
        <f t="shared" si="74"/>
        <v>1.0895322021609959</v>
      </c>
      <c r="FQ31" s="9">
        <f t="shared" si="74"/>
        <v>1.1380992421842364</v>
      </c>
      <c r="FR31" s="9">
        <f t="shared" si="74"/>
        <v>1.2384871615405983</v>
      </c>
      <c r="FS31" s="9">
        <f t="shared" si="74"/>
        <v>1.3930415285055953</v>
      </c>
      <c r="FT31" s="9">
        <f t="shared" si="74"/>
        <v>1.6009730254223045</v>
      </c>
      <c r="FU31" s="9">
        <f t="shared" si="74"/>
        <v>1.8113956982625259</v>
      </c>
      <c r="FV31" s="9">
        <f t="shared" si="74"/>
        <v>1.9754309026611625</v>
      </c>
      <c r="FW31" s="9">
        <f t="shared" si="74"/>
        <v>2.3222031862367203</v>
      </c>
      <c r="FX31" s="9">
        <f t="shared" si="74"/>
        <v>3.1341119423761308</v>
      </c>
      <c r="FY31" s="32"/>
      <c r="FZ31" s="32">
        <v>1475594429.634129</v>
      </c>
      <c r="GA31" s="32">
        <f t="shared" si="41"/>
        <v>1.475594429634129</v>
      </c>
      <c r="GB31" s="32"/>
      <c r="GC31" s="41">
        <v>45638</v>
      </c>
      <c r="GD31" s="9">
        <v>1.475594429634129</v>
      </c>
      <c r="GE31" s="9">
        <f t="shared" si="75"/>
        <v>1.1465097659759655</v>
      </c>
      <c r="GF31" s="9">
        <f t="shared" si="75"/>
        <v>1.2532148383576944</v>
      </c>
      <c r="GG31" s="9">
        <f t="shared" si="75"/>
        <v>1.3429223628421192</v>
      </c>
      <c r="GH31" s="9">
        <f t="shared" si="75"/>
        <v>1.4019852238193522</v>
      </c>
      <c r="GI31" s="9">
        <f t="shared" si="75"/>
        <v>1.512962300812118</v>
      </c>
      <c r="GJ31" s="9">
        <f t="shared" si="75"/>
        <v>1.6524821158528462</v>
      </c>
      <c r="GK31" s="9">
        <f t="shared" si="75"/>
        <v>1.8186270082882336</v>
      </c>
      <c r="GL31" s="9">
        <f t="shared" si="75"/>
        <v>1.989116674515357</v>
      </c>
      <c r="GM31" s="9">
        <f t="shared" si="75"/>
        <v>2.0953916756395867</v>
      </c>
      <c r="GN31" s="9">
        <f t="shared" si="75"/>
        <v>2.3098582582473313</v>
      </c>
      <c r="GO31" s="9">
        <f t="shared" si="75"/>
        <v>2.907743001316454</v>
      </c>
      <c r="GP31" s="32"/>
      <c r="GQ31" s="32"/>
      <c r="HA31" s="41">
        <f t="shared" si="43"/>
        <v>44910</v>
      </c>
      <c r="HB31" s="9"/>
      <c r="HC31" s="9">
        <f t="shared" si="61"/>
        <v>1.5554005903488961</v>
      </c>
      <c r="HD31" s="9">
        <f t="shared" si="66"/>
        <v>0.8752859924496823</v>
      </c>
      <c r="HE31" s="9">
        <f t="shared" si="62"/>
        <v>0.95278131843372005</v>
      </c>
      <c r="HF31" s="9">
        <f t="shared" si="62"/>
        <v>0.99553632528135039</v>
      </c>
      <c r="HG31" s="9">
        <f t="shared" si="62"/>
        <v>1.0306543230200198</v>
      </c>
      <c r="HH31" s="9">
        <f t="shared" si="62"/>
        <v>1.1181912286192397</v>
      </c>
      <c r="HI31" s="9">
        <f t="shared" si="62"/>
        <v>1.2105055787693777</v>
      </c>
      <c r="HJ31" s="9">
        <f t="shared" si="62"/>
        <v>1.4201669747143408</v>
      </c>
      <c r="HK31" s="9">
        <f t="shared" si="62"/>
        <v>1.6000182304636983</v>
      </c>
      <c r="HL31" s="9">
        <f t="shared" si="62"/>
        <v>1.7119418000218838</v>
      </c>
      <c r="HM31" s="9">
        <f t="shared" si="62"/>
        <v>1.9395938602532479</v>
      </c>
      <c r="HN31" s="9">
        <f t="shared" si="62"/>
        <v>2.684214897787661</v>
      </c>
      <c r="HO31" s="9"/>
      <c r="HP31" s="9"/>
      <c r="HQ31" s="9"/>
      <c r="HR31" s="9"/>
      <c r="HS31" s="32"/>
      <c r="HT31" s="32">
        <v>4</v>
      </c>
      <c r="HU31" s="32"/>
      <c r="HV31" s="41">
        <f t="shared" si="44"/>
        <v>44910</v>
      </c>
      <c r="HW31" s="9">
        <f t="shared" si="63"/>
        <v>1.5554005903488961</v>
      </c>
      <c r="HX31" s="9">
        <f t="shared" si="67"/>
        <v>0.85820935706478529</v>
      </c>
      <c r="HY31" s="9">
        <f t="shared" si="64"/>
        <v>0.98252066636053004</v>
      </c>
      <c r="HZ31" s="9">
        <f t="shared" si="64"/>
        <v>1.0683538956833165</v>
      </c>
      <c r="IA31" s="9">
        <f t="shared" si="64"/>
        <v>1.1317408584785471</v>
      </c>
      <c r="IB31" s="9">
        <f t="shared" si="64"/>
        <v>1.2446032011416543</v>
      </c>
      <c r="IC31" s="9">
        <f t="shared" si="64"/>
        <v>1.4254870908185022</v>
      </c>
      <c r="ID31" s="9">
        <f t="shared" si="64"/>
        <v>1.6604893093895594</v>
      </c>
      <c r="IE31" s="9">
        <f t="shared" si="64"/>
        <v>1.9064579218457816</v>
      </c>
      <c r="IF31" s="9">
        <f t="shared" si="64"/>
        <v>2.1006673577100141</v>
      </c>
      <c r="IG31" s="9">
        <f t="shared" si="64"/>
        <v>2.4171538435577276</v>
      </c>
      <c r="IH31" s="9">
        <f t="shared" si="64"/>
        <v>3.1999539155822783</v>
      </c>
      <c r="II31" s="9"/>
      <c r="IJ31" s="9"/>
      <c r="IK31" s="9"/>
      <c r="IL31" s="9"/>
      <c r="IM31" s="32"/>
      <c r="IN31" s="32">
        <v>4</v>
      </c>
      <c r="IO31" s="32"/>
      <c r="IZ31" s="41">
        <f t="shared" si="11"/>
        <v>44910</v>
      </c>
      <c r="JA31" s="9">
        <f t="shared" si="11"/>
        <v>1.5554005903488961</v>
      </c>
      <c r="JB31" s="9"/>
      <c r="JC31" s="9"/>
      <c r="JD31" s="9"/>
      <c r="JE31" s="9"/>
      <c r="JF31" s="9"/>
      <c r="JG31" s="9"/>
      <c r="JH31" s="9"/>
      <c r="JI31" s="9"/>
      <c r="JJ31" s="9"/>
      <c r="JK31" s="9"/>
      <c r="JL31" s="9"/>
      <c r="JM31" s="9"/>
      <c r="JX31" s="41">
        <v>44910</v>
      </c>
      <c r="JY31" s="9"/>
      <c r="JZ31" s="9">
        <f t="shared" si="76"/>
        <v>1.6775982941405918</v>
      </c>
      <c r="KA31" s="9">
        <f t="shared" si="76"/>
        <v>1.5812971477499767</v>
      </c>
      <c r="KB31" s="9"/>
      <c r="KM31" s="41">
        <v>43083</v>
      </c>
      <c r="KN31" s="241">
        <v>18074807.107499998</v>
      </c>
      <c r="KO31" s="241">
        <f t="shared" si="47"/>
        <v>457514332.95699996</v>
      </c>
      <c r="KQ31" s="41">
        <v>43265</v>
      </c>
      <c r="KR31" s="241">
        <v>14225635.241400002</v>
      </c>
      <c r="KS31" s="241">
        <f t="shared" si="48"/>
        <v>669065009.01789999</v>
      </c>
      <c r="KU31" s="41">
        <v>43447</v>
      </c>
      <c r="KV31" s="241">
        <v>38292401.367000006</v>
      </c>
      <c r="KW31" s="241">
        <f t="shared" si="49"/>
        <v>1056927728.4324</v>
      </c>
      <c r="KY31" s="41">
        <v>43629</v>
      </c>
      <c r="KZ31" s="241">
        <v>27864940.032600004</v>
      </c>
      <c r="LA31" s="241">
        <f t="shared" si="50"/>
        <v>972364260.91200042</v>
      </c>
      <c r="LC31" s="41">
        <v>43811</v>
      </c>
      <c r="LD31" s="241">
        <v>31890743.616599999</v>
      </c>
      <c r="LE31" s="241">
        <f t="shared" si="51"/>
        <v>1423016540.4444003</v>
      </c>
      <c r="LG31" s="41">
        <v>43993</v>
      </c>
      <c r="LH31" s="241">
        <v>30790234.411200002</v>
      </c>
      <c r="LI31" s="241">
        <f t="shared" si="52"/>
        <v>944078744.57819998</v>
      </c>
      <c r="LK31" s="41">
        <v>44175</v>
      </c>
      <c r="LL31" s="241">
        <v>32757505.7238</v>
      </c>
      <c r="LM31" s="241">
        <f t="shared" si="53"/>
        <v>1111910041.9415998</v>
      </c>
      <c r="LO31" s="41">
        <v>44364</v>
      </c>
      <c r="LP31" s="241">
        <v>43025561.706600003</v>
      </c>
      <c r="LQ31" s="241">
        <f t="shared" si="54"/>
        <v>1167222260.8133998</v>
      </c>
      <c r="LS31" s="41">
        <v>44539</v>
      </c>
      <c r="LT31" s="241">
        <v>22880469.6384</v>
      </c>
      <c r="LU31" s="241">
        <f t="shared" si="55"/>
        <v>1426609229.562</v>
      </c>
      <c r="LW31" s="38">
        <v>44728</v>
      </c>
      <c r="LX31" s="49">
        <v>51228090.916200005</v>
      </c>
      <c r="LY31" s="241">
        <f t="shared" si="56"/>
        <v>1577227083.1152</v>
      </c>
      <c r="MA31" s="32">
        <v>24</v>
      </c>
      <c r="MB31" s="42">
        <f t="shared" si="12"/>
        <v>0.45751433295699995</v>
      </c>
      <c r="MC31" s="42">
        <f t="shared" si="13"/>
        <v>0.6690650090179</v>
      </c>
      <c r="MD31" s="42">
        <f t="shared" si="14"/>
        <v>1.0569277284323999</v>
      </c>
      <c r="ME31" s="42">
        <f t="shared" si="15"/>
        <v>0.97236426091200046</v>
      </c>
      <c r="MF31" s="42">
        <f t="shared" si="16"/>
        <v>1.4230165404444004</v>
      </c>
      <c r="MG31" s="42">
        <f t="shared" si="17"/>
        <v>0.94407874457819996</v>
      </c>
      <c r="MH31" s="42">
        <f t="shared" si="18"/>
        <v>1.1119100419415999</v>
      </c>
      <c r="MI31" s="42">
        <f t="shared" si="19"/>
        <v>1.1672222608133997</v>
      </c>
      <c r="MJ31" s="42">
        <f t="shared" si="20"/>
        <v>1.4266092295620001</v>
      </c>
      <c r="MK31" s="42">
        <f t="shared" si="21"/>
        <v>1.5772270831152</v>
      </c>
      <c r="ML31" s="8">
        <f t="shared" ca="1" si="77"/>
        <v>1.4954754267175296</v>
      </c>
      <c r="MM31" s="8">
        <f t="shared" ca="1" si="77"/>
        <v>1.5893817043078613</v>
      </c>
      <c r="MN31" s="8">
        <f t="shared" ca="1" si="77"/>
        <v>1.683287981898193</v>
      </c>
      <c r="MV31" s="60"/>
      <c r="MW31" s="62" t="s">
        <v>40</v>
      </c>
      <c r="MX31" s="10">
        <v>1.3018259999561508</v>
      </c>
      <c r="MY31" s="53">
        <f t="shared" si="68"/>
        <v>1.6536554645825463</v>
      </c>
      <c r="MZ31" s="10">
        <v>2.1385485575685004</v>
      </c>
      <c r="NA31" s="10">
        <v>2.8876146953924597</v>
      </c>
      <c r="NB31" s="10">
        <v>2.6877993641136002</v>
      </c>
      <c r="NC31" s="10">
        <v>2.850955848752001</v>
      </c>
      <c r="ND31" s="10">
        <v>2.9432545781629575</v>
      </c>
      <c r="NE31" s="10">
        <v>2.5490947607201995</v>
      </c>
      <c r="NF31" s="10">
        <v>3.6021967888869599</v>
      </c>
      <c r="NG31" s="10">
        <v>3.3864918357473499</v>
      </c>
      <c r="NH31" s="10">
        <v>2.6357617679530501</v>
      </c>
      <c r="NS31" s="41">
        <f t="shared" si="65"/>
        <v>44728</v>
      </c>
      <c r="NT31" s="9">
        <f t="shared" si="22"/>
        <v>1.5772270831152</v>
      </c>
      <c r="NU31" s="9">
        <f t="shared" si="78"/>
        <v>0.78920587704419976</v>
      </c>
      <c r="NV31" s="9">
        <f t="shared" si="78"/>
        <v>0.9335789133206277</v>
      </c>
      <c r="NW31" s="9">
        <f t="shared" si="78"/>
        <v>1.017930325000888</v>
      </c>
      <c r="NX31" s="9">
        <f t="shared" si="78"/>
        <v>1.0771028217301841</v>
      </c>
      <c r="NY31" s="9">
        <f t="shared" si="78"/>
        <v>1.2013106965321845</v>
      </c>
      <c r="NZ31" s="9">
        <f t="shared" si="78"/>
        <v>1.4123883454963619</v>
      </c>
      <c r="OA31" s="9">
        <f t="shared" si="78"/>
        <v>1.6267144674543237</v>
      </c>
      <c r="OB31" s="9">
        <f t="shared" si="78"/>
        <v>1.8792922237543395</v>
      </c>
      <c r="OC31" s="9">
        <f t="shared" si="78"/>
        <v>2.059782388857093</v>
      </c>
      <c r="OD31" s="9">
        <f t="shared" si="78"/>
        <v>2.4154238615785384</v>
      </c>
      <c r="OE31" s="9">
        <f t="shared" si="78"/>
        <v>3.1259924637667855</v>
      </c>
      <c r="OF31" s="9">
        <f t="shared" ca="1" si="78"/>
        <v>1.6098219015485535</v>
      </c>
      <c r="OG31" s="32"/>
      <c r="OR31" s="41">
        <f t="shared" si="58"/>
        <v>44728</v>
      </c>
      <c r="OS31" s="9"/>
      <c r="OT31" s="9">
        <f t="shared" si="79"/>
        <v>1.3281281208435169</v>
      </c>
      <c r="OU31" s="9">
        <f t="shared" si="79"/>
        <v>1.3582626871258499</v>
      </c>
      <c r="OV31" s="9">
        <f t="shared" si="79"/>
        <v>1.3783584290254172</v>
      </c>
      <c r="OW31" s="9">
        <f t="shared" si="79"/>
        <v>1.4081013459098664</v>
      </c>
      <c r="OX31" s="9">
        <f t="shared" si="79"/>
        <v>1.443626295914</v>
      </c>
      <c r="OY31" s="9">
        <f t="shared" si="79"/>
        <v>1.4996399607236668</v>
      </c>
      <c r="OZ31" s="9">
        <f t="shared" si="79"/>
        <v>1.6765421843256174</v>
      </c>
      <c r="PA31" s="9">
        <f t="shared" si="79"/>
        <v>1.7460546973442828</v>
      </c>
      <c r="PB31" s="9">
        <f t="shared" si="79"/>
        <v>1.8009127683196828</v>
      </c>
      <c r="PC31" s="9">
        <f t="shared" si="79"/>
        <v>2.0256198259785281</v>
      </c>
      <c r="PD31" s="9">
        <f t="shared" si="79"/>
        <v>2.8801775246766499</v>
      </c>
      <c r="PE31" s="9">
        <f t="shared" ca="1" si="79"/>
        <v>1.5893817043078613</v>
      </c>
    </row>
    <row r="32" spans="2:423" x14ac:dyDescent="0.25">
      <c r="B32" s="48">
        <v>42908</v>
      </c>
      <c r="C32" s="49">
        <v>11889526.665499998</v>
      </c>
      <c r="D32" s="49">
        <v>12797510</v>
      </c>
      <c r="E32" s="50">
        <v>3000000</v>
      </c>
      <c r="F32" s="50"/>
      <c r="G32" s="50"/>
      <c r="H32" s="50"/>
      <c r="I32" s="38">
        <v>43090</v>
      </c>
      <c r="J32" s="240">
        <v>16000000</v>
      </c>
      <c r="K32" s="240">
        <v>21691097.070499998</v>
      </c>
      <c r="L32" s="241">
        <f t="shared" si="24"/>
        <v>479205430.02749997</v>
      </c>
      <c r="N32" s="38">
        <v>43454</v>
      </c>
      <c r="O32" s="240">
        <v>25000000</v>
      </c>
      <c r="P32" s="240">
        <v>38746055.607600003</v>
      </c>
      <c r="Q32" s="241">
        <f t="shared" si="25"/>
        <v>1095673784.04</v>
      </c>
      <c r="S32" s="38">
        <v>43818</v>
      </c>
      <c r="T32" s="240">
        <v>15000000</v>
      </c>
      <c r="U32" s="240">
        <v>31508051.810400002</v>
      </c>
      <c r="V32" s="241">
        <f t="shared" si="26"/>
        <v>1454524592.2548003</v>
      </c>
      <c r="X32" s="38">
        <v>44182</v>
      </c>
      <c r="Y32" s="240">
        <v>20000000</v>
      </c>
      <c r="Z32" s="240">
        <v>51526460.799000002</v>
      </c>
      <c r="AA32" s="241">
        <f t="shared" si="27"/>
        <v>1163436502.7405999</v>
      </c>
      <c r="AC32" s="38">
        <v>44546</v>
      </c>
      <c r="AD32" s="240">
        <v>8000000</v>
      </c>
      <c r="AE32" s="240">
        <v>31335884.540400002</v>
      </c>
      <c r="AF32" s="241">
        <f t="shared" si="28"/>
        <v>1457945114.1024001</v>
      </c>
      <c r="AG32" s="241"/>
      <c r="AH32" s="38">
        <v>44917</v>
      </c>
      <c r="AI32" s="240">
        <v>50000000</v>
      </c>
      <c r="AJ32" s="240">
        <v>91888010.997190654</v>
      </c>
      <c r="AK32" s="241">
        <f t="shared" si="29"/>
        <v>1647288601.3460867</v>
      </c>
      <c r="AM32" s="32">
        <v>25</v>
      </c>
      <c r="AN32" s="39">
        <f t="shared" si="0"/>
        <v>0.47920543002749999</v>
      </c>
      <c r="AO32" s="39">
        <f t="shared" si="1"/>
        <v>1.0956737840399999</v>
      </c>
      <c r="AP32" s="39">
        <f t="shared" si="2"/>
        <v>1.4545245922548002</v>
      </c>
      <c r="AQ32" s="39">
        <f t="shared" si="3"/>
        <v>1.1634365027406</v>
      </c>
      <c r="AR32" s="39">
        <f t="shared" si="30"/>
        <v>1.4579451141024</v>
      </c>
      <c r="AS32" s="39">
        <f t="shared" si="31"/>
        <v>1.6472886013460868</v>
      </c>
      <c r="AT32" s="39"/>
      <c r="AU32" s="39">
        <f t="shared" si="32"/>
        <v>1.2705234404984034</v>
      </c>
      <c r="AV32" s="9"/>
      <c r="AW32" s="9"/>
      <c r="AX32" s="9"/>
      <c r="BF32" s="60"/>
      <c r="BG32" s="62" t="s">
        <v>40</v>
      </c>
      <c r="BH32" s="63">
        <f t="shared" si="69"/>
        <v>2.5404986264205336</v>
      </c>
      <c r="BI32" s="10">
        <v>3.720369634734972</v>
      </c>
      <c r="BJ32" s="10">
        <v>4.3588847094538758</v>
      </c>
      <c r="BK32" s="10">
        <v>4.8675761878189361</v>
      </c>
      <c r="BL32" s="10">
        <v>5.1747989767218803</v>
      </c>
      <c r="BM32" s="10">
        <v>4.6749734937081344</v>
      </c>
      <c r="BN32" s="10">
        <v>5.1747989767218803</v>
      </c>
      <c r="BZ32" s="60"/>
      <c r="CA32" s="62" t="s">
        <v>34</v>
      </c>
      <c r="CB32" s="63">
        <f t="shared" si="80"/>
        <v>14</v>
      </c>
      <c r="CC32" s="63">
        <f t="shared" si="80"/>
        <v>21</v>
      </c>
      <c r="CD32" s="63">
        <f t="shared" si="80"/>
        <v>15.48076923076923</v>
      </c>
      <c r="CE32" s="10">
        <v>22</v>
      </c>
      <c r="CF32" s="10">
        <v>19</v>
      </c>
      <c r="CG32" s="10">
        <v>26</v>
      </c>
      <c r="CH32" s="10">
        <v>25</v>
      </c>
      <c r="CI32" s="10">
        <v>18</v>
      </c>
      <c r="CT32" s="41">
        <f t="shared" si="33"/>
        <v>44917</v>
      </c>
      <c r="CU32" s="9">
        <f t="shared" si="34"/>
        <v>1.6472886013460868</v>
      </c>
      <c r="CV32" s="9">
        <f t="shared" si="71"/>
        <v>0.94859097174880336</v>
      </c>
      <c r="CW32" s="9">
        <f t="shared" si="71"/>
        <v>1.1359078382076284</v>
      </c>
      <c r="CX32" s="9">
        <f t="shared" si="71"/>
        <v>1.2104204712116744</v>
      </c>
      <c r="CY32" s="9">
        <f t="shared" si="71"/>
        <v>1.2625501823006331</v>
      </c>
      <c r="CZ32" s="9">
        <f t="shared" si="71"/>
        <v>1.3677158501148863</v>
      </c>
      <c r="DA32" s="9">
        <f t="shared" si="71"/>
        <v>1.5052427218001876</v>
      </c>
      <c r="DB32" s="9">
        <f t="shared" si="71"/>
        <v>1.6558133385429454</v>
      </c>
      <c r="DC32" s="9">
        <f t="shared" si="71"/>
        <v>1.8153710811807875</v>
      </c>
      <c r="DD32" s="9">
        <f t="shared" si="71"/>
        <v>1.9108613231307872</v>
      </c>
      <c r="DE32" s="9">
        <f t="shared" si="71"/>
        <v>2.1182159618877487</v>
      </c>
      <c r="DF32" s="9">
        <f t="shared" si="71"/>
        <v>2.5720604276854444</v>
      </c>
      <c r="DG32" s="32"/>
      <c r="DH32" s="32"/>
      <c r="DR32" s="41">
        <v>45281</v>
      </c>
      <c r="DS32" s="9">
        <v>1.5120827539999999</v>
      </c>
      <c r="DT32" s="9">
        <f t="shared" si="72"/>
        <v>1.0232606398446802</v>
      </c>
      <c r="DU32" s="9">
        <f t="shared" si="72"/>
        <v>1.2088663618113915</v>
      </c>
      <c r="DV32" s="9">
        <f t="shared" si="72"/>
        <v>1.3075165189326388</v>
      </c>
      <c r="DW32" s="9">
        <f t="shared" si="72"/>
        <v>1.3676860546344578</v>
      </c>
      <c r="DX32" s="9">
        <f t="shared" si="72"/>
        <v>1.4844488087445165</v>
      </c>
      <c r="DY32" s="9">
        <f t="shared" si="72"/>
        <v>1.6313327730772083</v>
      </c>
      <c r="DZ32" s="9">
        <f t="shared" si="72"/>
        <v>1.7973516287634941</v>
      </c>
      <c r="EA32" s="9">
        <f t="shared" si="72"/>
        <v>1.9739231704136999</v>
      </c>
      <c r="EB32" s="9">
        <f t="shared" si="72"/>
        <v>2.0807361159762667</v>
      </c>
      <c r="EC32" s="9">
        <f t="shared" si="72"/>
        <v>2.2878664323163589</v>
      </c>
      <c r="ED32" s="9">
        <f t="shared" si="72"/>
        <v>2.9322235204887117</v>
      </c>
      <c r="EE32" s="32"/>
      <c r="EF32" s="32"/>
      <c r="EQ32" s="41">
        <v>45645</v>
      </c>
      <c r="ER32" s="76">
        <v>1.5048491768542664</v>
      </c>
      <c r="ES32" s="9">
        <f t="shared" si="73"/>
        <v>1.0878846153846153</v>
      </c>
      <c r="ET32" s="9">
        <f t="shared" si="73"/>
        <v>1.217307692307692</v>
      </c>
      <c r="EU32" s="9">
        <f t="shared" si="73"/>
        <v>1.3107692307692316</v>
      </c>
      <c r="EV32" s="9">
        <f t="shared" si="73"/>
        <v>1.378365384615384</v>
      </c>
      <c r="EW32" s="9">
        <f t="shared" si="73"/>
        <v>1.5111538461538458</v>
      </c>
      <c r="EX32" s="9">
        <f t="shared" si="73"/>
        <v>1.7025000000000008</v>
      </c>
      <c r="EY32" s="9">
        <f t="shared" si="73"/>
        <v>1.9354807692307687</v>
      </c>
      <c r="EZ32" s="9">
        <f t="shared" si="73"/>
        <v>2.2017307692307693</v>
      </c>
      <c r="FA32" s="9">
        <f t="shared" si="73"/>
        <v>2.3693269230769234</v>
      </c>
      <c r="FB32" s="9">
        <f t="shared" si="73"/>
        <v>2.7434615384615375</v>
      </c>
      <c r="FC32" s="9">
        <f t="shared" si="73"/>
        <v>3.6109615384615408</v>
      </c>
      <c r="FD32" s="32"/>
      <c r="FE32" s="32">
        <v>1504849176.8542664</v>
      </c>
      <c r="FF32" s="32">
        <f t="shared" si="38"/>
        <v>1.5048491768542664</v>
      </c>
      <c r="FG32" s="32"/>
      <c r="FH32" s="32"/>
      <c r="FI32" s="32">
        <v>1345487593.3339994</v>
      </c>
      <c r="FJ32" s="32">
        <f t="shared" si="39"/>
        <v>1.3454875933339994</v>
      </c>
      <c r="FK32" s="32"/>
      <c r="FL32" s="229">
        <v>46009</v>
      </c>
      <c r="FM32" s="230">
        <v>1.3454875933339994</v>
      </c>
      <c r="FN32" s="9">
        <f t="shared" si="74"/>
        <v>0.94658659428930336</v>
      </c>
      <c r="FO32" s="9">
        <f t="shared" si="74"/>
        <v>1.0604238339683578</v>
      </c>
      <c r="FP32" s="9">
        <f t="shared" si="74"/>
        <v>1.1349293772510374</v>
      </c>
      <c r="FQ32" s="9">
        <f t="shared" si="74"/>
        <v>1.1855200439419129</v>
      </c>
      <c r="FR32" s="9">
        <f t="shared" si="74"/>
        <v>1.2900907932714567</v>
      </c>
      <c r="FS32" s="9">
        <f t="shared" si="74"/>
        <v>1.4510849255266618</v>
      </c>
      <c r="FT32" s="9">
        <f t="shared" si="74"/>
        <v>1.6676802348149005</v>
      </c>
      <c r="FU32" s="9">
        <f t="shared" si="74"/>
        <v>1.8868705190234645</v>
      </c>
      <c r="FV32" s="9">
        <f t="shared" si="74"/>
        <v>2.0577405236053776</v>
      </c>
      <c r="FW32" s="9">
        <f t="shared" si="74"/>
        <v>2.4189616523299171</v>
      </c>
      <c r="FX32" s="9">
        <f t="shared" si="74"/>
        <v>3.2646999399751362</v>
      </c>
      <c r="FY32" s="32"/>
      <c r="FZ32" s="32">
        <v>1504849176.8542664</v>
      </c>
      <c r="GA32" s="32">
        <f t="shared" si="41"/>
        <v>1.5048491768542664</v>
      </c>
      <c r="GB32" s="32"/>
      <c r="GC32" s="41">
        <v>45645</v>
      </c>
      <c r="GD32" s="9">
        <v>1.5048491768542664</v>
      </c>
      <c r="GE32" s="9">
        <f t="shared" si="75"/>
        <v>1.194281006224964</v>
      </c>
      <c r="GF32" s="9">
        <f t="shared" si="75"/>
        <v>1.3054321232892649</v>
      </c>
      <c r="GG32" s="9">
        <f t="shared" si="75"/>
        <v>1.3988774612938741</v>
      </c>
      <c r="GH32" s="9">
        <f t="shared" si="75"/>
        <v>1.4604012748118251</v>
      </c>
      <c r="GI32" s="9">
        <f t="shared" si="75"/>
        <v>1.5760023966792895</v>
      </c>
      <c r="GJ32" s="9">
        <f t="shared" si="75"/>
        <v>1.7213355373467147</v>
      </c>
      <c r="GK32" s="9">
        <f t="shared" si="75"/>
        <v>1.8944031336335767</v>
      </c>
      <c r="GL32" s="9">
        <f t="shared" si="75"/>
        <v>2.0719965359534971</v>
      </c>
      <c r="GM32" s="9">
        <f t="shared" si="75"/>
        <v>2.1826996621245693</v>
      </c>
      <c r="GN32" s="9">
        <f t="shared" si="75"/>
        <v>2.4061023523409699</v>
      </c>
      <c r="GO32" s="9">
        <f t="shared" si="75"/>
        <v>3.0288989597046396</v>
      </c>
      <c r="GP32" s="32"/>
      <c r="GQ32" s="32"/>
      <c r="HA32" s="41">
        <f t="shared" si="43"/>
        <v>44917</v>
      </c>
      <c r="HB32" s="9"/>
      <c r="HC32" s="9">
        <f t="shared" si="61"/>
        <v>1.6472886013460868</v>
      </c>
      <c r="HD32" s="9">
        <f t="shared" si="66"/>
        <v>0.91197346134949475</v>
      </c>
      <c r="HE32" s="9">
        <f t="shared" si="62"/>
        <v>0.99500416776096379</v>
      </c>
      <c r="HF32" s="9">
        <f t="shared" si="62"/>
        <v>1.040813103669139</v>
      </c>
      <c r="HG32" s="9">
        <f t="shared" si="62"/>
        <v>1.0784395298177136</v>
      </c>
      <c r="HH32" s="9">
        <f t="shared" si="62"/>
        <v>1.1722290715311634</v>
      </c>
      <c r="HI32" s="9">
        <f t="shared" si="62"/>
        <v>1.2711373038348828</v>
      </c>
      <c r="HJ32" s="9">
        <f t="shared" si="62"/>
        <v>1.4957745137759146</v>
      </c>
      <c r="HK32" s="9">
        <f t="shared" si="62"/>
        <v>1.6884722877930833</v>
      </c>
      <c r="HL32" s="9">
        <f t="shared" si="62"/>
        <v>1.8083903980339964</v>
      </c>
      <c r="HM32" s="9">
        <f t="shared" si="62"/>
        <v>2.0523033197104579</v>
      </c>
      <c r="HN32" s="9">
        <f t="shared" si="62"/>
        <v>2.8501115742116148</v>
      </c>
      <c r="HO32" s="9"/>
      <c r="HP32" s="9"/>
      <c r="HQ32" s="9"/>
      <c r="HR32" s="9"/>
      <c r="HS32" s="32"/>
      <c r="HT32" s="32">
        <v>4</v>
      </c>
      <c r="HU32" s="32"/>
      <c r="HV32" s="41">
        <f t="shared" si="44"/>
        <v>44917</v>
      </c>
      <c r="HW32" s="9">
        <f t="shared" si="63"/>
        <v>1.6472886013460868</v>
      </c>
      <c r="HX32" s="9">
        <f t="shared" si="67"/>
        <v>0.90005366821654853</v>
      </c>
      <c r="HY32" s="9">
        <f t="shared" si="64"/>
        <v>1.0311713641087583</v>
      </c>
      <c r="HZ32" s="9">
        <f t="shared" si="64"/>
        <v>1.1214237133731955</v>
      </c>
      <c r="IA32" s="9">
        <f t="shared" si="64"/>
        <v>1.1867312602039037</v>
      </c>
      <c r="IB32" s="9">
        <f t="shared" si="64"/>
        <v>1.3055822061325733</v>
      </c>
      <c r="IC32" s="9">
        <f t="shared" si="64"/>
        <v>1.496018057710176</v>
      </c>
      <c r="ID32" s="9">
        <f t="shared" si="64"/>
        <v>1.7397577842998762</v>
      </c>
      <c r="IE32" s="9">
        <f t="shared" si="64"/>
        <v>1.9853268418998482</v>
      </c>
      <c r="IF32" s="9">
        <f t="shared" si="64"/>
        <v>2.1916965553158345</v>
      </c>
      <c r="IG32" s="9">
        <f t="shared" si="64"/>
        <v>2.5108506394503149</v>
      </c>
      <c r="IH32" s="9">
        <f t="shared" si="64"/>
        <v>3.2890887131844937</v>
      </c>
      <c r="II32" s="9"/>
      <c r="IJ32" s="9"/>
      <c r="IK32" s="9"/>
      <c r="IL32" s="9"/>
      <c r="IM32" s="32"/>
      <c r="IN32" s="32">
        <v>4</v>
      </c>
      <c r="IO32" s="32"/>
      <c r="IZ32" s="41">
        <f t="shared" si="11"/>
        <v>44917</v>
      </c>
      <c r="JA32" s="9">
        <f t="shared" si="11"/>
        <v>1.6472886013460868</v>
      </c>
      <c r="JB32" s="9"/>
      <c r="JC32" s="9"/>
      <c r="JD32" s="9"/>
      <c r="JE32" s="9"/>
      <c r="JF32" s="9"/>
      <c r="JG32" s="9"/>
      <c r="JH32" s="9"/>
      <c r="JI32" s="9"/>
      <c r="JJ32" s="9"/>
      <c r="JK32" s="9"/>
      <c r="JL32" s="9"/>
      <c r="JM32" s="9"/>
      <c r="JO32" t="s">
        <v>293</v>
      </c>
      <c r="JX32" s="41">
        <v>44917</v>
      </c>
      <c r="JY32" s="9"/>
      <c r="JZ32" s="9">
        <f t="shared" si="76"/>
        <v>1.7451677265510763</v>
      </c>
      <c r="KA32" s="9">
        <f t="shared" si="76"/>
        <v>1.6351092735332304</v>
      </c>
      <c r="KB32" s="9"/>
      <c r="KM32" s="41">
        <v>43090</v>
      </c>
      <c r="KN32" s="241">
        <v>21691097.070499998</v>
      </c>
      <c r="KO32" s="241">
        <f t="shared" si="47"/>
        <v>479205430.02749997</v>
      </c>
      <c r="KQ32" s="41">
        <v>43272</v>
      </c>
      <c r="KR32" s="241">
        <v>13241831.625000002</v>
      </c>
      <c r="KS32" s="241">
        <f t="shared" si="48"/>
        <v>682306840.64289999</v>
      </c>
      <c r="KU32" s="41">
        <v>43454</v>
      </c>
      <c r="KV32" s="241">
        <v>38746055.607600003</v>
      </c>
      <c r="KW32" s="241">
        <f t="shared" si="49"/>
        <v>1095673784.04</v>
      </c>
      <c r="KY32" s="41">
        <v>43636</v>
      </c>
      <c r="KZ32" s="241">
        <v>35045722.470000006</v>
      </c>
      <c r="LA32" s="241">
        <f t="shared" si="50"/>
        <v>1007409983.3820004</v>
      </c>
      <c r="LC32" s="41">
        <v>43818</v>
      </c>
      <c r="LD32" s="241">
        <v>31508051.810400002</v>
      </c>
      <c r="LE32" s="241">
        <f t="shared" si="51"/>
        <v>1454524592.2548003</v>
      </c>
      <c r="LG32" s="41">
        <v>44000</v>
      </c>
      <c r="LH32" s="241">
        <v>36809282.248199999</v>
      </c>
      <c r="LI32" s="241">
        <f t="shared" si="52"/>
        <v>980888026.82640004</v>
      </c>
      <c r="LK32" s="41">
        <v>44182</v>
      </c>
      <c r="LL32" s="241">
        <v>51526460.799000002</v>
      </c>
      <c r="LM32" s="241">
        <f t="shared" si="53"/>
        <v>1163436502.7405999</v>
      </c>
      <c r="LO32" s="41">
        <v>44371</v>
      </c>
      <c r="LP32" s="241">
        <v>66658922.820600003</v>
      </c>
      <c r="LQ32" s="241">
        <f t="shared" si="54"/>
        <v>1233881183.6339998</v>
      </c>
      <c r="LS32" s="41">
        <v>44546</v>
      </c>
      <c r="LT32" s="241">
        <v>31335884.540400002</v>
      </c>
      <c r="LU32" s="241">
        <f t="shared" si="55"/>
        <v>1457945114.1024001</v>
      </c>
      <c r="LW32" s="38">
        <v>44735</v>
      </c>
      <c r="LX32" s="49">
        <v>72128957.260800004</v>
      </c>
      <c r="LY32" s="241">
        <f t="shared" si="56"/>
        <v>1649356040.3759999</v>
      </c>
      <c r="MA32" s="32">
        <v>25</v>
      </c>
      <c r="MB32" s="42">
        <f t="shared" si="12"/>
        <v>0.47920543002749999</v>
      </c>
      <c r="MC32" s="42">
        <f t="shared" si="13"/>
        <v>0.68230684064290004</v>
      </c>
      <c r="MD32" s="42">
        <f t="shared" si="14"/>
        <v>1.0956737840399999</v>
      </c>
      <c r="ME32" s="42">
        <f t="shared" si="15"/>
        <v>1.0074099833820005</v>
      </c>
      <c r="MF32" s="42">
        <f t="shared" si="16"/>
        <v>1.4545245922548002</v>
      </c>
      <c r="MG32" s="42">
        <f t="shared" si="17"/>
        <v>0.98088802682640008</v>
      </c>
      <c r="MH32" s="42">
        <f t="shared" si="18"/>
        <v>1.1634365027406</v>
      </c>
      <c r="MI32" s="42">
        <f t="shared" si="19"/>
        <v>1.2338811836339998</v>
      </c>
      <c r="MJ32" s="42">
        <f t="shared" si="20"/>
        <v>1.4579451141024</v>
      </c>
      <c r="MK32" s="42">
        <f t="shared" si="21"/>
        <v>1.6493560403759999</v>
      </c>
      <c r="ML32" s="8">
        <f t="shared" ca="1" si="77"/>
        <v>1.5491361567691482</v>
      </c>
      <c r="MM32" s="8">
        <f t="shared" ca="1" si="77"/>
        <v>1.6564576168723844</v>
      </c>
      <c r="MN32" s="8">
        <f t="shared" ca="1" si="77"/>
        <v>1.7637790769756205</v>
      </c>
      <c r="MV32" s="60"/>
      <c r="MW32" s="64"/>
      <c r="NS32" s="41">
        <f t="shared" si="65"/>
        <v>44735</v>
      </c>
      <c r="NT32" s="9">
        <f t="shared" si="22"/>
        <v>1.6493560403759999</v>
      </c>
      <c r="NU32" s="9">
        <f t="shared" si="78"/>
        <v>0.82208945525437471</v>
      </c>
      <c r="NV32" s="9">
        <f t="shared" si="78"/>
        <v>0.97247803470898719</v>
      </c>
      <c r="NW32" s="9">
        <f t="shared" si="78"/>
        <v>1.0603440885425917</v>
      </c>
      <c r="NX32" s="9">
        <f t="shared" si="78"/>
        <v>1.1219821059689419</v>
      </c>
      <c r="NY32" s="9">
        <f t="shared" si="78"/>
        <v>1.2513653088876922</v>
      </c>
      <c r="NZ32" s="9">
        <f t="shared" si="78"/>
        <v>1.4712378598920437</v>
      </c>
      <c r="OA32" s="9">
        <f t="shared" si="78"/>
        <v>1.6944942369315872</v>
      </c>
      <c r="OB32" s="9">
        <f t="shared" si="78"/>
        <v>1.9575960664107703</v>
      </c>
      <c r="OC32" s="9">
        <f t="shared" si="78"/>
        <v>2.1456066550594719</v>
      </c>
      <c r="OD32" s="9">
        <f t="shared" si="78"/>
        <v>2.5160665224776442</v>
      </c>
      <c r="OE32" s="9">
        <f t="shared" si="78"/>
        <v>3.2562421497570684</v>
      </c>
      <c r="OF32" s="9">
        <f t="shared" ca="1" si="78"/>
        <v>1.6768978141130766</v>
      </c>
      <c r="OG32" s="32"/>
      <c r="OR32" s="41">
        <f t="shared" si="58"/>
        <v>44735</v>
      </c>
      <c r="OS32" s="9"/>
      <c r="OT32" s="9">
        <f t="shared" si="79"/>
        <v>1.3578820929131337</v>
      </c>
      <c r="OU32" s="9">
        <f t="shared" si="79"/>
        <v>1.3923215972357998</v>
      </c>
      <c r="OV32" s="9">
        <f t="shared" si="79"/>
        <v>1.4152881594067339</v>
      </c>
      <c r="OW32" s="9">
        <f t="shared" si="79"/>
        <v>1.449280064417533</v>
      </c>
      <c r="OX32" s="9">
        <f t="shared" si="79"/>
        <v>1.4898800072794001</v>
      </c>
      <c r="OY32" s="9">
        <f t="shared" si="79"/>
        <v>1.5538956242047335</v>
      </c>
      <c r="OZ32" s="9">
        <f t="shared" si="79"/>
        <v>1.7560695940355342</v>
      </c>
      <c r="PA32" s="9">
        <f t="shared" si="79"/>
        <v>1.835512466056866</v>
      </c>
      <c r="PB32" s="9">
        <f t="shared" si="79"/>
        <v>1.8982074043144661</v>
      </c>
      <c r="PC32" s="9">
        <f t="shared" si="79"/>
        <v>2.1550154702102891</v>
      </c>
      <c r="PD32" s="9">
        <f t="shared" si="79"/>
        <v>3.1316528401509998</v>
      </c>
      <c r="PE32" s="9">
        <f t="shared" ca="1" si="79"/>
        <v>1.6564576168723844</v>
      </c>
    </row>
    <row r="33" spans="2:423" x14ac:dyDescent="0.25">
      <c r="B33" s="48">
        <v>42915</v>
      </c>
      <c r="C33" s="49">
        <v>16421283.917499999</v>
      </c>
      <c r="D33" s="49">
        <v>17675350</v>
      </c>
      <c r="E33" s="247">
        <v>6000000</v>
      </c>
      <c r="F33" s="247" t="s">
        <v>83</v>
      </c>
      <c r="G33" s="247" t="s">
        <v>83</v>
      </c>
      <c r="H33" s="50"/>
      <c r="I33" s="38">
        <v>43097</v>
      </c>
      <c r="J33" s="240">
        <v>27000000</v>
      </c>
      <c r="K33" s="240">
        <v>25607943.998999998</v>
      </c>
      <c r="L33" s="241">
        <f t="shared" si="24"/>
        <v>504813374.02649999</v>
      </c>
      <c r="N33" s="38">
        <v>43461</v>
      </c>
      <c r="O33" s="240">
        <v>30000000</v>
      </c>
      <c r="P33" s="240">
        <v>43712843.473200008</v>
      </c>
      <c r="Q33" s="241">
        <f t="shared" si="25"/>
        <v>1139386627.5132</v>
      </c>
      <c r="S33" s="38">
        <v>43825</v>
      </c>
      <c r="T33" s="240">
        <v>25000000</v>
      </c>
      <c r="U33" s="240">
        <v>30107571.166200001</v>
      </c>
      <c r="V33" s="241">
        <f t="shared" si="26"/>
        <v>1484632163.4210002</v>
      </c>
      <c r="X33" s="38">
        <v>44189</v>
      </c>
      <c r="Y33" s="240">
        <v>3000000</v>
      </c>
      <c r="Z33" s="240">
        <v>22728001.507200003</v>
      </c>
      <c r="AA33" s="241">
        <f t="shared" si="27"/>
        <v>1186164504.2477999</v>
      </c>
      <c r="AC33" s="38">
        <v>44553</v>
      </c>
      <c r="AD33" s="240">
        <v>20000000</v>
      </c>
      <c r="AE33" s="240">
        <v>50851244.789400004</v>
      </c>
      <c r="AF33" s="241">
        <f t="shared" si="28"/>
        <v>1508796358.8918002</v>
      </c>
      <c r="AG33" s="241"/>
      <c r="AH33" s="38">
        <v>44924</v>
      </c>
      <c r="AI33" s="240">
        <v>100000000</v>
      </c>
      <c r="AJ33" s="240">
        <v>166895292.69886291</v>
      </c>
      <c r="AK33" s="241">
        <f t="shared" si="29"/>
        <v>1814183894.0449495</v>
      </c>
      <c r="AM33" s="32">
        <v>26</v>
      </c>
      <c r="AN33" s="39">
        <f t="shared" si="0"/>
        <v>0.50481337402649995</v>
      </c>
      <c r="AO33" s="39">
        <f t="shared" si="1"/>
        <v>1.1393866275132001</v>
      </c>
      <c r="AP33" s="39">
        <f t="shared" si="2"/>
        <v>1.4846321634210002</v>
      </c>
      <c r="AQ33" s="39">
        <f t="shared" si="3"/>
        <v>1.1861645042478</v>
      </c>
      <c r="AR33" s="39">
        <f t="shared" si="30"/>
        <v>1.5087963588918001</v>
      </c>
      <c r="AS33" s="39">
        <f t="shared" si="31"/>
        <v>1.8141838940449495</v>
      </c>
      <c r="AT33" s="39"/>
      <c r="AU33" s="39">
        <f t="shared" si="32"/>
        <v>1.3234619171858368</v>
      </c>
      <c r="AV33" s="9"/>
      <c r="AW33" s="9"/>
      <c r="AX33" s="9"/>
      <c r="BF33" s="60"/>
      <c r="BG33" s="64"/>
      <c r="BZ33" s="60"/>
      <c r="CA33" s="62" t="s">
        <v>35</v>
      </c>
      <c r="CB33" s="63">
        <f t="shared" si="80"/>
        <v>17</v>
      </c>
      <c r="CC33" s="63">
        <f t="shared" si="80"/>
        <v>23</v>
      </c>
      <c r="CD33" s="63">
        <f t="shared" si="80"/>
        <v>18.269230769230766</v>
      </c>
      <c r="CE33" s="10">
        <v>24</v>
      </c>
      <c r="CF33" s="10">
        <v>22</v>
      </c>
      <c r="CG33" s="10">
        <v>28</v>
      </c>
      <c r="CH33" s="10">
        <v>27</v>
      </c>
      <c r="CI33" s="10">
        <v>20</v>
      </c>
      <c r="CT33" s="41">
        <f t="shared" si="33"/>
        <v>44924</v>
      </c>
      <c r="CU33" s="9">
        <f t="shared" si="34"/>
        <v>1.8141838940449495</v>
      </c>
      <c r="CV33" s="9">
        <f t="shared" si="71"/>
        <v>0.98653461061875547</v>
      </c>
      <c r="CW33" s="9">
        <f t="shared" si="71"/>
        <v>1.1813441517359335</v>
      </c>
      <c r="CX33" s="9">
        <f t="shared" si="71"/>
        <v>1.2588372900601414</v>
      </c>
      <c r="CY33" s="9">
        <f t="shared" si="71"/>
        <v>1.3130521895926583</v>
      </c>
      <c r="CZ33" s="9">
        <f t="shared" si="71"/>
        <v>1.4224244841194817</v>
      </c>
      <c r="DA33" s="9">
        <f t="shared" si="71"/>
        <v>1.5654524306721951</v>
      </c>
      <c r="DB33" s="9">
        <f t="shared" si="71"/>
        <v>1.7220458720846632</v>
      </c>
      <c r="DC33" s="9">
        <f t="shared" si="71"/>
        <v>1.887985924428019</v>
      </c>
      <c r="DD33" s="9">
        <f t="shared" si="71"/>
        <v>1.9872957760560186</v>
      </c>
      <c r="DE33" s="9">
        <f t="shared" si="71"/>
        <v>2.2029446003632587</v>
      </c>
      <c r="DF33" s="9">
        <f t="shared" si="71"/>
        <v>2.674942844792862</v>
      </c>
      <c r="DG33" s="32"/>
      <c r="DH33" s="32"/>
      <c r="DR33" s="41">
        <v>45288</v>
      </c>
      <c r="DS33" s="9">
        <v>1.5581673469999999</v>
      </c>
      <c r="DT33" s="9">
        <f t="shared" si="72"/>
        <v>1.0641910654384674</v>
      </c>
      <c r="DU33" s="9">
        <f t="shared" si="72"/>
        <v>1.2572210162838471</v>
      </c>
      <c r="DV33" s="9">
        <f t="shared" si="72"/>
        <v>1.3598171796899443</v>
      </c>
      <c r="DW33" s="9">
        <f t="shared" si="72"/>
        <v>1.4223934968198362</v>
      </c>
      <c r="DX33" s="9">
        <f t="shared" si="72"/>
        <v>1.5438267610942971</v>
      </c>
      <c r="DY33" s="9">
        <f t="shared" si="72"/>
        <v>1.6965860840002966</v>
      </c>
      <c r="DZ33" s="9">
        <f t="shared" si="72"/>
        <v>1.8692456939140338</v>
      </c>
      <c r="EA33" s="9">
        <f t="shared" si="72"/>
        <v>2.0528800972302479</v>
      </c>
      <c r="EB33" s="9">
        <f t="shared" si="72"/>
        <v>2.1639655606153174</v>
      </c>
      <c r="EC33" s="9">
        <f t="shared" si="72"/>
        <v>2.3793810896090131</v>
      </c>
      <c r="ED33" s="9">
        <f t="shared" si="72"/>
        <v>3.04951246130826</v>
      </c>
      <c r="EE33" s="32"/>
      <c r="EF33" s="32"/>
      <c r="EQ33" s="41">
        <v>45652</v>
      </c>
      <c r="ER33" s="76">
        <v>1.5459474521247469</v>
      </c>
      <c r="ES33" s="9">
        <f t="shared" si="73"/>
        <v>1.1314</v>
      </c>
      <c r="ET33" s="9">
        <f t="shared" si="73"/>
        <v>1.2659999999999996</v>
      </c>
      <c r="EU33" s="9">
        <f t="shared" si="73"/>
        <v>1.3632000000000009</v>
      </c>
      <c r="EV33" s="9">
        <f t="shared" si="73"/>
        <v>1.4334999999999993</v>
      </c>
      <c r="EW33" s="9">
        <f t="shared" si="73"/>
        <v>1.5715999999999997</v>
      </c>
      <c r="EX33" s="9">
        <f t="shared" si="73"/>
        <v>1.7706000000000008</v>
      </c>
      <c r="EY33" s="9">
        <f t="shared" si="73"/>
        <v>2.0128999999999997</v>
      </c>
      <c r="EZ33" s="9">
        <f t="shared" si="73"/>
        <v>2.2898000000000001</v>
      </c>
      <c r="FA33" s="9">
        <f t="shared" si="73"/>
        <v>2.4641000000000002</v>
      </c>
      <c r="FB33" s="9">
        <f t="shared" si="73"/>
        <v>2.8531999999999988</v>
      </c>
      <c r="FC33" s="9">
        <f t="shared" si="73"/>
        <v>3.7554000000000025</v>
      </c>
      <c r="FD33" s="32"/>
      <c r="FE33" s="32">
        <v>1545947452.124747</v>
      </c>
      <c r="FF33" s="32">
        <f t="shared" si="38"/>
        <v>1.5459474521247469</v>
      </c>
      <c r="FG33" s="32"/>
      <c r="FH33" s="32"/>
      <c r="FI33" s="32">
        <v>1411087254.496805</v>
      </c>
      <c r="FJ33" s="32">
        <f t="shared" si="39"/>
        <v>1.4110872544968049</v>
      </c>
      <c r="FK33" s="32"/>
      <c r="FL33" s="229">
        <v>46016</v>
      </c>
      <c r="FM33" s="230">
        <v>1.4110872544968049</v>
      </c>
      <c r="FN33" s="9">
        <f t="shared" si="74"/>
        <v>0.98445005806087549</v>
      </c>
      <c r="FO33" s="9">
        <f t="shared" si="74"/>
        <v>1.1028407873270922</v>
      </c>
      <c r="FP33" s="9">
        <f t="shared" si="74"/>
        <v>1.1803265523410789</v>
      </c>
      <c r="FQ33" s="9">
        <f t="shared" si="74"/>
        <v>1.2329408456995894</v>
      </c>
      <c r="FR33" s="9">
        <f t="shared" si="74"/>
        <v>1.3416944250023151</v>
      </c>
      <c r="FS33" s="9">
        <f t="shared" si="74"/>
        <v>1.5091283225477283</v>
      </c>
      <c r="FT33" s="9">
        <f t="shared" si="74"/>
        <v>1.7343874442074965</v>
      </c>
      <c r="FU33" s="9">
        <f t="shared" si="74"/>
        <v>1.9623453397844031</v>
      </c>
      <c r="FV33" s="9">
        <f t="shared" si="74"/>
        <v>2.1400501445495927</v>
      </c>
      <c r="FW33" s="9">
        <f t="shared" si="74"/>
        <v>2.5157201184231139</v>
      </c>
      <c r="FX33" s="9">
        <f t="shared" si="74"/>
        <v>3.3952879375741416</v>
      </c>
      <c r="FY33" s="32"/>
      <c r="FZ33" s="32">
        <v>1545947452.124747</v>
      </c>
      <c r="GA33" s="32">
        <f t="shared" si="41"/>
        <v>1.5459474521247469</v>
      </c>
      <c r="GB33" s="32"/>
      <c r="GC33" s="41">
        <v>45652</v>
      </c>
      <c r="GD33" s="9">
        <v>1.5459474521247469</v>
      </c>
      <c r="GE33" s="9">
        <f t="shared" si="75"/>
        <v>1.2420522464739625</v>
      </c>
      <c r="GF33" s="9">
        <f t="shared" si="75"/>
        <v>1.3576494082208355</v>
      </c>
      <c r="GG33" s="9">
        <f t="shared" si="75"/>
        <v>1.4548325597456291</v>
      </c>
      <c r="GH33" s="9">
        <f t="shared" si="75"/>
        <v>1.5188173258042981</v>
      </c>
      <c r="GI33" s="9">
        <f t="shared" si="75"/>
        <v>1.6390424925464611</v>
      </c>
      <c r="GJ33" s="9">
        <f t="shared" si="75"/>
        <v>1.7901889588405833</v>
      </c>
      <c r="GK33" s="9">
        <f t="shared" si="75"/>
        <v>1.9701792589789198</v>
      </c>
      <c r="GL33" s="9">
        <f t="shared" si="75"/>
        <v>2.1548763973916372</v>
      </c>
      <c r="GM33" s="9">
        <f t="shared" si="75"/>
        <v>2.270007648609552</v>
      </c>
      <c r="GN33" s="9">
        <f t="shared" si="75"/>
        <v>2.5023464464346086</v>
      </c>
      <c r="GO33" s="9">
        <f t="shared" si="75"/>
        <v>3.1500549180928252</v>
      </c>
      <c r="GP33" s="32"/>
      <c r="GQ33" s="32"/>
      <c r="HA33" s="41">
        <f t="shared" si="43"/>
        <v>44924</v>
      </c>
      <c r="HB33" s="9"/>
      <c r="HC33" s="9">
        <f t="shared" si="61"/>
        <v>1.8141838940449495</v>
      </c>
      <c r="HD33" s="9">
        <f t="shared" si="66"/>
        <v>0.9486609302493072</v>
      </c>
      <c r="HE33" s="9">
        <f t="shared" si="62"/>
        <v>1.0372270170882076</v>
      </c>
      <c r="HF33" s="9">
        <f t="shared" si="62"/>
        <v>1.0860898820569278</v>
      </c>
      <c r="HG33" s="9">
        <f t="shared" si="62"/>
        <v>1.1262247366154075</v>
      </c>
      <c r="HH33" s="9">
        <f t="shared" si="62"/>
        <v>1.2262669144430871</v>
      </c>
      <c r="HI33" s="9">
        <f t="shared" si="62"/>
        <v>1.3317690289003878</v>
      </c>
      <c r="HJ33" s="9">
        <f t="shared" si="62"/>
        <v>1.5713820528374884</v>
      </c>
      <c r="HK33" s="9">
        <f t="shared" si="62"/>
        <v>1.7769263451224684</v>
      </c>
      <c r="HL33" s="9">
        <f t="shared" si="62"/>
        <v>1.904838996046109</v>
      </c>
      <c r="HM33" s="9">
        <f t="shared" si="62"/>
        <v>2.1650127791676681</v>
      </c>
      <c r="HN33" s="9">
        <f t="shared" si="62"/>
        <v>3.0160082506355685</v>
      </c>
      <c r="HO33" s="9"/>
      <c r="HP33" s="9"/>
      <c r="HQ33" s="9"/>
      <c r="HR33" s="9"/>
      <c r="HS33" s="32"/>
      <c r="HT33" s="32">
        <v>4</v>
      </c>
      <c r="HU33" s="32"/>
      <c r="HV33" s="41">
        <f t="shared" si="44"/>
        <v>44924</v>
      </c>
      <c r="HW33" s="9">
        <f t="shared" si="63"/>
        <v>1.8141838940449495</v>
      </c>
      <c r="HX33" s="9">
        <f t="shared" si="67"/>
        <v>0.94189797936831177</v>
      </c>
      <c r="HY33" s="9">
        <f t="shared" si="64"/>
        <v>1.0798220618569867</v>
      </c>
      <c r="HZ33" s="9">
        <f t="shared" si="64"/>
        <v>1.1744935310630744</v>
      </c>
      <c r="IA33" s="9">
        <f t="shared" si="64"/>
        <v>1.2417216619292604</v>
      </c>
      <c r="IB33" s="9">
        <f t="shared" si="64"/>
        <v>1.3665612111234922</v>
      </c>
      <c r="IC33" s="9">
        <f t="shared" si="64"/>
        <v>1.5665490246018499</v>
      </c>
      <c r="ID33" s="9">
        <f t="shared" si="64"/>
        <v>1.8190262592101929</v>
      </c>
      <c r="IE33" s="9">
        <f t="shared" si="64"/>
        <v>2.0641957619539149</v>
      </c>
      <c r="IF33" s="9">
        <f t="shared" si="64"/>
        <v>2.2827257529216549</v>
      </c>
      <c r="IG33" s="9">
        <f t="shared" si="64"/>
        <v>2.6045474353429023</v>
      </c>
      <c r="IH33" s="9">
        <f t="shared" si="64"/>
        <v>3.3782235107867091</v>
      </c>
      <c r="II33" s="9"/>
      <c r="IJ33" s="9"/>
      <c r="IK33" s="9"/>
      <c r="IL33" s="9"/>
      <c r="IM33" s="32"/>
      <c r="IN33" s="32">
        <v>4</v>
      </c>
      <c r="IO33" s="32"/>
      <c r="IZ33" s="41">
        <f t="shared" si="11"/>
        <v>44924</v>
      </c>
      <c r="JA33" s="9">
        <f t="shared" si="11"/>
        <v>1.8141838940449495</v>
      </c>
      <c r="JB33" s="9"/>
      <c r="JC33" s="9"/>
      <c r="JD33" s="9"/>
      <c r="JE33" s="9"/>
      <c r="JF33" s="9"/>
      <c r="JG33" s="9"/>
      <c r="JH33" s="9"/>
      <c r="JI33" s="9"/>
      <c r="JJ33" s="9"/>
      <c r="JK33" s="9"/>
      <c r="JL33" s="9"/>
      <c r="JM33" s="9"/>
      <c r="JO33" t="s">
        <v>294</v>
      </c>
      <c r="JX33" s="41">
        <v>44924</v>
      </c>
      <c r="JY33" s="9"/>
      <c r="JZ33" s="9">
        <f t="shared" si="76"/>
        <v>1.8127371589615608</v>
      </c>
      <c r="KA33" s="9">
        <f t="shared" si="76"/>
        <v>1.6889213993164842</v>
      </c>
      <c r="KB33" s="9"/>
      <c r="KM33" s="41">
        <v>43097</v>
      </c>
      <c r="KN33" s="241">
        <v>25607943.998999998</v>
      </c>
      <c r="KO33" s="241">
        <f t="shared" si="47"/>
        <v>504813374.02649999</v>
      </c>
      <c r="KQ33" s="41">
        <v>43279</v>
      </c>
      <c r="KR33" s="241">
        <v>19883894.692200001</v>
      </c>
      <c r="KS33" s="241">
        <f t="shared" si="48"/>
        <v>702190735.33509994</v>
      </c>
      <c r="KU33" s="41">
        <v>43461</v>
      </c>
      <c r="KV33" s="241">
        <v>43712843.473200008</v>
      </c>
      <c r="KW33" s="241">
        <f t="shared" si="49"/>
        <v>1139386627.5132</v>
      </c>
      <c r="KY33" s="41">
        <v>43643</v>
      </c>
      <c r="KZ33" s="241">
        <v>48100839.309600003</v>
      </c>
      <c r="LA33" s="241">
        <f t="shared" si="50"/>
        <v>1055510822.6916004</v>
      </c>
      <c r="LC33" s="41">
        <v>43825</v>
      </c>
      <c r="LD33" s="241">
        <v>30107571.166200001</v>
      </c>
      <c r="LE33" s="241">
        <f t="shared" si="51"/>
        <v>1484632163.4210002</v>
      </c>
      <c r="LG33" s="41">
        <v>44007</v>
      </c>
      <c r="LH33" s="241">
        <v>58368708.420000002</v>
      </c>
      <c r="LI33" s="241">
        <f t="shared" si="52"/>
        <v>1039256735.2464</v>
      </c>
      <c r="LK33" s="41">
        <v>44189</v>
      </c>
      <c r="LL33" s="241">
        <v>22728001.507200003</v>
      </c>
      <c r="LM33" s="241">
        <f t="shared" si="53"/>
        <v>1186164504.2477999</v>
      </c>
      <c r="LS33" s="41">
        <v>44553</v>
      </c>
      <c r="LT33" s="241">
        <v>50851244.789400004</v>
      </c>
      <c r="LU33" s="241">
        <f t="shared" si="55"/>
        <v>1508796358.8918002</v>
      </c>
      <c r="LW33" s="38">
        <v>44742</v>
      </c>
      <c r="LX33" s="49">
        <v>94617686.301600009</v>
      </c>
      <c r="LY33" s="241">
        <f t="shared" si="56"/>
        <v>1743973726.6775999</v>
      </c>
      <c r="MA33" s="32">
        <v>26</v>
      </c>
      <c r="MB33" s="42">
        <f t="shared" si="12"/>
        <v>0.50481337402649995</v>
      </c>
      <c r="MC33" s="42">
        <f t="shared" si="13"/>
        <v>0.7021907353350999</v>
      </c>
      <c r="MD33" s="42">
        <f t="shared" si="14"/>
        <v>1.1393866275132001</v>
      </c>
      <c r="ME33" s="42">
        <f t="shared" si="15"/>
        <v>1.0555108226916003</v>
      </c>
      <c r="MF33" s="42">
        <f t="shared" si="16"/>
        <v>1.4846321634210002</v>
      </c>
      <c r="MG33" s="42">
        <f t="shared" si="17"/>
        <v>1.0392567352463999</v>
      </c>
      <c r="MH33" s="42">
        <f t="shared" si="18"/>
        <v>1.1861645042478</v>
      </c>
      <c r="MI33" s="42"/>
      <c r="MJ33" s="42">
        <f t="shared" si="20"/>
        <v>1.5087963588918001</v>
      </c>
      <c r="MK33" s="42">
        <f t="shared" si="21"/>
        <v>1.7439737266775999</v>
      </c>
      <c r="ML33" s="8">
        <f t="shared" ca="1" si="77"/>
        <v>1.6027968868207667</v>
      </c>
      <c r="MM33" s="8">
        <f t="shared" ca="1" si="77"/>
        <v>1.7235335294369074</v>
      </c>
      <c r="MN33" s="8">
        <f t="shared" ca="1" si="77"/>
        <v>1.8442701720530481</v>
      </c>
      <c r="MV33" s="60"/>
      <c r="MW33" s="65" t="s">
        <v>84</v>
      </c>
      <c r="NS33" s="41">
        <f t="shared" si="65"/>
        <v>44742</v>
      </c>
      <c r="NT33" s="9">
        <f t="shared" si="22"/>
        <v>1.7439737266775999</v>
      </c>
      <c r="NU33" s="9">
        <f t="shared" si="78"/>
        <v>0.85497303346454967</v>
      </c>
      <c r="NV33" s="9">
        <f t="shared" si="78"/>
        <v>1.0113771560973466</v>
      </c>
      <c r="NW33" s="9">
        <f t="shared" si="78"/>
        <v>1.1027578520842953</v>
      </c>
      <c r="NX33" s="9">
        <f t="shared" si="78"/>
        <v>1.1668613902076996</v>
      </c>
      <c r="NY33" s="9">
        <f t="shared" si="78"/>
        <v>1.3014199212431998</v>
      </c>
      <c r="NZ33" s="66">
        <f t="shared" si="78"/>
        <v>1.5300873742877255</v>
      </c>
      <c r="OA33" s="9">
        <f t="shared" si="78"/>
        <v>1.7622740064088507</v>
      </c>
      <c r="OB33" s="9">
        <f t="shared" si="78"/>
        <v>2.0358999090672012</v>
      </c>
      <c r="OC33" s="9">
        <f t="shared" si="78"/>
        <v>2.2314309212618508</v>
      </c>
      <c r="OD33" s="9">
        <f t="shared" si="78"/>
        <v>2.61670918337675</v>
      </c>
      <c r="OE33" s="9">
        <f t="shared" si="78"/>
        <v>3.3864918357473512</v>
      </c>
      <c r="OF33" s="9">
        <f t="shared" ca="1" si="78"/>
        <v>1.7439737266775996</v>
      </c>
      <c r="OG33" s="32"/>
      <c r="OR33" s="41">
        <f t="shared" si="58"/>
        <v>44742</v>
      </c>
      <c r="OS33" s="9"/>
      <c r="OT33" s="9">
        <f t="shared" si="79"/>
        <v>1.3876360649827504</v>
      </c>
      <c r="OU33" s="9">
        <f t="shared" si="79"/>
        <v>1.4263805073457498</v>
      </c>
      <c r="OV33" s="9">
        <f t="shared" si="79"/>
        <v>1.4522178897880507</v>
      </c>
      <c r="OW33" s="9">
        <f t="shared" si="79"/>
        <v>1.4904587829251996</v>
      </c>
      <c r="OX33" s="9">
        <f t="shared" si="79"/>
        <v>1.5361337186448001</v>
      </c>
      <c r="OY33" s="9">
        <f t="shared" si="79"/>
        <v>1.6081512876858002</v>
      </c>
      <c r="OZ33" s="9">
        <f t="shared" si="79"/>
        <v>1.835597003745451</v>
      </c>
      <c r="PA33" s="9">
        <f t="shared" si="79"/>
        <v>1.9249702347694493</v>
      </c>
      <c r="PB33" s="9">
        <f t="shared" si="79"/>
        <v>1.9955020403092494</v>
      </c>
      <c r="PC33" s="9">
        <f t="shared" si="79"/>
        <v>2.28441111444205</v>
      </c>
      <c r="PD33" s="9">
        <f t="shared" si="79"/>
        <v>3.3831281556253496</v>
      </c>
      <c r="PE33" s="9">
        <f t="shared" ca="1" si="79"/>
        <v>1.7235335294369074</v>
      </c>
    </row>
    <row r="34" spans="2:423" x14ac:dyDescent="0.25">
      <c r="B34" s="48">
        <v>42922</v>
      </c>
      <c r="C34" s="49">
        <v>13252916.830999998</v>
      </c>
      <c r="D34" s="49">
        <v>14265020</v>
      </c>
      <c r="E34" s="247">
        <v>3000000</v>
      </c>
      <c r="F34" s="247" t="s">
        <v>85</v>
      </c>
      <c r="G34" s="247" t="s">
        <v>85</v>
      </c>
      <c r="H34" s="50"/>
      <c r="I34" s="38">
        <v>43104</v>
      </c>
      <c r="J34" s="240">
        <v>35000000</v>
      </c>
      <c r="K34" s="240">
        <v>43512391.207999997</v>
      </c>
      <c r="L34" s="241">
        <f t="shared" si="24"/>
        <v>548325765.23449993</v>
      </c>
      <c r="N34" s="38">
        <v>43468</v>
      </c>
      <c r="O34" s="240">
        <v>50000000</v>
      </c>
      <c r="P34" s="240">
        <v>78951152.761800006</v>
      </c>
      <c r="Q34" s="241">
        <f t="shared" si="25"/>
        <v>1218337780.2750001</v>
      </c>
      <c r="S34" s="38">
        <v>43832</v>
      </c>
      <c r="T34" s="240">
        <v>3000000</v>
      </c>
      <c r="U34" s="240">
        <v>17322589.851600002</v>
      </c>
      <c r="V34" s="241">
        <f t="shared" si="26"/>
        <v>1501954753.2726002</v>
      </c>
      <c r="X34" s="38">
        <v>44196</v>
      </c>
      <c r="Y34" s="240">
        <v>10000000</v>
      </c>
      <c r="Z34" s="240">
        <v>33792831.600000001</v>
      </c>
      <c r="AA34" s="241">
        <f t="shared" si="27"/>
        <v>1219957335.8477998</v>
      </c>
      <c r="AC34" s="38">
        <v>44560</v>
      </c>
      <c r="AD34" s="240">
        <v>30000000</v>
      </c>
      <c r="AE34" s="240">
        <v>55106258.770199999</v>
      </c>
      <c r="AF34" s="241">
        <f t="shared" si="28"/>
        <v>1563902617.6620002</v>
      </c>
      <c r="AG34" s="241"/>
      <c r="AH34" s="38">
        <v>44931</v>
      </c>
      <c r="AI34" s="240">
        <v>4000000</v>
      </c>
      <c r="AJ34" s="240">
        <v>25066489.080401339</v>
      </c>
      <c r="AK34" s="241">
        <f t="shared" si="29"/>
        <v>1839250383.125351</v>
      </c>
      <c r="AM34" s="32">
        <v>27</v>
      </c>
      <c r="AN34" s="39">
        <f t="shared" si="0"/>
        <v>0.54832576523449994</v>
      </c>
      <c r="AO34" s="39">
        <f t="shared" si="1"/>
        <v>1.2183377802750002</v>
      </c>
      <c r="AP34" s="39">
        <f t="shared" si="2"/>
        <v>1.5019547532726001</v>
      </c>
      <c r="AQ34" s="39">
        <f t="shared" si="3"/>
        <v>1.2199573358477998</v>
      </c>
      <c r="AR34" s="39">
        <f t="shared" si="30"/>
        <v>1.5639026176620001</v>
      </c>
      <c r="AS34" s="39">
        <f t="shared" si="31"/>
        <v>1.8392503831253511</v>
      </c>
      <c r="AT34" s="39"/>
      <c r="AU34" s="39">
        <f t="shared" si="32"/>
        <v>1.3764003938732703</v>
      </c>
      <c r="AV34" s="9"/>
      <c r="AW34" s="9"/>
      <c r="AX34" s="9"/>
      <c r="BF34" s="60"/>
      <c r="BG34" s="65" t="s">
        <v>84</v>
      </c>
      <c r="BZ34" s="60"/>
      <c r="CA34" s="62" t="s">
        <v>36</v>
      </c>
      <c r="CB34" s="63">
        <f t="shared" si="80"/>
        <v>19</v>
      </c>
      <c r="CC34" s="63">
        <f t="shared" si="80"/>
        <v>25</v>
      </c>
      <c r="CD34" s="63">
        <f t="shared" si="80"/>
        <v>20.269230769230766</v>
      </c>
      <c r="CE34" s="10">
        <v>27</v>
      </c>
      <c r="CF34" s="10">
        <v>24</v>
      </c>
      <c r="CG34" s="10">
        <v>30</v>
      </c>
      <c r="CH34" s="10">
        <v>29</v>
      </c>
      <c r="CI34" s="10">
        <v>22</v>
      </c>
      <c r="CT34" s="41">
        <f t="shared" si="33"/>
        <v>44931</v>
      </c>
      <c r="CU34" s="9">
        <f t="shared" si="34"/>
        <v>1.8392503831253511</v>
      </c>
      <c r="CV34" s="9">
        <f t="shared" si="71"/>
        <v>1.0244782494887077</v>
      </c>
      <c r="CW34" s="9">
        <f t="shared" si="71"/>
        <v>1.2267804652642387</v>
      </c>
      <c r="CX34" s="9">
        <f t="shared" si="71"/>
        <v>1.3072541089086085</v>
      </c>
      <c r="CY34" s="9">
        <f t="shared" si="71"/>
        <v>1.3635541968846836</v>
      </c>
      <c r="CZ34" s="9">
        <f t="shared" si="71"/>
        <v>1.4771331181240772</v>
      </c>
      <c r="DA34" s="9">
        <f t="shared" si="71"/>
        <v>1.6256621395442026</v>
      </c>
      <c r="DB34" s="9">
        <f t="shared" si="71"/>
        <v>1.788278405626381</v>
      </c>
      <c r="DC34" s="9">
        <f t="shared" si="71"/>
        <v>1.9606007676752506</v>
      </c>
      <c r="DD34" s="9">
        <f t="shared" si="71"/>
        <v>2.06373022898125</v>
      </c>
      <c r="DE34" s="9">
        <f t="shared" si="71"/>
        <v>2.2876732388387686</v>
      </c>
      <c r="DF34" s="9">
        <f t="shared" si="71"/>
        <v>2.7778252619002797</v>
      </c>
      <c r="DG34" s="32"/>
      <c r="DH34" s="32"/>
      <c r="DR34" s="41">
        <v>45295</v>
      </c>
      <c r="DS34" s="9">
        <v>1.6188438279999999</v>
      </c>
      <c r="DT34" s="9">
        <f t="shared" si="72"/>
        <v>1.1051214910322547</v>
      </c>
      <c r="DU34" s="9">
        <f t="shared" si="72"/>
        <v>1.3055756707563027</v>
      </c>
      <c r="DV34" s="9">
        <f t="shared" si="72"/>
        <v>1.4121178404472499</v>
      </c>
      <c r="DW34" s="9">
        <f t="shared" si="72"/>
        <v>1.4771009390052146</v>
      </c>
      <c r="DX34" s="9">
        <f t="shared" si="72"/>
        <v>1.6032047134440777</v>
      </c>
      <c r="DY34" s="9">
        <f t="shared" si="72"/>
        <v>1.761839394923385</v>
      </c>
      <c r="DZ34" s="9">
        <f t="shared" si="72"/>
        <v>1.9411397590645736</v>
      </c>
      <c r="EA34" s="9">
        <f t="shared" si="72"/>
        <v>2.1318370240467961</v>
      </c>
      <c r="EB34" s="9">
        <f t="shared" si="72"/>
        <v>2.2471950052543681</v>
      </c>
      <c r="EC34" s="9">
        <f t="shared" si="72"/>
        <v>2.4708957469016672</v>
      </c>
      <c r="ED34" s="9">
        <f t="shared" si="72"/>
        <v>3.1668014021278084</v>
      </c>
      <c r="EE34" s="32"/>
      <c r="EF34" s="32"/>
      <c r="EQ34" s="41"/>
      <c r="ER34" s="9"/>
      <c r="ES34" s="9"/>
      <c r="ET34" s="9"/>
      <c r="EU34" s="9"/>
      <c r="EV34" s="9"/>
      <c r="EW34" s="9"/>
      <c r="EX34" s="9"/>
      <c r="EY34" s="9"/>
      <c r="EZ34" s="9"/>
      <c r="FA34" s="9"/>
      <c r="FB34" s="9"/>
      <c r="FC34" s="9"/>
      <c r="FD34" s="32"/>
      <c r="FE34" s="32"/>
      <c r="FF34" s="32"/>
      <c r="FG34" s="32"/>
      <c r="FH34" s="32"/>
      <c r="FI34" s="32"/>
      <c r="FJ34" s="32"/>
      <c r="FK34" s="32"/>
      <c r="FL34" s="41"/>
      <c r="FM34" s="9"/>
      <c r="FN34" s="9"/>
      <c r="FO34" s="9"/>
      <c r="FP34" s="9"/>
      <c r="FQ34" s="9"/>
      <c r="FR34" s="9"/>
      <c r="FS34" s="9"/>
      <c r="FT34" s="9"/>
      <c r="FU34" s="9"/>
      <c r="FV34" s="9"/>
      <c r="FW34" s="9"/>
      <c r="FX34" s="9"/>
      <c r="FY34" s="32"/>
      <c r="FZ34" s="32"/>
      <c r="GA34" s="32"/>
      <c r="GB34" s="32"/>
      <c r="GC34" s="41">
        <v>45659</v>
      </c>
      <c r="GD34" s="9">
        <v>1.5968338719016677</v>
      </c>
      <c r="GE34" s="9">
        <f t="shared" si="75"/>
        <v>1.289823486722961</v>
      </c>
      <c r="GF34" s="9">
        <f t="shared" si="75"/>
        <v>1.409866693152406</v>
      </c>
      <c r="GG34" s="9">
        <f t="shared" si="75"/>
        <v>1.510787658197384</v>
      </c>
      <c r="GH34" s="9">
        <f t="shared" si="75"/>
        <v>1.577233376796771</v>
      </c>
      <c r="GI34" s="9">
        <f t="shared" si="75"/>
        <v>1.7020825884136326</v>
      </c>
      <c r="GJ34" s="9">
        <f t="shared" si="75"/>
        <v>1.8590423803344518</v>
      </c>
      <c r="GK34" s="9">
        <f t="shared" si="75"/>
        <v>2.0459553843242628</v>
      </c>
      <c r="GL34" s="9">
        <f t="shared" si="75"/>
        <v>2.2377562588297772</v>
      </c>
      <c r="GM34" s="9">
        <f t="shared" si="75"/>
        <v>2.3573156350945346</v>
      </c>
      <c r="GN34" s="9">
        <f t="shared" si="75"/>
        <v>2.5985905405282472</v>
      </c>
      <c r="GO34" s="9">
        <f t="shared" si="75"/>
        <v>3.2712108764810108</v>
      </c>
      <c r="GP34" s="32"/>
      <c r="GQ34" s="32"/>
      <c r="HA34" s="41"/>
      <c r="HB34" s="9"/>
      <c r="HC34" s="9"/>
      <c r="HD34" s="9"/>
      <c r="HE34" s="9"/>
      <c r="HF34" s="9"/>
      <c r="HG34" s="9"/>
      <c r="HH34" s="9"/>
      <c r="HI34" s="9"/>
      <c r="HJ34" s="9"/>
      <c r="HK34" s="9"/>
      <c r="HL34" s="9"/>
      <c r="HM34" s="9"/>
      <c r="HN34" s="9"/>
      <c r="HO34" s="9"/>
      <c r="HP34" s="9"/>
      <c r="HQ34" s="9"/>
      <c r="HR34" s="9"/>
      <c r="HS34" s="32"/>
      <c r="HT34" s="32"/>
      <c r="HU34" s="32"/>
      <c r="HV34" s="41"/>
      <c r="HW34" s="9"/>
      <c r="HX34" s="9"/>
      <c r="HY34" s="9"/>
      <c r="HZ34" s="9"/>
      <c r="IA34" s="9"/>
      <c r="IB34" s="9"/>
      <c r="IC34" s="9"/>
      <c r="ID34" s="9"/>
      <c r="IE34" s="9"/>
      <c r="IF34" s="9"/>
      <c r="IG34" s="9"/>
      <c r="IH34" s="9"/>
      <c r="II34" s="9"/>
      <c r="IJ34" s="9"/>
      <c r="IK34" s="9"/>
      <c r="IL34" s="9"/>
      <c r="IM34" s="32"/>
      <c r="IN34" s="32"/>
      <c r="IO34" s="32"/>
      <c r="IZ34" s="41">
        <f t="shared" si="11"/>
        <v>44931</v>
      </c>
      <c r="JA34" s="9">
        <f t="shared" si="11"/>
        <v>1.8392503831253511</v>
      </c>
      <c r="JB34" s="9"/>
      <c r="JC34" s="9"/>
      <c r="JD34" s="9"/>
      <c r="JE34" s="9"/>
      <c r="JF34" s="9"/>
      <c r="JG34" s="9"/>
      <c r="JH34" s="9"/>
      <c r="JI34" s="9"/>
      <c r="JJ34" s="9"/>
      <c r="JK34" s="9"/>
      <c r="JL34" s="9"/>
      <c r="JM34" s="9"/>
      <c r="JX34" s="41">
        <v>44931</v>
      </c>
      <c r="JY34" s="9"/>
      <c r="JZ34" s="9">
        <f t="shared" si="76"/>
        <v>1.8803065913720454</v>
      </c>
      <c r="KA34" s="9">
        <f t="shared" si="76"/>
        <v>1.742733525099738</v>
      </c>
      <c r="KB34" s="9"/>
      <c r="KM34" s="41"/>
      <c r="KN34" s="241"/>
      <c r="KO34" s="241"/>
      <c r="KQ34" s="41"/>
      <c r="KR34" s="241"/>
      <c r="KS34" s="241"/>
      <c r="KU34" s="41"/>
      <c r="KV34" s="241"/>
      <c r="KW34" s="241"/>
      <c r="KY34" s="41"/>
      <c r="KZ34" s="241"/>
      <c r="LA34" s="241"/>
      <c r="LC34" s="41"/>
      <c r="LD34" s="241"/>
      <c r="LE34" s="241"/>
      <c r="LK34" s="41">
        <v>44196</v>
      </c>
      <c r="LL34" s="241">
        <v>33792831.600000001</v>
      </c>
      <c r="LM34" s="241">
        <f t="shared" si="53"/>
        <v>1219957335.8477998</v>
      </c>
      <c r="LS34" s="41">
        <v>44560</v>
      </c>
      <c r="LT34" s="241">
        <v>55106258.770199999</v>
      </c>
      <c r="LU34" s="241">
        <f t="shared" si="55"/>
        <v>1563902617.6620002</v>
      </c>
      <c r="MA34" s="32">
        <v>27</v>
      </c>
      <c r="MB34" s="42"/>
      <c r="MC34" s="42"/>
      <c r="MD34" s="42"/>
      <c r="ME34" s="42"/>
      <c r="MF34" s="42"/>
      <c r="MG34" s="42"/>
      <c r="MH34" s="42">
        <f t="shared" si="18"/>
        <v>1.2199573358477998</v>
      </c>
      <c r="MI34" s="42"/>
      <c r="MJ34" s="42">
        <f t="shared" si="20"/>
        <v>1.5639026176620001</v>
      </c>
      <c r="MK34" s="42"/>
      <c r="ML34" s="9"/>
      <c r="MM34" s="9"/>
      <c r="MN34" s="9"/>
      <c r="MV34" s="60"/>
      <c r="MW34" s="64" t="s">
        <v>86</v>
      </c>
      <c r="MX34" s="63">
        <f t="shared" ref="MX34:NH34" si="81">MX21</f>
        <v>0.37583408158170628</v>
      </c>
      <c r="MY34" s="63">
        <f t="shared" si="81"/>
        <v>0.48334225115126928</v>
      </c>
      <c r="MZ34" s="63">
        <f t="shared" si="81"/>
        <v>0.61617600454795007</v>
      </c>
      <c r="NA34" s="63">
        <f t="shared" si="81"/>
        <v>0.5812529123496698</v>
      </c>
      <c r="NB34" s="63">
        <f t="shared" si="81"/>
        <v>0.64077554229480016</v>
      </c>
      <c r="NC34" s="63">
        <f t="shared" si="81"/>
        <v>0.68960513609679974</v>
      </c>
      <c r="ND34" s="63">
        <f t="shared" si="81"/>
        <v>0.89806694538667831</v>
      </c>
      <c r="NE34" s="63">
        <f t="shared" si="81"/>
        <v>0.69842772105810014</v>
      </c>
      <c r="NF34" s="63">
        <f t="shared" si="81"/>
        <v>0.92649137214238053</v>
      </c>
      <c r="NG34" s="63">
        <f t="shared" si="81"/>
        <v>0.85497303346455</v>
      </c>
      <c r="NH34" s="63">
        <f t="shared" si="81"/>
        <v>0.56828039575230005</v>
      </c>
      <c r="NT34" s="9"/>
      <c r="NU34" s="9"/>
      <c r="NV34" s="9"/>
      <c r="NW34" s="9"/>
      <c r="NX34" s="9"/>
      <c r="NY34" s="9"/>
      <c r="NZ34" s="9"/>
      <c r="OA34" s="9"/>
      <c r="OB34" s="9"/>
      <c r="OC34" s="9"/>
      <c r="OD34" s="9"/>
      <c r="OE34" s="9"/>
      <c r="OF34" s="32"/>
      <c r="OG34" s="32"/>
      <c r="OR34" s="41"/>
      <c r="OS34" s="9"/>
      <c r="OT34" s="9"/>
      <c r="OU34" s="9"/>
      <c r="OV34" s="9"/>
      <c r="OW34" s="9"/>
      <c r="OX34" s="9"/>
      <c r="OY34" s="9"/>
      <c r="OZ34" s="9"/>
      <c r="PA34" s="9"/>
      <c r="PB34" s="9"/>
      <c r="PC34" s="9"/>
      <c r="PD34" s="9"/>
      <c r="PE34" s="9"/>
    </row>
    <row r="35" spans="2:423" x14ac:dyDescent="0.25">
      <c r="B35" s="48">
        <v>42929</v>
      </c>
      <c r="C35" s="49">
        <v>14631840.712499999</v>
      </c>
      <c r="D35" s="49">
        <v>15749250</v>
      </c>
      <c r="E35" s="50">
        <v>6000000</v>
      </c>
      <c r="F35" s="50"/>
      <c r="G35" s="50"/>
      <c r="H35" s="50"/>
      <c r="I35" s="38">
        <v>43111</v>
      </c>
      <c r="J35" s="240">
        <v>55000000</v>
      </c>
      <c r="K35" s="240">
        <v>74567968.530000001</v>
      </c>
      <c r="L35" s="241">
        <f t="shared" si="24"/>
        <v>622893733.7644999</v>
      </c>
      <c r="N35" s="38">
        <v>43475</v>
      </c>
      <c r="O35" s="240">
        <v>80000000</v>
      </c>
      <c r="P35" s="240">
        <v>131992038.38040002</v>
      </c>
      <c r="Q35" s="241">
        <f t="shared" si="25"/>
        <v>1350329818.6554</v>
      </c>
      <c r="S35" s="38">
        <v>43839</v>
      </c>
      <c r="T35" s="240">
        <v>8000000</v>
      </c>
      <c r="U35" s="240">
        <v>24139372.7322</v>
      </c>
      <c r="V35" s="241">
        <f t="shared" si="26"/>
        <v>1526094126.0048001</v>
      </c>
      <c r="X35" s="38">
        <v>44203</v>
      </c>
      <c r="Y35" s="240">
        <v>3000000</v>
      </c>
      <c r="Z35" s="240">
        <v>21551818.7808</v>
      </c>
      <c r="AA35" s="241">
        <f t="shared" si="27"/>
        <v>1241509154.6285999</v>
      </c>
      <c r="AC35" s="38">
        <v>44567</v>
      </c>
      <c r="AD35" s="240">
        <v>60000000</v>
      </c>
      <c r="AE35" s="240">
        <v>93039993.486000001</v>
      </c>
      <c r="AF35" s="241">
        <f t="shared" si="28"/>
        <v>1656942611.1480002</v>
      </c>
      <c r="AG35" s="241"/>
      <c r="AH35" s="38">
        <v>44938</v>
      </c>
      <c r="AI35" s="240">
        <v>4000000</v>
      </c>
      <c r="AJ35" s="240">
        <v>26907381.176989969</v>
      </c>
      <c r="AK35" s="241">
        <f t="shared" si="29"/>
        <v>1866157764.302341</v>
      </c>
      <c r="AM35" s="32">
        <v>28</v>
      </c>
      <c r="AN35" s="39">
        <f t="shared" si="0"/>
        <v>0.62289373376449986</v>
      </c>
      <c r="AO35" s="39">
        <f t="shared" si="1"/>
        <v>1.3503298186554</v>
      </c>
      <c r="AP35" s="39">
        <f t="shared" si="2"/>
        <v>1.5260941260048</v>
      </c>
      <c r="AQ35" s="39">
        <f t="shared" si="3"/>
        <v>1.2415091546285999</v>
      </c>
      <c r="AR35" s="39">
        <f t="shared" si="30"/>
        <v>1.6569426111480003</v>
      </c>
      <c r="AS35" s="39">
        <f t="shared" si="31"/>
        <v>1.866157764302341</v>
      </c>
      <c r="AT35" s="39"/>
      <c r="AU35" s="39">
        <f t="shared" si="32"/>
        <v>1.4293388705607037</v>
      </c>
      <c r="AV35" s="9"/>
      <c r="AW35" s="9"/>
      <c r="AX35" s="9"/>
      <c r="BF35" s="60"/>
      <c r="BG35" s="64" t="s">
        <v>86</v>
      </c>
      <c r="BH35" s="63">
        <f t="shared" ref="BH35:BN35" si="82">BH22</f>
        <v>0.88898749196337468</v>
      </c>
      <c r="BI35" s="63">
        <f t="shared" si="82"/>
        <v>1.2628339576374232</v>
      </c>
      <c r="BJ35" s="63">
        <f t="shared" si="82"/>
        <v>1.497466908542763</v>
      </c>
      <c r="BK35" s="63">
        <f t="shared" si="82"/>
        <v>1.8014767645404111</v>
      </c>
      <c r="BL35" s="63">
        <f t="shared" si="82"/>
        <v>1.8374304196768296</v>
      </c>
      <c r="BM35" s="63">
        <f>BM22</f>
        <v>1.6867811392566225</v>
      </c>
      <c r="BN35" s="63">
        <f t="shared" si="82"/>
        <v>1.8374304196768296</v>
      </c>
      <c r="BZ35" s="60"/>
      <c r="CA35" s="62" t="s">
        <v>37</v>
      </c>
      <c r="CB35" s="63">
        <f t="shared" si="80"/>
        <v>21</v>
      </c>
      <c r="CC35" s="63">
        <f t="shared" si="80"/>
        <v>27</v>
      </c>
      <c r="CD35" s="63">
        <f t="shared" si="80"/>
        <v>22.269230769230766</v>
      </c>
      <c r="CE35" s="10">
        <v>28</v>
      </c>
      <c r="CF35" s="10">
        <v>26</v>
      </c>
      <c r="CG35" s="10">
        <v>31</v>
      </c>
      <c r="CH35" s="10">
        <v>30</v>
      </c>
      <c r="CI35" s="10">
        <v>23</v>
      </c>
      <c r="CT35" s="41">
        <f t="shared" si="33"/>
        <v>44938</v>
      </c>
      <c r="CU35" s="9">
        <f t="shared" si="34"/>
        <v>1.866157764302341</v>
      </c>
      <c r="CV35" s="9">
        <f t="shared" si="71"/>
        <v>1.0624218883586598</v>
      </c>
      <c r="CW35" s="9">
        <f t="shared" si="71"/>
        <v>1.2722167787925438</v>
      </c>
      <c r="CX35" s="9">
        <f t="shared" si="71"/>
        <v>1.3556709277570755</v>
      </c>
      <c r="CY35" s="9">
        <f t="shared" si="71"/>
        <v>1.4140562041767089</v>
      </c>
      <c r="CZ35" s="9">
        <f t="shared" si="71"/>
        <v>1.5318417521286727</v>
      </c>
      <c r="DA35" s="9">
        <f t="shared" si="71"/>
        <v>1.6858718484162101</v>
      </c>
      <c r="DB35" s="9">
        <f t="shared" si="71"/>
        <v>1.8545109391680987</v>
      </c>
      <c r="DC35" s="9">
        <f t="shared" si="71"/>
        <v>2.0332156109224822</v>
      </c>
      <c r="DD35" s="9">
        <f t="shared" si="71"/>
        <v>2.1401646819064815</v>
      </c>
      <c r="DE35" s="9">
        <f t="shared" si="71"/>
        <v>2.3724018773142785</v>
      </c>
      <c r="DF35" s="9">
        <f t="shared" si="71"/>
        <v>2.8807076790076973</v>
      </c>
      <c r="DG35" s="32"/>
      <c r="DH35" s="32"/>
      <c r="DR35" s="41">
        <v>45302</v>
      </c>
      <c r="DS35" s="9">
        <v>1.709401205</v>
      </c>
      <c r="DT35" s="9">
        <f t="shared" si="72"/>
        <v>1.1460519166260419</v>
      </c>
      <c r="DU35" s="9">
        <f t="shared" si="72"/>
        <v>1.3539303252287582</v>
      </c>
      <c r="DV35" s="9">
        <f t="shared" si="72"/>
        <v>1.4644185012045554</v>
      </c>
      <c r="DW35" s="9">
        <f t="shared" si="72"/>
        <v>1.5318083811905929</v>
      </c>
      <c r="DX35" s="9">
        <f t="shared" si="72"/>
        <v>1.6625826657938583</v>
      </c>
      <c r="DY35" s="9">
        <f t="shared" si="72"/>
        <v>1.8270927058464734</v>
      </c>
      <c r="DZ35" s="9">
        <f t="shared" si="72"/>
        <v>2.0130338242151136</v>
      </c>
      <c r="EA35" s="9">
        <f t="shared" si="72"/>
        <v>2.2107939508633443</v>
      </c>
      <c r="EB35" s="9">
        <f t="shared" si="72"/>
        <v>2.3304244498934188</v>
      </c>
      <c r="EC35" s="9">
        <f t="shared" si="72"/>
        <v>2.5624104041943214</v>
      </c>
      <c r="ED35" s="9">
        <f t="shared" si="72"/>
        <v>3.2840903429473567</v>
      </c>
      <c r="EE35" s="32"/>
      <c r="EF35" s="32"/>
      <c r="EQ35" s="41"/>
      <c r="ER35" s="9"/>
      <c r="ES35" s="9"/>
      <c r="ET35" s="9"/>
      <c r="EU35" s="9"/>
      <c r="EV35" s="9"/>
      <c r="EW35" s="9"/>
      <c r="EX35" s="9"/>
      <c r="EY35" s="9"/>
      <c r="EZ35" s="9"/>
      <c r="FA35" s="9"/>
      <c r="FB35" s="9"/>
      <c r="FC35" s="9"/>
      <c r="FD35" s="32"/>
      <c r="FE35" s="32"/>
      <c r="FF35" s="32"/>
      <c r="FG35" s="32"/>
      <c r="FH35" s="32"/>
      <c r="FI35" s="32"/>
      <c r="FJ35" s="32"/>
      <c r="FK35" s="32"/>
      <c r="FL35" s="41"/>
      <c r="FM35" s="9"/>
      <c r="FN35" s="9"/>
      <c r="FO35" s="9"/>
      <c r="FP35" s="9"/>
      <c r="FQ35" s="9"/>
      <c r="FR35" s="9"/>
      <c r="FS35" s="9"/>
      <c r="FT35" s="9"/>
      <c r="FU35" s="9"/>
      <c r="FV35" s="9"/>
      <c r="FW35" s="9"/>
      <c r="FX35" s="9"/>
      <c r="FY35" s="32"/>
      <c r="FZ35" s="32"/>
      <c r="GA35" s="32"/>
      <c r="GB35" s="32"/>
      <c r="GC35" s="41">
        <v>45666</v>
      </c>
      <c r="GD35" s="9">
        <v>1.6231268962358945</v>
      </c>
      <c r="GE35" s="9">
        <f t="shared" si="75"/>
        <v>1.3375947269719595</v>
      </c>
      <c r="GF35" s="9">
        <f t="shared" si="75"/>
        <v>1.4620839780839765</v>
      </c>
      <c r="GG35" s="9">
        <f t="shared" si="75"/>
        <v>1.566742756649139</v>
      </c>
      <c r="GH35" s="9">
        <f t="shared" si="75"/>
        <v>1.6356494277892439</v>
      </c>
      <c r="GI35" s="9">
        <f t="shared" si="75"/>
        <v>1.7651226842808041</v>
      </c>
      <c r="GJ35" s="9">
        <f t="shared" si="75"/>
        <v>1.9278958018283203</v>
      </c>
      <c r="GK35" s="9">
        <f t="shared" si="75"/>
        <v>2.1217315096696061</v>
      </c>
      <c r="GL35" s="9">
        <f t="shared" si="75"/>
        <v>2.3206361202679173</v>
      </c>
      <c r="GM35" s="9">
        <f t="shared" si="75"/>
        <v>2.4446236215795172</v>
      </c>
      <c r="GN35" s="9">
        <f t="shared" si="75"/>
        <v>2.6948346346218859</v>
      </c>
      <c r="GO35" s="9">
        <f t="shared" si="75"/>
        <v>3.3923668348691964</v>
      </c>
      <c r="GP35" s="32"/>
      <c r="GQ35" s="32"/>
      <c r="HA35" t="s">
        <v>87</v>
      </c>
      <c r="HB35" t="s">
        <v>57</v>
      </c>
      <c r="HD35" t="s">
        <v>88</v>
      </c>
      <c r="HE35" t="s">
        <v>89</v>
      </c>
      <c r="HG35" t="s">
        <v>90</v>
      </c>
      <c r="HI35" t="s">
        <v>91</v>
      </c>
      <c r="HL35" s="6">
        <v>60</v>
      </c>
      <c r="HM35" s="9"/>
      <c r="HN35" s="9"/>
      <c r="HO35" s="9"/>
      <c r="HP35" s="9"/>
      <c r="HQ35" s="9"/>
      <c r="HR35" s="9"/>
      <c r="HS35" s="32"/>
      <c r="HT35" s="32"/>
      <c r="HU35" s="32"/>
      <c r="HV35" t="s">
        <v>87</v>
      </c>
      <c r="HW35" t="s">
        <v>57</v>
      </c>
      <c r="HX35" t="s">
        <v>88</v>
      </c>
      <c r="HY35" t="s">
        <v>89</v>
      </c>
      <c r="IA35" t="s">
        <v>90</v>
      </c>
      <c r="IC35" t="s">
        <v>91</v>
      </c>
      <c r="IF35" s="6">
        <v>60</v>
      </c>
      <c r="IG35" s="9"/>
      <c r="IH35" s="9"/>
      <c r="II35" s="9"/>
      <c r="IJ35" s="9"/>
      <c r="IK35" s="9"/>
      <c r="IL35" s="9"/>
      <c r="IM35" s="32"/>
      <c r="IN35" s="32"/>
      <c r="IO35" s="32"/>
      <c r="IZ35" s="41">
        <f t="shared" si="11"/>
        <v>44938</v>
      </c>
      <c r="JA35" s="9">
        <f t="shared" si="11"/>
        <v>1.866157764302341</v>
      </c>
      <c r="JB35" s="9"/>
      <c r="JC35" s="9"/>
      <c r="JD35" s="9"/>
      <c r="JE35" s="9"/>
      <c r="JF35" s="9"/>
      <c r="JG35" s="9"/>
      <c r="JH35" s="9"/>
      <c r="JI35" s="9"/>
      <c r="JJ35" s="9"/>
      <c r="JK35" s="9"/>
      <c r="JL35" s="9"/>
      <c r="JM35" s="9"/>
      <c r="JX35" s="41">
        <v>44938</v>
      </c>
      <c r="JY35" s="9"/>
      <c r="JZ35" s="9">
        <f t="shared" si="76"/>
        <v>1.9478760237825299</v>
      </c>
      <c r="KA35" s="9">
        <f t="shared" si="76"/>
        <v>1.7965456508829918</v>
      </c>
      <c r="KB35" s="9"/>
      <c r="KM35" s="41"/>
      <c r="KN35" s="241"/>
      <c r="KO35" s="241"/>
      <c r="KQ35" s="41"/>
      <c r="KR35" s="241"/>
      <c r="KS35" s="241"/>
      <c r="KU35" s="41"/>
      <c r="KV35" s="241"/>
      <c r="KW35" s="241"/>
      <c r="KY35" s="41"/>
      <c r="KZ35" s="241"/>
      <c r="LA35" s="241"/>
      <c r="LC35" s="41"/>
      <c r="LD35" s="241"/>
      <c r="LE35" s="241"/>
      <c r="LK35" s="41"/>
      <c r="LL35" s="241"/>
      <c r="LM35" s="241"/>
      <c r="MA35" s="32"/>
      <c r="MB35" s="32"/>
      <c r="MC35" s="32"/>
      <c r="MD35" s="32"/>
      <c r="ME35" s="32"/>
      <c r="MF35" s="32"/>
      <c r="MG35" s="32"/>
      <c r="MH35" s="39"/>
      <c r="MI35" s="39"/>
      <c r="MJ35" s="39"/>
      <c r="MK35" s="39"/>
      <c r="ML35" s="9"/>
      <c r="MM35" s="9"/>
      <c r="MN35" s="9"/>
      <c r="MV35" s="60"/>
      <c r="MW35" s="62" t="s">
        <v>92</v>
      </c>
      <c r="MX35" s="63">
        <f t="shared" ref="MX35:NH35" si="83">MX23-MX21</f>
        <v>7.3791062117492034E-2</v>
      </c>
      <c r="MY35" s="63">
        <f t="shared" si="83"/>
        <v>0.11084919937223425</v>
      </c>
      <c r="MZ35" s="63">
        <f t="shared" si="83"/>
        <v>9.6637313388550083E-2</v>
      </c>
      <c r="NA35" s="63">
        <f t="shared" si="83"/>
        <v>0.16875074931748002</v>
      </c>
      <c r="NB35" s="63">
        <f t="shared" si="83"/>
        <v>0.1791373704318</v>
      </c>
      <c r="NC35" s="63">
        <f t="shared" si="83"/>
        <v>0.12409248269220041</v>
      </c>
      <c r="ND35" s="63">
        <f t="shared" si="83"/>
        <v>0.28229330828293575</v>
      </c>
      <c r="NE35" s="63">
        <f t="shared" si="83"/>
        <v>0.20858056952914505</v>
      </c>
      <c r="NF35" s="63">
        <f t="shared" si="83"/>
        <v>0.25970788853987992</v>
      </c>
      <c r="NG35" s="63">
        <f t="shared" si="83"/>
        <v>0.24778481861974488</v>
      </c>
      <c r="NH35" s="63">
        <f t="shared" si="83"/>
        <v>0.13559059374134996</v>
      </c>
      <c r="OF35" s="32"/>
      <c r="OG35" s="32"/>
      <c r="OX35" s="9"/>
      <c r="OY35" s="9"/>
      <c r="OZ35" s="9"/>
      <c r="PA35" s="9"/>
      <c r="PB35" s="9"/>
      <c r="PC35" s="9"/>
      <c r="PD35" s="9"/>
      <c r="PE35" s="9"/>
    </row>
    <row r="36" spans="2:423" x14ac:dyDescent="0.25">
      <c r="B36" s="48">
        <v>42936</v>
      </c>
      <c r="C36" s="49">
        <v>12683279.113999998</v>
      </c>
      <c r="D36" s="49">
        <v>13651880</v>
      </c>
      <c r="E36" s="50">
        <v>3000000</v>
      </c>
      <c r="F36" s="50"/>
      <c r="G36" s="50"/>
      <c r="H36" s="50"/>
      <c r="I36" s="38">
        <v>43118</v>
      </c>
      <c r="J36" s="240">
        <v>3000000</v>
      </c>
      <c r="K36" s="240">
        <v>13428693.090999998</v>
      </c>
      <c r="L36" s="241">
        <f t="shared" si="24"/>
        <v>636322426.85549986</v>
      </c>
      <c r="N36" s="38">
        <v>43482</v>
      </c>
      <c r="O36" s="240">
        <v>100000000</v>
      </c>
      <c r="P36" s="240">
        <v>206489095.25640002</v>
      </c>
      <c r="Q36" s="241">
        <f t="shared" si="25"/>
        <v>1556818913.9118001</v>
      </c>
      <c r="S36" s="38">
        <v>43846</v>
      </c>
      <c r="T36" s="240">
        <v>12000000</v>
      </c>
      <c r="U36" s="240">
        <v>32784331.786800001</v>
      </c>
      <c r="V36" s="241">
        <f t="shared" si="26"/>
        <v>1558878457.7916</v>
      </c>
      <c r="X36" s="38">
        <v>44210</v>
      </c>
      <c r="Y36" s="240">
        <v>8000000</v>
      </c>
      <c r="Z36" s="240">
        <v>28845464.9604</v>
      </c>
      <c r="AA36" s="241">
        <f t="shared" si="27"/>
        <v>1270354619.589</v>
      </c>
      <c r="AC36" s="38">
        <v>44574</v>
      </c>
      <c r="AD36" s="240">
        <v>3000000</v>
      </c>
      <c r="AE36" s="240">
        <v>23674681.2588</v>
      </c>
      <c r="AF36" s="241">
        <f t="shared" si="28"/>
        <v>1680617292.4068003</v>
      </c>
      <c r="AG36" s="241"/>
      <c r="AH36" s="38">
        <v>44945</v>
      </c>
      <c r="AI36" s="240">
        <v>8000000</v>
      </c>
      <c r="AJ36" s="240">
        <v>34817188.659130432</v>
      </c>
      <c r="AK36" s="241">
        <f t="shared" si="29"/>
        <v>1900974952.9614713</v>
      </c>
      <c r="AM36" s="32">
        <v>29</v>
      </c>
      <c r="AN36" s="39">
        <f t="shared" si="0"/>
        <v>0.63632242685549989</v>
      </c>
      <c r="AO36" s="39">
        <f t="shared" si="1"/>
        <v>1.5568189139118001</v>
      </c>
      <c r="AP36" s="39">
        <f t="shared" si="2"/>
        <v>1.5588784577915999</v>
      </c>
      <c r="AQ36" s="39">
        <f t="shared" si="3"/>
        <v>1.2703546195890001</v>
      </c>
      <c r="AR36" s="39">
        <f t="shared" si="30"/>
        <v>1.6806172924068004</v>
      </c>
      <c r="AS36" s="39">
        <f t="shared" si="31"/>
        <v>1.9009749529614712</v>
      </c>
      <c r="AT36" s="39"/>
      <c r="AU36" s="39">
        <f t="shared" si="32"/>
        <v>1.4822773472481372</v>
      </c>
      <c r="AV36" s="9"/>
      <c r="AW36" s="9"/>
      <c r="AX36" s="9"/>
      <c r="BF36" s="60"/>
      <c r="BG36" s="62" t="s">
        <v>92</v>
      </c>
      <c r="BH36" s="63">
        <f t="shared" ref="BH36:BN36" si="84">BH24-BH22</f>
        <v>0.1887850472067778</v>
      </c>
      <c r="BI36" s="63">
        <f t="shared" si="84"/>
        <v>0.2713339913093713</v>
      </c>
      <c r="BJ36" s="63">
        <f t="shared" si="84"/>
        <v>0.33690357289335715</v>
      </c>
      <c r="BK36" s="63">
        <f t="shared" si="84"/>
        <v>0.45935994667453928</v>
      </c>
      <c r="BL36" s="63">
        <f t="shared" si="84"/>
        <v>0.59522218044897857</v>
      </c>
      <c r="BM36" s="63">
        <f>BM24-BM22</f>
        <v>0.47374977495426629</v>
      </c>
      <c r="BN36" s="63">
        <f t="shared" si="84"/>
        <v>0.59522218044897857</v>
      </c>
      <c r="BZ36" s="60"/>
      <c r="CA36" s="62" t="s">
        <v>38</v>
      </c>
      <c r="CB36" s="63">
        <f t="shared" si="80"/>
        <v>22</v>
      </c>
      <c r="CC36" s="63">
        <f t="shared" si="80"/>
        <v>28</v>
      </c>
      <c r="CD36" s="63">
        <f t="shared" si="80"/>
        <v>23.26923076923077</v>
      </c>
      <c r="CE36" s="10">
        <v>30</v>
      </c>
      <c r="CF36" s="10">
        <v>27</v>
      </c>
      <c r="CG36" s="10">
        <v>32</v>
      </c>
      <c r="CH36" s="10">
        <v>31</v>
      </c>
      <c r="CI36" s="10">
        <v>24</v>
      </c>
      <c r="CT36" s="41">
        <f t="shared" si="33"/>
        <v>44945</v>
      </c>
      <c r="CU36" s="9">
        <f t="shared" si="34"/>
        <v>1.9009749529614712</v>
      </c>
      <c r="CV36" s="9">
        <f t="shared" si="71"/>
        <v>1.1003655272286119</v>
      </c>
      <c r="CW36" s="9">
        <f t="shared" si="71"/>
        <v>1.3176530923208489</v>
      </c>
      <c r="CX36" s="9">
        <f t="shared" si="71"/>
        <v>1.4040877466055426</v>
      </c>
      <c r="CY36" s="9">
        <f t="shared" si="71"/>
        <v>1.4645582114687341</v>
      </c>
      <c r="CZ36" s="9">
        <f t="shared" si="71"/>
        <v>1.5865503861332682</v>
      </c>
      <c r="DA36" s="9">
        <f t="shared" si="71"/>
        <v>1.7460815572882176</v>
      </c>
      <c r="DB36" s="9">
        <f t="shared" si="71"/>
        <v>1.9207434727098165</v>
      </c>
      <c r="DC36" s="9">
        <f t="shared" si="71"/>
        <v>2.1058304541697135</v>
      </c>
      <c r="DD36" s="9">
        <f t="shared" si="71"/>
        <v>2.2165991348317129</v>
      </c>
      <c r="DE36" s="9">
        <f t="shared" si="71"/>
        <v>2.4571305157897885</v>
      </c>
      <c r="DF36" s="9">
        <f t="shared" si="71"/>
        <v>2.9835900961151149</v>
      </c>
      <c r="DG36" s="32"/>
      <c r="DH36" s="32"/>
      <c r="DR36" s="41">
        <v>45309</v>
      </c>
      <c r="DS36" s="9">
        <v>1.9183912460000001</v>
      </c>
      <c r="DT36" s="9">
        <f t="shared" si="72"/>
        <v>1.1869823422198291</v>
      </c>
      <c r="DU36" s="9">
        <f t="shared" si="72"/>
        <v>1.4022849797012138</v>
      </c>
      <c r="DV36" s="9">
        <f t="shared" si="72"/>
        <v>1.516719161961861</v>
      </c>
      <c r="DW36" s="9">
        <f t="shared" si="72"/>
        <v>1.5865158233759713</v>
      </c>
      <c r="DX36" s="9">
        <f t="shared" si="72"/>
        <v>1.7219606181436389</v>
      </c>
      <c r="DY36" s="9">
        <f t="shared" si="72"/>
        <v>1.8923460167695618</v>
      </c>
      <c r="DZ36" s="9">
        <f t="shared" si="72"/>
        <v>2.0849278893656535</v>
      </c>
      <c r="EA36" s="9">
        <f t="shared" si="72"/>
        <v>2.2897508776798925</v>
      </c>
      <c r="EB36" s="9">
        <f t="shared" si="72"/>
        <v>2.4136538945324695</v>
      </c>
      <c r="EC36" s="9">
        <f t="shared" si="72"/>
        <v>2.6539250614869756</v>
      </c>
      <c r="ED36" s="9">
        <f t="shared" si="72"/>
        <v>3.401379283766905</v>
      </c>
      <c r="EE36" s="32"/>
      <c r="EF36" s="32"/>
      <c r="EQ36" s="41"/>
      <c r="ER36" s="9"/>
      <c r="ES36" s="9"/>
      <c r="ET36" s="9"/>
      <c r="EU36" s="9"/>
      <c r="EV36" s="9"/>
      <c r="EW36" s="9"/>
      <c r="EX36" s="9"/>
      <c r="EY36" s="9"/>
      <c r="EZ36" s="9"/>
      <c r="FA36" s="9"/>
      <c r="FB36" s="9"/>
      <c r="FC36" s="9"/>
      <c r="FD36" s="32"/>
      <c r="FE36" s="32"/>
      <c r="FF36" s="32"/>
      <c r="FG36" s="32"/>
      <c r="FH36" s="32"/>
      <c r="FI36" s="32"/>
      <c r="FJ36" s="32"/>
      <c r="FK36" s="32"/>
      <c r="FL36" s="41"/>
      <c r="FM36" s="9"/>
      <c r="FN36" s="9"/>
      <c r="FO36" s="9"/>
      <c r="FP36" s="9"/>
      <c r="FQ36" s="9"/>
      <c r="FR36" s="9"/>
      <c r="FS36" s="9"/>
      <c r="FT36" s="9"/>
      <c r="FU36" s="9"/>
      <c r="FV36" s="9"/>
      <c r="FW36" s="9"/>
      <c r="FX36" s="9"/>
      <c r="FY36" s="32"/>
      <c r="FZ36" s="32"/>
      <c r="GA36" s="32"/>
      <c r="GB36" s="32"/>
      <c r="GC36" s="41">
        <v>45673</v>
      </c>
      <c r="GD36" s="9">
        <v>1.660991554130762</v>
      </c>
      <c r="GE36" s="9">
        <f t="shared" si="75"/>
        <v>1.385365967220958</v>
      </c>
      <c r="GF36" s="9">
        <f t="shared" si="75"/>
        <v>1.514301263015547</v>
      </c>
      <c r="GG36" s="9">
        <f t="shared" si="75"/>
        <v>1.6226978551008939</v>
      </c>
      <c r="GH36" s="9">
        <f t="shared" si="75"/>
        <v>1.6940654787817169</v>
      </c>
      <c r="GI36" s="9">
        <f t="shared" si="75"/>
        <v>1.8281627801479756</v>
      </c>
      <c r="GJ36" s="9">
        <f t="shared" si="75"/>
        <v>1.9967492233221888</v>
      </c>
      <c r="GK36" s="9">
        <f t="shared" si="75"/>
        <v>2.1975076350149494</v>
      </c>
      <c r="GL36" s="9">
        <f t="shared" si="75"/>
        <v>2.4035159817060574</v>
      </c>
      <c r="GM36" s="9">
        <f t="shared" si="75"/>
        <v>2.5319316080644998</v>
      </c>
      <c r="GN36" s="9">
        <f t="shared" si="75"/>
        <v>2.7910787287155245</v>
      </c>
      <c r="GO36" s="9">
        <f t="shared" si="75"/>
        <v>3.513522793257382</v>
      </c>
      <c r="GP36" s="32"/>
      <c r="GQ36" s="32"/>
      <c r="HA36" s="67" t="s">
        <v>30</v>
      </c>
      <c r="HB36" s="7">
        <v>0.58699950239700005</v>
      </c>
      <c r="HC36" s="7"/>
      <c r="HD36" s="68">
        <v>16</v>
      </c>
      <c r="HE36" s="69">
        <f>HB36/HD36</f>
        <v>3.6687468899812503E-2</v>
      </c>
      <c r="HF36" s="69"/>
      <c r="HG36" s="7">
        <v>3.6687468899812503E-2</v>
      </c>
      <c r="HI36" t="s">
        <v>76</v>
      </c>
      <c r="HL36" s="6">
        <v>80</v>
      </c>
      <c r="HM36" s="9">
        <v>2.9489914676048799E-2</v>
      </c>
      <c r="HN36" s="9">
        <v>4.0437427037988978E-2</v>
      </c>
      <c r="HO36" s="9"/>
      <c r="HP36" s="9">
        <v>2.7238900094009998E-2</v>
      </c>
      <c r="HQ36" s="9">
        <v>4.1844311151763229E-2</v>
      </c>
      <c r="HR36" s="9"/>
      <c r="HS36" s="32"/>
      <c r="HT36" s="32"/>
      <c r="HU36" s="32"/>
      <c r="HV36" s="67" t="s">
        <v>30</v>
      </c>
      <c r="HW36" s="7">
        <v>0.27238900094009999</v>
      </c>
      <c r="HX36" s="68">
        <v>10</v>
      </c>
      <c r="HY36" s="69">
        <f>HW36/HX36</f>
        <v>2.7238900094009998E-2</v>
      </c>
      <c r="HZ36" s="69"/>
      <c r="IA36" s="7">
        <v>2.7238900094009998E-2</v>
      </c>
      <c r="IC36" t="s">
        <v>76</v>
      </c>
      <c r="IF36" s="6">
        <v>80</v>
      </c>
      <c r="IG36" s="9">
        <v>2.9489914676048799E-2</v>
      </c>
      <c r="IH36" s="9">
        <v>4.0437427037988978E-2</v>
      </c>
      <c r="II36" s="9"/>
      <c r="IJ36" s="9">
        <v>2.7238900094009998E-2</v>
      </c>
      <c r="IK36" s="9">
        <v>4.1844311151763229E-2</v>
      </c>
      <c r="IL36" s="9"/>
      <c r="IM36" s="32"/>
      <c r="IN36" s="32"/>
      <c r="IO36" s="32"/>
      <c r="IZ36" s="41">
        <f t="shared" si="11"/>
        <v>44945</v>
      </c>
      <c r="JA36" s="9">
        <f t="shared" si="11"/>
        <v>1.9009749529614712</v>
      </c>
      <c r="JB36" s="9"/>
      <c r="JC36" s="9"/>
      <c r="JD36" s="9"/>
      <c r="JE36" s="9"/>
      <c r="JF36" s="9"/>
      <c r="JG36" s="9"/>
      <c r="JH36" s="9"/>
      <c r="JI36" s="9"/>
      <c r="JJ36" s="9"/>
      <c r="JK36" s="9"/>
      <c r="JL36" s="9"/>
      <c r="JM36" s="9"/>
      <c r="JX36" s="41">
        <v>44945</v>
      </c>
      <c r="JY36" s="9"/>
      <c r="JZ36" s="9">
        <f t="shared" si="76"/>
        <v>2.0154454561930142</v>
      </c>
      <c r="KA36" s="9">
        <f t="shared" si="76"/>
        <v>1.8503577766662456</v>
      </c>
      <c r="KB36" s="9"/>
      <c r="KM36" s="70" t="s">
        <v>68</v>
      </c>
      <c r="KN36" s="241"/>
      <c r="KO36" s="71">
        <f>COUNT(KO8:KO34)</f>
        <v>26</v>
      </c>
      <c r="KR36" s="241"/>
      <c r="KS36" s="71">
        <f>COUNT(KS8:KS34)</f>
        <v>26</v>
      </c>
      <c r="KV36" s="241"/>
      <c r="KW36" s="71">
        <f>COUNT(KW8:KW34)</f>
        <v>26</v>
      </c>
      <c r="KZ36" s="241"/>
      <c r="LA36" s="71">
        <f>COUNT(LA8:LA34)</f>
        <v>26</v>
      </c>
      <c r="LD36" s="241"/>
      <c r="LE36" s="71">
        <f>COUNT(LE8:LE34)</f>
        <v>26</v>
      </c>
      <c r="LI36" s="71">
        <f>COUNT(LI8:LI34)</f>
        <v>26</v>
      </c>
      <c r="LK36" s="41"/>
      <c r="LL36" s="241"/>
      <c r="LM36" s="71">
        <f>COUNT(LM8:LM34)</f>
        <v>27</v>
      </c>
      <c r="LQ36" s="71">
        <f>COUNT(LQ8:LQ34)</f>
        <v>25</v>
      </c>
      <c r="LU36" s="71">
        <f>COUNT(LU8:LU34)</f>
        <v>27</v>
      </c>
      <c r="LY36" s="71">
        <f>COUNT(LY8:LY34)</f>
        <v>26</v>
      </c>
      <c r="MA36" s="32"/>
      <c r="MB36" s="32"/>
      <c r="MC36" s="32"/>
      <c r="MD36" s="32"/>
      <c r="ME36" s="32"/>
      <c r="MF36" s="32"/>
      <c r="MG36" s="32"/>
      <c r="MH36" s="39"/>
      <c r="MI36" s="39"/>
      <c r="MJ36" s="39"/>
      <c r="MK36" s="39"/>
      <c r="ML36" s="9"/>
      <c r="MM36" s="9"/>
      <c r="MN36" s="9"/>
      <c r="MV36" s="60"/>
      <c r="MW36" s="62" t="s">
        <v>93</v>
      </c>
      <c r="MX36" s="63">
        <f t="shared" ref="MX36:NH36" si="85">MX25-MX23</f>
        <v>6.9267170674690515E-2</v>
      </c>
      <c r="MY36" s="63">
        <f t="shared" si="85"/>
        <v>9.2819252143504505E-2</v>
      </c>
      <c r="MZ36" s="63">
        <f t="shared" si="85"/>
        <v>0.11619768417950005</v>
      </c>
      <c r="NA36" s="63">
        <f t="shared" si="85"/>
        <v>0.15370431624977043</v>
      </c>
      <c r="NB36" s="63">
        <f t="shared" si="85"/>
        <v>0.15163377156179991</v>
      </c>
      <c r="NC36" s="63">
        <f t="shared" si="85"/>
        <v>0.12891974597809985</v>
      </c>
      <c r="ND36" s="63">
        <f t="shared" si="85"/>
        <v>0.1794607207516361</v>
      </c>
      <c r="NE36" s="63">
        <f t="shared" si="85"/>
        <v>0.15722700604275497</v>
      </c>
      <c r="NF36" s="63">
        <f t="shared" si="85"/>
        <v>0.19393915592149957</v>
      </c>
      <c r="NG36" s="63">
        <f t="shared" si="85"/>
        <v>0.19866206915890516</v>
      </c>
      <c r="NH36" s="63">
        <f t="shared" si="85"/>
        <v>0.1310765280775501</v>
      </c>
      <c r="OF36" s="32"/>
      <c r="OG36" s="32"/>
      <c r="OX36" s="9"/>
      <c r="OY36" s="9"/>
      <c r="OZ36" s="9"/>
      <c r="PA36" s="9"/>
      <c r="PB36" s="9"/>
      <c r="PC36" s="9"/>
      <c r="PD36" s="9"/>
      <c r="PE36" s="9"/>
    </row>
    <row r="37" spans="2:423" x14ac:dyDescent="0.25">
      <c r="B37" s="48">
        <v>42943</v>
      </c>
      <c r="C37" s="49">
        <v>11417485.650999999</v>
      </c>
      <c r="D37" s="49">
        <v>12289420</v>
      </c>
      <c r="E37" s="50">
        <v>3000000</v>
      </c>
      <c r="F37" s="50"/>
      <c r="G37" s="50"/>
      <c r="H37" s="50"/>
      <c r="I37" s="38">
        <v>43125</v>
      </c>
      <c r="J37" s="240">
        <v>3000000</v>
      </c>
      <c r="K37" s="240">
        <v>14845224.916499998</v>
      </c>
      <c r="L37" s="241">
        <f t="shared" si="24"/>
        <v>651167651.77199984</v>
      </c>
      <c r="N37" s="38">
        <v>43489</v>
      </c>
      <c r="O37" s="240">
        <v>3000000</v>
      </c>
      <c r="P37" s="240">
        <v>16920422.369400002</v>
      </c>
      <c r="Q37" s="241">
        <f t="shared" si="25"/>
        <v>1573739336.2812002</v>
      </c>
      <c r="S37" s="38">
        <v>43853</v>
      </c>
      <c r="T37" s="240">
        <v>20000000</v>
      </c>
      <c r="U37" s="240">
        <v>42358994.099399999</v>
      </c>
      <c r="V37" s="241">
        <f t="shared" si="26"/>
        <v>1601237451.891</v>
      </c>
      <c r="X37" s="38">
        <v>44217</v>
      </c>
      <c r="Y37" s="240">
        <v>20000000</v>
      </c>
      <c r="Z37" s="240">
        <v>46513750.674600005</v>
      </c>
      <c r="AA37" s="241">
        <f t="shared" si="27"/>
        <v>1316868370.2635999</v>
      </c>
      <c r="AC37" s="38">
        <v>44581</v>
      </c>
      <c r="AD37" s="240">
        <v>8000000</v>
      </c>
      <c r="AE37" s="240">
        <v>26668790.200800002</v>
      </c>
      <c r="AF37" s="241">
        <f t="shared" si="28"/>
        <v>1707286082.6076002</v>
      </c>
      <c r="AG37" s="241"/>
      <c r="AH37" s="38">
        <v>44952</v>
      </c>
      <c r="AI37" s="240">
        <v>20000000</v>
      </c>
      <c r="AJ37" s="240">
        <v>50930357.445217401</v>
      </c>
      <c r="AK37" s="241">
        <f t="shared" si="29"/>
        <v>1951905310.4066887</v>
      </c>
      <c r="AM37" s="32">
        <v>30</v>
      </c>
      <c r="AN37" s="39">
        <f t="shared" si="0"/>
        <v>0.65116765177199987</v>
      </c>
      <c r="AO37" s="39">
        <f t="shared" si="1"/>
        <v>1.5737393362812002</v>
      </c>
      <c r="AP37" s="39">
        <f t="shared" si="2"/>
        <v>1.601237451891</v>
      </c>
      <c r="AQ37" s="39">
        <f t="shared" si="3"/>
        <v>1.3168683702635999</v>
      </c>
      <c r="AR37" s="39">
        <f t="shared" si="30"/>
        <v>1.7072860826076002</v>
      </c>
      <c r="AS37" s="39">
        <f t="shared" si="31"/>
        <v>1.9519053104066888</v>
      </c>
      <c r="AT37" s="39"/>
      <c r="AU37" s="39">
        <f t="shared" si="32"/>
        <v>1.5352158239355707</v>
      </c>
      <c r="AV37" s="9"/>
      <c r="AW37" s="9"/>
      <c r="AX37" s="9"/>
      <c r="BF37" s="60"/>
      <c r="BG37" s="62" t="s">
        <v>93</v>
      </c>
      <c r="BH37" s="63">
        <f t="shared" ref="BH37:BN37" si="86">BH26-BH24</f>
        <v>0.13256015533953636</v>
      </c>
      <c r="BI37" s="63">
        <f t="shared" si="86"/>
        <v>0.23308226126661813</v>
      </c>
      <c r="BJ37" s="63">
        <f t="shared" si="86"/>
        <v>0.2535364855598945</v>
      </c>
      <c r="BK37" s="63">
        <f t="shared" si="86"/>
        <v>0.29696568427794157</v>
      </c>
      <c r="BL37" s="63">
        <f t="shared" si="86"/>
        <v>0.34347359494438656</v>
      </c>
      <c r="BM37" s="63">
        <f>BM26-BM24</f>
        <v>0.30960932000823504</v>
      </c>
      <c r="BN37" s="63">
        <f t="shared" si="86"/>
        <v>0.34347359494438656</v>
      </c>
      <c r="BZ37" s="60"/>
      <c r="CA37" s="62" t="s">
        <v>39</v>
      </c>
      <c r="CB37" s="63">
        <f t="shared" si="80"/>
        <v>25</v>
      </c>
      <c r="CC37" s="63">
        <f t="shared" si="80"/>
        <v>30</v>
      </c>
      <c r="CD37" s="63">
        <f t="shared" si="80"/>
        <v>26.057692307692307</v>
      </c>
      <c r="CE37" s="10">
        <v>31</v>
      </c>
      <c r="CF37" s="10">
        <v>29</v>
      </c>
      <c r="CG37" s="10">
        <v>34</v>
      </c>
      <c r="CH37" s="10">
        <v>33</v>
      </c>
      <c r="CI37" s="10">
        <v>25</v>
      </c>
      <c r="CT37" s="41">
        <f t="shared" si="33"/>
        <v>44952</v>
      </c>
      <c r="CU37" s="9">
        <f t="shared" si="34"/>
        <v>1.9519053104066888</v>
      </c>
      <c r="CV37" s="9">
        <f t="shared" si="71"/>
        <v>1.138309166098564</v>
      </c>
      <c r="CW37" s="9">
        <f t="shared" si="71"/>
        <v>1.3630894058491541</v>
      </c>
      <c r="CX37" s="9">
        <f t="shared" si="71"/>
        <v>1.4525045654540096</v>
      </c>
      <c r="CY37" s="9">
        <f t="shared" si="71"/>
        <v>1.5150602187607594</v>
      </c>
      <c r="CZ37" s="9">
        <f t="shared" si="71"/>
        <v>1.6412590201378636</v>
      </c>
      <c r="DA37" s="9">
        <f t="shared" si="71"/>
        <v>1.8062912661602251</v>
      </c>
      <c r="DB37" s="9">
        <f t="shared" si="71"/>
        <v>1.9869760062515343</v>
      </c>
      <c r="DC37" s="9">
        <f t="shared" si="71"/>
        <v>2.1784452974169448</v>
      </c>
      <c r="DD37" s="9">
        <f t="shared" si="71"/>
        <v>2.2930335877569443</v>
      </c>
      <c r="DE37" s="9">
        <f t="shared" si="71"/>
        <v>2.5418591542652984</v>
      </c>
      <c r="DF37" s="9">
        <f t="shared" si="71"/>
        <v>3.0864725132225326</v>
      </c>
      <c r="DG37" s="32"/>
      <c r="DH37" s="32"/>
      <c r="DR37" s="41">
        <v>45316</v>
      </c>
      <c r="DS37" s="9">
        <v>2.220953304</v>
      </c>
      <c r="DT37" s="9">
        <f t="shared" si="72"/>
        <v>1.2279127678136164</v>
      </c>
      <c r="DU37" s="9">
        <f t="shared" si="72"/>
        <v>1.4506396341736694</v>
      </c>
      <c r="DV37" s="9">
        <f t="shared" si="72"/>
        <v>1.5690198227191665</v>
      </c>
      <c r="DW37" s="9">
        <f t="shared" si="72"/>
        <v>1.6412232655613497</v>
      </c>
      <c r="DX37" s="9">
        <f t="shared" si="72"/>
        <v>1.7813385704934195</v>
      </c>
      <c r="DY37" s="9">
        <f t="shared" si="72"/>
        <v>1.9575993276926502</v>
      </c>
      <c r="DZ37" s="9">
        <f t="shared" si="72"/>
        <v>2.1568219545161935</v>
      </c>
      <c r="EA37" s="9">
        <f t="shared" si="72"/>
        <v>2.3687078044964407</v>
      </c>
      <c r="EB37" s="9">
        <f t="shared" si="72"/>
        <v>2.4968833391715202</v>
      </c>
      <c r="EC37" s="9">
        <f t="shared" si="72"/>
        <v>2.7454397187796298</v>
      </c>
      <c r="ED37" s="9">
        <f t="shared" si="72"/>
        <v>3.5186682245864533</v>
      </c>
      <c r="EE37" s="32"/>
      <c r="EF37" s="32"/>
      <c r="EQ37" s="41"/>
      <c r="ER37" s="9"/>
      <c r="ES37" s="9"/>
      <c r="ET37" s="9"/>
      <c r="EU37" s="9"/>
      <c r="EV37" s="9"/>
      <c r="EW37" s="9"/>
      <c r="EX37" s="9"/>
      <c r="EY37" s="9"/>
      <c r="EZ37" s="9"/>
      <c r="FA37" s="9"/>
      <c r="FB37" s="9"/>
      <c r="FC37" s="9"/>
      <c r="FD37" s="32"/>
      <c r="FE37" s="32"/>
      <c r="FF37" s="32"/>
      <c r="FG37" s="32"/>
      <c r="FH37" s="32"/>
      <c r="FI37" s="32"/>
      <c r="FJ37" s="32"/>
      <c r="FK37" s="32"/>
      <c r="FL37" s="41"/>
      <c r="FM37" s="9"/>
      <c r="FN37" s="9"/>
      <c r="FO37" s="9"/>
      <c r="FP37" s="9"/>
      <c r="FQ37" s="9"/>
      <c r="FR37" s="9"/>
      <c r="FS37" s="9"/>
      <c r="FT37" s="9"/>
      <c r="FU37" s="9"/>
      <c r="FV37" s="9"/>
      <c r="FW37" s="9"/>
      <c r="FX37" s="9"/>
      <c r="FY37" s="32"/>
      <c r="FZ37" s="32"/>
      <c r="GA37" s="32"/>
      <c r="GB37" s="32"/>
      <c r="GC37" s="41">
        <v>45680</v>
      </c>
      <c r="GD37" s="9">
        <v>1.7084831626025503</v>
      </c>
      <c r="GE37" s="9">
        <f t="shared" si="75"/>
        <v>1.4331372074699564</v>
      </c>
      <c r="GF37" s="9">
        <f t="shared" si="75"/>
        <v>1.5665185479471175</v>
      </c>
      <c r="GG37" s="9">
        <f t="shared" si="75"/>
        <v>1.6786529535526489</v>
      </c>
      <c r="GH37" s="9">
        <f t="shared" si="75"/>
        <v>1.7524815297741898</v>
      </c>
      <c r="GI37" s="9">
        <f t="shared" si="75"/>
        <v>1.8912028760151471</v>
      </c>
      <c r="GJ37" s="9">
        <f t="shared" si="75"/>
        <v>2.0656026448160576</v>
      </c>
      <c r="GK37" s="9">
        <f t="shared" si="75"/>
        <v>2.2732837603602927</v>
      </c>
      <c r="GL37" s="9">
        <f t="shared" si="75"/>
        <v>2.4863958431441975</v>
      </c>
      <c r="GM37" s="9">
        <f t="shared" si="75"/>
        <v>2.6192395945494824</v>
      </c>
      <c r="GN37" s="9">
        <f t="shared" si="75"/>
        <v>2.8873228228091632</v>
      </c>
      <c r="GO37" s="9">
        <f t="shared" si="75"/>
        <v>3.6346787516455676</v>
      </c>
      <c r="GP37" s="32"/>
      <c r="GQ37" s="32"/>
      <c r="HA37" s="67">
        <v>0.01</v>
      </c>
      <c r="HB37" s="7">
        <v>0.67556558923590004</v>
      </c>
      <c r="HC37" s="7"/>
      <c r="HD37" s="68">
        <v>16</v>
      </c>
      <c r="HE37" s="69">
        <f>HB37/HD37</f>
        <v>4.2222849327243753E-2</v>
      </c>
      <c r="HF37" s="69"/>
      <c r="HG37" s="7">
        <v>4.2222849327243753E-2</v>
      </c>
      <c r="HM37" s="9">
        <v>3.2681475428358739E-2</v>
      </c>
      <c r="HN37" s="9">
        <v>4.7062956723337462E-2</v>
      </c>
      <c r="HO37" s="9"/>
      <c r="HP37" s="9">
        <v>3.0141089788533425E-2</v>
      </c>
      <c r="HQ37" s="9">
        <v>4.8650697748228278E-2</v>
      </c>
      <c r="HR37" s="9"/>
      <c r="HS37" s="32"/>
      <c r="HT37" s="32"/>
      <c r="HU37" s="32"/>
      <c r="HV37" s="67">
        <v>0.01</v>
      </c>
      <c r="HW37" s="7">
        <v>0.30141089788533426</v>
      </c>
      <c r="HX37" s="68">
        <v>10</v>
      </c>
      <c r="HY37" s="69">
        <f>HW37/HX37</f>
        <v>3.0141089788533425E-2</v>
      </c>
      <c r="HZ37" s="69"/>
      <c r="IA37" s="7">
        <v>3.0141089788533425E-2</v>
      </c>
      <c r="IG37" s="9">
        <v>3.2681475428358739E-2</v>
      </c>
      <c r="IH37" s="9">
        <v>4.7062956723337462E-2</v>
      </c>
      <c r="II37" s="9"/>
      <c r="IJ37" s="9">
        <v>3.0141089788533425E-2</v>
      </c>
      <c r="IK37" s="9">
        <v>4.8650697748228278E-2</v>
      </c>
      <c r="IL37" s="9"/>
      <c r="IM37" s="32"/>
      <c r="IN37" s="32"/>
      <c r="IO37" s="32"/>
      <c r="IZ37" s="41">
        <f t="shared" si="11"/>
        <v>44952</v>
      </c>
      <c r="JA37" s="9">
        <f t="shared" si="11"/>
        <v>1.9519053104066888</v>
      </c>
      <c r="JB37" s="9"/>
      <c r="JC37" s="9"/>
      <c r="JD37" s="9"/>
      <c r="JE37" s="9"/>
      <c r="JF37" s="9"/>
      <c r="JG37" s="9"/>
      <c r="JH37" s="9"/>
      <c r="JI37" s="9"/>
      <c r="JJ37" s="9"/>
      <c r="JK37" s="9"/>
      <c r="JL37" s="9"/>
      <c r="JM37" s="9"/>
      <c r="JX37" s="41">
        <v>44952</v>
      </c>
      <c r="JY37" s="9"/>
      <c r="JZ37" s="9">
        <f t="shared" si="76"/>
        <v>2.0830148886034987</v>
      </c>
      <c r="KA37" s="9">
        <f t="shared" si="76"/>
        <v>1.9041699024494994</v>
      </c>
      <c r="KB37" s="9"/>
      <c r="KM37" s="70" t="s">
        <v>94</v>
      </c>
      <c r="KN37" s="241"/>
      <c r="KO37" s="241">
        <f ca="1">OFFSET(KO$7,KO36,0)</f>
        <v>504813374.02649999</v>
      </c>
      <c r="KR37" s="241"/>
      <c r="KS37" s="241">
        <f ca="1">OFFSET(KS$7,KS36,0)</f>
        <v>702190735.33509994</v>
      </c>
      <c r="KV37" s="241"/>
      <c r="KW37" s="241">
        <f ca="1">OFFSET(KW$7,KW36,0)</f>
        <v>1139386627.5132</v>
      </c>
      <c r="KZ37" s="241"/>
      <c r="LA37" s="241">
        <f ca="1">OFFSET(LA$7,LA36,0)</f>
        <v>1055510822.6916004</v>
      </c>
      <c r="LD37" s="241"/>
      <c r="LE37" s="241">
        <f ca="1">OFFSET(LE$7,LE36,0)</f>
        <v>1484632163.4210002</v>
      </c>
      <c r="LF37" s="241"/>
      <c r="LG37" s="241"/>
      <c r="LH37" s="241"/>
      <c r="LI37" s="241">
        <f ca="1">OFFSET(LI$7,LI36,0)</f>
        <v>1039256735.2464</v>
      </c>
      <c r="LJ37" s="241"/>
      <c r="LK37" s="241"/>
      <c r="LL37" s="241"/>
      <c r="LM37" s="241">
        <f ca="1">OFFSET(LM$7,LM36,0)</f>
        <v>1219957335.8477998</v>
      </c>
      <c r="LN37" s="241"/>
      <c r="LO37" s="241"/>
      <c r="LP37" s="241"/>
      <c r="LQ37" s="241">
        <f ca="1">OFFSET(LQ$7,LQ36,0)</f>
        <v>1233881183.6339998</v>
      </c>
      <c r="LR37" s="241"/>
      <c r="LS37" s="241"/>
      <c r="LT37" s="241"/>
      <c r="LU37" s="241">
        <f ca="1">OFFSET(LU$7,LU36,0)</f>
        <v>1563902617.6620002</v>
      </c>
      <c r="LW37" s="241"/>
      <c r="LX37" s="241"/>
      <c r="LY37" s="241">
        <f ca="1">OFFSET(LY$7,LY36,0)</f>
        <v>1743973726.6775999</v>
      </c>
      <c r="MA37" s="32"/>
      <c r="MB37" s="32"/>
      <c r="MC37" s="32"/>
      <c r="MD37" s="32"/>
      <c r="ME37" s="32"/>
      <c r="MF37" s="32"/>
      <c r="MG37" s="32"/>
      <c r="MH37" s="39"/>
      <c r="MI37" s="39"/>
      <c r="MJ37" s="39"/>
      <c r="MK37" s="39"/>
      <c r="ML37" s="9"/>
      <c r="MM37" s="9"/>
      <c r="MN37" s="9"/>
      <c r="MV37" s="60"/>
      <c r="MW37" s="62" t="s">
        <v>95</v>
      </c>
      <c r="MX37" s="63">
        <f t="shared" ref="MX37:NH37" si="87">MX27-MX25</f>
        <v>0.14740096184447626</v>
      </c>
      <c r="MY37" s="63">
        <f t="shared" si="87"/>
        <v>0.19368339463956508</v>
      </c>
      <c r="MZ37" s="63">
        <f t="shared" si="87"/>
        <v>0.31578806619690036</v>
      </c>
      <c r="NA37" s="63">
        <f t="shared" si="87"/>
        <v>0.36435384092799994</v>
      </c>
      <c r="NB37" s="63">
        <f t="shared" si="87"/>
        <v>0.3631321223442</v>
      </c>
      <c r="NC37" s="63">
        <f t="shared" si="87"/>
        <v>0.29653156343800025</v>
      </c>
      <c r="ND37" s="63">
        <f t="shared" si="87"/>
        <v>0.3622364046836859</v>
      </c>
      <c r="NE37" s="63">
        <f t="shared" si="87"/>
        <v>0.3262911565243003</v>
      </c>
      <c r="NF37" s="63">
        <f t="shared" si="87"/>
        <v>0.46971561863424016</v>
      </c>
      <c r="NG37" s="63">
        <f t="shared" si="87"/>
        <v>0.46085408516564996</v>
      </c>
      <c r="NH37" s="63">
        <f t="shared" si="87"/>
        <v>0.3675131993461499</v>
      </c>
      <c r="NS37" t="s">
        <v>87</v>
      </c>
      <c r="NT37" t="s">
        <v>57</v>
      </c>
      <c r="NU37" t="s">
        <v>88</v>
      </c>
      <c r="NV37" t="s">
        <v>89</v>
      </c>
      <c r="NX37" t="s">
        <v>90</v>
      </c>
      <c r="NZ37" t="s">
        <v>91</v>
      </c>
      <c r="OC37" s="6">
        <v>60</v>
      </c>
      <c r="OF37" s="32"/>
      <c r="OG37" s="32"/>
      <c r="OR37" t="s">
        <v>87</v>
      </c>
      <c r="OS37" t="s">
        <v>57</v>
      </c>
      <c r="OT37" t="s">
        <v>88</v>
      </c>
      <c r="OU37" t="s">
        <v>89</v>
      </c>
      <c r="OW37" t="s">
        <v>90</v>
      </c>
      <c r="OY37" t="s">
        <v>91</v>
      </c>
      <c r="PB37" s="6">
        <v>40</v>
      </c>
      <c r="PC37" s="9"/>
      <c r="PD37" s="9"/>
      <c r="PE37" s="9"/>
    </row>
    <row r="38" spans="2:423" x14ac:dyDescent="0.25">
      <c r="B38" s="48">
        <v>42950</v>
      </c>
      <c r="C38" s="49">
        <v>16088024.391999999</v>
      </c>
      <c r="D38" s="49">
        <v>17316640</v>
      </c>
      <c r="E38" s="50">
        <v>6000000</v>
      </c>
      <c r="F38" s="50"/>
      <c r="G38" s="50"/>
      <c r="H38" s="50"/>
      <c r="I38" s="38">
        <v>43132</v>
      </c>
      <c r="J38" s="240">
        <v>3000000</v>
      </c>
      <c r="K38" s="240">
        <v>11895964.981999999</v>
      </c>
      <c r="L38" s="241">
        <f t="shared" si="24"/>
        <v>663063616.75399983</v>
      </c>
      <c r="N38" s="38">
        <v>43496</v>
      </c>
      <c r="O38" s="240">
        <v>8000000</v>
      </c>
      <c r="P38" s="240">
        <v>22065910.488600004</v>
      </c>
      <c r="Q38" s="241">
        <f t="shared" si="25"/>
        <v>1595805246.7698002</v>
      </c>
      <c r="S38" s="38">
        <v>43860</v>
      </c>
      <c r="T38" s="240">
        <v>40000000</v>
      </c>
      <c r="U38" s="240">
        <v>54779541.346200004</v>
      </c>
      <c r="V38" s="241">
        <f t="shared" si="26"/>
        <v>1656016993.2372</v>
      </c>
      <c r="X38" s="38">
        <v>44224</v>
      </c>
      <c r="Y38" s="240">
        <v>8000000</v>
      </c>
      <c r="Z38" s="240">
        <v>27647901.461400002</v>
      </c>
      <c r="AA38" s="241">
        <f t="shared" si="27"/>
        <v>1344516271.7249999</v>
      </c>
      <c r="AC38" s="38">
        <v>44588</v>
      </c>
      <c r="AD38" s="240">
        <v>20000000</v>
      </c>
      <c r="AE38" s="240">
        <v>41344888.8402</v>
      </c>
      <c r="AF38" s="241">
        <f t="shared" si="28"/>
        <v>1748630971.4478002</v>
      </c>
      <c r="AG38" s="241"/>
      <c r="AH38" s="38">
        <v>44959</v>
      </c>
      <c r="AI38" s="240">
        <v>40000000</v>
      </c>
      <c r="AJ38" s="240">
        <v>72566106.460468233</v>
      </c>
      <c r="AK38" s="241">
        <f t="shared" si="29"/>
        <v>2024471416.867157</v>
      </c>
      <c r="AM38" s="32">
        <v>31</v>
      </c>
      <c r="AN38" s="39">
        <f t="shared" si="0"/>
        <v>0.66306361675399983</v>
      </c>
      <c r="AO38" s="39">
        <f t="shared" si="1"/>
        <v>1.5958052467698003</v>
      </c>
      <c r="AP38" s="39">
        <f t="shared" si="2"/>
        <v>1.6560169932372</v>
      </c>
      <c r="AQ38" s="39">
        <f t="shared" si="3"/>
        <v>1.3445162717249999</v>
      </c>
      <c r="AR38" s="39">
        <f t="shared" si="30"/>
        <v>1.7486309714478001</v>
      </c>
      <c r="AS38" s="39">
        <f t="shared" si="31"/>
        <v>2.0244714168671569</v>
      </c>
      <c r="AT38" s="39"/>
      <c r="AU38" s="39">
        <f t="shared" si="32"/>
        <v>1.5881543006230041</v>
      </c>
      <c r="AV38" s="9"/>
      <c r="AW38" s="9"/>
      <c r="AX38" s="9"/>
      <c r="BF38" s="60"/>
      <c r="BG38" s="62" t="s">
        <v>95</v>
      </c>
      <c r="BH38" s="63">
        <f t="shared" ref="BH38:BN38" si="88">BH28-BH26</f>
        <v>0.25687366549660706</v>
      </c>
      <c r="BI38" s="63">
        <f t="shared" si="88"/>
        <v>0.4770360311494084</v>
      </c>
      <c r="BJ38" s="63">
        <f t="shared" si="88"/>
        <v>0.51521146886833735</v>
      </c>
      <c r="BK38" s="63">
        <f t="shared" si="88"/>
        <v>0.51809636821058636</v>
      </c>
      <c r="BL38" s="63">
        <f t="shared" si="88"/>
        <v>0.60676558914972034</v>
      </c>
      <c r="BM38" s="63">
        <f>BM28-BM26</f>
        <v>0.59836615442047281</v>
      </c>
      <c r="BN38" s="63">
        <f t="shared" si="88"/>
        <v>0.60676558914972034</v>
      </c>
      <c r="BZ38" s="60"/>
      <c r="CA38" s="62" t="s">
        <v>40</v>
      </c>
      <c r="CB38" s="63">
        <f t="shared" si="80"/>
        <v>28</v>
      </c>
      <c r="CC38" s="63">
        <f t="shared" si="80"/>
        <v>34</v>
      </c>
      <c r="CD38" s="63">
        <f t="shared" si="80"/>
        <v>29.26923076923077</v>
      </c>
      <c r="CE38" s="10">
        <v>34</v>
      </c>
      <c r="CF38" s="10">
        <v>32</v>
      </c>
      <c r="CG38" s="10">
        <v>38</v>
      </c>
      <c r="CH38" s="10">
        <v>36</v>
      </c>
      <c r="CI38" s="10">
        <v>28</v>
      </c>
      <c r="CT38" s="41">
        <f t="shared" si="33"/>
        <v>44959</v>
      </c>
      <c r="CU38" s="9">
        <f t="shared" si="34"/>
        <v>2.0244714168671569</v>
      </c>
      <c r="CV38" s="9">
        <f t="shared" si="71"/>
        <v>1.1762528049685161</v>
      </c>
      <c r="CW38" s="9">
        <f t="shared" si="71"/>
        <v>1.4085257193774592</v>
      </c>
      <c r="CX38" s="9">
        <f t="shared" si="71"/>
        <v>1.5009213843024767</v>
      </c>
      <c r="CY38" s="9">
        <f t="shared" si="71"/>
        <v>1.5655622260527846</v>
      </c>
      <c r="CZ38" s="9">
        <f t="shared" si="71"/>
        <v>1.6959676541424591</v>
      </c>
      <c r="DA38" s="9">
        <f t="shared" si="71"/>
        <v>1.8665009750322326</v>
      </c>
      <c r="DB38" s="9">
        <f t="shared" si="71"/>
        <v>2.053208539793252</v>
      </c>
      <c r="DC38" s="9">
        <f t="shared" si="71"/>
        <v>2.2510601406641761</v>
      </c>
      <c r="DD38" s="9">
        <f t="shared" si="71"/>
        <v>2.3694680406821758</v>
      </c>
      <c r="DE38" s="9">
        <f t="shared" si="71"/>
        <v>2.6265877927408083</v>
      </c>
      <c r="DF38" s="9">
        <f t="shared" si="71"/>
        <v>3.1893549303299502</v>
      </c>
      <c r="DG38" s="32"/>
      <c r="DH38" s="32"/>
      <c r="DR38" s="41">
        <v>45323</v>
      </c>
      <c r="DS38" s="9">
        <v>2.6324167479999998</v>
      </c>
      <c r="DT38" s="9">
        <f t="shared" si="72"/>
        <v>1.2688431934074036</v>
      </c>
      <c r="DU38" s="9">
        <f t="shared" si="72"/>
        <v>1.4989942886461249</v>
      </c>
      <c r="DV38" s="9">
        <f t="shared" si="72"/>
        <v>1.6213204834764721</v>
      </c>
      <c r="DW38" s="9">
        <f t="shared" si="72"/>
        <v>1.6959307077467281</v>
      </c>
      <c r="DX38" s="9">
        <f t="shared" si="72"/>
        <v>1.8407165228432001</v>
      </c>
      <c r="DY38" s="9">
        <f t="shared" si="72"/>
        <v>2.0228526386157384</v>
      </c>
      <c r="DZ38" s="9">
        <f t="shared" si="72"/>
        <v>2.2287160196667335</v>
      </c>
      <c r="EA38" s="9">
        <f t="shared" si="72"/>
        <v>2.4476647313129889</v>
      </c>
      <c r="EB38" s="9">
        <f t="shared" si="72"/>
        <v>2.5801127838105709</v>
      </c>
      <c r="EC38" s="9">
        <f t="shared" si="72"/>
        <v>2.836954376072284</v>
      </c>
      <c r="ED38" s="9">
        <f t="shared" si="72"/>
        <v>3.6359571654060017</v>
      </c>
      <c r="EE38" s="32"/>
      <c r="EF38" s="32"/>
      <c r="EQ38" s="41"/>
      <c r="ER38" s="9"/>
      <c r="ES38" s="9"/>
      <c r="ET38" s="9"/>
      <c r="EU38" s="9"/>
      <c r="EV38" s="9"/>
      <c r="EW38" s="9"/>
      <c r="EX38" s="9"/>
      <c r="EY38" s="9"/>
      <c r="EZ38" s="9"/>
      <c r="FA38" s="9"/>
      <c r="FB38" s="9"/>
      <c r="FC38" s="9"/>
      <c r="FD38" s="32"/>
      <c r="FE38" s="32"/>
      <c r="FF38" s="32"/>
      <c r="FG38" s="32"/>
      <c r="FH38" s="32"/>
      <c r="FI38" s="32"/>
      <c r="FJ38" s="32"/>
      <c r="FK38" s="32"/>
      <c r="FL38" s="41"/>
      <c r="FM38" s="9"/>
      <c r="FN38" s="9"/>
      <c r="FO38" s="9"/>
      <c r="FP38" s="9"/>
      <c r="FQ38" s="9"/>
      <c r="FR38" s="9"/>
      <c r="FS38" s="9"/>
      <c r="FT38" s="9"/>
      <c r="FU38" s="9"/>
      <c r="FV38" s="9"/>
      <c r="FW38" s="9"/>
      <c r="FX38" s="9"/>
      <c r="FY38" s="32"/>
      <c r="FZ38" s="32"/>
      <c r="GA38" s="32"/>
      <c r="GB38" s="32"/>
      <c r="GC38" s="41">
        <v>45687</v>
      </c>
      <c r="GD38" s="9">
        <v>1.7723419118500168</v>
      </c>
      <c r="GE38" s="9">
        <f t="shared" si="75"/>
        <v>1.4809084477189549</v>
      </c>
      <c r="GF38" s="9">
        <f t="shared" si="75"/>
        <v>1.6187358328786881</v>
      </c>
      <c r="GG38" s="9">
        <f t="shared" si="75"/>
        <v>1.7346080520044038</v>
      </c>
      <c r="GH38" s="9">
        <f t="shared" si="75"/>
        <v>1.8108975807666627</v>
      </c>
      <c r="GI38" s="9">
        <f t="shared" si="75"/>
        <v>1.9542429718823187</v>
      </c>
      <c r="GJ38" s="9">
        <f t="shared" si="75"/>
        <v>2.1344560663099261</v>
      </c>
      <c r="GK38" s="9">
        <f t="shared" si="75"/>
        <v>2.349059885705636</v>
      </c>
      <c r="GL38" s="9">
        <f t="shared" si="75"/>
        <v>2.5692757045823376</v>
      </c>
      <c r="GM38" s="9">
        <f t="shared" si="75"/>
        <v>2.706547581034465</v>
      </c>
      <c r="GN38" s="9">
        <f t="shared" si="75"/>
        <v>2.9835669169028018</v>
      </c>
      <c r="GO38" s="9">
        <f t="shared" si="75"/>
        <v>3.7558347100337532</v>
      </c>
      <c r="GP38" s="32"/>
      <c r="GQ38" s="32"/>
      <c r="HA38" s="67">
        <v>0.05</v>
      </c>
      <c r="HB38" s="7">
        <v>0.7244284542046201</v>
      </c>
      <c r="HC38" s="7"/>
      <c r="HD38" s="68">
        <v>16</v>
      </c>
      <c r="HE38" s="69">
        <f t="shared" ref="HE38:HE45" si="89">HB38/HD38</f>
        <v>4.5276778387788756E-2</v>
      </c>
      <c r="HF38" s="69"/>
      <c r="HG38" s="7">
        <v>4.5276778387788756E-2</v>
      </c>
      <c r="HM38" s="9">
        <v>3.566645079109737E-2</v>
      </c>
      <c r="HN38" s="9">
        <v>5.111431394700626E-2</v>
      </c>
      <c r="HO38" s="9"/>
      <c r="HP38" s="9">
        <v>3.2537644802501146E-2</v>
      </c>
      <c r="HQ38" s="9">
        <v>5.3069817689878909E-2</v>
      </c>
      <c r="HR38" s="9"/>
      <c r="HS38" s="32"/>
      <c r="HT38" s="32"/>
      <c r="HU38" s="32"/>
      <c r="HV38" s="67">
        <v>0.05</v>
      </c>
      <c r="HW38" s="7">
        <v>0.32537644802501148</v>
      </c>
      <c r="HX38" s="68">
        <v>10</v>
      </c>
      <c r="HY38" s="69">
        <f t="shared" ref="HY38:HY45" si="90">HW38/HX38</f>
        <v>3.2537644802501146E-2</v>
      </c>
      <c r="HZ38" s="69"/>
      <c r="IA38" s="7">
        <v>3.2537644802501146E-2</v>
      </c>
      <c r="IG38" s="9">
        <v>3.566645079109737E-2</v>
      </c>
      <c r="IH38" s="9">
        <v>5.111431394700626E-2</v>
      </c>
      <c r="II38" s="9"/>
      <c r="IJ38" s="9">
        <v>3.2537644802501146E-2</v>
      </c>
      <c r="IK38" s="9">
        <v>5.3069817689878909E-2</v>
      </c>
      <c r="IL38" s="9"/>
      <c r="IM38" s="32"/>
      <c r="IN38" s="32"/>
      <c r="IO38" s="32"/>
      <c r="IZ38" s="41">
        <f t="shared" si="11"/>
        <v>44959</v>
      </c>
      <c r="JA38" s="9">
        <f t="shared" si="11"/>
        <v>2.0244714168671569</v>
      </c>
      <c r="JB38" s="9"/>
      <c r="JC38" s="9"/>
      <c r="JD38" s="9"/>
      <c r="JE38" s="9"/>
      <c r="JF38" s="9"/>
      <c r="JG38" s="9"/>
      <c r="JH38" s="9"/>
      <c r="JI38" s="9"/>
      <c r="JJ38" s="9"/>
      <c r="JK38" s="9"/>
      <c r="JL38" s="9"/>
      <c r="JM38" s="9"/>
      <c r="JX38" s="41">
        <v>44959</v>
      </c>
      <c r="JY38" s="9"/>
      <c r="JZ38" s="9">
        <f t="shared" si="76"/>
        <v>2.1505843210139832</v>
      </c>
      <c r="KA38" s="9">
        <f t="shared" si="76"/>
        <v>1.9579820282327531</v>
      </c>
      <c r="KB38" s="9"/>
      <c r="KM38" s="70" t="s">
        <v>96</v>
      </c>
      <c r="KN38" s="241"/>
      <c r="KO38" s="241">
        <f ca="1">KO37/KO36*26</f>
        <v>504813374.02650005</v>
      </c>
      <c r="KQ38" s="41"/>
      <c r="KR38" s="241"/>
      <c r="KS38" s="241">
        <f ca="1">KS37/KS36*26</f>
        <v>702190735.33509994</v>
      </c>
      <c r="KU38" s="41"/>
      <c r="KV38" s="241"/>
      <c r="KW38" s="241">
        <f ca="1">KW37/KW36*26</f>
        <v>1139386627.5132</v>
      </c>
      <c r="KY38" s="41"/>
      <c r="KZ38" s="241"/>
      <c r="LA38" s="241">
        <f ca="1">LA37/LA36*26</f>
        <v>1055510822.6916003</v>
      </c>
      <c r="LC38" s="41"/>
      <c r="LD38" s="241"/>
      <c r="LE38" s="241">
        <f ca="1">LE37/LE36*26</f>
        <v>1484632163.4210002</v>
      </c>
      <c r="LF38" s="241"/>
      <c r="LG38" s="241"/>
      <c r="LH38" s="241"/>
      <c r="LI38" s="241">
        <f ca="1">LI37/LI36*26</f>
        <v>1039256735.2464</v>
      </c>
      <c r="LJ38" s="241"/>
      <c r="LK38" s="241"/>
      <c r="LL38" s="241"/>
      <c r="LM38" s="241">
        <f ca="1">LM37/LM36*26</f>
        <v>1174773730.8163998</v>
      </c>
      <c r="LN38" s="241"/>
      <c r="LO38" s="241"/>
      <c r="LP38" s="241"/>
      <c r="LQ38" s="241">
        <f ca="1">LQ37/LQ36*26</f>
        <v>1283236430.9793599</v>
      </c>
      <c r="LR38" s="241"/>
      <c r="LS38" s="241"/>
      <c r="LT38" s="241"/>
      <c r="LU38" s="241">
        <f ca="1">LU37/LU36*26</f>
        <v>1505980298.4893336</v>
      </c>
      <c r="LW38" s="241"/>
      <c r="LX38" s="241"/>
      <c r="LY38" s="241">
        <f ca="1">LY37/LY36*26</f>
        <v>1743973726.6775999</v>
      </c>
      <c r="MA38" s="32"/>
      <c r="MB38" s="32"/>
      <c r="MC38" s="32"/>
      <c r="MD38" s="32"/>
      <c r="ME38" s="32"/>
      <c r="MF38" s="32"/>
      <c r="MG38" s="32"/>
      <c r="MH38" s="39"/>
      <c r="MI38" s="39"/>
      <c r="MJ38" s="39"/>
      <c r="MK38" s="39"/>
      <c r="ML38" s="9"/>
      <c r="MM38" s="9"/>
      <c r="MN38" s="9"/>
      <c r="MV38" s="60"/>
      <c r="MW38" s="62" t="s">
        <v>97</v>
      </c>
      <c r="MX38" s="63">
        <f t="shared" ref="MX38:NG38" si="91">MX29-MX27</f>
        <v>0.16049131409634898</v>
      </c>
      <c r="MY38" s="63">
        <f t="shared" si="91"/>
        <v>0.19167961575935233</v>
      </c>
      <c r="MZ38" s="63">
        <f t="shared" si="91"/>
        <v>0.29538807082405527</v>
      </c>
      <c r="NA38" s="63">
        <f t="shared" si="91"/>
        <v>0.35648636107037812</v>
      </c>
      <c r="NB38" s="63">
        <f t="shared" si="91"/>
        <v>0.37574770983651118</v>
      </c>
      <c r="NC38" s="63">
        <f t="shared" si="91"/>
        <v>0.34315700929729998</v>
      </c>
      <c r="ND38" s="63">
        <f t="shared" si="91"/>
        <v>0.3638682919703855</v>
      </c>
      <c r="NE38" s="63">
        <f t="shared" si="91"/>
        <v>0.33894747374372525</v>
      </c>
      <c r="NF38" s="63">
        <f t="shared" si="91"/>
        <v>0.44800609824975446</v>
      </c>
      <c r="NG38" s="63">
        <f t="shared" si="91"/>
        <v>0.46915691485299993</v>
      </c>
      <c r="NH38" s="63">
        <f>NH29-NH27</f>
        <v>0.36299913368234993</v>
      </c>
      <c r="NS38" s="67" t="s">
        <v>30</v>
      </c>
      <c r="NT38" s="7">
        <v>0.85497303346455</v>
      </c>
      <c r="NU38" s="68">
        <v>26</v>
      </c>
      <c r="NV38" s="69">
        <f>NT38/NU38</f>
        <v>3.2883578210174999E-2</v>
      </c>
      <c r="NW38" s="69"/>
      <c r="NX38" s="7">
        <v>3.2883578210174999E-2</v>
      </c>
      <c r="NZ38" t="s">
        <v>76</v>
      </c>
      <c r="OC38" s="6">
        <v>80</v>
      </c>
      <c r="OF38" s="32"/>
      <c r="OG38" s="32"/>
      <c r="OR38" s="67" t="s">
        <v>30</v>
      </c>
      <c r="OS38" s="7">
        <v>0.26778574862655008</v>
      </c>
      <c r="OT38" s="248">
        <f t="shared" ref="OT38:OT48" si="92">COUNTBLANK($OS$8:$OS$33)</f>
        <v>9</v>
      </c>
      <c r="OU38" s="69">
        <f>OS38/OT38</f>
        <v>2.9753972069616677E-2</v>
      </c>
      <c r="OV38" s="69"/>
      <c r="OW38" s="10">
        <v>2.9753972069616677E-2</v>
      </c>
      <c r="OY38" t="s">
        <v>76</v>
      </c>
      <c r="PB38" s="6">
        <v>20</v>
      </c>
      <c r="PC38" s="9"/>
      <c r="PD38" s="9"/>
      <c r="PE38" s="9"/>
    </row>
    <row r="39" spans="2:423" x14ac:dyDescent="0.25">
      <c r="B39" s="48">
        <v>42957</v>
      </c>
      <c r="C39" s="49">
        <v>12777094.582999999</v>
      </c>
      <c r="D39" s="49">
        <v>13752860</v>
      </c>
      <c r="E39" s="50">
        <v>3000000</v>
      </c>
      <c r="F39" s="50"/>
      <c r="G39" s="50"/>
      <c r="H39" s="50"/>
      <c r="I39" s="38">
        <v>43139</v>
      </c>
      <c r="J39" s="240">
        <v>6000000</v>
      </c>
      <c r="K39" s="240">
        <v>15019877.025999999</v>
      </c>
      <c r="L39" s="241">
        <f t="shared" si="24"/>
        <v>678083493.77999985</v>
      </c>
      <c r="N39" s="38">
        <v>43503</v>
      </c>
      <c r="O39" s="240">
        <v>12000000</v>
      </c>
      <c r="P39" s="240">
        <v>30998780.670000006</v>
      </c>
      <c r="Q39" s="241">
        <f t="shared" si="25"/>
        <v>1626804027.4398003</v>
      </c>
      <c r="S39" s="38">
        <v>43867</v>
      </c>
      <c r="T39" s="240">
        <v>60000000</v>
      </c>
      <c r="U39" s="240">
        <v>81228117.597000003</v>
      </c>
      <c r="V39" s="241">
        <f t="shared" si="26"/>
        <v>1737245110.8341999</v>
      </c>
      <c r="X39" s="38">
        <v>44231</v>
      </c>
      <c r="Y39" s="240">
        <v>20000000</v>
      </c>
      <c r="Z39" s="240">
        <v>46228433.473200001</v>
      </c>
      <c r="AA39" s="241">
        <f t="shared" si="27"/>
        <v>1390744705.1982</v>
      </c>
      <c r="AC39" s="38">
        <v>44595</v>
      </c>
      <c r="AD39" s="240">
        <v>40000000</v>
      </c>
      <c r="AE39" s="240">
        <v>69636856.047000006</v>
      </c>
      <c r="AF39" s="241">
        <f t="shared" si="28"/>
        <v>1818267827.4948001</v>
      </c>
      <c r="AG39" s="241"/>
      <c r="AH39" s="38">
        <v>44966</v>
      </c>
      <c r="AI39" s="240">
        <v>4000000</v>
      </c>
      <c r="AJ39" s="240">
        <v>24350300.629966557</v>
      </c>
      <c r="AK39" s="241">
        <f t="shared" si="29"/>
        <v>2048821717.4971235</v>
      </c>
      <c r="AM39" s="32">
        <v>32</v>
      </c>
      <c r="AN39" s="39">
        <f t="shared" si="0"/>
        <v>0.67808349377999988</v>
      </c>
      <c r="AO39" s="39">
        <f t="shared" si="1"/>
        <v>1.6268040274398003</v>
      </c>
      <c r="AP39" s="39">
        <f t="shared" si="2"/>
        <v>1.7372451108342</v>
      </c>
      <c r="AQ39" s="39">
        <f t="shared" si="3"/>
        <v>1.3907447051982</v>
      </c>
      <c r="AR39" s="39">
        <f t="shared" si="30"/>
        <v>1.8182678274948001</v>
      </c>
      <c r="AS39" s="39">
        <f t="shared" si="31"/>
        <v>2.0488217174971233</v>
      </c>
      <c r="AT39" s="39"/>
      <c r="AU39" s="39">
        <f t="shared" si="32"/>
        <v>1.6410927773104376</v>
      </c>
      <c r="AV39" s="9"/>
      <c r="AW39" s="9"/>
      <c r="AX39" s="9"/>
      <c r="BF39" s="60"/>
      <c r="BG39" s="62" t="s">
        <v>97</v>
      </c>
      <c r="BH39" s="63">
        <f t="shared" ref="BH39:BN39" si="93">BH30-BH28</f>
        <v>0.2479172920291095</v>
      </c>
      <c r="BI39" s="63">
        <f t="shared" si="93"/>
        <v>0.45457143321454829</v>
      </c>
      <c r="BJ39" s="63">
        <f t="shared" si="93"/>
        <v>0.47435899378051793</v>
      </c>
      <c r="BK39" s="63">
        <f t="shared" si="93"/>
        <v>0.48810928627648398</v>
      </c>
      <c r="BL39" s="63">
        <f t="shared" si="93"/>
        <v>0.55646038184767832</v>
      </c>
      <c r="BM39" s="63">
        <f>BM30-BM28</f>
        <v>0.52874832124535098</v>
      </c>
      <c r="BN39" s="63">
        <f t="shared" si="93"/>
        <v>0.55646038184767832</v>
      </c>
      <c r="BZ39" s="60"/>
      <c r="CA39" s="64"/>
      <c r="CT39" s="41">
        <f t="shared" si="33"/>
        <v>44966</v>
      </c>
      <c r="CU39" s="9">
        <f t="shared" si="34"/>
        <v>2.0488217174971233</v>
      </c>
      <c r="CV39" s="9">
        <f t="shared" si="71"/>
        <v>1.2141964438384683</v>
      </c>
      <c r="CW39" s="9">
        <f t="shared" si="71"/>
        <v>1.4539620329057643</v>
      </c>
      <c r="CX39" s="9">
        <f t="shared" si="71"/>
        <v>1.5493382031509437</v>
      </c>
      <c r="CY39" s="9">
        <f t="shared" si="71"/>
        <v>1.6160642333448099</v>
      </c>
      <c r="CZ39" s="9">
        <f t="shared" si="71"/>
        <v>1.7506762881470546</v>
      </c>
      <c r="DA39" s="9">
        <f t="shared" si="71"/>
        <v>1.9267106839042401</v>
      </c>
      <c r="DB39" s="9">
        <f t="shared" si="71"/>
        <v>2.1194410733349698</v>
      </c>
      <c r="DC39" s="9">
        <f t="shared" si="71"/>
        <v>2.3236749839114075</v>
      </c>
      <c r="DD39" s="9">
        <f t="shared" si="71"/>
        <v>2.4459024936074072</v>
      </c>
      <c r="DE39" s="9">
        <f t="shared" si="71"/>
        <v>2.7113164312163183</v>
      </c>
      <c r="DF39" s="9">
        <f t="shared" si="71"/>
        <v>3.2922373474373678</v>
      </c>
      <c r="DG39" s="32"/>
      <c r="DH39" s="32"/>
      <c r="DR39" s="41">
        <v>45330</v>
      </c>
      <c r="DS39" s="9">
        <v>2.662108135</v>
      </c>
      <c r="DT39" s="9">
        <f t="shared" si="72"/>
        <v>1.3097736190011908</v>
      </c>
      <c r="DU39" s="9">
        <f t="shared" si="72"/>
        <v>1.5473489431185805</v>
      </c>
      <c r="DV39" s="9">
        <f t="shared" si="72"/>
        <v>1.6736211442337776</v>
      </c>
      <c r="DW39" s="9">
        <f t="shared" si="72"/>
        <v>1.7506381499321064</v>
      </c>
      <c r="DX39" s="9">
        <f t="shared" si="72"/>
        <v>1.9000944751929807</v>
      </c>
      <c r="DY39" s="9">
        <f t="shared" si="72"/>
        <v>2.0881059495388268</v>
      </c>
      <c r="DZ39" s="9">
        <f t="shared" si="72"/>
        <v>2.3006100848172735</v>
      </c>
      <c r="EA39" s="9">
        <f t="shared" si="72"/>
        <v>2.5266216581295371</v>
      </c>
      <c r="EB39" s="9">
        <f t="shared" si="72"/>
        <v>2.6633422284496215</v>
      </c>
      <c r="EC39" s="9">
        <f t="shared" si="72"/>
        <v>2.9284690333649381</v>
      </c>
      <c r="ED39" s="9">
        <f t="shared" si="72"/>
        <v>3.75324610622555</v>
      </c>
      <c r="EE39" s="32"/>
      <c r="EF39" s="32"/>
      <c r="EQ39" s="41"/>
      <c r="ER39" s="9"/>
      <c r="ES39" s="9"/>
      <c r="ET39" s="9"/>
      <c r="EU39" s="9"/>
      <c r="EV39" s="9"/>
      <c r="EW39" s="9"/>
      <c r="EX39" s="9"/>
      <c r="EY39" s="9"/>
      <c r="EZ39" s="9"/>
      <c r="FA39" s="9"/>
      <c r="FB39" s="9"/>
      <c r="FC39" s="9"/>
      <c r="FD39" s="32"/>
      <c r="FE39" s="32"/>
      <c r="FF39" s="32"/>
      <c r="FG39" s="32"/>
      <c r="FH39" s="32"/>
      <c r="FI39" s="32"/>
      <c r="FJ39" s="32"/>
      <c r="FK39" s="32"/>
      <c r="FL39" s="41"/>
      <c r="FM39" s="9"/>
      <c r="FN39" s="9"/>
      <c r="FO39" s="9"/>
      <c r="FP39" s="9"/>
      <c r="FQ39" s="9"/>
      <c r="FR39" s="9"/>
      <c r="FS39" s="9"/>
      <c r="FT39" s="9"/>
      <c r="FU39" s="9"/>
      <c r="FV39" s="9"/>
      <c r="FW39" s="9"/>
      <c r="FX39" s="9"/>
      <c r="FY39" s="32"/>
      <c r="FZ39" s="32"/>
      <c r="GA39" s="32"/>
      <c r="GB39" s="32"/>
      <c r="GC39" s="41">
        <v>45694</v>
      </c>
      <c r="GD39" s="9">
        <v>1.8671378320708734</v>
      </c>
      <c r="GE39" s="9">
        <f t="shared" si="75"/>
        <v>1.5286796879679534</v>
      </c>
      <c r="GF39" s="9">
        <f t="shared" si="75"/>
        <v>1.6709531178102586</v>
      </c>
      <c r="GG39" s="9">
        <f t="shared" si="75"/>
        <v>1.7905631504561588</v>
      </c>
      <c r="GH39" s="9">
        <f t="shared" si="75"/>
        <v>1.8693136317591357</v>
      </c>
      <c r="GI39" s="9">
        <f t="shared" si="75"/>
        <v>2.0172830677494904</v>
      </c>
      <c r="GJ39" s="9">
        <f t="shared" si="75"/>
        <v>2.2033094878037947</v>
      </c>
      <c r="GK39" s="9">
        <f t="shared" si="75"/>
        <v>2.4248360110509792</v>
      </c>
      <c r="GL39" s="9">
        <f t="shared" si="75"/>
        <v>2.6521555660204776</v>
      </c>
      <c r="GM39" s="9">
        <f t="shared" si="75"/>
        <v>2.7938555675194476</v>
      </c>
      <c r="GN39" s="9">
        <f t="shared" si="75"/>
        <v>3.0798110109964405</v>
      </c>
      <c r="GO39" s="9">
        <f t="shared" si="75"/>
        <v>3.8769906684219388</v>
      </c>
      <c r="GP39" s="32"/>
      <c r="GQ39" s="32"/>
      <c r="HA39" s="67">
        <v>0.1</v>
      </c>
      <c r="HB39" s="7">
        <v>0.76456330876310008</v>
      </c>
      <c r="HC39" s="7"/>
      <c r="HD39" s="68">
        <v>16</v>
      </c>
      <c r="HE39" s="69">
        <f t="shared" si="89"/>
        <v>4.7785206797693755E-2</v>
      </c>
      <c r="HF39" s="69"/>
      <c r="HG39" s="7">
        <v>4.7785206797693755E-2</v>
      </c>
      <c r="HM39" s="9">
        <v>3.8872287537024604E-2</v>
      </c>
      <c r="HN39" s="9">
        <v>5.3312424159938428E-2</v>
      </c>
      <c r="HO39" s="9"/>
      <c r="HP39" s="9">
        <v>3.6187523432355428E-2</v>
      </c>
      <c r="HQ39" s="9">
        <v>5.4990401725356658E-2</v>
      </c>
      <c r="HR39" s="9"/>
      <c r="HS39" s="32"/>
      <c r="HT39" s="32"/>
      <c r="HU39" s="32"/>
      <c r="HV39" s="67">
        <v>0.1</v>
      </c>
      <c r="HW39" s="7">
        <v>0.36187523432355428</v>
      </c>
      <c r="HX39" s="68">
        <v>10</v>
      </c>
      <c r="HY39" s="69">
        <f t="shared" si="90"/>
        <v>3.6187523432355428E-2</v>
      </c>
      <c r="HZ39" s="69"/>
      <c r="IA39" s="7">
        <v>3.6187523432355428E-2</v>
      </c>
      <c r="IG39" s="9">
        <v>3.8872287537024604E-2</v>
      </c>
      <c r="IH39" s="9">
        <v>5.3312424159938428E-2</v>
      </c>
      <c r="II39" s="9"/>
      <c r="IJ39" s="9">
        <v>3.6187523432355428E-2</v>
      </c>
      <c r="IK39" s="9">
        <v>5.4990401725356658E-2</v>
      </c>
      <c r="IL39" s="9"/>
      <c r="IM39" s="32"/>
      <c r="IN39" s="32"/>
      <c r="IO39" s="32"/>
      <c r="IZ39" s="41">
        <f t="shared" si="11"/>
        <v>44966</v>
      </c>
      <c r="JA39" s="9">
        <f t="shared" si="11"/>
        <v>2.0488217174971233</v>
      </c>
      <c r="JB39" s="9"/>
      <c r="JC39" s="9"/>
      <c r="JD39" s="9"/>
      <c r="JE39" s="9"/>
      <c r="JF39" s="9"/>
      <c r="JG39" s="9"/>
      <c r="JH39" s="9"/>
      <c r="JI39" s="9"/>
      <c r="JJ39" s="9"/>
      <c r="JK39" s="9"/>
      <c r="JL39" s="9"/>
      <c r="JM39" s="9"/>
      <c r="JX39" s="41">
        <v>44966</v>
      </c>
      <c r="JY39" s="9"/>
      <c r="JZ39" s="9">
        <f t="shared" si="76"/>
        <v>2.2181537534244677</v>
      </c>
      <c r="KA39" s="9">
        <f t="shared" si="76"/>
        <v>2.0117941540160071</v>
      </c>
      <c r="KB39" s="9"/>
      <c r="KM39" s="41"/>
      <c r="KN39" s="241"/>
      <c r="KO39" s="241"/>
      <c r="KQ39" s="41"/>
      <c r="KR39" s="241"/>
      <c r="KS39" s="241"/>
      <c r="KU39" s="41"/>
      <c r="KV39" s="241"/>
      <c r="KW39" s="241"/>
      <c r="KY39" s="41"/>
      <c r="KZ39" s="241"/>
      <c r="LA39" s="241"/>
      <c r="LC39" s="41"/>
      <c r="LD39" s="241"/>
      <c r="LE39" s="241"/>
      <c r="LK39" s="41"/>
      <c r="LL39" s="241"/>
      <c r="LM39" s="241"/>
      <c r="MA39" s="32"/>
      <c r="MB39" s="32"/>
      <c r="MC39" s="32"/>
      <c r="MD39" s="32"/>
      <c r="ME39" s="32"/>
      <c r="MF39" s="32"/>
      <c r="MG39" s="32"/>
      <c r="MH39" s="39"/>
      <c r="MI39" s="39"/>
      <c r="MJ39" s="39"/>
      <c r="MK39" s="39"/>
      <c r="ML39" s="9"/>
      <c r="MM39" s="9"/>
      <c r="MN39" s="9"/>
      <c r="MV39" s="72"/>
      <c r="MW39" s="62" t="s">
        <v>98</v>
      </c>
      <c r="MX39" s="63">
        <f t="shared" ref="MX39:NG39" si="94">MX31-MX29</f>
        <v>0.47504140964143671</v>
      </c>
      <c r="MY39" s="63">
        <f t="shared" si="94"/>
        <v>0.58128175151662087</v>
      </c>
      <c r="MZ39" s="63">
        <f t="shared" si="94"/>
        <v>0.69836141843154453</v>
      </c>
      <c r="NA39" s="63">
        <f t="shared" si="94"/>
        <v>1.2630665154771614</v>
      </c>
      <c r="NB39" s="63">
        <f t="shared" si="94"/>
        <v>0.97737284764448895</v>
      </c>
      <c r="NC39" s="63">
        <f t="shared" si="94"/>
        <v>1.2686499112496008</v>
      </c>
      <c r="ND39" s="63">
        <f t="shared" si="94"/>
        <v>0.85732890708763598</v>
      </c>
      <c r="NE39" s="63">
        <f t="shared" si="94"/>
        <v>0.81962083382217377</v>
      </c>
      <c r="NF39" s="63">
        <f t="shared" si="94"/>
        <v>1.3043366553992053</v>
      </c>
      <c r="NG39" s="63">
        <f t="shared" si="94"/>
        <v>1.1550609144855</v>
      </c>
      <c r="NH39" s="63">
        <f>NH31-NH29</f>
        <v>1.0703019173533501</v>
      </c>
      <c r="NS39" s="67">
        <v>0.01</v>
      </c>
      <c r="NT39" s="7">
        <v>1.0113771560973464</v>
      </c>
      <c r="NU39" s="68">
        <v>26</v>
      </c>
      <c r="NV39" s="69">
        <f>NT39/NU39</f>
        <v>3.8899121388359478E-2</v>
      </c>
      <c r="NW39" s="69"/>
      <c r="NX39" s="7">
        <v>3.8899121388359478E-2</v>
      </c>
      <c r="NY39" s="11"/>
      <c r="OF39" s="32"/>
      <c r="OG39" s="32"/>
      <c r="OR39" s="67">
        <v>0.01</v>
      </c>
      <c r="OS39" s="7">
        <v>0.30653019098955003</v>
      </c>
      <c r="OT39" s="248">
        <f t="shared" si="92"/>
        <v>9</v>
      </c>
      <c r="OU39" s="69">
        <f>OS39/OT39</f>
        <v>3.4058910109950005E-2</v>
      </c>
      <c r="OV39" s="69"/>
      <c r="OW39" s="10">
        <v>3.4058910109950005E-2</v>
      </c>
      <c r="OX39" s="11"/>
      <c r="PC39" s="9"/>
      <c r="PD39" s="9"/>
      <c r="PE39" s="9"/>
    </row>
    <row r="40" spans="2:423" x14ac:dyDescent="0.25">
      <c r="B40" s="48">
        <v>42964</v>
      </c>
      <c r="C40" s="49">
        <v>12212362.25</v>
      </c>
      <c r="D40" s="49">
        <v>13145000</v>
      </c>
      <c r="E40" s="50">
        <v>3000000</v>
      </c>
      <c r="F40" s="50"/>
      <c r="G40" s="50"/>
      <c r="H40" s="50"/>
      <c r="I40" s="38">
        <v>43146</v>
      </c>
      <c r="J40" s="240">
        <v>3000000</v>
      </c>
      <c r="K40" s="240">
        <v>13268654.937999999</v>
      </c>
      <c r="L40" s="241">
        <f t="shared" si="24"/>
        <v>691352148.71799982</v>
      </c>
      <c r="N40" s="38">
        <v>43510</v>
      </c>
      <c r="O40" s="240">
        <v>20000000</v>
      </c>
      <c r="P40" s="240">
        <v>38759624.765400007</v>
      </c>
      <c r="Q40" s="241">
        <f t="shared" si="25"/>
        <v>1665563652.2052002</v>
      </c>
      <c r="S40" s="38">
        <v>43874</v>
      </c>
      <c r="T40" s="240">
        <v>3000000</v>
      </c>
      <c r="U40" s="240">
        <v>17358384.628200002</v>
      </c>
      <c r="V40" s="241">
        <f t="shared" si="26"/>
        <v>1754603495.4624</v>
      </c>
      <c r="X40" s="38">
        <v>44238</v>
      </c>
      <c r="Y40" s="240">
        <v>30000000</v>
      </c>
      <c r="Z40" s="240">
        <v>58547522.147399999</v>
      </c>
      <c r="AA40" s="241">
        <f t="shared" si="27"/>
        <v>1449292227.3455999</v>
      </c>
      <c r="AC40" s="38">
        <v>44602</v>
      </c>
      <c r="AD40" s="240">
        <v>60000000</v>
      </c>
      <c r="AE40" s="240">
        <v>95947458.248400003</v>
      </c>
      <c r="AF40" s="241">
        <f t="shared" si="28"/>
        <v>1914215285.7432001</v>
      </c>
      <c r="AG40" s="241"/>
      <c r="AH40" s="38">
        <v>44973</v>
      </c>
      <c r="AI40" s="240">
        <v>8000000</v>
      </c>
      <c r="AJ40" s="240">
        <v>33117237.976321075</v>
      </c>
      <c r="AK40" s="241">
        <f t="shared" si="29"/>
        <v>2081938955.4734445</v>
      </c>
      <c r="AM40" s="32">
        <v>33</v>
      </c>
      <c r="AN40" s="39">
        <f t="shared" si="0"/>
        <v>0.69135214871799977</v>
      </c>
      <c r="AO40" s="39">
        <f t="shared" si="1"/>
        <v>1.6655636522052002</v>
      </c>
      <c r="AP40" s="39">
        <f t="shared" si="2"/>
        <v>1.7546034954623999</v>
      </c>
      <c r="AQ40" s="39">
        <f t="shared" si="3"/>
        <v>1.4492922273455999</v>
      </c>
      <c r="AR40" s="39">
        <f t="shared" si="30"/>
        <v>1.9142152857432</v>
      </c>
      <c r="AS40" s="39">
        <f t="shared" si="31"/>
        <v>2.0819389554734444</v>
      </c>
      <c r="AT40" s="39"/>
      <c r="AU40" s="39">
        <f t="shared" si="32"/>
        <v>1.694031253997871</v>
      </c>
      <c r="AV40" s="9"/>
      <c r="AW40" s="9"/>
      <c r="AX40" s="9"/>
      <c r="BF40" s="72"/>
      <c r="BG40" s="62" t="s">
        <v>98</v>
      </c>
      <c r="BH40" s="63">
        <f t="shared" ref="BH40:BN40" si="95">BH32-BH30</f>
        <v>0.82537497438512819</v>
      </c>
      <c r="BI40" s="63">
        <f t="shared" si="95"/>
        <v>1.0215119601576026</v>
      </c>
      <c r="BJ40" s="63">
        <f t="shared" si="95"/>
        <v>1.2814072798090059</v>
      </c>
      <c r="BK40" s="63">
        <f t="shared" si="95"/>
        <v>1.3035681378389739</v>
      </c>
      <c r="BL40" s="63">
        <f t="shared" si="95"/>
        <v>1.2354468106542869</v>
      </c>
      <c r="BM40" s="63">
        <f>BM32-BM30</f>
        <v>1.0777187838231868</v>
      </c>
      <c r="BN40" s="63">
        <f t="shared" si="95"/>
        <v>1.2354468106542869</v>
      </c>
      <c r="BZ40" s="60"/>
      <c r="CA40" s="65" t="s">
        <v>84</v>
      </c>
      <c r="CT40" s="41">
        <f t="shared" si="33"/>
        <v>44973</v>
      </c>
      <c r="CU40" s="9">
        <f t="shared" si="34"/>
        <v>2.0819389554734444</v>
      </c>
      <c r="CV40" s="9">
        <f t="shared" si="71"/>
        <v>1.2521400827084204</v>
      </c>
      <c r="CW40" s="9">
        <f t="shared" si="71"/>
        <v>1.4993983464340694</v>
      </c>
      <c r="CX40" s="9">
        <f t="shared" si="71"/>
        <v>1.5977550219994108</v>
      </c>
      <c r="CY40" s="9">
        <f t="shared" si="71"/>
        <v>1.6665662406368351</v>
      </c>
      <c r="CZ40" s="9">
        <f t="shared" si="71"/>
        <v>1.80538492215165</v>
      </c>
      <c r="DA40" s="9">
        <f t="shared" si="71"/>
        <v>1.9869203927762475</v>
      </c>
      <c r="DB40" s="9">
        <f t="shared" si="71"/>
        <v>2.1856736068766875</v>
      </c>
      <c r="DC40" s="9">
        <f t="shared" si="71"/>
        <v>2.3962898271586388</v>
      </c>
      <c r="DD40" s="9">
        <f t="shared" si="71"/>
        <v>2.5223369465326386</v>
      </c>
      <c r="DE40" s="9">
        <f t="shared" si="71"/>
        <v>2.7960450696918282</v>
      </c>
      <c r="DF40" s="9">
        <f t="shared" si="71"/>
        <v>3.3951197645447855</v>
      </c>
      <c r="DG40" s="32"/>
      <c r="DH40" s="32"/>
      <c r="DR40" s="41">
        <v>45337</v>
      </c>
      <c r="DS40" s="9">
        <v>2.6907703039999999</v>
      </c>
      <c r="DT40" s="9">
        <f t="shared" si="72"/>
        <v>1.3507040445949781</v>
      </c>
      <c r="DU40" s="9">
        <f t="shared" si="72"/>
        <v>1.5957035975910361</v>
      </c>
      <c r="DV40" s="9">
        <f t="shared" si="72"/>
        <v>1.7259218049910832</v>
      </c>
      <c r="DW40" s="9">
        <f t="shared" si="72"/>
        <v>1.8053455921174848</v>
      </c>
      <c r="DX40" s="9">
        <f t="shared" si="72"/>
        <v>1.9594724275427613</v>
      </c>
      <c r="DY40" s="9">
        <f t="shared" si="72"/>
        <v>2.1533592604619152</v>
      </c>
      <c r="DZ40" s="9">
        <f t="shared" si="72"/>
        <v>2.3725041499678134</v>
      </c>
      <c r="EA40" s="9">
        <f t="shared" si="72"/>
        <v>2.6055785849460853</v>
      </c>
      <c r="EB40" s="9">
        <f t="shared" si="72"/>
        <v>2.7465716730886722</v>
      </c>
      <c r="EC40" s="9">
        <f t="shared" si="72"/>
        <v>3.0199836906575923</v>
      </c>
      <c r="ED40" s="9">
        <f t="shared" si="72"/>
        <v>3.8705350470450983</v>
      </c>
      <c r="EE40" s="32"/>
      <c r="EF40" s="32"/>
      <c r="EQ40" s="41"/>
      <c r="ER40" s="9"/>
      <c r="ES40" s="9"/>
      <c r="ET40" s="9"/>
      <c r="EU40" s="9"/>
      <c r="EV40" s="9"/>
      <c r="EW40" s="9"/>
      <c r="EX40" s="9"/>
      <c r="EY40" s="9"/>
      <c r="EZ40" s="9"/>
      <c r="FA40" s="9"/>
      <c r="FB40" s="9"/>
      <c r="FC40" s="9"/>
      <c r="FD40" s="32"/>
      <c r="FE40" s="32"/>
      <c r="FF40" s="32"/>
      <c r="FG40" s="32"/>
      <c r="FH40" s="32"/>
      <c r="FI40" s="32"/>
      <c r="FJ40" s="32"/>
      <c r="FK40" s="32"/>
      <c r="FL40" s="41"/>
      <c r="FM40" s="9"/>
      <c r="FN40" s="9"/>
      <c r="FO40" s="9"/>
      <c r="FP40" s="9"/>
      <c r="FQ40" s="9"/>
      <c r="FR40" s="9"/>
      <c r="FS40" s="9"/>
      <c r="FT40" s="9"/>
      <c r="FU40" s="9"/>
      <c r="FV40" s="9"/>
      <c r="FW40" s="9"/>
      <c r="FX40" s="9"/>
      <c r="FY40" s="32"/>
      <c r="FZ40" s="32"/>
      <c r="GA40" s="32"/>
      <c r="GB40" s="32"/>
      <c r="GC40" s="41">
        <v>45701</v>
      </c>
      <c r="GD40" s="9">
        <v>1.9064217682766922</v>
      </c>
      <c r="GE40" s="9">
        <f t="shared" si="75"/>
        <v>1.5764509282169519</v>
      </c>
      <c r="GF40" s="9">
        <f t="shared" si="75"/>
        <v>1.7231704027418291</v>
      </c>
      <c r="GG40" s="9">
        <f t="shared" si="75"/>
        <v>1.8465182489079137</v>
      </c>
      <c r="GH40" s="9">
        <f t="shared" si="75"/>
        <v>1.9277296827516086</v>
      </c>
      <c r="GI40" s="9">
        <f t="shared" si="75"/>
        <v>2.0803231636166619</v>
      </c>
      <c r="GJ40" s="9">
        <f t="shared" si="75"/>
        <v>2.2721629092976632</v>
      </c>
      <c r="GK40" s="9">
        <f t="shared" si="75"/>
        <v>2.5006121363963225</v>
      </c>
      <c r="GL40" s="9">
        <f t="shared" si="75"/>
        <v>2.7350354274586177</v>
      </c>
      <c r="GM40" s="9">
        <f t="shared" si="75"/>
        <v>2.8811635540044302</v>
      </c>
      <c r="GN40" s="9">
        <f t="shared" si="75"/>
        <v>3.1760551050900792</v>
      </c>
      <c r="GO40" s="9">
        <f t="shared" si="75"/>
        <v>3.9981466268101244</v>
      </c>
      <c r="GP40" s="32"/>
      <c r="GQ40" s="32"/>
      <c r="HA40" s="67">
        <v>0.25</v>
      </c>
      <c r="HB40" s="7">
        <v>0.86460548659078007</v>
      </c>
      <c r="HC40" s="7"/>
      <c r="HD40" s="68">
        <v>16</v>
      </c>
      <c r="HE40" s="69">
        <f t="shared" si="89"/>
        <v>5.4037842911923754E-2</v>
      </c>
      <c r="HF40" s="69"/>
      <c r="HG40" s="7">
        <v>5.4037842911923754E-2</v>
      </c>
      <c r="HM40" s="9">
        <v>4.1029262067964742E-2</v>
      </c>
      <c r="HN40" s="9">
        <v>5.9766786902740301E-2</v>
      </c>
      <c r="HO40" s="9"/>
      <c r="HP40" s="9">
        <v>3.908971312687886E-2</v>
      </c>
      <c r="HQ40" s="9">
        <v>6.0979004990918975E-2</v>
      </c>
      <c r="HR40" s="9"/>
      <c r="HS40" s="32"/>
      <c r="HT40" s="32"/>
      <c r="HU40" s="32"/>
      <c r="HV40" s="67">
        <v>0.25</v>
      </c>
      <c r="HW40" s="7">
        <v>0.39089713126878861</v>
      </c>
      <c r="HX40" s="68">
        <v>10</v>
      </c>
      <c r="HY40" s="69">
        <f t="shared" si="90"/>
        <v>3.908971312687886E-2</v>
      </c>
      <c r="HZ40" s="69"/>
      <c r="IA40" s="7">
        <v>3.908971312687886E-2</v>
      </c>
      <c r="IG40" s="9">
        <v>4.1029262067964742E-2</v>
      </c>
      <c r="IH40" s="9">
        <v>5.9766786902740301E-2</v>
      </c>
      <c r="II40" s="9"/>
      <c r="IJ40" s="9">
        <v>3.908971312687886E-2</v>
      </c>
      <c r="IK40" s="9">
        <v>6.0979004990918975E-2</v>
      </c>
      <c r="IL40" s="9"/>
      <c r="IM40" s="32"/>
      <c r="IN40" s="32"/>
      <c r="IO40" s="32"/>
      <c r="IZ40" s="41">
        <f t="shared" si="11"/>
        <v>44973</v>
      </c>
      <c r="JA40" s="9">
        <f t="shared" si="11"/>
        <v>2.0819389554734444</v>
      </c>
      <c r="JB40" s="9"/>
      <c r="JC40" s="9"/>
      <c r="JD40" s="9"/>
      <c r="JE40" s="9"/>
      <c r="JF40" s="9"/>
      <c r="JG40" s="9"/>
      <c r="JH40" s="9"/>
      <c r="JI40" s="9"/>
      <c r="JJ40" s="9"/>
      <c r="JK40" s="9"/>
      <c r="JL40" s="9"/>
      <c r="JM40" s="9"/>
      <c r="JX40" s="41">
        <v>44973</v>
      </c>
      <c r="JY40" s="9"/>
      <c r="JZ40" s="9">
        <f t="shared" si="76"/>
        <v>2.2857231858349523</v>
      </c>
      <c r="KA40" s="9">
        <f t="shared" si="76"/>
        <v>2.0656062797992609</v>
      </c>
      <c r="KB40" s="9"/>
      <c r="KM40" s="41"/>
      <c r="KN40" s="241"/>
      <c r="KO40" s="241"/>
      <c r="KQ40" s="41"/>
      <c r="KR40" s="241"/>
      <c r="KS40" s="241"/>
      <c r="KU40" s="41"/>
      <c r="KV40" s="241"/>
      <c r="KW40" s="241"/>
      <c r="KY40" s="41"/>
      <c r="KZ40" s="241"/>
      <c r="LA40" s="241"/>
      <c r="LC40" s="41"/>
      <c r="LD40" s="241"/>
      <c r="LE40" s="241"/>
      <c r="LK40" s="41"/>
      <c r="LL40" s="241"/>
      <c r="LM40" s="241"/>
      <c r="MA40" s="32"/>
      <c r="MB40" s="32"/>
      <c r="MC40" s="32"/>
      <c r="MD40" s="32"/>
      <c r="ME40" s="32"/>
      <c r="MF40" s="32"/>
      <c r="MG40" s="32"/>
      <c r="MH40" s="39"/>
      <c r="MI40" s="39"/>
      <c r="MJ40" s="39"/>
      <c r="MK40" s="39"/>
      <c r="ML40" s="9"/>
      <c r="MM40" s="9"/>
      <c r="MN40" s="9"/>
      <c r="MV40" s="72"/>
      <c r="MW40" s="73"/>
      <c r="NS40" s="67">
        <v>0.05</v>
      </c>
      <c r="NT40" s="7">
        <v>1.1027578520842949</v>
      </c>
      <c r="NU40" s="68">
        <v>26</v>
      </c>
      <c r="NV40" s="69">
        <f t="shared" ref="NV40:NV47" si="96">NT40/NU40</f>
        <v>4.2413763541703647E-2</v>
      </c>
      <c r="NW40" s="69"/>
      <c r="NX40" s="7">
        <v>4.2413763541703647E-2</v>
      </c>
      <c r="NY40" s="11"/>
      <c r="OF40" s="32"/>
      <c r="OG40" s="32"/>
      <c r="OR40" s="67">
        <v>0.05</v>
      </c>
      <c r="OS40" s="7">
        <v>0.33236757343185008</v>
      </c>
      <c r="OT40" s="248">
        <f t="shared" si="92"/>
        <v>9</v>
      </c>
      <c r="OU40" s="69">
        <f t="shared" ref="OU40:OU47" si="97">OS40/OT40</f>
        <v>3.6929730381316674E-2</v>
      </c>
      <c r="OV40" s="69"/>
      <c r="OW40" s="10">
        <v>3.6929730381316674E-2</v>
      </c>
      <c r="OX40" s="11"/>
      <c r="PC40" s="9"/>
      <c r="PD40" s="9"/>
      <c r="PE40" s="9"/>
    </row>
    <row r="41" spans="2:423" x14ac:dyDescent="0.25">
      <c r="B41" s="48">
        <v>42971</v>
      </c>
      <c r="C41" s="49">
        <v>14976750.524999999</v>
      </c>
      <c r="D41" s="49">
        <v>16120500</v>
      </c>
      <c r="E41" s="50">
        <v>6000000</v>
      </c>
      <c r="F41" s="50"/>
      <c r="G41" s="50"/>
      <c r="H41" s="50"/>
      <c r="I41" s="38">
        <v>43153</v>
      </c>
      <c r="J41" s="240">
        <v>6000000</v>
      </c>
      <c r="K41" s="240">
        <v>15915313.997</v>
      </c>
      <c r="L41" s="241">
        <f t="shared" si="24"/>
        <v>707267462.71499979</v>
      </c>
      <c r="N41" s="38">
        <v>43517</v>
      </c>
      <c r="O41" s="240">
        <v>30000000</v>
      </c>
      <c r="P41" s="240">
        <v>47285578.916400008</v>
      </c>
      <c r="Q41" s="241">
        <f t="shared" si="25"/>
        <v>1712849231.1216002</v>
      </c>
      <c r="S41" s="38">
        <v>43881</v>
      </c>
      <c r="T41" s="240">
        <v>8000000</v>
      </c>
      <c r="U41" s="240">
        <v>26167262.939400002</v>
      </c>
      <c r="V41" s="241">
        <f t="shared" si="26"/>
        <v>1780770758.4017999</v>
      </c>
      <c r="X41" s="38">
        <v>44245</v>
      </c>
      <c r="Y41" s="240">
        <v>50000000</v>
      </c>
      <c r="Z41" s="240">
        <v>95321410.008000001</v>
      </c>
      <c r="AA41" s="241">
        <f t="shared" si="27"/>
        <v>1544613637.3535998</v>
      </c>
      <c r="AC41" s="38">
        <v>44609</v>
      </c>
      <c r="AD41" s="240">
        <v>80000000</v>
      </c>
      <c r="AE41" s="240">
        <v>141654425.088</v>
      </c>
      <c r="AF41" s="241">
        <f t="shared" si="28"/>
        <v>2055869710.8312001</v>
      </c>
      <c r="AG41" s="241"/>
      <c r="AH41" s="38">
        <v>44980</v>
      </c>
      <c r="AI41" s="240">
        <v>20000000</v>
      </c>
      <c r="AJ41" s="240">
        <v>53129121.322541811</v>
      </c>
      <c r="AK41" s="241">
        <f t="shared" si="29"/>
        <v>2135068076.7959862</v>
      </c>
      <c r="AM41" s="32">
        <v>34</v>
      </c>
      <c r="AN41" s="39">
        <f t="shared" si="0"/>
        <v>0.70726746271499974</v>
      </c>
      <c r="AO41" s="39">
        <f t="shared" si="1"/>
        <v>1.7128492311216001</v>
      </c>
      <c r="AP41" s="39">
        <f t="shared" si="2"/>
        <v>1.7807707584018</v>
      </c>
      <c r="AQ41" s="39">
        <f t="shared" si="3"/>
        <v>1.5446136373535997</v>
      </c>
      <c r="AR41" s="39">
        <f t="shared" si="30"/>
        <v>2.0558697108312001</v>
      </c>
      <c r="AS41" s="39">
        <f t="shared" si="31"/>
        <v>2.135068076795986</v>
      </c>
      <c r="AT41" s="39"/>
      <c r="AU41" s="39">
        <f t="shared" si="32"/>
        <v>1.7469697306853045</v>
      </c>
      <c r="AV41" s="9"/>
      <c r="AW41" s="9"/>
      <c r="AX41" s="9"/>
      <c r="BF41" s="72"/>
      <c r="BG41" s="73"/>
      <c r="BZ41" s="60"/>
      <c r="CA41" s="64" t="s">
        <v>86</v>
      </c>
      <c r="CB41" s="63">
        <f>CB28</f>
        <v>3</v>
      </c>
      <c r="CC41" s="63">
        <f>CC28</f>
        <v>10</v>
      </c>
      <c r="CD41" s="63">
        <f t="shared" ref="CD41:CI41" si="98">CD28</f>
        <v>4.4807692307692308</v>
      </c>
      <c r="CE41" s="63">
        <f t="shared" si="98"/>
        <v>11</v>
      </c>
      <c r="CF41" s="63">
        <f t="shared" si="98"/>
        <v>9</v>
      </c>
      <c r="CG41" s="63">
        <f t="shared" si="98"/>
        <v>16</v>
      </c>
      <c r="CH41" s="63">
        <f t="shared" si="98"/>
        <v>14</v>
      </c>
      <c r="CI41" s="63">
        <f t="shared" si="98"/>
        <v>10</v>
      </c>
      <c r="CT41" s="41">
        <f t="shared" si="33"/>
        <v>44980</v>
      </c>
      <c r="CU41" s="9">
        <f t="shared" si="34"/>
        <v>2.135068076795986</v>
      </c>
      <c r="CV41" s="9">
        <f t="shared" ref="CV41:DF56" si="99">CV40+CV$2</f>
        <v>1.2900837215783725</v>
      </c>
      <c r="CW41" s="9">
        <f t="shared" si="99"/>
        <v>1.5448346599623746</v>
      </c>
      <c r="CX41" s="9">
        <f t="shared" si="99"/>
        <v>1.6461718408478778</v>
      </c>
      <c r="CY41" s="9">
        <f t="shared" si="99"/>
        <v>1.7170682479288604</v>
      </c>
      <c r="CZ41" s="9">
        <f t="shared" si="99"/>
        <v>1.8600935561562455</v>
      </c>
      <c r="DA41" s="9">
        <f t="shared" si="99"/>
        <v>2.0471301016482553</v>
      </c>
      <c r="DB41" s="9">
        <f t="shared" si="99"/>
        <v>2.2519061404184053</v>
      </c>
      <c r="DC41" s="9">
        <f t="shared" si="99"/>
        <v>2.4689046704058701</v>
      </c>
      <c r="DD41" s="9">
        <f t="shared" si="99"/>
        <v>2.5987713994578701</v>
      </c>
      <c r="DE41" s="9">
        <f t="shared" si="99"/>
        <v>2.8807737081673381</v>
      </c>
      <c r="DF41" s="9">
        <f t="shared" si="99"/>
        <v>3.4980021816522031</v>
      </c>
      <c r="DG41" s="32"/>
      <c r="DH41" s="32"/>
      <c r="DR41" s="41">
        <v>45344</v>
      </c>
      <c r="DS41" s="9">
        <v>2.7190100350000002</v>
      </c>
      <c r="DT41" s="9">
        <f t="shared" ref="DT41:ED56" si="100">DT40+DT$2</f>
        <v>1.3916344701887653</v>
      </c>
      <c r="DU41" s="9">
        <f t="shared" si="100"/>
        <v>1.6440582520634917</v>
      </c>
      <c r="DV41" s="9">
        <f t="shared" si="100"/>
        <v>1.7782224657483887</v>
      </c>
      <c r="DW41" s="9">
        <f t="shared" si="100"/>
        <v>1.8600530343028632</v>
      </c>
      <c r="DX41" s="9">
        <f t="shared" si="100"/>
        <v>2.0188503798925419</v>
      </c>
      <c r="DY41" s="9">
        <f t="shared" si="100"/>
        <v>2.2186125713850036</v>
      </c>
      <c r="DZ41" s="9">
        <f t="shared" si="100"/>
        <v>2.4443982151183534</v>
      </c>
      <c r="EA41" s="9">
        <f t="shared" si="100"/>
        <v>2.6845355117626335</v>
      </c>
      <c r="EB41" s="9">
        <f t="shared" si="100"/>
        <v>2.8298011177277229</v>
      </c>
      <c r="EC41" s="9">
        <f t="shared" si="100"/>
        <v>3.1114983479502465</v>
      </c>
      <c r="ED41" s="9">
        <f t="shared" si="100"/>
        <v>3.9878239878646466</v>
      </c>
      <c r="EE41" s="32"/>
      <c r="EF41" s="32"/>
      <c r="EQ41" s="41"/>
      <c r="ER41" s="9"/>
      <c r="ES41" s="9"/>
      <c r="ET41" s="9"/>
      <c r="EU41" s="9"/>
      <c r="EV41" s="9"/>
      <c r="EW41" s="9"/>
      <c r="EX41" s="9"/>
      <c r="EY41" s="9"/>
      <c r="EZ41" s="9"/>
      <c r="FA41" s="9"/>
      <c r="FB41" s="9"/>
      <c r="FC41" s="9"/>
      <c r="FD41" s="32"/>
      <c r="FE41" s="32"/>
      <c r="FF41" s="32"/>
      <c r="FG41" s="32"/>
      <c r="FH41" s="32"/>
      <c r="FI41" s="32"/>
      <c r="FJ41" s="32"/>
      <c r="FK41" s="32"/>
      <c r="FL41" s="41"/>
      <c r="FM41" s="9"/>
      <c r="FN41" s="9"/>
      <c r="FO41" s="9"/>
      <c r="FP41" s="9"/>
      <c r="FQ41" s="9"/>
      <c r="FR41" s="9"/>
      <c r="FS41" s="9"/>
      <c r="FT41" s="9"/>
      <c r="FU41" s="9"/>
      <c r="FV41" s="9"/>
      <c r="FW41" s="9"/>
      <c r="FX41" s="9"/>
      <c r="FY41" s="32"/>
      <c r="FZ41" s="32"/>
      <c r="GA41" s="32"/>
      <c r="GB41" s="32"/>
      <c r="GC41" s="41">
        <v>45708</v>
      </c>
      <c r="GD41" s="9">
        <v>1.9587768114030732</v>
      </c>
      <c r="GE41" s="9">
        <f t="shared" ref="GE41:GO56" si="101">GE40+GE$2</f>
        <v>1.6242221684659504</v>
      </c>
      <c r="GF41" s="9">
        <f t="shared" si="101"/>
        <v>1.7753876876733996</v>
      </c>
      <c r="GG41" s="9">
        <f t="shared" si="101"/>
        <v>1.9024733473596687</v>
      </c>
      <c r="GH41" s="9">
        <f t="shared" si="101"/>
        <v>1.9861457337440815</v>
      </c>
      <c r="GI41" s="9">
        <f t="shared" si="101"/>
        <v>2.1433632594838334</v>
      </c>
      <c r="GJ41" s="9">
        <f t="shared" si="101"/>
        <v>2.3410163307915317</v>
      </c>
      <c r="GK41" s="9">
        <f t="shared" si="101"/>
        <v>2.5763882617416658</v>
      </c>
      <c r="GL41" s="9">
        <f t="shared" si="101"/>
        <v>2.8179152888967578</v>
      </c>
      <c r="GM41" s="9">
        <f t="shared" si="101"/>
        <v>2.9684715404894129</v>
      </c>
      <c r="GN41" s="9">
        <f t="shared" si="101"/>
        <v>3.2722991991837178</v>
      </c>
      <c r="GO41" s="9">
        <f t="shared" si="101"/>
        <v>4.1193025851983096</v>
      </c>
      <c r="GP41" s="32"/>
      <c r="GQ41" s="32"/>
      <c r="HA41" s="67">
        <v>0.5</v>
      </c>
      <c r="HB41" s="7">
        <v>0.97010760104808003</v>
      </c>
      <c r="HC41" s="7"/>
      <c r="HD41" s="68">
        <v>16</v>
      </c>
      <c r="HE41" s="69">
        <f t="shared" si="89"/>
        <v>6.0631725065505002E-2</v>
      </c>
      <c r="HF41" s="69"/>
      <c r="HG41" s="7">
        <v>6.0631725065505002E-2</v>
      </c>
      <c r="HM41" s="9">
        <v>4.6570691216406578E-2</v>
      </c>
      <c r="HN41" s="9">
        <v>6.8802632027361463E-2</v>
      </c>
      <c r="HO41" s="9"/>
      <c r="HP41" s="9">
        <v>4.3805355433506867E-2</v>
      </c>
      <c r="HQ41" s="9">
        <v>7.0530966891673791E-2</v>
      </c>
      <c r="HR41" s="9"/>
      <c r="HS41" s="32"/>
      <c r="HT41" s="32"/>
      <c r="HU41" s="32"/>
      <c r="HV41" s="67">
        <v>0.5</v>
      </c>
      <c r="HW41" s="7">
        <v>0.43805355433506865</v>
      </c>
      <c r="HX41" s="68">
        <v>10</v>
      </c>
      <c r="HY41" s="69">
        <f t="shared" si="90"/>
        <v>4.3805355433506867E-2</v>
      </c>
      <c r="HZ41" s="69"/>
      <c r="IA41" s="7">
        <v>4.3805355433506867E-2</v>
      </c>
      <c r="IG41" s="9">
        <v>4.6570691216406578E-2</v>
      </c>
      <c r="IH41" s="9">
        <v>6.8802632027361463E-2</v>
      </c>
      <c r="II41" s="9"/>
      <c r="IJ41" s="9">
        <v>4.3805355433506867E-2</v>
      </c>
      <c r="IK41" s="9">
        <v>7.0530966891673791E-2</v>
      </c>
      <c r="IL41" s="9"/>
      <c r="IM41" s="32"/>
      <c r="IN41" s="32"/>
      <c r="IO41" s="32"/>
      <c r="IZ41" s="41">
        <f t="shared" si="11"/>
        <v>44980</v>
      </c>
      <c r="JA41" s="9">
        <f t="shared" si="11"/>
        <v>2.135068076795986</v>
      </c>
      <c r="JB41" s="9"/>
      <c r="JC41" s="9"/>
      <c r="JD41" s="9"/>
      <c r="JE41" s="9"/>
      <c r="JF41" s="9"/>
      <c r="JG41" s="9"/>
      <c r="JH41" s="9"/>
      <c r="JI41" s="9"/>
      <c r="JJ41" s="9"/>
      <c r="JK41" s="9"/>
      <c r="JL41" s="9"/>
      <c r="JM41" s="9"/>
      <c r="JX41" s="41">
        <v>44980</v>
      </c>
      <c r="JY41" s="9"/>
      <c r="JZ41" s="9">
        <f t="shared" ref="JZ41:KA56" si="102">JZ40+JZ$2</f>
        <v>2.3532926182454368</v>
      </c>
      <c r="KA41" s="9">
        <f t="shared" si="102"/>
        <v>2.1194184055825147</v>
      </c>
      <c r="KB41" s="9"/>
      <c r="KM41" s="41"/>
      <c r="KN41" s="241"/>
      <c r="KO41" s="241"/>
      <c r="KQ41" s="41"/>
      <c r="KR41" s="241"/>
      <c r="KS41" s="241"/>
      <c r="KU41" s="41"/>
      <c r="KV41" s="241"/>
      <c r="KW41" s="241"/>
      <c r="KY41" s="41"/>
      <c r="KZ41" s="241"/>
      <c r="LA41" s="241"/>
      <c r="LC41" s="41"/>
      <c r="LD41" s="241"/>
      <c r="LE41" s="241"/>
      <c r="LK41" s="41"/>
      <c r="LL41" s="241"/>
      <c r="LM41" s="241"/>
      <c r="MA41" s="32"/>
      <c r="MB41" s="32"/>
      <c r="MC41" s="32"/>
      <c r="MD41" s="32"/>
      <c r="ME41" s="32"/>
      <c r="MF41" s="32"/>
      <c r="MG41" s="32"/>
      <c r="MH41" s="39"/>
      <c r="MI41" s="39"/>
      <c r="MJ41" s="39"/>
      <c r="MK41" s="39"/>
      <c r="ML41" s="9"/>
      <c r="MM41" s="9"/>
      <c r="MN41" s="9"/>
      <c r="MV41" s="72"/>
      <c r="MW41" s="64" t="s">
        <v>86</v>
      </c>
      <c r="MX41" s="63">
        <f t="shared" ref="MX41:NH41" si="103">MX21</f>
        <v>0.37583408158170628</v>
      </c>
      <c r="MY41" s="63">
        <f t="shared" si="103"/>
        <v>0.48334225115126928</v>
      </c>
      <c r="MZ41" s="63">
        <f t="shared" si="103"/>
        <v>0.61617600454795007</v>
      </c>
      <c r="NA41" s="63">
        <f t="shared" si="103"/>
        <v>0.5812529123496698</v>
      </c>
      <c r="NB41" s="63">
        <f t="shared" si="103"/>
        <v>0.64077554229480016</v>
      </c>
      <c r="NC41" s="63">
        <f t="shared" si="103"/>
        <v>0.68960513609679974</v>
      </c>
      <c r="ND41" s="63">
        <f t="shared" si="103"/>
        <v>0.89806694538667831</v>
      </c>
      <c r="NE41" s="63">
        <f t="shared" si="103"/>
        <v>0.69842772105810014</v>
      </c>
      <c r="NF41" s="63">
        <f t="shared" si="103"/>
        <v>0.92649137214238053</v>
      </c>
      <c r="NG41" s="63">
        <f t="shared" si="103"/>
        <v>0.85497303346455</v>
      </c>
      <c r="NH41" s="63">
        <f t="shared" si="103"/>
        <v>0.56828039575230005</v>
      </c>
      <c r="NS41" s="67">
        <v>0.1</v>
      </c>
      <c r="NT41" s="7">
        <v>1.1668613902076999</v>
      </c>
      <c r="NU41" s="68">
        <v>26</v>
      </c>
      <c r="NV41" s="69">
        <f t="shared" si="96"/>
        <v>4.4879284238757686E-2</v>
      </c>
      <c r="NW41" s="69"/>
      <c r="NX41" s="7">
        <v>4.4879284238757686E-2</v>
      </c>
      <c r="NY41" s="11"/>
      <c r="OF41" s="32"/>
      <c r="OG41" s="32"/>
      <c r="OR41" s="67">
        <v>0.1</v>
      </c>
      <c r="OS41" s="7">
        <v>0.37060846656900004</v>
      </c>
      <c r="OT41" s="248">
        <f t="shared" si="92"/>
        <v>9</v>
      </c>
      <c r="OU41" s="69">
        <f t="shared" si="97"/>
        <v>4.1178718507666669E-2</v>
      </c>
      <c r="OV41" s="69"/>
      <c r="OW41" s="10">
        <v>4.1178718507666669E-2</v>
      </c>
      <c r="OX41" s="11"/>
      <c r="PC41" s="9"/>
      <c r="PD41" s="9"/>
      <c r="PE41" s="9"/>
    </row>
    <row r="42" spans="2:423" x14ac:dyDescent="0.25">
      <c r="B42" s="48">
        <v>42978</v>
      </c>
      <c r="C42" s="49">
        <v>17345846.605999999</v>
      </c>
      <c r="D42" s="49">
        <v>18670520</v>
      </c>
      <c r="E42" s="50">
        <v>10000000</v>
      </c>
      <c r="F42" s="50"/>
      <c r="G42" s="50"/>
      <c r="H42" s="50"/>
      <c r="I42" s="38">
        <v>43160</v>
      </c>
      <c r="J42" s="240">
        <v>10000000</v>
      </c>
      <c r="K42" s="240">
        <v>20082437.704999998</v>
      </c>
      <c r="L42" s="241">
        <f t="shared" si="24"/>
        <v>727349900.41999984</v>
      </c>
      <c r="N42" s="38">
        <v>43524</v>
      </c>
      <c r="O42" s="240">
        <v>40000000</v>
      </c>
      <c r="P42" s="240">
        <v>54494451.89100001</v>
      </c>
      <c r="Q42" s="241">
        <f t="shared" si="25"/>
        <v>1767343683.0126002</v>
      </c>
      <c r="S42" s="38">
        <v>43888</v>
      </c>
      <c r="T42" s="240">
        <v>12000000</v>
      </c>
      <c r="U42" s="240">
        <v>33133390.916999999</v>
      </c>
      <c r="V42" s="241">
        <f t="shared" si="26"/>
        <v>1813904149.3188</v>
      </c>
      <c r="X42" s="38">
        <v>44252</v>
      </c>
      <c r="Y42" s="240">
        <v>8000000</v>
      </c>
      <c r="Z42" s="240">
        <v>28874373.0462</v>
      </c>
      <c r="AA42" s="241">
        <f t="shared" si="27"/>
        <v>1573488010.3997998</v>
      </c>
      <c r="AC42" s="38">
        <v>44616</v>
      </c>
      <c r="AD42" s="240">
        <v>120000000</v>
      </c>
      <c r="AE42" s="240">
        <v>301559461.65180004</v>
      </c>
      <c r="AF42" s="241">
        <f t="shared" si="28"/>
        <v>2357429172.4830003</v>
      </c>
      <c r="AG42" s="241"/>
      <c r="AH42" s="38">
        <v>44987</v>
      </c>
      <c r="AI42" s="240">
        <v>40000000</v>
      </c>
      <c r="AJ42" s="240">
        <v>73593952.836120397</v>
      </c>
      <c r="AK42" s="241">
        <f t="shared" si="29"/>
        <v>2208662029.6321068</v>
      </c>
      <c r="AM42" s="32">
        <v>35</v>
      </c>
      <c r="AN42" s="39">
        <f t="shared" si="0"/>
        <v>0.72734990041999981</v>
      </c>
      <c r="AO42" s="39">
        <f t="shared" si="1"/>
        <v>1.7673436830126001</v>
      </c>
      <c r="AP42" s="39">
        <f t="shared" si="2"/>
        <v>1.8139041493188</v>
      </c>
      <c r="AQ42" s="39">
        <f t="shared" si="3"/>
        <v>1.5734880103997999</v>
      </c>
      <c r="AR42" s="39">
        <f t="shared" si="30"/>
        <v>2.3574291724830001</v>
      </c>
      <c r="AS42" s="39">
        <f t="shared" si="31"/>
        <v>2.2086620296321069</v>
      </c>
      <c r="AT42" s="39"/>
      <c r="AU42" s="39">
        <f t="shared" si="32"/>
        <v>1.7999082073727379</v>
      </c>
      <c r="AV42" s="9"/>
      <c r="AW42" s="9"/>
      <c r="AX42" s="9"/>
      <c r="BF42" s="72"/>
      <c r="BG42" s="64" t="s">
        <v>86</v>
      </c>
      <c r="BH42" s="63">
        <f t="shared" ref="BH42:BN42" si="104">BH22</f>
        <v>0.88898749196337468</v>
      </c>
      <c r="BI42" s="63">
        <f t="shared" si="104"/>
        <v>1.2628339576374232</v>
      </c>
      <c r="BJ42" s="63">
        <f t="shared" si="104"/>
        <v>1.497466908542763</v>
      </c>
      <c r="BK42" s="63">
        <f t="shared" si="104"/>
        <v>1.8014767645404111</v>
      </c>
      <c r="BL42" s="63">
        <f t="shared" si="104"/>
        <v>1.8374304196768296</v>
      </c>
      <c r="BM42" s="63">
        <f>BM22</f>
        <v>1.6867811392566225</v>
      </c>
      <c r="BN42" s="63">
        <f t="shared" si="104"/>
        <v>1.8374304196768296</v>
      </c>
      <c r="BZ42" s="60"/>
      <c r="CA42" s="62" t="s">
        <v>92</v>
      </c>
      <c r="CB42" s="63">
        <f>CB30-CB28</f>
        <v>8</v>
      </c>
      <c r="CC42" s="63">
        <f>CC30-CC28</f>
        <v>7</v>
      </c>
      <c r="CD42" s="63">
        <f t="shared" ref="CD42:CI42" si="105">CD30-CD28</f>
        <v>7.7884615384615392</v>
      </c>
      <c r="CE42" s="63">
        <f t="shared" si="105"/>
        <v>7</v>
      </c>
      <c r="CF42" s="63">
        <f t="shared" si="105"/>
        <v>7</v>
      </c>
      <c r="CG42" s="63">
        <f t="shared" si="105"/>
        <v>7</v>
      </c>
      <c r="CH42" s="63">
        <f t="shared" si="105"/>
        <v>8</v>
      </c>
      <c r="CI42" s="63">
        <f t="shared" si="105"/>
        <v>6</v>
      </c>
      <c r="CT42" s="41">
        <f t="shared" si="33"/>
        <v>44987</v>
      </c>
      <c r="CU42" s="9">
        <f t="shared" si="34"/>
        <v>2.2086620296321069</v>
      </c>
      <c r="CV42" s="9">
        <f t="shared" si="99"/>
        <v>1.3280273604483246</v>
      </c>
      <c r="CW42" s="9">
        <f t="shared" si="99"/>
        <v>1.5902709734906797</v>
      </c>
      <c r="CX42" s="9">
        <f t="shared" si="99"/>
        <v>1.6945886596963449</v>
      </c>
      <c r="CY42" s="9">
        <f t="shared" si="99"/>
        <v>1.7675702552208856</v>
      </c>
      <c r="CZ42" s="9">
        <f t="shared" si="99"/>
        <v>1.914802190160841</v>
      </c>
      <c r="DA42" s="9">
        <f t="shared" si="99"/>
        <v>2.107339810520263</v>
      </c>
      <c r="DB42" s="9">
        <f t="shared" si="99"/>
        <v>2.3181386739601231</v>
      </c>
      <c r="DC42" s="9">
        <f t="shared" si="99"/>
        <v>2.5415195136531015</v>
      </c>
      <c r="DD42" s="9">
        <f t="shared" si="99"/>
        <v>2.6752058523831015</v>
      </c>
      <c r="DE42" s="9">
        <f t="shared" si="99"/>
        <v>2.9655023466428481</v>
      </c>
      <c r="DF42" s="9">
        <f t="shared" si="99"/>
        <v>3.6008845987596207</v>
      </c>
      <c r="DG42" s="32"/>
      <c r="DH42" s="32"/>
      <c r="DR42" s="41">
        <v>45351</v>
      </c>
      <c r="DS42" s="9">
        <v>2.7637315569999998</v>
      </c>
      <c r="DT42" s="9">
        <f t="shared" si="100"/>
        <v>1.4325648957825525</v>
      </c>
      <c r="DU42" s="9">
        <f t="shared" si="100"/>
        <v>1.6924129065359472</v>
      </c>
      <c r="DV42" s="9">
        <f t="shared" si="100"/>
        <v>1.8305231265056943</v>
      </c>
      <c r="DW42" s="9">
        <f t="shared" si="100"/>
        <v>1.9147604764882415</v>
      </c>
      <c r="DX42" s="9">
        <f t="shared" si="100"/>
        <v>2.0782283322423227</v>
      </c>
      <c r="DY42" s="9">
        <f t="shared" si="100"/>
        <v>2.283865882308092</v>
      </c>
      <c r="DZ42" s="9">
        <f t="shared" si="100"/>
        <v>2.5162922802688934</v>
      </c>
      <c r="EA42" s="9">
        <f t="shared" si="100"/>
        <v>2.7634924385791817</v>
      </c>
      <c r="EB42" s="9">
        <f t="shared" si="100"/>
        <v>2.9130305623667736</v>
      </c>
      <c r="EC42" s="9">
        <f t="shared" si="100"/>
        <v>3.2030130052429007</v>
      </c>
      <c r="ED42" s="9">
        <f t="shared" si="100"/>
        <v>4.1051129286841954</v>
      </c>
      <c r="EE42" s="32"/>
      <c r="EF42" s="32"/>
      <c r="EQ42" s="41"/>
      <c r="ER42" s="9"/>
      <c r="ES42" s="9"/>
      <c r="ET42" s="9"/>
      <c r="EU42" s="9"/>
      <c r="EV42" s="9"/>
      <c r="EW42" s="9"/>
      <c r="EX42" s="9"/>
      <c r="EY42" s="9"/>
      <c r="EZ42" s="9"/>
      <c r="FA42" s="9"/>
      <c r="FB42" s="9"/>
      <c r="FC42" s="9"/>
      <c r="FD42" s="32"/>
      <c r="FE42" s="32"/>
      <c r="FF42" s="32"/>
      <c r="FG42" s="32"/>
      <c r="FH42" s="32"/>
      <c r="FI42" s="32"/>
      <c r="FJ42" s="32"/>
      <c r="FK42" s="32"/>
      <c r="FL42" s="41"/>
      <c r="FM42" s="9"/>
      <c r="FN42" s="9"/>
      <c r="FO42" s="9"/>
      <c r="FP42" s="9"/>
      <c r="FQ42" s="9"/>
      <c r="FR42" s="9"/>
      <c r="FS42" s="9"/>
      <c r="FT42" s="9"/>
      <c r="FU42" s="9"/>
      <c r="FV42" s="9"/>
      <c r="FW42" s="9"/>
      <c r="FX42" s="9"/>
      <c r="FY42" s="32"/>
      <c r="FZ42" s="32"/>
      <c r="GA42" s="32"/>
      <c r="GB42" s="32"/>
      <c r="GC42" s="41">
        <v>45715</v>
      </c>
      <c r="GD42" s="9">
        <v>2.0224824717046097</v>
      </c>
      <c r="GE42" s="9">
        <f t="shared" si="101"/>
        <v>1.6719934087149488</v>
      </c>
      <c r="GF42" s="9">
        <f t="shared" si="101"/>
        <v>1.8276049726049701</v>
      </c>
      <c r="GG42" s="9">
        <f t="shared" si="101"/>
        <v>1.9584284458114236</v>
      </c>
      <c r="GH42" s="9">
        <f t="shared" si="101"/>
        <v>2.0445617847365547</v>
      </c>
      <c r="GI42" s="9">
        <f t="shared" si="101"/>
        <v>2.206403355351005</v>
      </c>
      <c r="GJ42" s="9">
        <f t="shared" si="101"/>
        <v>2.4098697522854002</v>
      </c>
      <c r="GK42" s="9">
        <f t="shared" si="101"/>
        <v>2.6521643870870091</v>
      </c>
      <c r="GL42" s="9">
        <f t="shared" si="101"/>
        <v>2.9007951503348979</v>
      </c>
      <c r="GM42" s="9">
        <f t="shared" si="101"/>
        <v>3.0557795269743955</v>
      </c>
      <c r="GN42" s="9">
        <f t="shared" si="101"/>
        <v>3.3685432932773565</v>
      </c>
      <c r="GO42" s="9">
        <f t="shared" si="101"/>
        <v>4.2404585435864952</v>
      </c>
      <c r="GP42" s="32"/>
      <c r="GQ42" s="32"/>
      <c r="HA42" s="67">
        <v>0.75</v>
      </c>
      <c r="HB42" s="7">
        <v>1.2097206249851804</v>
      </c>
      <c r="HC42" s="7"/>
      <c r="HD42" s="68">
        <v>16</v>
      </c>
      <c r="HE42" s="69">
        <f t="shared" si="89"/>
        <v>7.5607539061573775E-2</v>
      </c>
      <c r="HF42" s="69"/>
      <c r="HG42" s="7">
        <v>7.5607539061573775E-2</v>
      </c>
      <c r="HM42" s="9">
        <v>5.4167134680220309E-2</v>
      </c>
      <c r="HN42" s="9">
        <v>7.9834682025499315E-2</v>
      </c>
      <c r="HO42" s="9"/>
      <c r="HP42" s="9">
        <v>5.507306606451258E-2</v>
      </c>
      <c r="HQ42" s="9">
        <v>7.9268474910316633E-2</v>
      </c>
      <c r="HR42" s="9"/>
      <c r="HS42" s="32"/>
      <c r="HT42" s="32"/>
      <c r="HU42" s="32"/>
      <c r="HV42" s="67">
        <v>0.75</v>
      </c>
      <c r="HW42" s="7">
        <v>0.55073066064512577</v>
      </c>
      <c r="HX42" s="68">
        <v>10</v>
      </c>
      <c r="HY42" s="69">
        <f t="shared" si="90"/>
        <v>5.507306606451258E-2</v>
      </c>
      <c r="HZ42" s="69"/>
      <c r="IA42" s="7">
        <v>5.507306606451258E-2</v>
      </c>
      <c r="IG42" s="9">
        <v>5.4167134680220309E-2</v>
      </c>
      <c r="IH42" s="9">
        <v>7.9834682025499315E-2</v>
      </c>
      <c r="II42" s="9"/>
      <c r="IJ42" s="9">
        <v>5.507306606451258E-2</v>
      </c>
      <c r="IK42" s="9">
        <v>7.9268474910316633E-2</v>
      </c>
      <c r="IL42" s="9"/>
      <c r="IM42" s="32"/>
      <c r="IN42" s="32"/>
      <c r="IO42" s="32"/>
      <c r="IZ42" s="41">
        <f t="shared" si="11"/>
        <v>44987</v>
      </c>
      <c r="JA42" s="9">
        <f t="shared" si="11"/>
        <v>2.2086620296321069</v>
      </c>
      <c r="JB42" s="9"/>
      <c r="JC42" s="9"/>
      <c r="JD42" s="9"/>
      <c r="JE42" s="9"/>
      <c r="JF42" s="9"/>
      <c r="JG42" s="9"/>
      <c r="JH42" s="9"/>
      <c r="JI42" s="9"/>
      <c r="JJ42" s="9"/>
      <c r="JK42" s="9"/>
      <c r="JL42" s="9"/>
      <c r="JM42" s="9"/>
      <c r="JX42" s="41">
        <v>44987</v>
      </c>
      <c r="JY42" s="9"/>
      <c r="JZ42" s="9">
        <f t="shared" si="102"/>
        <v>2.4208620506559213</v>
      </c>
      <c r="KA42" s="9">
        <f t="shared" si="102"/>
        <v>2.1732305313657685</v>
      </c>
      <c r="KB42" s="9"/>
      <c r="KM42" s="41"/>
      <c r="KN42" s="241"/>
      <c r="KO42" s="241"/>
      <c r="KQ42" s="41"/>
      <c r="KR42" s="241"/>
      <c r="KS42" s="241"/>
      <c r="KU42" s="41"/>
      <c r="KV42" s="241"/>
      <c r="KW42" s="241"/>
      <c r="KY42" s="41"/>
      <c r="KZ42" s="241"/>
      <c r="LA42" s="241"/>
      <c r="LC42" s="41"/>
      <c r="LD42" s="241"/>
      <c r="LE42" s="241"/>
      <c r="LK42" s="41"/>
      <c r="LL42" s="241"/>
      <c r="LM42" s="241"/>
      <c r="MA42" s="32"/>
      <c r="MB42" s="32"/>
      <c r="MC42" s="32"/>
      <c r="MD42" s="32"/>
      <c r="ME42" s="32"/>
      <c r="MF42" s="32"/>
      <c r="MG42" s="32"/>
      <c r="MH42" s="39"/>
      <c r="MI42" s="39"/>
      <c r="MJ42" s="39"/>
      <c r="MK42" s="39"/>
      <c r="ML42" s="9"/>
      <c r="MM42" s="9"/>
      <c r="MN42" s="9"/>
      <c r="MV42" s="72"/>
      <c r="MW42" s="62" t="s">
        <v>99</v>
      </c>
      <c r="MX42" s="63">
        <f t="shared" ref="MX42:NH42" si="106">MX25-MX21</f>
        <v>0.14305823279218255</v>
      </c>
      <c r="MY42" s="63">
        <f t="shared" si="106"/>
        <v>0.20366845151573876</v>
      </c>
      <c r="MZ42" s="63">
        <f t="shared" si="106"/>
        <v>0.21283499756805013</v>
      </c>
      <c r="NA42" s="63">
        <f t="shared" si="106"/>
        <v>0.32245506556725045</v>
      </c>
      <c r="NB42" s="63">
        <f t="shared" si="106"/>
        <v>0.33077114199359992</v>
      </c>
      <c r="NC42" s="63">
        <f t="shared" si="106"/>
        <v>0.25301222867030027</v>
      </c>
      <c r="ND42" s="63">
        <f t="shared" si="106"/>
        <v>0.46175402903457186</v>
      </c>
      <c r="NE42" s="63">
        <f t="shared" si="106"/>
        <v>0.36580757557190002</v>
      </c>
      <c r="NF42" s="63">
        <f t="shared" si="106"/>
        <v>0.45364704446137949</v>
      </c>
      <c r="NG42" s="63">
        <f t="shared" si="106"/>
        <v>0.44644688777865005</v>
      </c>
      <c r="NH42" s="63">
        <f t="shared" si="106"/>
        <v>0.26666712181890007</v>
      </c>
      <c r="NS42" s="67">
        <v>0.25</v>
      </c>
      <c r="NT42" s="7">
        <v>1.3014199212432001</v>
      </c>
      <c r="NU42" s="68">
        <v>26</v>
      </c>
      <c r="NV42" s="69">
        <f t="shared" si="96"/>
        <v>5.0054612355507691E-2</v>
      </c>
      <c r="NW42" s="69"/>
      <c r="NX42" s="7">
        <v>5.0054612355507691E-2</v>
      </c>
      <c r="NY42" s="11"/>
      <c r="OF42" s="32"/>
      <c r="OG42" s="32"/>
      <c r="OR42" s="67">
        <v>0.25</v>
      </c>
      <c r="OS42" s="7">
        <v>0.4162834022886</v>
      </c>
      <c r="OT42" s="248">
        <f t="shared" si="92"/>
        <v>9</v>
      </c>
      <c r="OU42" s="69">
        <f t="shared" si="97"/>
        <v>4.6253711365399998E-2</v>
      </c>
      <c r="OV42" s="69"/>
      <c r="OW42" s="10">
        <v>4.6253711365399998E-2</v>
      </c>
      <c r="OX42" s="11"/>
      <c r="PC42" s="9"/>
      <c r="PD42" s="9"/>
      <c r="PE42" s="9"/>
    </row>
    <row r="43" spans="2:423" x14ac:dyDescent="0.25">
      <c r="B43" s="48">
        <v>42985</v>
      </c>
      <c r="C43" s="49">
        <v>23832910.359499998</v>
      </c>
      <c r="D43" s="49">
        <v>25652990</v>
      </c>
      <c r="E43" s="50">
        <v>16000000</v>
      </c>
      <c r="F43" s="50"/>
      <c r="G43" s="50"/>
      <c r="H43" s="50"/>
      <c r="I43" s="38">
        <v>43167</v>
      </c>
      <c r="J43" s="240">
        <v>16000000</v>
      </c>
      <c r="K43" s="240">
        <v>25385464.395499997</v>
      </c>
      <c r="L43" s="241">
        <f t="shared" si="24"/>
        <v>752735364.81549978</v>
      </c>
      <c r="N43" s="38">
        <v>43531</v>
      </c>
      <c r="O43" s="240">
        <v>3000000</v>
      </c>
      <c r="P43" s="240">
        <v>15442733.149800003</v>
      </c>
      <c r="Q43" s="241">
        <f t="shared" si="25"/>
        <v>1782786416.1624002</v>
      </c>
      <c r="S43" s="38">
        <v>43895</v>
      </c>
      <c r="T43" s="240">
        <v>20000000</v>
      </c>
      <c r="U43" s="240">
        <v>44847651.967799999</v>
      </c>
      <c r="V43" s="241">
        <f t="shared" si="26"/>
        <v>1858751801.2865999</v>
      </c>
      <c r="X43" s="38">
        <v>44259</v>
      </c>
      <c r="Y43" s="240">
        <v>20000000</v>
      </c>
      <c r="Z43" s="240">
        <v>45299290.759800002</v>
      </c>
      <c r="AA43" s="241">
        <f t="shared" si="27"/>
        <v>1618787301.1595998</v>
      </c>
      <c r="AC43" s="38">
        <v>44623</v>
      </c>
      <c r="AD43" s="240">
        <v>3000000</v>
      </c>
      <c r="AE43" s="240">
        <v>24300168.954600003</v>
      </c>
      <c r="AF43" s="241">
        <f t="shared" si="28"/>
        <v>2381729341.4376001</v>
      </c>
      <c r="AG43" s="241"/>
      <c r="AH43" s="38">
        <v>44994</v>
      </c>
      <c r="AI43" s="240">
        <v>4000000</v>
      </c>
      <c r="AJ43" s="240">
        <v>25384850.737123746</v>
      </c>
      <c r="AK43" s="241">
        <f t="shared" si="29"/>
        <v>2234046880.3692307</v>
      </c>
      <c r="AM43" s="32">
        <v>36</v>
      </c>
      <c r="AN43" s="39">
        <f t="shared" si="0"/>
        <v>0.75273536481549974</v>
      </c>
      <c r="AO43" s="39">
        <f t="shared" si="1"/>
        <v>1.7827864161624003</v>
      </c>
      <c r="AP43" s="39">
        <f t="shared" si="2"/>
        <v>1.8587518012865998</v>
      </c>
      <c r="AQ43" s="39">
        <f t="shared" si="3"/>
        <v>1.6187873011595997</v>
      </c>
      <c r="AR43" s="39">
        <f t="shared" si="30"/>
        <v>2.3817293414376</v>
      </c>
      <c r="AS43" s="39">
        <f t="shared" si="31"/>
        <v>2.2340468803692306</v>
      </c>
      <c r="AT43" s="39"/>
      <c r="AU43" s="39">
        <f t="shared" si="32"/>
        <v>1.8528466840601714</v>
      </c>
      <c r="AV43" s="9"/>
      <c r="AW43" s="9"/>
      <c r="AX43" s="9"/>
      <c r="BF43" s="72"/>
      <c r="BG43" s="62" t="s">
        <v>99</v>
      </c>
      <c r="BH43" s="63">
        <f t="shared" ref="BH43:BN43" si="107">BH26-BH22</f>
        <v>0.32134520254631416</v>
      </c>
      <c r="BI43" s="63">
        <f t="shared" si="107"/>
        <v>0.50441625257598943</v>
      </c>
      <c r="BJ43" s="63">
        <f t="shared" si="107"/>
        <v>0.59044005845325165</v>
      </c>
      <c r="BK43" s="63">
        <f t="shared" si="107"/>
        <v>0.75632563095248084</v>
      </c>
      <c r="BL43" s="63">
        <f t="shared" si="107"/>
        <v>0.93869577539336513</v>
      </c>
      <c r="BM43" s="63">
        <f>BM26-BM22</f>
        <v>0.78335909496250133</v>
      </c>
      <c r="BN43" s="63">
        <f t="shared" si="107"/>
        <v>0.93869577539336513</v>
      </c>
      <c r="BZ43" s="60"/>
      <c r="CA43" s="62" t="s">
        <v>93</v>
      </c>
      <c r="CB43" s="63">
        <f>CB32-CB30</f>
        <v>3</v>
      </c>
      <c r="CC43" s="63">
        <f>CC32-CC30</f>
        <v>4</v>
      </c>
      <c r="CD43" s="63">
        <f t="shared" ref="CD43:CI43" si="108">CD32-CD30</f>
        <v>3.2115384615384599</v>
      </c>
      <c r="CE43" s="63">
        <f t="shared" si="108"/>
        <v>4</v>
      </c>
      <c r="CF43" s="63">
        <f t="shared" si="108"/>
        <v>3</v>
      </c>
      <c r="CG43" s="63">
        <f t="shared" si="108"/>
        <v>3</v>
      </c>
      <c r="CH43" s="63">
        <f t="shared" si="108"/>
        <v>3</v>
      </c>
      <c r="CI43" s="63">
        <f t="shared" si="108"/>
        <v>2</v>
      </c>
      <c r="CT43" s="41">
        <f t="shared" si="33"/>
        <v>44994</v>
      </c>
      <c r="CU43" s="9">
        <f t="shared" si="34"/>
        <v>2.2340468803692306</v>
      </c>
      <c r="CV43" s="9">
        <f t="shared" si="99"/>
        <v>1.3659709993182767</v>
      </c>
      <c r="CW43" s="9">
        <f t="shared" si="99"/>
        <v>1.6357072870189848</v>
      </c>
      <c r="CX43" s="9">
        <f t="shared" si="99"/>
        <v>1.7430054785448119</v>
      </c>
      <c r="CY43" s="9">
        <f t="shared" si="99"/>
        <v>1.8180722625129109</v>
      </c>
      <c r="CZ43" s="9">
        <f t="shared" si="99"/>
        <v>1.9695108241654364</v>
      </c>
      <c r="DA43" s="9">
        <f t="shared" si="99"/>
        <v>2.1675495193922707</v>
      </c>
      <c r="DB43" s="9">
        <f t="shared" si="99"/>
        <v>2.3843712075018408</v>
      </c>
      <c r="DC43" s="9">
        <f t="shared" si="99"/>
        <v>2.6141343569003328</v>
      </c>
      <c r="DD43" s="9">
        <f t="shared" si="99"/>
        <v>2.7516403053083329</v>
      </c>
      <c r="DE43" s="9">
        <f t="shared" si="99"/>
        <v>3.050230985118358</v>
      </c>
      <c r="DF43" s="9">
        <f t="shared" si="99"/>
        <v>3.7037670158670384</v>
      </c>
      <c r="DG43" s="32"/>
      <c r="DH43" s="32"/>
      <c r="DR43" s="41">
        <v>45358</v>
      </c>
      <c r="DS43" s="9">
        <v>2.8187013190000001</v>
      </c>
      <c r="DT43" s="9">
        <f t="shared" si="100"/>
        <v>1.4734953213763398</v>
      </c>
      <c r="DU43" s="9">
        <f t="shared" si="100"/>
        <v>1.7407675610084028</v>
      </c>
      <c r="DV43" s="9">
        <f t="shared" si="100"/>
        <v>1.8828237872629998</v>
      </c>
      <c r="DW43" s="9">
        <f t="shared" si="100"/>
        <v>1.9694679186736199</v>
      </c>
      <c r="DX43" s="9">
        <f t="shared" si="100"/>
        <v>2.1376062845921036</v>
      </c>
      <c r="DY43" s="9">
        <f t="shared" si="100"/>
        <v>2.3491191932311803</v>
      </c>
      <c r="DZ43" s="9">
        <f t="shared" si="100"/>
        <v>2.5881863454194334</v>
      </c>
      <c r="EA43" s="9">
        <f t="shared" si="100"/>
        <v>2.8424493653957299</v>
      </c>
      <c r="EB43" s="9">
        <f t="shared" si="100"/>
        <v>2.9962600070058243</v>
      </c>
      <c r="EC43" s="9">
        <f t="shared" si="100"/>
        <v>3.2945276625355548</v>
      </c>
      <c r="ED43" s="9">
        <f t="shared" si="100"/>
        <v>4.2224018695037442</v>
      </c>
      <c r="EE43" s="32"/>
      <c r="EF43" s="32"/>
      <c r="EQ43" s="41"/>
      <c r="ER43" s="9"/>
      <c r="ES43" s="9"/>
      <c r="ET43" s="9"/>
      <c r="EU43" s="9"/>
      <c r="EV43" s="9"/>
      <c r="EW43" s="9"/>
      <c r="EX43" s="9"/>
      <c r="EY43" s="9"/>
      <c r="EZ43" s="9"/>
      <c r="FA43" s="9"/>
      <c r="FB43" s="9"/>
      <c r="FC43" s="9"/>
      <c r="FD43" s="32"/>
      <c r="FE43" s="32"/>
      <c r="FF43" s="32"/>
      <c r="FG43" s="32"/>
      <c r="FH43" s="32"/>
      <c r="FI43" s="32"/>
      <c r="FJ43" s="32"/>
      <c r="FK43" s="32"/>
      <c r="FL43" s="41"/>
      <c r="FM43" s="9"/>
      <c r="FN43" s="9"/>
      <c r="FO43" s="9"/>
      <c r="FP43" s="9"/>
      <c r="FQ43" s="9"/>
      <c r="FR43" s="9"/>
      <c r="FS43" s="9"/>
      <c r="FT43" s="9"/>
      <c r="FU43" s="9"/>
      <c r="FV43" s="9"/>
      <c r="FW43" s="9"/>
      <c r="FX43" s="9"/>
      <c r="FY43" s="32"/>
      <c r="FZ43" s="32"/>
      <c r="GA43" s="32"/>
      <c r="GB43" s="32"/>
      <c r="GC43" s="41">
        <v>45722</v>
      </c>
      <c r="GD43" s="9">
        <v>2.0626000573237011</v>
      </c>
      <c r="GE43" s="9">
        <f t="shared" si="101"/>
        <v>1.7197646489639473</v>
      </c>
      <c r="GF43" s="9">
        <f t="shared" si="101"/>
        <v>1.8798222575365406</v>
      </c>
      <c r="GG43" s="9">
        <f t="shared" si="101"/>
        <v>2.0143835442631786</v>
      </c>
      <c r="GH43" s="9">
        <f t="shared" si="101"/>
        <v>2.1029778357290279</v>
      </c>
      <c r="GI43" s="9">
        <f t="shared" si="101"/>
        <v>2.2694434512181765</v>
      </c>
      <c r="GJ43" s="9">
        <f t="shared" si="101"/>
        <v>2.4787231737792688</v>
      </c>
      <c r="GK43" s="9">
        <f t="shared" si="101"/>
        <v>2.7279405124323524</v>
      </c>
      <c r="GL43" s="9">
        <f t="shared" si="101"/>
        <v>2.983675011773038</v>
      </c>
      <c r="GM43" s="9">
        <f t="shared" si="101"/>
        <v>3.1430875134593781</v>
      </c>
      <c r="GN43" s="9">
        <f t="shared" si="101"/>
        <v>3.4647873873709951</v>
      </c>
      <c r="GO43" s="9">
        <f t="shared" si="101"/>
        <v>4.3616145019746808</v>
      </c>
      <c r="GP43" s="32"/>
      <c r="GQ43" s="32"/>
      <c r="HA43" s="67">
        <v>0.9</v>
      </c>
      <c r="HB43" s="7">
        <v>1.4152649172701603</v>
      </c>
      <c r="HC43" s="7"/>
      <c r="HD43" s="68">
        <v>16</v>
      </c>
      <c r="HE43" s="69">
        <f t="shared" si="89"/>
        <v>8.8454057329385022E-2</v>
      </c>
      <c r="HF43" s="69"/>
      <c r="HG43" s="7">
        <v>8.8454057329385022E-2</v>
      </c>
      <c r="HM43" s="9">
        <v>7.2730145908547511E-2</v>
      </c>
      <c r="HN43" s="9">
        <v>8.3555893929277494E-2</v>
      </c>
      <c r="HO43" s="9"/>
      <c r="HP43" s="9">
        <v>8.0229304108884861E-2</v>
      </c>
      <c r="HQ43" s="9">
        <v>7.8868920054066649E-2</v>
      </c>
      <c r="HR43" s="9"/>
      <c r="HS43" s="32"/>
      <c r="HT43" s="32"/>
      <c r="HU43" s="32"/>
      <c r="HV43" s="67">
        <v>0.9</v>
      </c>
      <c r="HW43" s="7">
        <v>0.80229304108884858</v>
      </c>
      <c r="HX43" s="68">
        <v>10</v>
      </c>
      <c r="HY43" s="69">
        <f t="shared" si="90"/>
        <v>8.0229304108884861E-2</v>
      </c>
      <c r="HZ43" s="69"/>
      <c r="IA43" s="7">
        <v>8.0229304108884861E-2</v>
      </c>
      <c r="IG43" s="9">
        <v>7.2730145908547511E-2</v>
      </c>
      <c r="IH43" s="9">
        <v>8.3555893929277494E-2</v>
      </c>
      <c r="II43" s="9"/>
      <c r="IJ43" s="9">
        <v>8.0229304108884861E-2</v>
      </c>
      <c r="IK43" s="9">
        <v>7.8868920054066649E-2</v>
      </c>
      <c r="IL43" s="9"/>
      <c r="IM43" s="32"/>
      <c r="IN43" s="32"/>
      <c r="IO43" s="32"/>
      <c r="IZ43" s="41">
        <f t="shared" si="11"/>
        <v>44994</v>
      </c>
      <c r="JA43" s="9">
        <f t="shared" si="11"/>
        <v>2.2340468803692306</v>
      </c>
      <c r="JB43" s="9"/>
      <c r="JC43" s="9"/>
      <c r="JD43" s="9"/>
      <c r="JE43" s="9"/>
      <c r="JF43" s="9"/>
      <c r="JG43" s="9"/>
      <c r="JH43" s="9"/>
      <c r="JI43" s="9"/>
      <c r="JJ43" s="9"/>
      <c r="JK43" s="9"/>
      <c r="JL43" s="9"/>
      <c r="JM43" s="9"/>
      <c r="JX43" s="41">
        <v>44994</v>
      </c>
      <c r="JY43" s="9"/>
      <c r="JZ43" s="9">
        <f t="shared" si="102"/>
        <v>2.4884314830664058</v>
      </c>
      <c r="KA43" s="9">
        <f t="shared" si="102"/>
        <v>2.2270426571490223</v>
      </c>
      <c r="KB43" s="9"/>
      <c r="KM43" s="41"/>
      <c r="KN43" s="241"/>
      <c r="KO43" s="241"/>
      <c r="KQ43" s="41"/>
      <c r="KR43" s="241"/>
      <c r="KS43" s="241"/>
      <c r="KU43" s="41"/>
      <c r="KV43" s="241"/>
      <c r="KW43" s="241"/>
      <c r="KY43" s="41"/>
      <c r="KZ43" s="241"/>
      <c r="LA43" s="241"/>
      <c r="LC43" s="41"/>
      <c r="LD43" s="241"/>
      <c r="LE43" s="241"/>
      <c r="LK43" s="41"/>
      <c r="LL43" s="241"/>
      <c r="LM43" s="241"/>
      <c r="MA43" s="32"/>
      <c r="MB43" s="32"/>
      <c r="MC43" s="32"/>
      <c r="MD43" s="32"/>
      <c r="ME43" s="32"/>
      <c r="MF43" s="32"/>
      <c r="MG43" s="32"/>
      <c r="MH43" s="39"/>
      <c r="MI43" s="39"/>
      <c r="MJ43" s="39"/>
      <c r="MK43" s="39"/>
      <c r="ML43" s="9"/>
      <c r="MM43" s="9"/>
      <c r="MN43" s="9"/>
      <c r="MV43" s="72"/>
      <c r="MW43" s="62" t="s">
        <v>100</v>
      </c>
      <c r="MX43" s="63">
        <f t="shared" ref="MX43:NH44" si="109">MX26-MX25</f>
        <v>6.8048408377119118E-2</v>
      </c>
      <c r="MY43" s="63">
        <f t="shared" si="109"/>
        <v>8.6096915807099883E-2</v>
      </c>
      <c r="MZ43" s="63">
        <f t="shared" si="109"/>
        <v>0.14040066428245057</v>
      </c>
      <c r="NA43" s="63">
        <f t="shared" si="109"/>
        <v>0.16465929115767974</v>
      </c>
      <c r="NB43" s="63">
        <f t="shared" si="109"/>
        <v>0.15084895942709997</v>
      </c>
      <c r="NC43" s="63">
        <f t="shared" si="109"/>
        <v>0.12163945944479992</v>
      </c>
      <c r="ND43" s="63">
        <f t="shared" si="109"/>
        <v>0.1608471037821213</v>
      </c>
      <c r="NE43" s="63">
        <f t="shared" si="109"/>
        <v>0.14568931854290001</v>
      </c>
      <c r="NF43" s="63">
        <f t="shared" si="109"/>
        <v>0.22038149945020025</v>
      </c>
      <c r="NG43" s="63">
        <f t="shared" si="109"/>
        <v>0.22866745304452496</v>
      </c>
      <c r="NH43" s="63">
        <f t="shared" si="109"/>
        <v>0.14352988720289983</v>
      </c>
      <c r="NS43" s="67">
        <v>0.5</v>
      </c>
      <c r="NT43" s="7">
        <v>1.530087374287725</v>
      </c>
      <c r="NU43" s="68">
        <v>26</v>
      </c>
      <c r="NV43" s="69">
        <f t="shared" si="96"/>
        <v>5.8849514395681729E-2</v>
      </c>
      <c r="NW43" s="69"/>
      <c r="NX43" s="7">
        <v>5.8849514395681729E-2</v>
      </c>
      <c r="NY43" s="11"/>
      <c r="OF43" s="32"/>
      <c r="OG43" s="32"/>
      <c r="OR43" s="67">
        <v>0.5</v>
      </c>
      <c r="OS43" s="7">
        <v>0.48830097132960004</v>
      </c>
      <c r="OT43" s="248">
        <f t="shared" si="92"/>
        <v>9</v>
      </c>
      <c r="OU43" s="69">
        <f t="shared" si="97"/>
        <v>5.4255663481066668E-2</v>
      </c>
      <c r="OV43" s="69"/>
      <c r="OW43" s="10">
        <v>5.4255663481066668E-2</v>
      </c>
      <c r="OX43" s="11"/>
      <c r="PC43" s="9"/>
      <c r="PD43" s="9"/>
      <c r="PE43" s="9"/>
    </row>
    <row r="44" spans="2:423" x14ac:dyDescent="0.25">
      <c r="B44" s="48">
        <v>42992</v>
      </c>
      <c r="C44" s="49">
        <v>39779700.570499994</v>
      </c>
      <c r="D44" s="49">
        <v>42817610</v>
      </c>
      <c r="E44" s="50">
        <v>30000000</v>
      </c>
      <c r="F44" s="50"/>
      <c r="G44" s="50"/>
      <c r="H44" s="50"/>
      <c r="I44" s="38">
        <v>43174</v>
      </c>
      <c r="J44" s="240">
        <v>27000000</v>
      </c>
      <c r="K44" s="240">
        <v>38932193.288999997</v>
      </c>
      <c r="L44" s="241">
        <f t="shared" si="24"/>
        <v>791667558.10449982</v>
      </c>
      <c r="N44" s="38">
        <v>43538</v>
      </c>
      <c r="O44" s="240">
        <v>8000000</v>
      </c>
      <c r="P44" s="240">
        <v>19679960.566200003</v>
      </c>
      <c r="Q44" s="241">
        <f t="shared" si="25"/>
        <v>1802466376.7286003</v>
      </c>
      <c r="S44" s="38">
        <v>43902</v>
      </c>
      <c r="T44" s="240">
        <v>40000000</v>
      </c>
      <c r="U44" s="240">
        <v>56381497.735200003</v>
      </c>
      <c r="V44" s="241">
        <f t="shared" si="26"/>
        <v>1915133299.0217998</v>
      </c>
      <c r="X44" s="38">
        <v>44266</v>
      </c>
      <c r="Y44" s="240">
        <v>30000000</v>
      </c>
      <c r="Z44" s="240">
        <v>55487589.253800005</v>
      </c>
      <c r="AA44" s="241">
        <f t="shared" si="27"/>
        <v>1674274890.4133997</v>
      </c>
      <c r="AC44" s="38">
        <v>44630</v>
      </c>
      <c r="AD44" s="240">
        <v>8000000</v>
      </c>
      <c r="AE44" s="240">
        <v>31022299.875600003</v>
      </c>
      <c r="AF44" s="241">
        <f t="shared" si="28"/>
        <v>2412751641.3132</v>
      </c>
      <c r="AG44" s="241"/>
      <c r="AH44" s="38">
        <v>45001</v>
      </c>
      <c r="AI44" s="240">
        <v>4000000</v>
      </c>
      <c r="AJ44" s="240">
        <v>26754111.395719066</v>
      </c>
      <c r="AK44" s="241">
        <f t="shared" si="29"/>
        <v>2260800991.7649498</v>
      </c>
      <c r="AM44" s="32">
        <v>37</v>
      </c>
      <c r="AN44" s="39">
        <f t="shared" si="0"/>
        <v>0.79166755810449985</v>
      </c>
      <c r="AO44" s="39">
        <f t="shared" si="1"/>
        <v>1.8024663767286002</v>
      </c>
      <c r="AP44" s="39">
        <f t="shared" si="2"/>
        <v>1.9151332990217997</v>
      </c>
      <c r="AQ44" s="39">
        <f t="shared" si="3"/>
        <v>1.6742748904133997</v>
      </c>
      <c r="AR44" s="39">
        <f t="shared" si="30"/>
        <v>2.4127516413132</v>
      </c>
      <c r="AS44" s="39">
        <f t="shared" si="31"/>
        <v>2.2608009917649499</v>
      </c>
      <c r="AT44" s="39"/>
      <c r="AU44" s="39">
        <f t="shared" si="32"/>
        <v>1.9057851607476048</v>
      </c>
      <c r="AV44" s="9"/>
      <c r="AW44" s="9"/>
      <c r="AX44" s="9"/>
      <c r="AY44" s="74"/>
      <c r="BF44" s="72"/>
      <c r="BG44" s="62" t="s">
        <v>100</v>
      </c>
      <c r="BH44" s="63">
        <f t="shared" ref="BH44:BN45" si="110">BH27-BH26</f>
        <v>0.11644516607488664</v>
      </c>
      <c r="BI44" s="63">
        <f t="shared" si="110"/>
        <v>0.21996799463488914</v>
      </c>
      <c r="BJ44" s="63">
        <f t="shared" si="110"/>
        <v>0.24063867711061571</v>
      </c>
      <c r="BK44" s="63">
        <f t="shared" si="110"/>
        <v>0.23667367152742802</v>
      </c>
      <c r="BL44" s="63">
        <f t="shared" si="110"/>
        <v>0.28407878954790533</v>
      </c>
      <c r="BM44" s="63">
        <f>BM27-BM26</f>
        <v>0.28266055352741803</v>
      </c>
      <c r="BN44" s="63">
        <f t="shared" si="110"/>
        <v>0.28407878954790489</v>
      </c>
      <c r="BZ44" s="60"/>
      <c r="CA44" s="62" t="s">
        <v>95</v>
      </c>
      <c r="CB44" s="63">
        <f>CB34-CB32</f>
        <v>5</v>
      </c>
      <c r="CC44" s="63">
        <f>CC34-CC32</f>
        <v>4</v>
      </c>
      <c r="CD44" s="63">
        <f t="shared" ref="CD44:CI44" si="111">CD34-CD32</f>
        <v>4.7884615384615365</v>
      </c>
      <c r="CE44" s="63">
        <f t="shared" si="111"/>
        <v>5</v>
      </c>
      <c r="CF44" s="63">
        <f t="shared" si="111"/>
        <v>5</v>
      </c>
      <c r="CG44" s="63">
        <f t="shared" si="111"/>
        <v>4</v>
      </c>
      <c r="CH44" s="63">
        <f t="shared" si="111"/>
        <v>4</v>
      </c>
      <c r="CI44" s="63">
        <f t="shared" si="111"/>
        <v>4</v>
      </c>
      <c r="CT44" s="41">
        <f t="shared" si="33"/>
        <v>45001</v>
      </c>
      <c r="CU44" s="9">
        <f t="shared" si="34"/>
        <v>2.2608009917649499</v>
      </c>
      <c r="CV44" s="9">
        <f t="shared" si="99"/>
        <v>1.4039146381882288</v>
      </c>
      <c r="CW44" s="9">
        <f t="shared" si="99"/>
        <v>1.68114360054729</v>
      </c>
      <c r="CX44" s="9">
        <f t="shared" si="99"/>
        <v>1.791422297393279</v>
      </c>
      <c r="CY44" s="9">
        <f t="shared" si="99"/>
        <v>1.8685742698049361</v>
      </c>
      <c r="CZ44" s="9">
        <f t="shared" si="99"/>
        <v>2.0242194581700317</v>
      </c>
      <c r="DA44" s="9">
        <f t="shared" si="99"/>
        <v>2.2277592282642784</v>
      </c>
      <c r="DB44" s="9">
        <f t="shared" si="99"/>
        <v>2.4506037410435586</v>
      </c>
      <c r="DC44" s="9">
        <f t="shared" si="99"/>
        <v>2.6867492001475641</v>
      </c>
      <c r="DD44" s="9">
        <f t="shared" si="99"/>
        <v>2.8280747582335644</v>
      </c>
      <c r="DE44" s="9">
        <f t="shared" si="99"/>
        <v>3.1349596235938679</v>
      </c>
      <c r="DF44" s="9">
        <f t="shared" si="99"/>
        <v>3.806649432974456</v>
      </c>
      <c r="DG44" s="32"/>
      <c r="DH44" s="32"/>
      <c r="DJ44" t="s">
        <v>81</v>
      </c>
      <c r="DR44" s="41">
        <v>45365</v>
      </c>
      <c r="DS44" s="9">
        <v>2.890000203</v>
      </c>
      <c r="DT44" s="9">
        <f t="shared" si="100"/>
        <v>1.514425746970127</v>
      </c>
      <c r="DU44" s="9">
        <f t="shared" si="100"/>
        <v>1.7891222154808584</v>
      </c>
      <c r="DV44" s="9">
        <f t="shared" si="100"/>
        <v>1.9351244480203054</v>
      </c>
      <c r="DW44" s="9">
        <f t="shared" si="100"/>
        <v>2.0241753608589983</v>
      </c>
      <c r="DX44" s="9">
        <f t="shared" si="100"/>
        <v>2.1969842369418844</v>
      </c>
      <c r="DY44" s="9">
        <f t="shared" si="100"/>
        <v>2.4143725041542687</v>
      </c>
      <c r="DZ44" s="9">
        <f t="shared" si="100"/>
        <v>2.6600804105699734</v>
      </c>
      <c r="EA44" s="9">
        <f t="shared" si="100"/>
        <v>2.9214062922122781</v>
      </c>
      <c r="EB44" s="9">
        <f t="shared" si="100"/>
        <v>3.079489451644875</v>
      </c>
      <c r="EC44" s="9">
        <f t="shared" si="100"/>
        <v>3.386042319828209</v>
      </c>
      <c r="ED44" s="9">
        <f t="shared" si="100"/>
        <v>4.339690810323293</v>
      </c>
      <c r="EE44" s="32"/>
      <c r="EF44" s="32"/>
      <c r="EH44" t="s">
        <v>81</v>
      </c>
      <c r="EQ44" s="41"/>
      <c r="ER44" s="9"/>
      <c r="ES44" s="9"/>
      <c r="ET44" s="9"/>
      <c r="EU44" s="9"/>
      <c r="EV44" s="9"/>
      <c r="EW44" s="9"/>
      <c r="EX44" s="9"/>
      <c r="EY44" s="9"/>
      <c r="EZ44" s="9"/>
      <c r="FA44" s="9"/>
      <c r="FB44" s="9"/>
      <c r="FC44" s="9"/>
      <c r="FD44" s="32"/>
      <c r="FE44" s="32"/>
      <c r="FF44" s="32"/>
      <c r="FG44" s="32"/>
      <c r="FH44" s="32"/>
      <c r="FI44" s="32"/>
      <c r="FJ44" s="32"/>
      <c r="FK44" s="32"/>
      <c r="FL44" s="41"/>
      <c r="FM44" s="9"/>
      <c r="FN44" s="9"/>
      <c r="FO44" s="9"/>
      <c r="FP44" s="9"/>
      <c r="FQ44" s="9"/>
      <c r="FR44" s="9"/>
      <c r="FS44" s="9"/>
      <c r="FT44" s="9"/>
      <c r="FU44" s="9"/>
      <c r="FV44" s="9"/>
      <c r="FW44" s="9"/>
      <c r="FX44" s="9"/>
      <c r="FY44" s="32"/>
      <c r="FZ44" s="32"/>
      <c r="GA44" s="32"/>
      <c r="GB44" s="32"/>
      <c r="GC44" s="41">
        <v>45729</v>
      </c>
      <c r="GD44" s="9">
        <v>2.1024210431873165</v>
      </c>
      <c r="GE44" s="9">
        <f t="shared" si="101"/>
        <v>1.7675358892129458</v>
      </c>
      <c r="GF44" s="9">
        <f t="shared" si="101"/>
        <v>1.9320395424681112</v>
      </c>
      <c r="GG44" s="9">
        <f t="shared" si="101"/>
        <v>2.0703386427149337</v>
      </c>
      <c r="GH44" s="9">
        <f t="shared" si="101"/>
        <v>2.161393886721501</v>
      </c>
      <c r="GI44" s="9">
        <f t="shared" si="101"/>
        <v>2.332483547085348</v>
      </c>
      <c r="GJ44" s="9">
        <f t="shared" si="101"/>
        <v>2.5475765952731373</v>
      </c>
      <c r="GK44" s="9">
        <f t="shared" si="101"/>
        <v>2.8037166377776956</v>
      </c>
      <c r="GL44" s="9">
        <f t="shared" si="101"/>
        <v>3.066554873211178</v>
      </c>
      <c r="GM44" s="9">
        <f t="shared" si="101"/>
        <v>3.2303954999443607</v>
      </c>
      <c r="GN44" s="9">
        <f t="shared" si="101"/>
        <v>3.5610314814646338</v>
      </c>
      <c r="GO44" s="9">
        <f t="shared" si="101"/>
        <v>4.4827704603628664</v>
      </c>
      <c r="GP44" s="32"/>
      <c r="GQ44" s="32"/>
      <c r="GS44" t="s">
        <v>81</v>
      </c>
      <c r="HA44" s="67">
        <v>0.95</v>
      </c>
      <c r="HB44" s="7">
        <v>1.5431775681938005</v>
      </c>
      <c r="HC44" s="7"/>
      <c r="HD44" s="68">
        <v>16</v>
      </c>
      <c r="HE44" s="69">
        <f t="shared" si="89"/>
        <v>9.644859801211253E-2</v>
      </c>
      <c r="HF44" s="69"/>
      <c r="HG44" s="7">
        <v>9.644859801211253E-2</v>
      </c>
      <c r="HM44" s="9">
        <v>7.4842659028495587E-2</v>
      </c>
      <c r="HN44" s="9">
        <v>9.3002535713010842E-2</v>
      </c>
      <c r="HO44" s="9"/>
      <c r="HP44" s="9">
        <v>8.2625859122852571E-2</v>
      </c>
      <c r="HQ44" s="9">
        <v>9.102919760582058E-2</v>
      </c>
      <c r="HR44" s="9"/>
      <c r="HS44" s="32"/>
      <c r="HT44" s="32"/>
      <c r="HU44" s="32"/>
      <c r="HV44" s="67">
        <v>0.95</v>
      </c>
      <c r="HW44" s="7">
        <v>0.82625859122852574</v>
      </c>
      <c r="HX44" s="68">
        <v>10</v>
      </c>
      <c r="HY44" s="69">
        <f t="shared" si="90"/>
        <v>8.2625859122852571E-2</v>
      </c>
      <c r="HZ44" s="69"/>
      <c r="IA44" s="7">
        <v>8.2625859122852571E-2</v>
      </c>
      <c r="IG44" s="9">
        <v>7.4842659028495587E-2</v>
      </c>
      <c r="IH44" s="9">
        <v>9.3002535713010842E-2</v>
      </c>
      <c r="II44" s="9"/>
      <c r="IJ44" s="9">
        <v>8.2625859122852571E-2</v>
      </c>
      <c r="IK44" s="9">
        <v>9.102919760582058E-2</v>
      </c>
      <c r="IL44" s="9"/>
      <c r="IM44" s="32"/>
      <c r="IN44" s="32"/>
      <c r="IO44" s="32"/>
      <c r="IQ44" t="s">
        <v>81</v>
      </c>
      <c r="IZ44" s="41">
        <f t="shared" si="11"/>
        <v>45001</v>
      </c>
      <c r="JA44" s="9">
        <f t="shared" si="11"/>
        <v>2.2608009917649499</v>
      </c>
      <c r="JB44" s="9"/>
      <c r="JC44" s="9"/>
      <c r="JD44" s="9"/>
      <c r="JE44" s="9"/>
      <c r="JF44" s="9"/>
      <c r="JG44" s="9"/>
      <c r="JH44" s="9"/>
      <c r="JI44" s="9"/>
      <c r="JJ44" s="9"/>
      <c r="JK44" s="9"/>
      <c r="JL44" s="9"/>
      <c r="JM44" s="9"/>
      <c r="JX44" s="41">
        <v>45001</v>
      </c>
      <c r="JY44" s="9"/>
      <c r="JZ44" s="9">
        <f t="shared" si="102"/>
        <v>2.5560009154768903</v>
      </c>
      <c r="KA44" s="9">
        <f t="shared" si="102"/>
        <v>2.2808547829322761</v>
      </c>
      <c r="KB44" s="9"/>
      <c r="KM44" s="41"/>
      <c r="KN44" s="241"/>
      <c r="KO44" s="241"/>
      <c r="KQ44" s="41"/>
      <c r="KR44" s="241"/>
      <c r="KS44" s="241"/>
      <c r="KU44" s="41"/>
      <c r="KV44" s="241"/>
      <c r="KW44" s="241"/>
      <c r="KY44" s="41"/>
      <c r="KZ44" s="241"/>
      <c r="LA44" s="241"/>
      <c r="LC44" s="41"/>
      <c r="LD44" s="241"/>
      <c r="LE44" s="241"/>
      <c r="LK44" s="41"/>
      <c r="LL44" s="241"/>
      <c r="LM44" s="241"/>
      <c r="MA44" s="32"/>
      <c r="MB44" s="32"/>
      <c r="MC44" s="32"/>
      <c r="MD44" s="32"/>
      <c r="ME44" s="32"/>
      <c r="MF44" s="32"/>
      <c r="MG44" s="32"/>
      <c r="MH44" s="39"/>
      <c r="MI44" s="39"/>
      <c r="MJ44" s="39"/>
      <c r="MK44" s="39"/>
      <c r="ML44" s="9"/>
      <c r="MM44" s="9"/>
      <c r="MN44" s="9"/>
      <c r="MO44" s="74"/>
      <c r="MV44" s="72"/>
      <c r="MW44" s="62" t="s">
        <v>101</v>
      </c>
      <c r="MX44" s="63">
        <f t="shared" si="109"/>
        <v>7.9352553467357145E-2</v>
      </c>
      <c r="MY44" s="63">
        <f t="shared" si="109"/>
        <v>0.10758647883246519</v>
      </c>
      <c r="MZ44" s="63">
        <f t="shared" si="109"/>
        <v>0.17538740191444979</v>
      </c>
      <c r="NA44" s="63">
        <f t="shared" si="109"/>
        <v>0.1996945497703202</v>
      </c>
      <c r="NB44" s="63">
        <f t="shared" si="109"/>
        <v>0.21228316291710003</v>
      </c>
      <c r="NC44" s="63">
        <f t="shared" si="109"/>
        <v>0.17489210399320032</v>
      </c>
      <c r="ND44" s="63">
        <f t="shared" si="109"/>
        <v>0.20138930090156459</v>
      </c>
      <c r="NE44" s="63">
        <f t="shared" si="109"/>
        <v>0.18060183798140028</v>
      </c>
      <c r="NF44" s="63">
        <f t="shared" si="109"/>
        <v>0.24933411918403992</v>
      </c>
      <c r="NG44" s="63">
        <f t="shared" si="109"/>
        <v>0.232186632121125</v>
      </c>
      <c r="NH44" s="63">
        <f t="shared" si="109"/>
        <v>0.22398331214325007</v>
      </c>
      <c r="NS44" s="67">
        <v>0.75</v>
      </c>
      <c r="NT44" s="7">
        <v>1.76227400640885</v>
      </c>
      <c r="NU44" s="68">
        <v>26</v>
      </c>
      <c r="NV44" s="69">
        <f t="shared" si="96"/>
        <v>6.7779769477263468E-2</v>
      </c>
      <c r="NW44" s="69"/>
      <c r="NX44" s="7">
        <v>6.7779769477263468E-2</v>
      </c>
      <c r="NY44" s="11"/>
      <c r="OF44" s="32"/>
      <c r="OG44" s="32"/>
      <c r="OI44" t="s">
        <v>81</v>
      </c>
      <c r="OR44" s="67">
        <v>0.75</v>
      </c>
      <c r="OS44" s="7">
        <v>0.71574668738925007</v>
      </c>
      <c r="OT44" s="248">
        <f t="shared" si="92"/>
        <v>9</v>
      </c>
      <c r="OU44" s="69">
        <f t="shared" si="97"/>
        <v>7.9527409709916674E-2</v>
      </c>
      <c r="OV44" s="69"/>
      <c r="OW44" s="10">
        <v>7.9527409709916674E-2</v>
      </c>
      <c r="OX44" s="11"/>
    </row>
    <row r="45" spans="2:423" x14ac:dyDescent="0.25">
      <c r="B45" s="48">
        <v>42999</v>
      </c>
      <c r="C45" s="49">
        <v>64684641.724999994</v>
      </c>
      <c r="D45" s="49">
        <v>69624500</v>
      </c>
      <c r="E45" s="50">
        <v>50000000</v>
      </c>
      <c r="F45" s="50"/>
      <c r="G45" s="50"/>
      <c r="H45" s="50"/>
      <c r="I45" s="38">
        <v>43181</v>
      </c>
      <c r="J45" s="240">
        <v>40000000</v>
      </c>
      <c r="K45" s="240">
        <v>48443528.473999999</v>
      </c>
      <c r="L45" s="241">
        <f t="shared" si="24"/>
        <v>840111086.57849979</v>
      </c>
      <c r="N45" s="38">
        <v>43545</v>
      </c>
      <c r="O45" s="240">
        <v>12000000</v>
      </c>
      <c r="P45" s="240">
        <v>25763148.906000003</v>
      </c>
      <c r="Q45" s="241">
        <f t="shared" si="25"/>
        <v>1828229525.6346002</v>
      </c>
      <c r="S45" s="38">
        <v>43909</v>
      </c>
      <c r="T45" s="240">
        <v>60000000</v>
      </c>
      <c r="U45" s="240">
        <v>79560497.412</v>
      </c>
      <c r="V45" s="241">
        <f t="shared" si="26"/>
        <v>1994693796.4337997</v>
      </c>
      <c r="X45" s="38">
        <v>44273</v>
      </c>
      <c r="Y45" s="240">
        <v>50000000</v>
      </c>
      <c r="Z45" s="240">
        <v>83260332.005400002</v>
      </c>
      <c r="AA45" s="241">
        <f t="shared" si="27"/>
        <v>1757535222.4187996</v>
      </c>
      <c r="AC45" s="38">
        <v>44637</v>
      </c>
      <c r="AD45" s="240">
        <v>20000000</v>
      </c>
      <c r="AE45" s="240">
        <v>52436945.385000005</v>
      </c>
      <c r="AF45" s="241">
        <f t="shared" si="28"/>
        <v>2465188586.6982002</v>
      </c>
      <c r="AG45" s="241"/>
      <c r="AH45" s="38">
        <v>45008</v>
      </c>
      <c r="AI45" s="240">
        <v>8000000</v>
      </c>
      <c r="AJ45" s="240">
        <v>31427596.174983278</v>
      </c>
      <c r="AK45" s="241">
        <f t="shared" si="29"/>
        <v>2292228587.9399333</v>
      </c>
      <c r="AM45" s="32">
        <v>38</v>
      </c>
      <c r="AN45" s="39">
        <f t="shared" si="0"/>
        <v>0.84011108657849976</v>
      </c>
      <c r="AO45" s="39">
        <f t="shared" si="1"/>
        <v>1.8282295256346002</v>
      </c>
      <c r="AP45" s="39">
        <f t="shared" si="2"/>
        <v>1.9946937964337998</v>
      </c>
      <c r="AQ45" s="39">
        <f t="shared" si="3"/>
        <v>1.7575352224187997</v>
      </c>
      <c r="AR45" s="39">
        <f t="shared" si="30"/>
        <v>2.4651885866982002</v>
      </c>
      <c r="AS45" s="39">
        <f t="shared" si="31"/>
        <v>2.2922285879399333</v>
      </c>
      <c r="AT45" s="39"/>
      <c r="AU45" s="39">
        <f t="shared" si="32"/>
        <v>1.9587236374350383</v>
      </c>
      <c r="AV45" s="9"/>
      <c r="AW45" s="9"/>
      <c r="AX45" s="9"/>
      <c r="AY45" s="74"/>
      <c r="BF45" s="72"/>
      <c r="BG45" s="62" t="s">
        <v>101</v>
      </c>
      <c r="BH45" s="63">
        <f t="shared" si="110"/>
        <v>0.14042849942172042</v>
      </c>
      <c r="BI45" s="63">
        <f t="shared" si="110"/>
        <v>0.25706803651451926</v>
      </c>
      <c r="BJ45" s="63">
        <f t="shared" si="110"/>
        <v>0.27457279175772165</v>
      </c>
      <c r="BK45" s="63">
        <f t="shared" si="110"/>
        <v>0.28142269668315834</v>
      </c>
      <c r="BL45" s="63">
        <f t="shared" si="110"/>
        <v>0.32268679960181501</v>
      </c>
      <c r="BM45" s="63">
        <f>BM28-BM27</f>
        <v>0.31570560089305477</v>
      </c>
      <c r="BN45" s="63">
        <f t="shared" si="110"/>
        <v>0.32268679960181545</v>
      </c>
      <c r="BZ45" s="60"/>
      <c r="CA45" s="62" t="s">
        <v>97</v>
      </c>
      <c r="CB45" s="63">
        <f>CB36-CB34</f>
        <v>3</v>
      </c>
      <c r="CC45" s="63">
        <f>CC36-CC34</f>
        <v>3</v>
      </c>
      <c r="CD45" s="63">
        <f t="shared" ref="CD45:CI45" si="112">CD36-CD34</f>
        <v>3.0000000000000036</v>
      </c>
      <c r="CE45" s="63">
        <f t="shared" si="112"/>
        <v>3</v>
      </c>
      <c r="CF45" s="63">
        <f t="shared" si="112"/>
        <v>3</v>
      </c>
      <c r="CG45" s="63">
        <f t="shared" si="112"/>
        <v>2</v>
      </c>
      <c r="CH45" s="63">
        <f t="shared" si="112"/>
        <v>2</v>
      </c>
      <c r="CI45" s="63">
        <f t="shared" si="112"/>
        <v>2</v>
      </c>
      <c r="CT45" s="41">
        <f t="shared" si="33"/>
        <v>45008</v>
      </c>
      <c r="CU45" s="9">
        <f t="shared" si="34"/>
        <v>2.2922285879399333</v>
      </c>
      <c r="CV45" s="9">
        <f t="shared" si="99"/>
        <v>1.4418582770581809</v>
      </c>
      <c r="CW45" s="9">
        <f t="shared" si="99"/>
        <v>1.7265799140755951</v>
      </c>
      <c r="CX45" s="9">
        <f t="shared" si="99"/>
        <v>1.839839116241746</v>
      </c>
      <c r="CY45" s="9">
        <f t="shared" si="99"/>
        <v>1.9190762770969614</v>
      </c>
      <c r="CZ45" s="9">
        <f t="shared" si="99"/>
        <v>2.0789280921746269</v>
      </c>
      <c r="DA45" s="9">
        <f t="shared" si="99"/>
        <v>2.2879689371362861</v>
      </c>
      <c r="DB45" s="9">
        <f t="shared" si="99"/>
        <v>2.5168362745852764</v>
      </c>
      <c r="DC45" s="9">
        <f t="shared" si="99"/>
        <v>2.7593640433947955</v>
      </c>
      <c r="DD45" s="9">
        <f t="shared" si="99"/>
        <v>2.9045092111587958</v>
      </c>
      <c r="DE45" s="9">
        <f t="shared" si="99"/>
        <v>3.2196882620693779</v>
      </c>
      <c r="DF45" s="9">
        <f t="shared" si="99"/>
        <v>3.9095318500818736</v>
      </c>
      <c r="DG45" s="32"/>
      <c r="DH45" s="32"/>
      <c r="DR45" s="41">
        <v>45372</v>
      </c>
      <c r="DS45" s="9">
        <v>2.9166336959999999</v>
      </c>
      <c r="DT45" s="9">
        <f t="shared" si="100"/>
        <v>1.5553561725639142</v>
      </c>
      <c r="DU45" s="9">
        <f t="shared" si="100"/>
        <v>1.8374768699533139</v>
      </c>
      <c r="DV45" s="9">
        <f t="shared" si="100"/>
        <v>1.9874251087776109</v>
      </c>
      <c r="DW45" s="9">
        <f t="shared" si="100"/>
        <v>2.0788828030443764</v>
      </c>
      <c r="DX45" s="9">
        <f t="shared" si="100"/>
        <v>2.2563621892916652</v>
      </c>
      <c r="DY45" s="9">
        <f t="shared" si="100"/>
        <v>2.4796258150773571</v>
      </c>
      <c r="DZ45" s="9">
        <f t="shared" si="100"/>
        <v>2.7319744757205133</v>
      </c>
      <c r="EA45" s="9">
        <f t="shared" si="100"/>
        <v>3.0003632190288263</v>
      </c>
      <c r="EB45" s="9">
        <f t="shared" si="100"/>
        <v>3.1627188962839257</v>
      </c>
      <c r="EC45" s="9">
        <f t="shared" si="100"/>
        <v>3.4775569771208632</v>
      </c>
      <c r="ED45" s="9">
        <f t="shared" si="100"/>
        <v>4.4569797511428417</v>
      </c>
      <c r="EE45" s="32"/>
      <c r="EF45" s="32"/>
      <c r="EQ45" s="41"/>
      <c r="ER45" s="9"/>
      <c r="ES45" s="9"/>
      <c r="ET45" s="9"/>
      <c r="EU45" s="9"/>
      <c r="EV45" s="9"/>
      <c r="EW45" s="9"/>
      <c r="EX45" s="9"/>
      <c r="EY45" s="9"/>
      <c r="EZ45" s="9"/>
      <c r="FA45" s="9"/>
      <c r="FB45" s="9"/>
      <c r="FC45" s="9"/>
      <c r="FD45" s="32"/>
      <c r="FE45" s="32"/>
      <c r="FF45" s="32"/>
      <c r="FG45" s="32"/>
      <c r="FH45" s="32"/>
      <c r="FI45" s="32"/>
      <c r="FJ45" s="32"/>
      <c r="FK45" s="32"/>
      <c r="FL45" s="41"/>
      <c r="FM45" s="9"/>
      <c r="FN45" s="9"/>
      <c r="FO45" s="9"/>
      <c r="FP45" s="9"/>
      <c r="FQ45" s="9"/>
      <c r="FR45" s="9"/>
      <c r="FS45" s="9"/>
      <c r="FT45" s="9"/>
      <c r="FU45" s="9"/>
      <c r="FV45" s="9"/>
      <c r="FW45" s="9"/>
      <c r="FX45" s="9"/>
      <c r="FY45" s="32"/>
      <c r="FZ45" s="32"/>
      <c r="GA45" s="32"/>
      <c r="GB45" s="32"/>
      <c r="GC45" s="41">
        <v>45736</v>
      </c>
      <c r="GD45" s="9">
        <v>2.1408858111364504</v>
      </c>
      <c r="GE45" s="9">
        <f t="shared" si="101"/>
        <v>1.8153071294619443</v>
      </c>
      <c r="GF45" s="9">
        <f t="shared" si="101"/>
        <v>1.9842568273996817</v>
      </c>
      <c r="GG45" s="9">
        <f t="shared" si="101"/>
        <v>2.1262937411666889</v>
      </c>
      <c r="GH45" s="9">
        <f t="shared" si="101"/>
        <v>2.2198099377139742</v>
      </c>
      <c r="GI45" s="9">
        <f t="shared" si="101"/>
        <v>2.3955236429525195</v>
      </c>
      <c r="GJ45" s="9">
        <f t="shared" si="101"/>
        <v>2.6164300167670058</v>
      </c>
      <c r="GK45" s="9">
        <f t="shared" si="101"/>
        <v>2.8794927631230389</v>
      </c>
      <c r="GL45" s="9">
        <f t="shared" si="101"/>
        <v>3.1494347346493181</v>
      </c>
      <c r="GM45" s="9">
        <f t="shared" si="101"/>
        <v>3.3177034864293433</v>
      </c>
      <c r="GN45" s="9">
        <f t="shared" si="101"/>
        <v>3.6572755755582724</v>
      </c>
      <c r="GO45" s="9">
        <f t="shared" si="101"/>
        <v>4.603926418751052</v>
      </c>
      <c r="GP45" s="32"/>
      <c r="GQ45" s="32"/>
      <c r="HA45" s="67">
        <v>0.99</v>
      </c>
      <c r="HB45" s="7">
        <v>1.8033513513153605</v>
      </c>
      <c r="HC45" s="7"/>
      <c r="HD45" s="68">
        <v>16</v>
      </c>
      <c r="HE45" s="69">
        <f t="shared" si="89"/>
        <v>0.11270945945721003</v>
      </c>
      <c r="HF45" s="69"/>
      <c r="HG45" s="7">
        <v>0.11270945945721003</v>
      </c>
      <c r="HM45" s="9">
        <v>9.3666826909729897E-2</v>
      </c>
      <c r="HN45" s="9">
        <v>0.10424244789035017</v>
      </c>
      <c r="HO45" s="9"/>
      <c r="HP45" s="9">
        <v>0.11053987010615059</v>
      </c>
      <c r="HQ45" s="9">
        <v>9.3696795892587226E-2</v>
      </c>
      <c r="HR45" s="9"/>
      <c r="HS45" s="32"/>
      <c r="HT45" s="32"/>
      <c r="HU45" s="32"/>
      <c r="HV45" s="67">
        <v>0.99</v>
      </c>
      <c r="HW45" s="7">
        <v>1.1053987010615058</v>
      </c>
      <c r="HX45" s="68">
        <v>10</v>
      </c>
      <c r="HY45" s="69">
        <f t="shared" si="90"/>
        <v>0.11053987010615059</v>
      </c>
      <c r="HZ45" s="69"/>
      <c r="IA45" s="7">
        <v>0.11053987010615059</v>
      </c>
      <c r="IG45" s="9">
        <v>9.3666826909729897E-2</v>
      </c>
      <c r="IH45" s="9">
        <v>0.10424244789035017</v>
      </c>
      <c r="II45" s="9"/>
      <c r="IJ45" s="9">
        <v>0.11053987010615059</v>
      </c>
      <c r="IK45" s="9">
        <v>9.3696795892587226E-2</v>
      </c>
      <c r="IL45" s="9"/>
      <c r="IM45" s="32"/>
      <c r="IN45" s="32"/>
      <c r="IO45" s="32"/>
      <c r="IZ45" s="41">
        <f t="shared" si="11"/>
        <v>45008</v>
      </c>
      <c r="JA45" s="9">
        <f t="shared" si="11"/>
        <v>2.2922285879399333</v>
      </c>
      <c r="JB45" s="9"/>
      <c r="JC45" s="9"/>
      <c r="JD45" s="9"/>
      <c r="JE45" s="9"/>
      <c r="JF45" s="9"/>
      <c r="JG45" s="9"/>
      <c r="JH45" s="9"/>
      <c r="JI45" s="9"/>
      <c r="JJ45" s="9"/>
      <c r="JK45" s="9"/>
      <c r="JL45" s="9"/>
      <c r="JM45" s="9"/>
      <c r="JX45" s="41">
        <v>45008</v>
      </c>
      <c r="JY45" s="9"/>
      <c r="JZ45" s="9">
        <f t="shared" si="102"/>
        <v>2.6235703478873749</v>
      </c>
      <c r="KA45" s="9">
        <f t="shared" si="102"/>
        <v>2.3346669087155298</v>
      </c>
      <c r="KB45" s="9"/>
      <c r="KM45" s="41"/>
      <c r="KN45" s="241"/>
      <c r="KO45" s="241"/>
      <c r="KQ45" s="41"/>
      <c r="KR45" s="241"/>
      <c r="KS45" s="241"/>
      <c r="KU45" s="41"/>
      <c r="KV45" s="241"/>
      <c r="KW45" s="241"/>
      <c r="KY45" s="41"/>
      <c r="KZ45" s="241"/>
      <c r="LA45" s="241"/>
      <c r="LC45" s="41"/>
      <c r="LD45" s="241"/>
      <c r="LE45" s="241"/>
      <c r="LK45" s="41"/>
      <c r="LL45" s="241"/>
      <c r="LM45" s="241"/>
      <c r="MA45" s="32"/>
      <c r="MB45" s="32"/>
      <c r="MC45" s="32"/>
      <c r="MD45" s="32"/>
      <c r="ME45" s="32"/>
      <c r="MF45" s="32"/>
      <c r="MG45" s="32"/>
      <c r="MH45" s="39"/>
      <c r="MI45" s="39"/>
      <c r="MJ45" s="39"/>
      <c r="MK45" s="39"/>
      <c r="ML45" s="9"/>
      <c r="MM45" s="9"/>
      <c r="MN45" s="9"/>
      <c r="MO45" s="74"/>
      <c r="MV45" s="72"/>
      <c r="MW45" s="62" t="s">
        <v>102</v>
      </c>
      <c r="MX45" s="63">
        <f>MX31-MX27</f>
        <v>0.63553272373778569</v>
      </c>
      <c r="MY45" s="63">
        <f t="shared" ref="MY45:NG45" si="113">MY31-MY27</f>
        <v>0.7729613672759732</v>
      </c>
      <c r="MZ45" s="63">
        <f t="shared" si="113"/>
        <v>0.9937494892555998</v>
      </c>
      <c r="NA45" s="63">
        <f t="shared" si="113"/>
        <v>1.6195528765475395</v>
      </c>
      <c r="NB45" s="63">
        <f t="shared" si="113"/>
        <v>1.3531205574810001</v>
      </c>
      <c r="NC45" s="63">
        <f t="shared" si="113"/>
        <v>1.6118069205469008</v>
      </c>
      <c r="ND45" s="63">
        <f t="shared" si="113"/>
        <v>1.2211971990580215</v>
      </c>
      <c r="NE45" s="63">
        <f t="shared" si="113"/>
        <v>1.158568307565899</v>
      </c>
      <c r="NF45" s="63">
        <f t="shared" si="113"/>
        <v>1.7523427536489598</v>
      </c>
      <c r="NG45" s="63">
        <f t="shared" si="113"/>
        <v>1.6242178293384999</v>
      </c>
      <c r="NH45" s="63">
        <f>NH31-NH27</f>
        <v>1.4333010510357</v>
      </c>
      <c r="NJ45" t="s">
        <v>81</v>
      </c>
      <c r="NS45" s="67">
        <v>0.9</v>
      </c>
      <c r="NT45" s="7">
        <v>2.0358999090672003</v>
      </c>
      <c r="NU45" s="68">
        <v>26</v>
      </c>
      <c r="NV45" s="69">
        <f t="shared" si="96"/>
        <v>7.8303842656430783E-2</v>
      </c>
      <c r="NW45" s="69"/>
      <c r="NX45" s="7">
        <v>7.8303842656430783E-2</v>
      </c>
      <c r="NY45" s="11"/>
      <c r="OF45" s="32"/>
      <c r="OG45" s="32"/>
      <c r="OR45" s="67">
        <v>0.9</v>
      </c>
      <c r="OS45" s="7">
        <v>0.80511991841325004</v>
      </c>
      <c r="OT45" s="248">
        <f t="shared" si="92"/>
        <v>9</v>
      </c>
      <c r="OU45" s="69">
        <f t="shared" si="97"/>
        <v>8.9457768712583333E-2</v>
      </c>
      <c r="OV45" s="69"/>
      <c r="OW45" s="10">
        <v>8.9457768712583333E-2</v>
      </c>
      <c r="OX45" s="11"/>
    </row>
    <row r="46" spans="2:423" x14ac:dyDescent="0.25">
      <c r="B46" s="48">
        <v>43006</v>
      </c>
      <c r="C46" s="49">
        <v>13254654.154499998</v>
      </c>
      <c r="D46" s="49">
        <v>14266890</v>
      </c>
      <c r="E46" s="50">
        <v>3000000</v>
      </c>
      <c r="F46" s="50"/>
      <c r="G46" s="50"/>
      <c r="H46" s="50"/>
      <c r="I46" s="38">
        <v>43188</v>
      </c>
      <c r="J46" s="240">
        <v>3000000</v>
      </c>
      <c r="K46" s="240">
        <v>14010287.681499999</v>
      </c>
      <c r="L46" s="241">
        <f t="shared" si="24"/>
        <v>854121374.25999975</v>
      </c>
      <c r="N46" s="38">
        <v>43552</v>
      </c>
      <c r="O46" s="240">
        <v>20000000</v>
      </c>
      <c r="P46" s="240">
        <v>31628040.444000002</v>
      </c>
      <c r="Q46" s="241">
        <f t="shared" si="25"/>
        <v>1859857566.0786002</v>
      </c>
      <c r="S46" s="38">
        <v>43916</v>
      </c>
      <c r="T46" s="240">
        <v>80000000</v>
      </c>
      <c r="U46" s="240">
        <v>104209725.49680001</v>
      </c>
      <c r="V46" s="241">
        <f t="shared" si="26"/>
        <v>2098903521.9305997</v>
      </c>
      <c r="X46" s="38">
        <v>44280</v>
      </c>
      <c r="Y46" s="240">
        <v>8000000</v>
      </c>
      <c r="Z46" s="240">
        <v>28833533.3682</v>
      </c>
      <c r="AA46" s="241">
        <f t="shared" si="27"/>
        <v>1786368755.7869997</v>
      </c>
      <c r="AC46" s="38">
        <v>44644</v>
      </c>
      <c r="AD46" s="240">
        <v>3000000</v>
      </c>
      <c r="AE46" s="240">
        <v>23910910.768800002</v>
      </c>
      <c r="AF46" s="241">
        <f t="shared" si="28"/>
        <v>2489099497.467</v>
      </c>
      <c r="AG46" s="241"/>
      <c r="AH46" s="38">
        <v>45015</v>
      </c>
      <c r="AI46" s="240">
        <v>8000000</v>
      </c>
      <c r="AJ46" s="240">
        <v>31048532.628628764</v>
      </c>
      <c r="AK46" s="241">
        <f t="shared" si="29"/>
        <v>2323277120.568562</v>
      </c>
      <c r="AM46" s="32">
        <v>39</v>
      </c>
      <c r="AN46" s="39">
        <f t="shared" si="0"/>
        <v>0.85412137425999979</v>
      </c>
      <c r="AO46" s="39">
        <f t="shared" si="1"/>
        <v>1.8598575660786001</v>
      </c>
      <c r="AP46" s="39">
        <f t="shared" si="2"/>
        <v>2.0989035219305996</v>
      </c>
      <c r="AQ46" s="39">
        <f t="shared" si="3"/>
        <v>1.7863687557869996</v>
      </c>
      <c r="AR46" s="39">
        <f t="shared" si="30"/>
        <v>2.489099497467</v>
      </c>
      <c r="AS46" s="39">
        <f t="shared" si="31"/>
        <v>2.3232771205685618</v>
      </c>
      <c r="AT46" s="39"/>
      <c r="AU46" s="39">
        <f t="shared" si="32"/>
        <v>2.0116621141224718</v>
      </c>
      <c r="AV46" s="9"/>
      <c r="AW46" s="9"/>
      <c r="AX46" s="9"/>
      <c r="AY46" s="74"/>
      <c r="AZ46" t="s">
        <v>81</v>
      </c>
      <c r="BC46" s="74"/>
      <c r="BD46" s="74"/>
      <c r="BF46" s="72"/>
      <c r="BG46" s="62" t="s">
        <v>102</v>
      </c>
      <c r="BH46" s="63">
        <f t="shared" ref="BH46:BN46" si="114">BH32-BH28</f>
        <v>1.0732922664142377</v>
      </c>
      <c r="BI46" s="63">
        <f t="shared" si="114"/>
        <v>1.4760833933721509</v>
      </c>
      <c r="BJ46" s="63">
        <f t="shared" si="114"/>
        <v>1.7557662735895239</v>
      </c>
      <c r="BK46" s="63">
        <f t="shared" si="114"/>
        <v>1.7916774241154578</v>
      </c>
      <c r="BL46" s="63">
        <f t="shared" si="114"/>
        <v>1.7919071925019652</v>
      </c>
      <c r="BM46" s="63">
        <f>BM32-BM28</f>
        <v>1.6064671050685377</v>
      </c>
      <c r="BN46" s="63">
        <f t="shared" si="114"/>
        <v>1.7919071925019652</v>
      </c>
      <c r="BP46" t="s">
        <v>81</v>
      </c>
      <c r="BZ46" s="72"/>
      <c r="CA46" s="62" t="s">
        <v>98</v>
      </c>
      <c r="CB46" s="63">
        <f>CB38-CB36</f>
        <v>6</v>
      </c>
      <c r="CC46" s="63">
        <f>CC38-CC36</f>
        <v>6</v>
      </c>
      <c r="CD46" s="63">
        <f t="shared" ref="CD46:CI46" si="115">CD38-CD36</f>
        <v>6</v>
      </c>
      <c r="CE46" s="63">
        <f t="shared" si="115"/>
        <v>4</v>
      </c>
      <c r="CF46" s="63">
        <f t="shared" si="115"/>
        <v>5</v>
      </c>
      <c r="CG46" s="63">
        <f t="shared" si="115"/>
        <v>6</v>
      </c>
      <c r="CH46" s="63">
        <f t="shared" si="115"/>
        <v>5</v>
      </c>
      <c r="CI46" s="63">
        <f t="shared" si="115"/>
        <v>4</v>
      </c>
      <c r="CK46" t="s">
        <v>81</v>
      </c>
      <c r="CT46" s="41">
        <f t="shared" si="33"/>
        <v>45015</v>
      </c>
      <c r="CU46" s="9">
        <f t="shared" si="34"/>
        <v>2.3232771205685618</v>
      </c>
      <c r="CV46" s="9">
        <f t="shared" si="99"/>
        <v>1.479801915928133</v>
      </c>
      <c r="CW46" s="9">
        <f t="shared" si="99"/>
        <v>1.7720162276039002</v>
      </c>
      <c r="CX46" s="9">
        <f t="shared" si="99"/>
        <v>1.8882559350902131</v>
      </c>
      <c r="CY46" s="9">
        <f t="shared" si="99"/>
        <v>1.9695782843889866</v>
      </c>
      <c r="CZ46" s="9">
        <f t="shared" si="99"/>
        <v>2.1336367261792222</v>
      </c>
      <c r="DA46" s="9">
        <f t="shared" si="99"/>
        <v>2.3481786460082938</v>
      </c>
      <c r="DB46" s="9">
        <f t="shared" si="99"/>
        <v>2.5830688081269941</v>
      </c>
      <c r="DC46" s="9">
        <f t="shared" si="99"/>
        <v>2.8319788866420268</v>
      </c>
      <c r="DD46" s="9">
        <f t="shared" si="99"/>
        <v>2.9809436640840272</v>
      </c>
      <c r="DE46" s="9">
        <f t="shared" si="99"/>
        <v>3.3044169005448878</v>
      </c>
      <c r="DF46" s="9">
        <f t="shared" si="99"/>
        <v>4.0124142671892917</v>
      </c>
      <c r="DG46" s="32"/>
      <c r="DH46" s="32"/>
      <c r="DR46" s="41">
        <v>45379</v>
      </c>
      <c r="DS46" s="9">
        <v>2.9554189179999999</v>
      </c>
      <c r="DT46" s="9">
        <f t="shared" si="100"/>
        <v>1.5962865981577015</v>
      </c>
      <c r="DU46" s="9">
        <f t="shared" si="100"/>
        <v>1.8858315244257695</v>
      </c>
      <c r="DV46" s="9">
        <f t="shared" si="100"/>
        <v>2.0397257695349165</v>
      </c>
      <c r="DW46" s="9">
        <f t="shared" si="100"/>
        <v>2.1335902452297546</v>
      </c>
      <c r="DX46" s="9">
        <f t="shared" si="100"/>
        <v>2.315740141641446</v>
      </c>
      <c r="DY46" s="9">
        <f t="shared" si="100"/>
        <v>2.5448791260004455</v>
      </c>
      <c r="DZ46" s="9">
        <f t="shared" si="100"/>
        <v>2.8038685408710533</v>
      </c>
      <c r="EA46" s="9">
        <f t="shared" si="100"/>
        <v>3.0793201458453745</v>
      </c>
      <c r="EB46" s="9">
        <f t="shared" si="100"/>
        <v>3.2459483409229763</v>
      </c>
      <c r="EC46" s="9">
        <f t="shared" si="100"/>
        <v>3.5690716344135174</v>
      </c>
      <c r="ED46" s="9">
        <f t="shared" si="100"/>
        <v>4.5742686919623905</v>
      </c>
      <c r="EE46" s="32"/>
      <c r="EF46" s="32"/>
      <c r="EQ46" s="41"/>
      <c r="ER46" s="9"/>
      <c r="ES46" s="9"/>
      <c r="ET46" s="9"/>
      <c r="EU46" s="9"/>
      <c r="EV46" s="9"/>
      <c r="EW46" s="9"/>
      <c r="EX46" s="9"/>
      <c r="EY46" s="9"/>
      <c r="EZ46" s="9"/>
      <c r="FA46" s="9"/>
      <c r="FB46" s="9"/>
      <c r="FC46" s="9"/>
      <c r="FD46" s="32"/>
      <c r="FE46" s="32"/>
      <c r="FF46" s="32"/>
      <c r="FG46" s="32"/>
      <c r="FH46" s="32"/>
      <c r="FI46" s="32"/>
      <c r="FJ46" s="32"/>
      <c r="FK46" s="32"/>
      <c r="FL46" s="41"/>
      <c r="FM46" s="9"/>
      <c r="FN46" s="9"/>
      <c r="FO46" s="9"/>
      <c r="FP46" s="9"/>
      <c r="FQ46" s="9"/>
      <c r="FR46" s="9"/>
      <c r="FS46" s="9"/>
      <c r="FT46" s="9"/>
      <c r="FU46" s="9"/>
      <c r="FV46" s="9"/>
      <c r="FW46" s="9"/>
      <c r="FX46" s="9"/>
      <c r="FY46" s="32"/>
      <c r="FZ46" s="32"/>
      <c r="GA46" s="32"/>
      <c r="GB46" s="32"/>
      <c r="GC46" s="41">
        <v>45743</v>
      </c>
      <c r="GD46" s="9">
        <v>2.1900735165748286</v>
      </c>
      <c r="GE46" s="9">
        <f t="shared" si="101"/>
        <v>1.8630783697109428</v>
      </c>
      <c r="GF46" s="9">
        <f t="shared" si="101"/>
        <v>2.0364741123312524</v>
      </c>
      <c r="GG46" s="9">
        <f t="shared" si="101"/>
        <v>2.1822488396184441</v>
      </c>
      <c r="GH46" s="9">
        <f t="shared" si="101"/>
        <v>2.2782259887064473</v>
      </c>
      <c r="GI46" s="9">
        <f t="shared" si="101"/>
        <v>2.458563738819691</v>
      </c>
      <c r="GJ46" s="9">
        <f t="shared" si="101"/>
        <v>2.6852834382608743</v>
      </c>
      <c r="GK46" s="9">
        <f t="shared" si="101"/>
        <v>2.9552688884683822</v>
      </c>
      <c r="GL46" s="9">
        <f t="shared" si="101"/>
        <v>3.2323145960874582</v>
      </c>
      <c r="GM46" s="9">
        <f t="shared" si="101"/>
        <v>3.4050114729143259</v>
      </c>
      <c r="GN46" s="9">
        <f t="shared" si="101"/>
        <v>3.7535196696519111</v>
      </c>
      <c r="GO46" s="9">
        <f t="shared" si="101"/>
        <v>4.7250823771392376</v>
      </c>
      <c r="GP46" s="32"/>
      <c r="GQ46" s="32"/>
      <c r="HA46" s="67" t="s">
        <v>40</v>
      </c>
      <c r="HB46" s="7">
        <v>2.654346822783261</v>
      </c>
      <c r="HC46" s="7"/>
      <c r="HD46" s="68">
        <v>16</v>
      </c>
      <c r="HE46" s="69">
        <f>HB46/HD46</f>
        <v>0.16589667642395381</v>
      </c>
      <c r="HF46" s="69"/>
      <c r="HG46" s="7">
        <v>0.16589667642395381</v>
      </c>
      <c r="HM46" s="9">
        <v>0.13479555842127006</v>
      </c>
      <c r="HN46" s="9">
        <v>0.12689174541087558</v>
      </c>
      <c r="HO46" s="9"/>
      <c r="HP46" s="9">
        <v>0.19520667491512628</v>
      </c>
      <c r="HQ46" s="9">
        <v>8.9134797602215418E-2</v>
      </c>
      <c r="HR46" s="9"/>
      <c r="HS46" s="32"/>
      <c r="HT46" s="32"/>
      <c r="HU46" s="32"/>
      <c r="HV46" s="67" t="s">
        <v>40</v>
      </c>
      <c r="HW46" s="7">
        <v>1.9520667491512629</v>
      </c>
      <c r="HX46" s="68">
        <v>10</v>
      </c>
      <c r="HY46" s="69">
        <f>HW46/HX46</f>
        <v>0.19520667491512628</v>
      </c>
      <c r="HZ46" s="69"/>
      <c r="IA46" s="7">
        <v>0.19520667491512628</v>
      </c>
      <c r="IG46" s="9">
        <v>0.13479555842127006</v>
      </c>
      <c r="IH46" s="9">
        <v>0.12689174541087558</v>
      </c>
      <c r="II46" s="9"/>
      <c r="IJ46" s="9">
        <v>0.19520667491512628</v>
      </c>
      <c r="IK46" s="9">
        <v>8.9134797602215418E-2</v>
      </c>
      <c r="IL46" s="9"/>
      <c r="IM46" s="32"/>
      <c r="IN46" s="32"/>
      <c r="IO46" s="32"/>
      <c r="IZ46" s="41">
        <f t="shared" si="11"/>
        <v>45015</v>
      </c>
      <c r="JA46" s="9">
        <f t="shared" si="11"/>
        <v>2.3232771205685618</v>
      </c>
      <c r="JB46" s="9"/>
      <c r="JC46" s="9"/>
      <c r="JD46" s="9"/>
      <c r="JE46" s="9"/>
      <c r="JF46" s="9"/>
      <c r="JG46" s="9"/>
      <c r="JH46" s="9"/>
      <c r="JI46" s="9"/>
      <c r="JJ46" s="9"/>
      <c r="JK46" s="9"/>
      <c r="JL46" s="9"/>
      <c r="JM46" s="9"/>
      <c r="JX46" s="41">
        <v>45015</v>
      </c>
      <c r="JY46" s="9"/>
      <c r="JZ46" s="9">
        <f t="shared" si="102"/>
        <v>2.6911397802978594</v>
      </c>
      <c r="KA46" s="9">
        <f t="shared" si="102"/>
        <v>2.3884790344987836</v>
      </c>
      <c r="KB46" s="9"/>
      <c r="KM46" s="41"/>
      <c r="KN46" s="241"/>
      <c r="KO46" s="241"/>
      <c r="KQ46" s="41"/>
      <c r="KR46" s="241"/>
      <c r="KS46" s="241"/>
      <c r="KU46" s="41"/>
      <c r="KV46" s="241"/>
      <c r="KW46" s="241"/>
      <c r="KY46" s="41"/>
      <c r="KZ46" s="241"/>
      <c r="LA46" s="241"/>
      <c r="LC46" s="41"/>
      <c r="LD46" s="241"/>
      <c r="LE46" s="241"/>
      <c r="LK46" s="41"/>
      <c r="LL46" s="241"/>
      <c r="LM46" s="241"/>
      <c r="LU46" s="75"/>
      <c r="MA46" s="32"/>
      <c r="MB46" s="32"/>
      <c r="MC46" s="32"/>
      <c r="MD46" s="32"/>
      <c r="ME46" s="32"/>
      <c r="MF46" s="32"/>
      <c r="MG46" s="32"/>
      <c r="MH46" s="39"/>
      <c r="MI46" s="39"/>
      <c r="MJ46" s="39"/>
      <c r="MK46" s="39"/>
      <c r="ML46" s="9"/>
      <c r="MM46" s="9"/>
      <c r="MN46" s="9"/>
      <c r="MO46" s="74"/>
      <c r="MP46" t="s">
        <v>81</v>
      </c>
      <c r="MS46" s="74"/>
      <c r="MT46" s="74"/>
      <c r="MV46" s="72"/>
      <c r="MW46" s="73"/>
      <c r="NS46" s="67">
        <v>0.95</v>
      </c>
      <c r="NT46" s="7">
        <v>2.2314309212618499</v>
      </c>
      <c r="NU46" s="68">
        <v>26</v>
      </c>
      <c r="NV46" s="69">
        <f t="shared" si="96"/>
        <v>8.5824266202378846E-2</v>
      </c>
      <c r="NW46" s="69"/>
      <c r="NX46" s="7">
        <v>8.5824266202378846E-2</v>
      </c>
      <c r="NY46" s="11"/>
      <c r="OF46" s="32"/>
      <c r="OG46" s="32"/>
      <c r="OR46" s="67">
        <v>0.95</v>
      </c>
      <c r="OS46" s="7">
        <v>0.87565172395305002</v>
      </c>
      <c r="OT46" s="248">
        <f t="shared" si="92"/>
        <v>9</v>
      </c>
      <c r="OU46" s="69">
        <f t="shared" si="97"/>
        <v>9.7294635994783329E-2</v>
      </c>
      <c r="OV46" s="69"/>
      <c r="OW46" s="10">
        <v>9.7294635994783329E-2</v>
      </c>
      <c r="OX46" s="11"/>
    </row>
    <row r="47" spans="2:423" x14ac:dyDescent="0.25">
      <c r="B47" s="48">
        <v>43013</v>
      </c>
      <c r="C47" s="49">
        <v>16254909.643499998</v>
      </c>
      <c r="D47" s="49">
        <v>17496270</v>
      </c>
      <c r="E47" s="50">
        <v>6000000</v>
      </c>
      <c r="F47" s="50"/>
      <c r="G47" s="50"/>
      <c r="H47" s="50"/>
      <c r="I47" s="38">
        <v>43195</v>
      </c>
      <c r="J47" s="240">
        <v>6000000</v>
      </c>
      <c r="K47" s="240">
        <v>17016981.487</v>
      </c>
      <c r="L47" s="241">
        <f t="shared" si="24"/>
        <v>871138355.74699974</v>
      </c>
      <c r="N47" s="38">
        <v>43559</v>
      </c>
      <c r="O47" s="240">
        <v>3000000</v>
      </c>
      <c r="P47" s="240">
        <v>16092624.391800001</v>
      </c>
      <c r="Q47" s="241">
        <f t="shared" si="25"/>
        <v>1875950190.4704001</v>
      </c>
      <c r="S47" s="38">
        <v>43923</v>
      </c>
      <c r="T47" s="240">
        <v>3000000</v>
      </c>
      <c r="U47" s="240">
        <v>18553786.0266</v>
      </c>
      <c r="V47" s="241">
        <f t="shared" si="26"/>
        <v>2117457307.9571996</v>
      </c>
      <c r="X47" s="38">
        <v>44287</v>
      </c>
      <c r="Y47" s="240">
        <v>20000000</v>
      </c>
      <c r="Z47" s="240">
        <v>45623605.849799998</v>
      </c>
      <c r="AA47" s="241">
        <f t="shared" si="27"/>
        <v>1831992361.6367998</v>
      </c>
      <c r="AC47" s="38">
        <v>44651</v>
      </c>
      <c r="AD47" s="240">
        <v>8000000</v>
      </c>
      <c r="AE47" s="240">
        <v>34507525.965000004</v>
      </c>
      <c r="AF47" s="241">
        <f t="shared" si="28"/>
        <v>2523607023.4320002</v>
      </c>
      <c r="AG47" s="241"/>
      <c r="AH47" s="38">
        <v>45022</v>
      </c>
      <c r="AI47" s="240">
        <v>20000000</v>
      </c>
      <c r="AJ47" s="240">
        <v>49802356.898862869</v>
      </c>
      <c r="AK47" s="241">
        <f t="shared" si="29"/>
        <v>2373079477.4674249</v>
      </c>
      <c r="AM47" s="32">
        <v>40</v>
      </c>
      <c r="AN47" s="39">
        <f t="shared" si="0"/>
        <v>0.87113835574699972</v>
      </c>
      <c r="AO47" s="39">
        <f t="shared" si="1"/>
        <v>1.8759501904704001</v>
      </c>
      <c r="AP47" s="39">
        <f t="shared" si="2"/>
        <v>2.1174573079571997</v>
      </c>
      <c r="AQ47" s="39">
        <f t="shared" si="3"/>
        <v>1.8319923616367999</v>
      </c>
      <c r="AR47" s="39">
        <f t="shared" si="30"/>
        <v>2.5236070234320001</v>
      </c>
      <c r="AS47" s="39">
        <f t="shared" si="31"/>
        <v>2.3730794774674249</v>
      </c>
      <c r="AT47" s="39"/>
      <c r="AU47" s="39">
        <f t="shared" si="32"/>
        <v>2.0646005908099054</v>
      </c>
      <c r="AV47" s="9"/>
      <c r="AW47" s="9"/>
      <c r="AX47" s="9"/>
      <c r="AY47" s="74"/>
      <c r="BC47" s="74"/>
      <c r="BD47" s="74"/>
      <c r="BF47" s="72"/>
      <c r="BG47" s="73"/>
      <c r="BZ47" s="72"/>
      <c r="CA47" s="73"/>
      <c r="CT47" s="41">
        <f t="shared" si="33"/>
        <v>45022</v>
      </c>
      <c r="CU47" s="9">
        <f t="shared" si="34"/>
        <v>2.3730794774674249</v>
      </c>
      <c r="CV47" s="9">
        <f t="shared" si="99"/>
        <v>1.5177455547980852</v>
      </c>
      <c r="CW47" s="9">
        <f t="shared" si="99"/>
        <v>1.8174525411322053</v>
      </c>
      <c r="CX47" s="9">
        <f t="shared" si="99"/>
        <v>1.9366727539386801</v>
      </c>
      <c r="CY47" s="9">
        <f t="shared" si="99"/>
        <v>2.0200802916810119</v>
      </c>
      <c r="CZ47" s="9">
        <f t="shared" si="99"/>
        <v>2.1883453601838174</v>
      </c>
      <c r="DA47" s="9">
        <f t="shared" si="99"/>
        <v>2.4083883548803016</v>
      </c>
      <c r="DB47" s="9">
        <f t="shared" si="99"/>
        <v>2.6493013416687119</v>
      </c>
      <c r="DC47" s="9">
        <f t="shared" si="99"/>
        <v>2.9045937298892581</v>
      </c>
      <c r="DD47" s="9">
        <f t="shared" si="99"/>
        <v>3.0573781170092587</v>
      </c>
      <c r="DE47" s="9">
        <f t="shared" si="99"/>
        <v>3.3891455390203977</v>
      </c>
      <c r="DF47" s="9">
        <f t="shared" si="99"/>
        <v>4.1152966842967098</v>
      </c>
      <c r="DG47" s="32"/>
      <c r="DH47" s="32"/>
      <c r="DR47" s="41">
        <v>45386</v>
      </c>
      <c r="DS47" s="9">
        <v>3.0007856679999998</v>
      </c>
      <c r="DT47" s="9">
        <f t="shared" si="100"/>
        <v>1.6372170237514887</v>
      </c>
      <c r="DU47" s="9">
        <f t="shared" si="100"/>
        <v>1.9341861788982251</v>
      </c>
      <c r="DV47" s="9">
        <f t="shared" si="100"/>
        <v>2.092026430292222</v>
      </c>
      <c r="DW47" s="9">
        <f t="shared" si="100"/>
        <v>2.1882976874151328</v>
      </c>
      <c r="DX47" s="9">
        <f t="shared" si="100"/>
        <v>2.3751180939912269</v>
      </c>
      <c r="DY47" s="9">
        <f t="shared" si="100"/>
        <v>2.6101324369235339</v>
      </c>
      <c r="DZ47" s="9">
        <f t="shared" si="100"/>
        <v>2.8757626060215933</v>
      </c>
      <c r="EA47" s="9">
        <f t="shared" si="100"/>
        <v>3.1582770726619227</v>
      </c>
      <c r="EB47" s="9">
        <f t="shared" si="100"/>
        <v>3.329177785562027</v>
      </c>
      <c r="EC47" s="9">
        <f t="shared" si="100"/>
        <v>3.6605862917061716</v>
      </c>
      <c r="ED47" s="9">
        <f t="shared" si="100"/>
        <v>4.6915576327819393</v>
      </c>
      <c r="EE47" s="32"/>
      <c r="EF47" s="32"/>
      <c r="EQ47" s="41"/>
      <c r="ER47" s="9"/>
      <c r="ES47" s="9"/>
      <c r="ET47" s="9"/>
      <c r="EU47" s="9"/>
      <c r="EV47" s="9"/>
      <c r="EW47" s="9"/>
      <c r="EX47" s="9"/>
      <c r="EY47" s="9"/>
      <c r="EZ47" s="9"/>
      <c r="FA47" s="9"/>
      <c r="FB47" s="9"/>
      <c r="FC47" s="9"/>
      <c r="FD47" s="32"/>
      <c r="FE47" s="32"/>
      <c r="FF47" s="32"/>
      <c r="FG47" s="32"/>
      <c r="FH47" s="32"/>
      <c r="FI47" s="32"/>
      <c r="FJ47" s="32"/>
      <c r="FK47" s="32"/>
      <c r="FL47" s="41"/>
      <c r="FM47" s="9"/>
      <c r="FN47" s="9"/>
      <c r="FO47" s="9"/>
      <c r="FP47" s="9"/>
      <c r="FQ47" s="9"/>
      <c r="FR47" s="9"/>
      <c r="FS47" s="9"/>
      <c r="FT47" s="9"/>
      <c r="FU47" s="9"/>
      <c r="FV47" s="9"/>
      <c r="FW47" s="9"/>
      <c r="FX47" s="9"/>
      <c r="FY47" s="32"/>
      <c r="FZ47" s="32"/>
      <c r="GA47" s="32"/>
      <c r="GB47" s="32"/>
      <c r="GC47" s="41">
        <v>45750</v>
      </c>
      <c r="GD47" s="9">
        <v>2.2251647541973196</v>
      </c>
      <c r="GE47" s="9">
        <f t="shared" si="101"/>
        <v>1.9108496099599412</v>
      </c>
      <c r="GF47" s="9">
        <f t="shared" si="101"/>
        <v>2.0886913972628229</v>
      </c>
      <c r="GG47" s="9">
        <f t="shared" si="101"/>
        <v>2.2382039380701992</v>
      </c>
      <c r="GH47" s="9">
        <f t="shared" si="101"/>
        <v>2.3366420396989205</v>
      </c>
      <c r="GI47" s="9">
        <f t="shared" si="101"/>
        <v>2.5216038346868626</v>
      </c>
      <c r="GJ47" s="9">
        <f t="shared" si="101"/>
        <v>2.7541368597547429</v>
      </c>
      <c r="GK47" s="9">
        <f t="shared" si="101"/>
        <v>3.0310450138137255</v>
      </c>
      <c r="GL47" s="9">
        <f t="shared" si="101"/>
        <v>3.3151944575255983</v>
      </c>
      <c r="GM47" s="9">
        <f t="shared" si="101"/>
        <v>3.4923194593993085</v>
      </c>
      <c r="GN47" s="9">
        <f t="shared" si="101"/>
        <v>3.8497637637455497</v>
      </c>
      <c r="GO47" s="9">
        <f t="shared" si="101"/>
        <v>4.8462383355274232</v>
      </c>
      <c r="GP47" s="32"/>
      <c r="GQ47" s="32"/>
      <c r="HA47" s="41"/>
      <c r="HB47" s="9"/>
      <c r="HC47" s="9"/>
      <c r="HD47" s="9"/>
      <c r="HE47" s="9"/>
      <c r="HF47" s="9"/>
      <c r="HG47" s="9"/>
      <c r="HH47" s="9"/>
      <c r="HI47" s="76"/>
      <c r="HJ47" s="9">
        <f>1-HI47</f>
        <v>1</v>
      </c>
      <c r="HK47" s="9"/>
      <c r="HL47" s="9"/>
      <c r="HM47" s="76">
        <v>10</v>
      </c>
      <c r="HN47" s="76">
        <v>16</v>
      </c>
      <c r="HO47" s="76"/>
      <c r="HP47" s="76">
        <v>10</v>
      </c>
      <c r="HQ47" s="76">
        <v>16</v>
      </c>
      <c r="HR47" s="76"/>
      <c r="HS47" s="32"/>
      <c r="HT47" s="32"/>
      <c r="HU47" s="32"/>
      <c r="HV47" s="41"/>
      <c r="HW47" s="9"/>
      <c r="HX47" s="9"/>
      <c r="HY47" s="9"/>
      <c r="HZ47" s="9"/>
      <c r="IA47" s="9"/>
      <c r="IB47" s="9"/>
      <c r="IC47" s="76"/>
      <c r="ID47" s="9">
        <f>1-IC47</f>
        <v>1</v>
      </c>
      <c r="IE47" s="9"/>
      <c r="IF47" s="9"/>
      <c r="IG47" s="76">
        <v>10</v>
      </c>
      <c r="IH47" s="76">
        <v>16</v>
      </c>
      <c r="II47" s="76"/>
      <c r="IJ47" s="76">
        <v>10</v>
      </c>
      <c r="IK47" s="76">
        <v>16</v>
      </c>
      <c r="IL47" s="76"/>
      <c r="IM47" s="32"/>
      <c r="IN47" s="32"/>
      <c r="IO47" s="32"/>
      <c r="IZ47" s="41">
        <f t="shared" si="11"/>
        <v>45022</v>
      </c>
      <c r="JA47" s="9">
        <f t="shared" si="11"/>
        <v>2.3730794774674249</v>
      </c>
      <c r="JB47" s="9"/>
      <c r="JC47" s="9"/>
      <c r="JD47" s="9"/>
      <c r="JE47" s="9"/>
      <c r="JF47" s="9"/>
      <c r="JG47" s="9"/>
      <c r="JH47" s="9"/>
      <c r="JI47" s="9"/>
      <c r="JJ47" s="9"/>
      <c r="JK47" s="9"/>
      <c r="JL47" s="9"/>
      <c r="JM47" s="9"/>
      <c r="JO47" t="s">
        <v>81</v>
      </c>
      <c r="JX47" s="41">
        <v>45022</v>
      </c>
      <c r="JY47" s="9"/>
      <c r="JZ47" s="9">
        <f t="shared" si="102"/>
        <v>2.7587092127083439</v>
      </c>
      <c r="KA47" s="9">
        <f t="shared" si="102"/>
        <v>2.4422911602820374</v>
      </c>
      <c r="KB47" s="9"/>
      <c r="KM47" s="41"/>
      <c r="KN47" s="241"/>
      <c r="KO47" s="241"/>
      <c r="KQ47" s="41"/>
      <c r="KR47" s="241"/>
      <c r="KS47" s="241"/>
      <c r="KU47" s="41"/>
      <c r="KV47" s="241"/>
      <c r="KW47" s="241"/>
      <c r="KY47" s="41"/>
      <c r="KZ47" s="241"/>
      <c r="LA47" s="241"/>
      <c r="LC47" s="41"/>
      <c r="LD47" s="241"/>
      <c r="LE47" s="241"/>
      <c r="LK47" s="41"/>
      <c r="LL47" s="241"/>
      <c r="LM47" s="241"/>
      <c r="LU47" s="75"/>
      <c r="MA47" s="32"/>
      <c r="MB47" s="32"/>
      <c r="MC47" s="32"/>
      <c r="MD47" s="32"/>
      <c r="ME47" s="32"/>
      <c r="MF47" s="32"/>
      <c r="MG47" s="32"/>
      <c r="MH47" s="39"/>
      <c r="MI47" s="39"/>
      <c r="MJ47" s="39"/>
      <c r="MK47" s="39"/>
      <c r="ML47" s="9"/>
      <c r="MM47" s="9"/>
      <c r="MN47" s="9"/>
      <c r="MO47" s="74"/>
      <c r="MS47" s="74"/>
      <c r="MT47" s="74"/>
      <c r="MV47" s="72"/>
      <c r="MW47" s="77" t="s">
        <v>103</v>
      </c>
      <c r="NS47" s="67">
        <v>0.99</v>
      </c>
      <c r="NT47" s="7">
        <v>2.61670918337675</v>
      </c>
      <c r="NU47" s="68">
        <v>26</v>
      </c>
      <c r="NV47" s="69">
        <f t="shared" si="96"/>
        <v>0.10064266089910577</v>
      </c>
      <c r="NW47" s="69"/>
      <c r="NX47" s="7">
        <v>0.10064266089910577</v>
      </c>
      <c r="NY47" s="11"/>
      <c r="OF47" s="32"/>
      <c r="OG47" s="32"/>
      <c r="OR47" s="67">
        <v>0.99</v>
      </c>
      <c r="OS47" s="7">
        <v>1.1645607980858501</v>
      </c>
      <c r="OT47" s="248">
        <f t="shared" si="92"/>
        <v>9</v>
      </c>
      <c r="OU47" s="69">
        <f t="shared" si="97"/>
        <v>0.12939564423176111</v>
      </c>
      <c r="OV47" s="69"/>
      <c r="OW47" s="10">
        <v>0.12939564423176111</v>
      </c>
      <c r="OX47" s="11"/>
      <c r="PG47" t="s">
        <v>81</v>
      </c>
    </row>
    <row r="48" spans="2:423" x14ac:dyDescent="0.25">
      <c r="B48" s="48">
        <v>43020</v>
      </c>
      <c r="C48" s="49">
        <v>23466130.709999997</v>
      </c>
      <c r="D48" s="49">
        <v>25258200</v>
      </c>
      <c r="E48" s="50">
        <v>10000000</v>
      </c>
      <c r="F48" s="50"/>
      <c r="G48" s="50"/>
      <c r="H48" s="50"/>
      <c r="I48" s="38">
        <v>43202</v>
      </c>
      <c r="J48" s="240">
        <v>3000000</v>
      </c>
      <c r="K48" s="240">
        <v>11890446.424999999</v>
      </c>
      <c r="L48" s="241">
        <f t="shared" si="24"/>
        <v>883028802.17199969</v>
      </c>
      <c r="N48" s="38">
        <v>43566</v>
      </c>
      <c r="O48" s="240">
        <v>8000000</v>
      </c>
      <c r="P48" s="240">
        <v>21837932.767200004</v>
      </c>
      <c r="Q48" s="241">
        <f t="shared" si="25"/>
        <v>1897788123.2376001</v>
      </c>
      <c r="S48" s="38">
        <v>43930</v>
      </c>
      <c r="T48" s="240">
        <v>8000000</v>
      </c>
      <c r="U48" s="240">
        <v>28120760.8704</v>
      </c>
      <c r="V48" s="241">
        <f t="shared" si="26"/>
        <v>2145578068.8275995</v>
      </c>
      <c r="X48" s="38">
        <v>44294</v>
      </c>
      <c r="Y48" s="240">
        <v>30000000</v>
      </c>
      <c r="Z48" s="240">
        <v>51381519.980999999</v>
      </c>
      <c r="AA48" s="241">
        <f t="shared" si="27"/>
        <v>1883373881.6177998</v>
      </c>
      <c r="AC48" s="38">
        <v>44658</v>
      </c>
      <c r="AD48" s="50">
        <v>20000000</v>
      </c>
      <c r="AE48" s="49">
        <v>53940326.0022</v>
      </c>
      <c r="AF48" s="241">
        <f t="shared" si="28"/>
        <v>2577547349.4342003</v>
      </c>
      <c r="AG48" s="241"/>
      <c r="AH48" s="38">
        <v>45029</v>
      </c>
      <c r="AI48" s="50">
        <v>30000000</v>
      </c>
      <c r="AJ48" s="49">
        <v>60024011.359732442</v>
      </c>
      <c r="AK48" s="241">
        <f t="shared" si="29"/>
        <v>2433103488.8271575</v>
      </c>
      <c r="AM48" s="32">
        <v>41</v>
      </c>
      <c r="AN48" s="39">
        <f t="shared" si="0"/>
        <v>0.88302880217199964</v>
      </c>
      <c r="AO48" s="39">
        <f t="shared" si="1"/>
        <v>1.8977881232376002</v>
      </c>
      <c r="AP48" s="39">
        <f t="shared" si="2"/>
        <v>2.1455780688275996</v>
      </c>
      <c r="AQ48" s="39">
        <f t="shared" si="3"/>
        <v>1.8833738816177998</v>
      </c>
      <c r="AR48" s="39">
        <f t="shared" si="30"/>
        <v>2.5775473494342003</v>
      </c>
      <c r="AS48" s="39">
        <f t="shared" si="31"/>
        <v>2.4331034888271574</v>
      </c>
      <c r="AT48" s="39"/>
      <c r="AU48" s="39">
        <f t="shared" si="32"/>
        <v>2.1175390674973391</v>
      </c>
      <c r="AV48" s="9"/>
      <c r="AW48" s="9"/>
      <c r="AX48" s="9"/>
      <c r="AY48" s="74"/>
      <c r="BC48" s="74"/>
      <c r="BD48" s="74"/>
      <c r="BF48" s="72"/>
      <c r="BG48" s="77" t="s">
        <v>103</v>
      </c>
      <c r="BZ48" s="72"/>
      <c r="CA48" s="64" t="s">
        <v>86</v>
      </c>
      <c r="CB48" s="63">
        <f>CB28</f>
        <v>3</v>
      </c>
      <c r="CC48" s="63">
        <f>CC28</f>
        <v>10</v>
      </c>
      <c r="CD48" s="63">
        <f t="shared" ref="CD48:CI48" si="116">CD28</f>
        <v>4.4807692307692308</v>
      </c>
      <c r="CE48" s="63">
        <f t="shared" si="116"/>
        <v>11</v>
      </c>
      <c r="CF48" s="63">
        <f t="shared" si="116"/>
        <v>9</v>
      </c>
      <c r="CG48" s="63">
        <f t="shared" si="116"/>
        <v>16</v>
      </c>
      <c r="CH48" s="63">
        <f t="shared" si="116"/>
        <v>14</v>
      </c>
      <c r="CI48" s="63">
        <f t="shared" si="116"/>
        <v>10</v>
      </c>
      <c r="CT48" s="41">
        <f t="shared" si="33"/>
        <v>45029</v>
      </c>
      <c r="CU48" s="9">
        <f t="shared" si="34"/>
        <v>2.4331034888271574</v>
      </c>
      <c r="CV48" s="9">
        <f t="shared" si="99"/>
        <v>1.5556891936680373</v>
      </c>
      <c r="CW48" s="9">
        <f t="shared" si="99"/>
        <v>1.8628888546605105</v>
      </c>
      <c r="CX48" s="9">
        <f t="shared" si="99"/>
        <v>1.9850895727871471</v>
      </c>
      <c r="CY48" s="9">
        <f t="shared" si="99"/>
        <v>2.0705822989730374</v>
      </c>
      <c r="CZ48" s="9">
        <f t="shared" si="99"/>
        <v>2.2430539941884127</v>
      </c>
      <c r="DA48" s="9">
        <f t="shared" si="99"/>
        <v>2.4685980637523093</v>
      </c>
      <c r="DB48" s="9">
        <f t="shared" si="99"/>
        <v>2.7155338752104297</v>
      </c>
      <c r="DC48" s="9">
        <f t="shared" si="99"/>
        <v>2.9772085731364895</v>
      </c>
      <c r="DD48" s="9">
        <f t="shared" si="99"/>
        <v>3.1338125699344901</v>
      </c>
      <c r="DE48" s="9">
        <f t="shared" si="99"/>
        <v>3.4738741774959077</v>
      </c>
      <c r="DF48" s="9">
        <f t="shared" si="99"/>
        <v>4.2181791014041279</v>
      </c>
      <c r="DG48" s="32"/>
      <c r="DH48" s="32"/>
      <c r="DR48" s="41">
        <v>45393</v>
      </c>
      <c r="DS48" s="9">
        <v>3.0273462790000001</v>
      </c>
      <c r="DT48" s="9">
        <f t="shared" si="100"/>
        <v>1.6781474493452759</v>
      </c>
      <c r="DU48" s="9">
        <f t="shared" si="100"/>
        <v>1.9825408333706807</v>
      </c>
      <c r="DV48" s="9">
        <f t="shared" si="100"/>
        <v>2.1443270910495276</v>
      </c>
      <c r="DW48" s="9">
        <f t="shared" si="100"/>
        <v>2.2430051296005109</v>
      </c>
      <c r="DX48" s="9">
        <f t="shared" si="100"/>
        <v>2.4344960463410077</v>
      </c>
      <c r="DY48" s="9">
        <f t="shared" si="100"/>
        <v>2.6753857478466223</v>
      </c>
      <c r="DZ48" s="9">
        <f t="shared" si="100"/>
        <v>2.9476566711721333</v>
      </c>
      <c r="EA48" s="9">
        <f t="shared" si="100"/>
        <v>3.2372339994784709</v>
      </c>
      <c r="EB48" s="9">
        <f t="shared" si="100"/>
        <v>3.4124072302010777</v>
      </c>
      <c r="EC48" s="9">
        <f t="shared" si="100"/>
        <v>3.7521009489988257</v>
      </c>
      <c r="ED48" s="9">
        <f t="shared" si="100"/>
        <v>4.808846573601488</v>
      </c>
      <c r="EE48" s="32"/>
      <c r="EF48" s="32"/>
      <c r="EQ48" s="41"/>
      <c r="ER48" s="9"/>
      <c r="ES48" s="9"/>
      <c r="ET48" s="9"/>
      <c r="EU48" s="9"/>
      <c r="EV48" s="9"/>
      <c r="EW48" s="9"/>
      <c r="EX48" s="9"/>
      <c r="EY48" s="9"/>
      <c r="EZ48" s="9"/>
      <c r="FA48" s="9"/>
      <c r="FB48" s="9"/>
      <c r="FC48" s="9"/>
      <c r="FD48" s="32"/>
      <c r="FE48" s="32"/>
      <c r="FF48" s="32"/>
      <c r="FG48" s="32"/>
      <c r="FH48" s="32"/>
      <c r="FI48" s="32"/>
      <c r="FJ48" s="32"/>
      <c r="FK48" s="32"/>
      <c r="FL48" s="41"/>
      <c r="FM48" s="9"/>
      <c r="FN48" s="9"/>
      <c r="FO48" s="9"/>
      <c r="FP48" s="9"/>
      <c r="FQ48" s="9"/>
      <c r="FR48" s="9"/>
      <c r="FS48" s="9"/>
      <c r="FT48" s="9"/>
      <c r="FU48" s="9"/>
      <c r="FV48" s="9"/>
      <c r="FW48" s="9"/>
      <c r="FX48" s="9"/>
      <c r="FY48" s="32"/>
      <c r="FZ48" s="32"/>
      <c r="GA48" s="32"/>
      <c r="GB48" s="32"/>
      <c r="GC48" s="41">
        <v>45757</v>
      </c>
      <c r="GD48" s="9">
        <v>2.2695393853085322</v>
      </c>
      <c r="GE48" s="9">
        <f t="shared" si="101"/>
        <v>1.9586208502089397</v>
      </c>
      <c r="GF48" s="9">
        <f t="shared" si="101"/>
        <v>2.1409086821943935</v>
      </c>
      <c r="GG48" s="9">
        <f t="shared" si="101"/>
        <v>2.2941590365219544</v>
      </c>
      <c r="GH48" s="9">
        <f t="shared" si="101"/>
        <v>2.3950580906913936</v>
      </c>
      <c r="GI48" s="9">
        <f t="shared" si="101"/>
        <v>2.5846439305540341</v>
      </c>
      <c r="GJ48" s="9">
        <f t="shared" si="101"/>
        <v>2.8229902812486114</v>
      </c>
      <c r="GK48" s="9">
        <f t="shared" si="101"/>
        <v>3.1068211391590688</v>
      </c>
      <c r="GL48" s="9">
        <f t="shared" si="101"/>
        <v>3.3980743189637383</v>
      </c>
      <c r="GM48" s="9">
        <f t="shared" si="101"/>
        <v>3.5796274458842912</v>
      </c>
      <c r="GN48" s="9">
        <f t="shared" si="101"/>
        <v>3.9460078578391884</v>
      </c>
      <c r="GO48" s="9">
        <f t="shared" si="101"/>
        <v>4.9673942939156088</v>
      </c>
      <c r="GP48" s="32"/>
      <c r="GQ48" s="32"/>
      <c r="HA48" s="249" t="s">
        <v>295</v>
      </c>
      <c r="HB48" s="250"/>
      <c r="HC48" s="251"/>
      <c r="HD48" s="251"/>
      <c r="HE48" s="251"/>
      <c r="HF48" s="250"/>
      <c r="HG48" s="9"/>
      <c r="HH48" s="9"/>
      <c r="HI48" s="9"/>
      <c r="HJ48" s="9"/>
      <c r="HK48" s="9"/>
      <c r="HL48" s="9"/>
      <c r="HM48" s="9"/>
      <c r="HN48" s="9"/>
      <c r="HO48" s="9"/>
      <c r="HP48" s="9"/>
      <c r="HQ48" s="9"/>
      <c r="HR48" s="9"/>
      <c r="HS48" s="32"/>
      <c r="HT48" s="32"/>
      <c r="HU48" s="32"/>
      <c r="HV48" s="249" t="s">
        <v>295</v>
      </c>
      <c r="HW48" s="250"/>
      <c r="HX48" s="251"/>
      <c r="HY48" s="251"/>
      <c r="HZ48" s="250"/>
      <c r="IA48" s="9"/>
      <c r="IB48" s="9"/>
      <c r="IC48" s="9"/>
      <c r="ID48" s="9"/>
      <c r="IE48" s="9"/>
      <c r="IF48" s="9"/>
      <c r="IG48" s="9"/>
      <c r="IH48" s="9"/>
      <c r="II48" s="9"/>
      <c r="IJ48" s="9"/>
      <c r="IK48" s="9"/>
      <c r="IL48" s="9"/>
      <c r="IM48" s="32"/>
      <c r="IN48" s="32"/>
      <c r="IO48" s="32"/>
      <c r="IZ48" s="41">
        <f t="shared" si="11"/>
        <v>45029</v>
      </c>
      <c r="JA48" s="9">
        <f t="shared" si="11"/>
        <v>2.4331034888271574</v>
      </c>
      <c r="JB48" s="9"/>
      <c r="JC48" s="9"/>
      <c r="JD48" s="9"/>
      <c r="JE48" s="9"/>
      <c r="JF48" s="9"/>
      <c r="JG48" s="9"/>
      <c r="JH48" s="9"/>
      <c r="JI48" s="9"/>
      <c r="JJ48" s="9"/>
      <c r="JK48" s="9"/>
      <c r="JL48" s="9"/>
      <c r="JM48" s="9"/>
      <c r="JX48" s="41">
        <v>45029</v>
      </c>
      <c r="JY48" s="9"/>
      <c r="JZ48" s="9">
        <f t="shared" si="102"/>
        <v>2.8262786451188284</v>
      </c>
      <c r="KA48" s="9">
        <f t="shared" si="102"/>
        <v>2.4961032860652912</v>
      </c>
      <c r="KB48" s="9"/>
      <c r="KM48" s="41"/>
      <c r="KN48" s="241"/>
      <c r="KO48" s="241"/>
      <c r="KQ48" s="41"/>
      <c r="KR48" s="241"/>
      <c r="KS48" s="241"/>
      <c r="KU48" s="41"/>
      <c r="KV48" s="241"/>
      <c r="KW48" s="241"/>
      <c r="KY48" s="41"/>
      <c r="KZ48" s="241"/>
      <c r="LA48" s="241"/>
      <c r="LC48" s="41"/>
      <c r="LD48" s="241"/>
      <c r="LE48" s="241"/>
      <c r="LK48" s="41"/>
      <c r="LL48" s="241"/>
      <c r="LM48" s="241"/>
      <c r="LU48" s="75"/>
      <c r="MA48" s="32"/>
      <c r="MB48" s="32"/>
      <c r="MC48" s="32"/>
      <c r="MD48" s="32"/>
      <c r="ME48" s="32"/>
      <c r="MF48" s="32"/>
      <c r="MG48" s="32"/>
      <c r="MH48" s="39"/>
      <c r="MI48" s="39"/>
      <c r="MJ48" s="39"/>
      <c r="MK48" s="39"/>
      <c r="ML48" s="9"/>
      <c r="MM48" s="9"/>
      <c r="MN48" s="9"/>
      <c r="MO48" s="74"/>
      <c r="MS48" s="74"/>
      <c r="MT48" s="74"/>
      <c r="MV48" s="72"/>
      <c r="MW48" s="78">
        <v>-3</v>
      </c>
      <c r="MX48" s="10">
        <v>0.25100030617158031</v>
      </c>
      <c r="MY48" s="53">
        <f t="shared" ref="MY48:MY53" si="117">MZ80</f>
        <v>0.34679646755118992</v>
      </c>
      <c r="MZ48" s="10">
        <v>0.29845076511058954</v>
      </c>
      <c r="NA48" s="10">
        <v>0.28345958151100703</v>
      </c>
      <c r="NB48" s="10">
        <v>0.33279676285047599</v>
      </c>
      <c r="NC48" s="10">
        <v>0.3931579052801496</v>
      </c>
      <c r="ND48" s="10">
        <v>0.72278550382637596</v>
      </c>
      <c r="NE48" s="10">
        <v>0.4824419285362973</v>
      </c>
      <c r="NF48" s="10">
        <v>0.59883113350099171</v>
      </c>
      <c r="NG48" s="10">
        <v>0.54580955536605003</v>
      </c>
      <c r="NH48" s="10">
        <v>0.11630763445644776</v>
      </c>
      <c r="NJ48" s="40" t="s">
        <v>290</v>
      </c>
      <c r="NS48" s="67" t="s">
        <v>40</v>
      </c>
      <c r="NT48" s="7">
        <v>3.3864918357473499</v>
      </c>
      <c r="NU48" s="68">
        <v>26</v>
      </c>
      <c r="NV48" s="69">
        <f>NT48/NU48</f>
        <v>0.13024968599028269</v>
      </c>
      <c r="NW48" s="69"/>
      <c r="NX48" s="7">
        <v>0.13024968599028269</v>
      </c>
      <c r="OF48" s="32"/>
      <c r="OG48" s="32"/>
      <c r="OR48" s="67" t="s">
        <v>40</v>
      </c>
      <c r="OS48" s="7">
        <v>2.2632778392691502</v>
      </c>
      <c r="OT48" s="248">
        <f t="shared" si="92"/>
        <v>9</v>
      </c>
      <c r="OU48" s="69">
        <f>OS48/OT48</f>
        <v>0.25147531547435004</v>
      </c>
      <c r="OV48" s="69"/>
      <c r="OW48" s="10">
        <v>0.25147531547435004</v>
      </c>
    </row>
    <row r="49" spans="2:372" x14ac:dyDescent="0.25">
      <c r="B49" s="48">
        <v>43027</v>
      </c>
      <c r="C49" s="49">
        <v>26354175.539999999</v>
      </c>
      <c r="D49" s="49">
        <v>28366800</v>
      </c>
      <c r="E49" s="50">
        <v>16422787.609999999</v>
      </c>
      <c r="F49" s="50"/>
      <c r="G49" s="50"/>
      <c r="H49" s="50"/>
      <c r="I49" s="38">
        <v>43209</v>
      </c>
      <c r="J49" s="240">
        <v>8000000</v>
      </c>
      <c r="K49" s="240">
        <v>21933948.445200004</v>
      </c>
      <c r="L49" s="241">
        <f t="shared" si="24"/>
        <v>904962750.61719966</v>
      </c>
      <c r="N49" s="38">
        <v>43573</v>
      </c>
      <c r="O49" s="240">
        <v>12000000</v>
      </c>
      <c r="P49" s="240">
        <v>25804411.842000004</v>
      </c>
      <c r="Q49" s="241">
        <f t="shared" si="25"/>
        <v>1923592535.0796001</v>
      </c>
      <c r="S49" s="38">
        <v>43937</v>
      </c>
      <c r="T49" s="240">
        <v>12000000</v>
      </c>
      <c r="U49" s="240">
        <v>34600416.213</v>
      </c>
      <c r="V49" s="241">
        <f t="shared" si="26"/>
        <v>2180178485.0405993</v>
      </c>
      <c r="X49" s="38">
        <v>44301</v>
      </c>
      <c r="Y49" s="240">
        <v>50000000</v>
      </c>
      <c r="Z49" s="240">
        <v>78958632.667199999</v>
      </c>
      <c r="AA49" s="241">
        <f t="shared" si="27"/>
        <v>1962332514.2849998</v>
      </c>
      <c r="AC49" s="38">
        <v>44665</v>
      </c>
      <c r="AD49" s="50">
        <v>4000000</v>
      </c>
      <c r="AE49" s="49">
        <v>25267348.623</v>
      </c>
      <c r="AF49" s="241">
        <f t="shared" si="28"/>
        <v>2602814698.0572004</v>
      </c>
      <c r="AG49" s="241"/>
      <c r="AH49" s="38">
        <v>45036</v>
      </c>
      <c r="AI49" s="50">
        <v>4000000</v>
      </c>
      <c r="AJ49" s="49">
        <v>26378404.658327755</v>
      </c>
      <c r="AK49" s="241">
        <f t="shared" si="29"/>
        <v>2459481893.4854851</v>
      </c>
      <c r="AM49" s="32">
        <v>42</v>
      </c>
      <c r="AN49" s="39">
        <f t="shared" si="0"/>
        <v>0.90496275061719966</v>
      </c>
      <c r="AO49" s="39">
        <f t="shared" si="1"/>
        <v>1.9235925350796002</v>
      </c>
      <c r="AP49" s="39">
        <f t="shared" si="2"/>
        <v>2.1801784850405994</v>
      </c>
      <c r="AQ49" s="39">
        <f t="shared" si="3"/>
        <v>1.9623325142849999</v>
      </c>
      <c r="AR49" s="39">
        <f t="shared" si="30"/>
        <v>2.6028146980572004</v>
      </c>
      <c r="AS49" s="39">
        <f t="shared" si="31"/>
        <v>2.459481893485485</v>
      </c>
      <c r="AT49" s="39"/>
      <c r="AU49" s="39">
        <f t="shared" si="32"/>
        <v>2.1704775441847728</v>
      </c>
      <c r="AV49" s="9"/>
      <c r="AW49" s="9"/>
      <c r="AX49" s="9"/>
      <c r="AY49" s="74"/>
      <c r="AZ49" s="74"/>
      <c r="BA49" s="74"/>
      <c r="BB49" s="74"/>
      <c r="BC49" s="74"/>
      <c r="BD49" s="74"/>
      <c r="BF49" s="72"/>
      <c r="BG49" s="78">
        <v>-3</v>
      </c>
      <c r="BH49" s="63">
        <f>BJ81</f>
        <v>0.76077140862439452</v>
      </c>
      <c r="BI49" s="10">
        <v>0.96211362050042659</v>
      </c>
      <c r="BJ49" s="10">
        <v>1.2154511686147618</v>
      </c>
      <c r="BK49" s="10">
        <v>1.6401934120328179</v>
      </c>
      <c r="BL49" s="10">
        <v>1.7178364500186845</v>
      </c>
      <c r="BM49" s="10"/>
      <c r="BN49" s="10">
        <v>1.1702306615156521</v>
      </c>
      <c r="BP49" s="40" t="s">
        <v>289</v>
      </c>
      <c r="BZ49" s="72"/>
      <c r="CA49" s="62" t="s">
        <v>99</v>
      </c>
      <c r="CB49" s="63">
        <f>CB32-CB28</f>
        <v>11</v>
      </c>
      <c r="CC49" s="63">
        <f>CC32-CC28</f>
        <v>11</v>
      </c>
      <c r="CD49" s="63">
        <f t="shared" ref="CD49:CI49" si="118">CD32-CD28</f>
        <v>11</v>
      </c>
      <c r="CE49" s="63">
        <f t="shared" si="118"/>
        <v>11</v>
      </c>
      <c r="CF49" s="63">
        <f t="shared" si="118"/>
        <v>10</v>
      </c>
      <c r="CG49" s="63">
        <f t="shared" si="118"/>
        <v>10</v>
      </c>
      <c r="CH49" s="63">
        <f t="shared" si="118"/>
        <v>11</v>
      </c>
      <c r="CI49" s="63">
        <f t="shared" si="118"/>
        <v>8</v>
      </c>
      <c r="CK49" s="40" t="s">
        <v>289</v>
      </c>
      <c r="CT49" s="41">
        <f t="shared" si="33"/>
        <v>45036</v>
      </c>
      <c r="CU49" s="9">
        <f t="shared" si="34"/>
        <v>2.459481893485485</v>
      </c>
      <c r="CV49" s="9">
        <f t="shared" si="99"/>
        <v>1.5936328325379894</v>
      </c>
      <c r="CW49" s="9">
        <f t="shared" si="99"/>
        <v>1.9083251681888156</v>
      </c>
      <c r="CX49" s="9">
        <f t="shared" si="99"/>
        <v>2.0335063916356142</v>
      </c>
      <c r="CY49" s="9">
        <f t="shared" si="99"/>
        <v>2.1210843062650628</v>
      </c>
      <c r="CZ49" s="9">
        <f t="shared" si="99"/>
        <v>2.2977626281930079</v>
      </c>
      <c r="DA49" s="9">
        <f t="shared" si="99"/>
        <v>2.528807772624317</v>
      </c>
      <c r="DB49" s="9">
        <f t="shared" si="99"/>
        <v>2.7817664087521474</v>
      </c>
      <c r="DC49" s="9">
        <f t="shared" si="99"/>
        <v>3.0498234163837208</v>
      </c>
      <c r="DD49" s="9">
        <f t="shared" si="99"/>
        <v>3.2102470228597215</v>
      </c>
      <c r="DE49" s="9">
        <f t="shared" si="99"/>
        <v>3.5586028159714176</v>
      </c>
      <c r="DF49" s="9">
        <f t="shared" si="99"/>
        <v>4.321061518511546</v>
      </c>
      <c r="DG49" s="32"/>
      <c r="DH49" s="32"/>
      <c r="DR49" s="41">
        <v>45400</v>
      </c>
      <c r="DS49" s="9">
        <v>3.0689810190000002</v>
      </c>
      <c r="DT49" s="9">
        <f t="shared" si="100"/>
        <v>1.7190778749390632</v>
      </c>
      <c r="DU49" s="9">
        <f t="shared" si="100"/>
        <v>2.0308954878431362</v>
      </c>
      <c r="DV49" s="9">
        <f t="shared" si="100"/>
        <v>2.1966277518068331</v>
      </c>
      <c r="DW49" s="9">
        <f t="shared" si="100"/>
        <v>2.2977125717858891</v>
      </c>
      <c r="DX49" s="9">
        <f t="shared" si="100"/>
        <v>2.4938739986907885</v>
      </c>
      <c r="DY49" s="9">
        <f t="shared" si="100"/>
        <v>2.7406390587697107</v>
      </c>
      <c r="DZ49" s="9">
        <f t="shared" si="100"/>
        <v>3.0195507363226732</v>
      </c>
      <c r="EA49" s="9">
        <f t="shared" si="100"/>
        <v>3.3161909262950191</v>
      </c>
      <c r="EB49" s="9">
        <f t="shared" si="100"/>
        <v>3.4956366748401284</v>
      </c>
      <c r="EC49" s="9">
        <f t="shared" si="100"/>
        <v>3.8436156062914799</v>
      </c>
      <c r="ED49" s="9">
        <f t="shared" si="100"/>
        <v>4.9261355144210368</v>
      </c>
      <c r="EE49" s="32"/>
      <c r="EF49" s="32"/>
      <c r="EQ49" s="41"/>
      <c r="ER49" s="9"/>
      <c r="ES49" s="9"/>
      <c r="ET49" s="9"/>
      <c r="EU49" s="9"/>
      <c r="EV49" s="9"/>
      <c r="EW49" s="9"/>
      <c r="EX49" s="9"/>
      <c r="EY49" s="9"/>
      <c r="EZ49" s="9"/>
      <c r="FA49" s="9"/>
      <c r="FB49" s="9"/>
      <c r="FC49" s="9"/>
      <c r="FD49" s="32"/>
      <c r="FE49" s="32"/>
      <c r="FF49" s="32"/>
      <c r="FG49" s="32"/>
      <c r="FH49" s="32"/>
      <c r="FI49" s="32"/>
      <c r="FJ49" s="32"/>
      <c r="FK49" s="32"/>
      <c r="FL49" s="41"/>
      <c r="FM49" s="9"/>
      <c r="FN49" s="9"/>
      <c r="FO49" s="9"/>
      <c r="FP49" s="9"/>
      <c r="FQ49" s="9"/>
      <c r="FR49" s="9"/>
      <c r="FS49" s="9"/>
      <c r="FT49" s="9"/>
      <c r="FU49" s="9"/>
      <c r="FV49" s="9"/>
      <c r="FW49" s="9"/>
      <c r="FX49" s="9"/>
      <c r="FY49" s="32"/>
      <c r="FZ49" s="32"/>
      <c r="GA49" s="32"/>
      <c r="GB49" s="32"/>
      <c r="GC49" s="41">
        <v>45764</v>
      </c>
      <c r="GD49" s="9">
        <v>2.3269505284791108</v>
      </c>
      <c r="GE49" s="9">
        <f t="shared" si="101"/>
        <v>2.0063920904579384</v>
      </c>
      <c r="GF49" s="9">
        <f t="shared" si="101"/>
        <v>2.193125967125964</v>
      </c>
      <c r="GG49" s="9">
        <f t="shared" si="101"/>
        <v>2.3501141349737096</v>
      </c>
      <c r="GH49" s="9">
        <f t="shared" si="101"/>
        <v>2.4534741416838668</v>
      </c>
      <c r="GI49" s="9">
        <f t="shared" si="101"/>
        <v>2.6476840264212056</v>
      </c>
      <c r="GJ49" s="9">
        <f t="shared" si="101"/>
        <v>2.8918437027424799</v>
      </c>
      <c r="GK49" s="9">
        <f t="shared" si="101"/>
        <v>3.182597264504412</v>
      </c>
      <c r="GL49" s="9">
        <f t="shared" si="101"/>
        <v>3.4809541804018784</v>
      </c>
      <c r="GM49" s="9">
        <f t="shared" si="101"/>
        <v>3.6669354323692738</v>
      </c>
      <c r="GN49" s="9">
        <f t="shared" si="101"/>
        <v>4.042251951932827</v>
      </c>
      <c r="GO49" s="9">
        <f t="shared" si="101"/>
        <v>5.0885502523037944</v>
      </c>
      <c r="GP49" s="32"/>
      <c r="GQ49" s="32"/>
      <c r="HA49" s="252" t="s">
        <v>296</v>
      </c>
      <c r="HB49" s="250">
        <v>0.27238900094009999</v>
      </c>
      <c r="HC49" s="251"/>
      <c r="HD49" s="251">
        <v>0.59761232800918007</v>
      </c>
      <c r="HE49" s="251" t="s">
        <v>297</v>
      </c>
      <c r="HF49" s="250">
        <v>0.94189797936831166</v>
      </c>
      <c r="HG49" s="9"/>
      <c r="HH49" s="9">
        <f>HB49/(HB49+HD49)</f>
        <v>0.31309032742406295</v>
      </c>
      <c r="HI49" s="9">
        <f>$HF49*HH49</f>
        <v>0.29489914676048801</v>
      </c>
      <c r="HJ49" s="9">
        <f>$HF49*(1-HH49)</f>
        <v>0.64699883260782365</v>
      </c>
      <c r="HK49" s="9">
        <f>SUM(HI49:HJ49)</f>
        <v>0.94189797936831166</v>
      </c>
      <c r="HL49" s="9"/>
      <c r="HM49" s="9">
        <f>HI49/HM$47</f>
        <v>2.9489914676048799E-2</v>
      </c>
      <c r="HN49" s="9">
        <f>HJ49/HN$47</f>
        <v>4.0437427037988978E-2</v>
      </c>
      <c r="HO49" s="9"/>
      <c r="HP49" s="9">
        <f>HB49/HP$47</f>
        <v>2.7238900094009998E-2</v>
      </c>
      <c r="HQ49" s="9">
        <f>(HF49-HB49)/HQ$47</f>
        <v>4.1844311151763229E-2</v>
      </c>
      <c r="HR49" s="9"/>
      <c r="HS49" s="32"/>
      <c r="HT49" s="32"/>
      <c r="HU49" s="32"/>
      <c r="HV49" s="252" t="s">
        <v>296</v>
      </c>
      <c r="HW49" s="250">
        <v>0.27238900094009999</v>
      </c>
      <c r="HX49" s="251">
        <v>0.59761232800918007</v>
      </c>
      <c r="HY49" s="251" t="s">
        <v>297</v>
      </c>
      <c r="HZ49" s="250">
        <v>0.94189797936831166</v>
      </c>
      <c r="IA49" s="9"/>
      <c r="IB49" s="9">
        <f>HW49/(HW49+HX49)</f>
        <v>0.31309032742406295</v>
      </c>
      <c r="IC49" s="9">
        <f>$HF49*IB49</f>
        <v>0.29489914676048801</v>
      </c>
      <c r="ID49" s="9">
        <f>$HF49*(1-IB49)</f>
        <v>0.64699883260782365</v>
      </c>
      <c r="IE49" s="9">
        <f>SUM(IC49:ID49)</f>
        <v>0.94189797936831166</v>
      </c>
      <c r="IF49" s="9"/>
      <c r="IG49" s="9">
        <f>IC49/IG$47</f>
        <v>2.9489914676048799E-2</v>
      </c>
      <c r="IH49" s="9">
        <f>ID49/IH$47</f>
        <v>4.0437427037988978E-2</v>
      </c>
      <c r="II49" s="9"/>
      <c r="IJ49" s="9">
        <f>HW49/IJ$47</f>
        <v>2.7238900094009998E-2</v>
      </c>
      <c r="IK49" s="9">
        <f>(HZ49-HW49)/IK$47</f>
        <v>4.1844311151763229E-2</v>
      </c>
      <c r="IL49" s="9"/>
      <c r="IM49" s="32"/>
      <c r="IN49" s="32"/>
      <c r="IO49" s="32"/>
      <c r="IZ49" s="41">
        <f t="shared" si="11"/>
        <v>45036</v>
      </c>
      <c r="JA49" s="9">
        <f t="shared" si="11"/>
        <v>2.459481893485485</v>
      </c>
      <c r="JB49" s="9"/>
      <c r="JC49" s="9"/>
      <c r="JD49" s="9"/>
      <c r="JE49" s="9"/>
      <c r="JF49" s="9"/>
      <c r="JG49" s="9"/>
      <c r="JH49" s="9"/>
      <c r="JI49" s="9"/>
      <c r="JJ49" s="9"/>
      <c r="JK49" s="9"/>
      <c r="JL49" s="9"/>
      <c r="JM49" s="9"/>
      <c r="JX49" s="41">
        <v>45036</v>
      </c>
      <c r="JY49" s="9"/>
      <c r="JZ49" s="9">
        <f t="shared" si="102"/>
        <v>2.8938480775293129</v>
      </c>
      <c r="KA49" s="9">
        <f t="shared" si="102"/>
        <v>2.549915411848545</v>
      </c>
      <c r="KB49" s="9"/>
      <c r="KM49" s="41"/>
      <c r="KN49" s="241"/>
      <c r="KO49" s="241"/>
      <c r="KQ49" s="41"/>
      <c r="KR49" s="241"/>
      <c r="KS49" s="241"/>
      <c r="KU49" s="41"/>
      <c r="KV49" s="241"/>
      <c r="KW49" s="241"/>
      <c r="KY49" s="41"/>
      <c r="KZ49" s="241"/>
      <c r="LA49" s="241"/>
      <c r="LC49" s="41"/>
      <c r="LD49" s="241"/>
      <c r="LE49" s="241"/>
      <c r="LK49" s="41"/>
      <c r="LL49" s="241"/>
      <c r="LM49" s="241"/>
      <c r="LU49" s="75"/>
      <c r="MA49" s="32"/>
      <c r="MB49" s="32"/>
      <c r="MC49" s="32"/>
      <c r="MD49" s="32"/>
      <c r="ME49" s="32"/>
      <c r="MF49" s="32"/>
      <c r="MG49" s="32"/>
      <c r="MH49" s="39"/>
      <c r="MI49" s="39"/>
      <c r="MJ49" s="39"/>
      <c r="MK49" s="39"/>
      <c r="ML49" s="9"/>
      <c r="MM49" s="9"/>
      <c r="MN49" s="9"/>
      <c r="MO49" s="74"/>
      <c r="MP49" s="74"/>
      <c r="MQ49" s="74"/>
      <c r="MR49" s="74"/>
      <c r="MS49" s="74"/>
      <c r="MT49" s="74"/>
      <c r="MV49" s="72"/>
      <c r="MW49" s="78">
        <v>-2</v>
      </c>
      <c r="MX49" s="10">
        <v>0.36882511169947707</v>
      </c>
      <c r="MY49" s="53">
        <f t="shared" si="117"/>
        <v>0.49645584687532507</v>
      </c>
      <c r="MZ49" s="10">
        <v>0.53476386296386624</v>
      </c>
      <c r="NA49" s="10">
        <v>0.56039384984120666</v>
      </c>
      <c r="NB49" s="10">
        <v>0.61470210210388199</v>
      </c>
      <c r="NC49" s="10">
        <v>0.63402700284002655</v>
      </c>
      <c r="ND49" s="10">
        <v>1.003464259118712</v>
      </c>
      <c r="NE49" s="10">
        <v>0.73760519993206031</v>
      </c>
      <c r="NF49" s="10">
        <v>0.94949472935341617</v>
      </c>
      <c r="NG49" s="10">
        <v>0.88288267476169247</v>
      </c>
      <c r="NH49" s="10">
        <v>0.36883453581073422</v>
      </c>
    </row>
    <row r="50" spans="2:372" x14ac:dyDescent="0.25">
      <c r="B50" s="48">
        <v>43034</v>
      </c>
      <c r="C50" s="49">
        <v>11809711.979999999</v>
      </c>
      <c r="D50" s="49">
        <v>12711600</v>
      </c>
      <c r="E50" s="50">
        <v>3000000</v>
      </c>
      <c r="F50" s="50"/>
      <c r="G50" s="50"/>
      <c r="H50" s="50"/>
      <c r="I50" s="38">
        <v>43216</v>
      </c>
      <c r="J50" s="240">
        <v>3000000</v>
      </c>
      <c r="K50" s="240">
        <v>14165645.280600002</v>
      </c>
      <c r="L50" s="241">
        <f t="shared" si="24"/>
        <v>919128395.89779961</v>
      </c>
      <c r="N50" s="38">
        <v>43580</v>
      </c>
      <c r="O50" s="240">
        <v>20000000</v>
      </c>
      <c r="P50" s="240">
        <v>27226951.560600005</v>
      </c>
      <c r="Q50" s="241">
        <f t="shared" si="25"/>
        <v>1950819486.6402001</v>
      </c>
      <c r="S50" s="38">
        <v>43944</v>
      </c>
      <c r="T50" s="240">
        <v>20000000</v>
      </c>
      <c r="U50" s="240">
        <v>48641017.431600004</v>
      </c>
      <c r="V50" s="241">
        <f t="shared" si="26"/>
        <v>2228819502.4721994</v>
      </c>
      <c r="X50" s="38">
        <v>44308</v>
      </c>
      <c r="Y50" s="240">
        <v>80000000</v>
      </c>
      <c r="Z50" s="240">
        <v>140997947.2836</v>
      </c>
      <c r="AA50" s="241">
        <f t="shared" si="27"/>
        <v>2103330461.5685999</v>
      </c>
      <c r="AC50" s="38">
        <v>44672</v>
      </c>
      <c r="AD50" s="50">
        <v>8000000</v>
      </c>
      <c r="AE50" s="49">
        <v>29463185.1096</v>
      </c>
      <c r="AF50" s="241">
        <f t="shared" si="28"/>
        <v>2632277883.1668005</v>
      </c>
      <c r="AG50" s="241"/>
      <c r="AH50" s="38">
        <v>45043</v>
      </c>
      <c r="AI50" s="50">
        <v>8000000</v>
      </c>
      <c r="AJ50" s="49">
        <v>32814784.75210702</v>
      </c>
      <c r="AK50" s="241">
        <f t="shared" si="29"/>
        <v>2492296678.2375922</v>
      </c>
      <c r="AM50" s="32">
        <v>43</v>
      </c>
      <c r="AN50" s="39">
        <f t="shared" si="0"/>
        <v>0.9191283958977996</v>
      </c>
      <c r="AO50" s="39">
        <f t="shared" si="1"/>
        <v>1.9508194866402002</v>
      </c>
      <c r="AP50" s="39">
        <f t="shared" si="2"/>
        <v>2.2288195024721995</v>
      </c>
      <c r="AQ50" s="39">
        <f t="shared" si="3"/>
        <v>2.1033304615685999</v>
      </c>
      <c r="AR50" s="39">
        <f t="shared" si="30"/>
        <v>2.6322778831668003</v>
      </c>
      <c r="AS50" s="39">
        <f t="shared" si="31"/>
        <v>2.4922966782375924</v>
      </c>
      <c r="AT50" s="39"/>
      <c r="AU50" s="39">
        <f t="shared" si="32"/>
        <v>2.2234160208722065</v>
      </c>
      <c r="AV50" s="9"/>
      <c r="AW50" s="9"/>
      <c r="AX50" s="9"/>
      <c r="AY50" s="74"/>
      <c r="AZ50" s="74"/>
      <c r="BA50" s="74"/>
      <c r="BB50" s="74"/>
      <c r="BC50" s="74"/>
      <c r="BD50" s="74"/>
      <c r="BF50" s="72"/>
      <c r="BG50" s="78">
        <v>-2</v>
      </c>
      <c r="BH50" s="63">
        <f t="shared" ref="BH50:BH55" si="119">BJ82</f>
        <v>0.95795594457323208</v>
      </c>
      <c r="BI50" s="10">
        <v>1.3194798246529544</v>
      </c>
      <c r="BJ50" s="10">
        <v>1.6011364458666164</v>
      </c>
      <c r="BK50" s="10">
        <v>2.0401983024122754</v>
      </c>
      <c r="BL50" s="10">
        <v>2.1820023913006987</v>
      </c>
      <c r="BM50" s="10"/>
      <c r="BN50" s="10">
        <v>1.5903971907348258</v>
      </c>
      <c r="BZ50" s="72"/>
      <c r="CA50" s="62" t="s">
        <v>100</v>
      </c>
      <c r="CB50" s="63">
        <f>CB33-CB32</f>
        <v>3</v>
      </c>
      <c r="CC50" s="63">
        <f>CC33-CC32</f>
        <v>2</v>
      </c>
      <c r="CD50" s="63">
        <f t="shared" ref="CD50:CI51" si="120">CD33-CD32</f>
        <v>2.7884615384615365</v>
      </c>
      <c r="CE50" s="63">
        <f t="shared" si="120"/>
        <v>2</v>
      </c>
      <c r="CF50" s="63">
        <f t="shared" si="120"/>
        <v>3</v>
      </c>
      <c r="CG50" s="63">
        <f t="shared" si="120"/>
        <v>2</v>
      </c>
      <c r="CH50" s="63">
        <f t="shared" si="120"/>
        <v>2</v>
      </c>
      <c r="CI50" s="63">
        <f t="shared" si="120"/>
        <v>2</v>
      </c>
      <c r="CT50" s="41">
        <f t="shared" si="33"/>
        <v>45043</v>
      </c>
      <c r="CU50" s="9">
        <f t="shared" si="34"/>
        <v>2.4922966782375924</v>
      </c>
      <c r="CV50" s="9">
        <f t="shared" si="99"/>
        <v>1.6315764714079415</v>
      </c>
      <c r="CW50" s="9">
        <f t="shared" si="99"/>
        <v>1.9537614817171207</v>
      </c>
      <c r="CX50" s="9">
        <f t="shared" si="99"/>
        <v>2.081923210484081</v>
      </c>
      <c r="CY50" s="9">
        <f t="shared" si="99"/>
        <v>2.1715863135570883</v>
      </c>
      <c r="CZ50" s="9">
        <f t="shared" si="99"/>
        <v>2.3524712621976032</v>
      </c>
      <c r="DA50" s="9">
        <f t="shared" si="99"/>
        <v>2.5890174814963247</v>
      </c>
      <c r="DB50" s="9">
        <f t="shared" si="99"/>
        <v>2.8479989422938652</v>
      </c>
      <c r="DC50" s="9">
        <f t="shared" si="99"/>
        <v>3.1224382596309521</v>
      </c>
      <c r="DD50" s="9">
        <f t="shared" si="99"/>
        <v>3.286681475784953</v>
      </c>
      <c r="DE50" s="9">
        <f t="shared" si="99"/>
        <v>3.6433314544469275</v>
      </c>
      <c r="DF50" s="9">
        <f t="shared" si="99"/>
        <v>4.423943935618964</v>
      </c>
      <c r="DG50" s="32"/>
      <c r="DH50" s="32"/>
      <c r="DR50" s="41">
        <v>45407</v>
      </c>
      <c r="DS50" s="9">
        <v>3.119123428</v>
      </c>
      <c r="DT50" s="9">
        <f t="shared" si="100"/>
        <v>1.7600083005328504</v>
      </c>
      <c r="DU50" s="9">
        <f t="shared" si="100"/>
        <v>2.0792501423155918</v>
      </c>
      <c r="DV50" s="9">
        <f t="shared" si="100"/>
        <v>2.2489284125641387</v>
      </c>
      <c r="DW50" s="9">
        <f t="shared" si="100"/>
        <v>2.3524200139712672</v>
      </c>
      <c r="DX50" s="9">
        <f t="shared" si="100"/>
        <v>2.5532519510405693</v>
      </c>
      <c r="DY50" s="9">
        <f t="shared" si="100"/>
        <v>2.8058923696927991</v>
      </c>
      <c r="DZ50" s="9">
        <f t="shared" si="100"/>
        <v>3.0914448014732132</v>
      </c>
      <c r="EA50" s="9">
        <f t="shared" si="100"/>
        <v>3.3951478531115673</v>
      </c>
      <c r="EB50" s="9">
        <f t="shared" si="100"/>
        <v>3.5788661194791791</v>
      </c>
      <c r="EC50" s="9">
        <f t="shared" si="100"/>
        <v>3.9351302635841341</v>
      </c>
      <c r="ED50" s="9">
        <f t="shared" si="100"/>
        <v>5.0434244552405856</v>
      </c>
      <c r="EE50" s="32"/>
      <c r="EF50" s="32"/>
      <c r="EQ50" s="41"/>
      <c r="ER50" s="9"/>
      <c r="ES50" s="9"/>
      <c r="ET50" s="9"/>
      <c r="EU50" s="9"/>
      <c r="EV50" s="9"/>
      <c r="EW50" s="9"/>
      <c r="EX50" s="9"/>
      <c r="EY50" s="9"/>
      <c r="EZ50" s="9"/>
      <c r="FA50" s="9"/>
      <c r="FB50" s="9"/>
      <c r="FC50" s="9"/>
      <c r="FD50" s="32"/>
      <c r="FE50" s="32"/>
      <c r="FF50" s="32"/>
      <c r="FG50" s="32"/>
      <c r="FH50" s="32"/>
      <c r="FI50" s="32"/>
      <c r="FJ50" s="32"/>
      <c r="FK50" s="32"/>
      <c r="FL50" s="41"/>
      <c r="FM50" s="9"/>
      <c r="FN50" s="9"/>
      <c r="FO50" s="9"/>
      <c r="FP50" s="9"/>
      <c r="FQ50" s="9"/>
      <c r="FR50" s="9"/>
      <c r="FS50" s="9"/>
      <c r="FT50" s="9"/>
      <c r="FU50" s="9"/>
      <c r="FV50" s="9"/>
      <c r="FW50" s="9"/>
      <c r="FX50" s="9"/>
      <c r="FY50" s="32"/>
      <c r="FZ50" s="32"/>
      <c r="GA50" s="32"/>
      <c r="GB50" s="32"/>
      <c r="GC50" s="41">
        <v>45771</v>
      </c>
      <c r="GD50" s="9">
        <v>2.3659474656800259</v>
      </c>
      <c r="GE50" s="9">
        <f t="shared" si="101"/>
        <v>2.0541633307069369</v>
      </c>
      <c r="GF50" s="9">
        <f t="shared" si="101"/>
        <v>2.2453432520575345</v>
      </c>
      <c r="GG50" s="9">
        <f t="shared" si="101"/>
        <v>2.4060692334254647</v>
      </c>
      <c r="GH50" s="9">
        <f t="shared" si="101"/>
        <v>2.51189019267634</v>
      </c>
      <c r="GI50" s="9">
        <f t="shared" si="101"/>
        <v>2.7107241222883771</v>
      </c>
      <c r="GJ50" s="9">
        <f t="shared" si="101"/>
        <v>2.9606971242363485</v>
      </c>
      <c r="GK50" s="9">
        <f t="shared" si="101"/>
        <v>3.2583733898497553</v>
      </c>
      <c r="GL50" s="9">
        <f t="shared" si="101"/>
        <v>3.5638340418400185</v>
      </c>
      <c r="GM50" s="9">
        <f t="shared" si="101"/>
        <v>3.7542434188542564</v>
      </c>
      <c r="GN50" s="9">
        <f t="shared" si="101"/>
        <v>4.1384960460264661</v>
      </c>
      <c r="GO50" s="9">
        <f t="shared" si="101"/>
        <v>5.20970621069198</v>
      </c>
      <c r="GP50" s="32"/>
      <c r="GQ50" s="32"/>
      <c r="HA50" s="253">
        <v>0.01</v>
      </c>
      <c r="HB50" s="250">
        <v>0.30141089788533426</v>
      </c>
      <c r="HC50" s="251"/>
      <c r="HD50" s="251">
        <v>0.69447479257001998</v>
      </c>
      <c r="HE50" s="251" t="s">
        <v>297</v>
      </c>
      <c r="HF50" s="250">
        <v>1.0798220618569867</v>
      </c>
      <c r="HG50" s="9"/>
      <c r="HH50" s="9">
        <f t="shared" ref="HH50:HH59" si="121">HB50/(HB50+HD50)</f>
        <v>0.30265611884383892</v>
      </c>
      <c r="HI50" s="9">
        <f t="shared" ref="HI50:HI59" si="122">$HF50*HH50</f>
        <v>0.32681475428358736</v>
      </c>
      <c r="HJ50" s="9">
        <f t="shared" ref="HJ50:HJ59" si="123">$HF50*(1-HH50)</f>
        <v>0.7530073075733994</v>
      </c>
      <c r="HK50" s="9">
        <f t="shared" ref="HK50:HK59" si="124">SUM(HI50:HJ50)</f>
        <v>1.0798220618569867</v>
      </c>
      <c r="HL50" s="9"/>
      <c r="HM50" s="9">
        <f t="shared" ref="HM50:HN59" si="125">HI50/HM$47</f>
        <v>3.2681475428358739E-2</v>
      </c>
      <c r="HN50" s="9">
        <f t="shared" si="125"/>
        <v>4.7062956723337462E-2</v>
      </c>
      <c r="HO50" s="9"/>
      <c r="HP50" s="9">
        <f t="shared" ref="HP50:HP59" si="126">HB50/HP$47</f>
        <v>3.0141089788533425E-2</v>
      </c>
      <c r="HQ50" s="9">
        <f t="shared" ref="HQ50:HQ59" si="127">(HF50-HB50)/HQ$47</f>
        <v>4.8650697748228278E-2</v>
      </c>
      <c r="HR50" s="9"/>
      <c r="HS50" s="32"/>
      <c r="HT50" s="32"/>
      <c r="HU50" s="32"/>
      <c r="HV50" s="253">
        <v>0.01</v>
      </c>
      <c r="HW50" s="250">
        <v>0.30141089788533426</v>
      </c>
      <c r="HX50" s="251">
        <v>0.69447479257001998</v>
      </c>
      <c r="HY50" s="251" t="s">
        <v>297</v>
      </c>
      <c r="HZ50" s="250">
        <v>1.0798220618569867</v>
      </c>
      <c r="IA50" s="9"/>
      <c r="IB50" s="9">
        <f t="shared" ref="IB50:IB59" si="128">HW50/(HW50+HX50)</f>
        <v>0.30265611884383892</v>
      </c>
      <c r="IC50" s="9">
        <f t="shared" ref="IC50:IC59" si="129">$HF50*IB50</f>
        <v>0.32681475428358736</v>
      </c>
      <c r="ID50" s="9">
        <f t="shared" ref="ID50:ID59" si="130">$HF50*(1-IB50)</f>
        <v>0.7530073075733994</v>
      </c>
      <c r="IE50" s="9">
        <f t="shared" ref="IE50:IE59" si="131">SUM(IC50:ID50)</f>
        <v>1.0798220618569867</v>
      </c>
      <c r="IF50" s="9"/>
      <c r="IG50" s="9">
        <f t="shared" ref="IG50:IH59" si="132">IC50/IG$47</f>
        <v>3.2681475428358739E-2</v>
      </c>
      <c r="IH50" s="9">
        <f t="shared" si="132"/>
        <v>4.7062956723337462E-2</v>
      </c>
      <c r="II50" s="9"/>
      <c r="IJ50" s="9">
        <f t="shared" ref="IJ50:IJ59" si="133">HW50/IJ$47</f>
        <v>3.0141089788533425E-2</v>
      </c>
      <c r="IK50" s="9">
        <f t="shared" ref="IK50:IK59" si="134">(HZ50-HW50)/IK$47</f>
        <v>4.8650697748228278E-2</v>
      </c>
      <c r="IL50" s="9"/>
      <c r="IM50" s="32"/>
      <c r="IN50" s="32"/>
      <c r="IO50" s="32"/>
      <c r="IZ50" s="41">
        <f t="shared" si="11"/>
        <v>45043</v>
      </c>
      <c r="JA50" s="9">
        <f t="shared" si="11"/>
        <v>2.4922966782375924</v>
      </c>
      <c r="JB50" s="9"/>
      <c r="JC50" s="9"/>
      <c r="JD50" s="9"/>
      <c r="JE50" s="9"/>
      <c r="JF50" s="9"/>
      <c r="JG50" s="9"/>
      <c r="JH50" s="9"/>
      <c r="JI50" s="9"/>
      <c r="JJ50" s="9"/>
      <c r="JK50" s="9"/>
      <c r="JL50" s="9"/>
      <c r="JM50" s="9"/>
      <c r="JX50" s="41">
        <v>45043</v>
      </c>
      <c r="JY50" s="9"/>
      <c r="JZ50" s="9">
        <f t="shared" si="102"/>
        <v>2.9614175099397975</v>
      </c>
      <c r="KA50" s="9">
        <f t="shared" si="102"/>
        <v>2.6037275376317988</v>
      </c>
      <c r="KB50" s="9"/>
      <c r="KM50" s="41"/>
      <c r="KN50" s="241"/>
      <c r="KO50" s="241"/>
      <c r="KQ50" s="41"/>
      <c r="KR50" s="241"/>
      <c r="KS50" s="241"/>
      <c r="KU50" s="41"/>
      <c r="KV50" s="241"/>
      <c r="KW50" s="241"/>
      <c r="KY50" s="41"/>
      <c r="KZ50" s="241"/>
      <c r="LA50" s="241"/>
      <c r="LC50" s="41"/>
      <c r="LD50" s="241"/>
      <c r="LE50" s="241"/>
      <c r="LK50" s="41"/>
      <c r="LL50" s="241"/>
      <c r="LM50" s="241"/>
      <c r="LU50" s="75"/>
      <c r="MA50" s="32"/>
      <c r="MB50" s="32"/>
      <c r="MC50" s="32"/>
      <c r="MD50" s="32"/>
      <c r="ME50" s="32"/>
      <c r="MF50" s="32"/>
      <c r="MG50" s="32"/>
      <c r="MH50" s="39"/>
      <c r="MI50" s="39"/>
      <c r="MJ50" s="39"/>
      <c r="MK50" s="39"/>
      <c r="ML50" s="9"/>
      <c r="MM50" s="9"/>
      <c r="MN50" s="9"/>
      <c r="MO50" s="74"/>
      <c r="MP50" s="74"/>
      <c r="MQ50" s="74"/>
      <c r="MR50" s="74"/>
      <c r="MS50" s="74"/>
      <c r="MT50" s="74"/>
      <c r="MV50" s="72"/>
      <c r="MW50" s="78">
        <v>-1</v>
      </c>
      <c r="MX50" s="10">
        <v>0.48664991722737377</v>
      </c>
      <c r="MY50" s="53">
        <f t="shared" si="117"/>
        <v>0.64611522619946016</v>
      </c>
      <c r="MZ50" s="10">
        <v>0.77107696081714283</v>
      </c>
      <c r="NA50" s="10">
        <v>0.83732811817140629</v>
      </c>
      <c r="NB50" s="10">
        <v>0.89660744135728798</v>
      </c>
      <c r="NC50" s="10">
        <v>0.87489610039990362</v>
      </c>
      <c r="ND50" s="10">
        <v>1.2841430144110477</v>
      </c>
      <c r="NE50" s="10">
        <v>0.99276847132782331</v>
      </c>
      <c r="NF50" s="10">
        <v>1.3001583252058406</v>
      </c>
      <c r="NG50" s="10">
        <v>1.2199557941573349</v>
      </c>
      <c r="NH50" s="10">
        <v>0.62136143716502068</v>
      </c>
    </row>
    <row r="51" spans="2:372" x14ac:dyDescent="0.25">
      <c r="B51" s="48">
        <v>43041</v>
      </c>
      <c r="C51" s="49">
        <v>14974604.419499999</v>
      </c>
      <c r="D51" s="49">
        <v>16118190</v>
      </c>
      <c r="E51" s="50">
        <v>6000000</v>
      </c>
      <c r="F51" s="50"/>
      <c r="G51" s="50"/>
      <c r="H51" s="50"/>
      <c r="I51" s="38">
        <v>43223</v>
      </c>
      <c r="J51" s="240">
        <v>8000000</v>
      </c>
      <c r="K51" s="240">
        <v>20204475.964200001</v>
      </c>
      <c r="L51" s="241">
        <f t="shared" si="24"/>
        <v>939332871.86199963</v>
      </c>
      <c r="N51" s="38">
        <v>43587</v>
      </c>
      <c r="O51" s="240">
        <v>30000000</v>
      </c>
      <c r="P51" s="240">
        <v>41381487.589200005</v>
      </c>
      <c r="Q51" s="241">
        <f t="shared" si="25"/>
        <v>1992200974.2294002</v>
      </c>
      <c r="S51" s="38">
        <v>43951</v>
      </c>
      <c r="T51" s="240">
        <v>3000000</v>
      </c>
      <c r="U51" s="240">
        <v>20986309.3572</v>
      </c>
      <c r="V51" s="241">
        <f t="shared" si="26"/>
        <v>2249805811.8293996</v>
      </c>
      <c r="X51" s="38">
        <v>44315</v>
      </c>
      <c r="Y51" s="240">
        <v>8000000</v>
      </c>
      <c r="Z51" s="240">
        <v>29266273.799400002</v>
      </c>
      <c r="AA51" s="241">
        <f t="shared" si="27"/>
        <v>2132596735.368</v>
      </c>
      <c r="AC51" s="38">
        <v>44679</v>
      </c>
      <c r="AD51" s="50">
        <v>20000000</v>
      </c>
      <c r="AE51" s="50">
        <v>51475050.851400003</v>
      </c>
      <c r="AF51" s="241">
        <f t="shared" si="28"/>
        <v>2683752934.0182004</v>
      </c>
      <c r="AG51" s="241"/>
      <c r="AH51" s="38">
        <v>45050</v>
      </c>
      <c r="AI51" s="50">
        <v>20000000</v>
      </c>
      <c r="AJ51" s="50">
        <v>50732397.792909697</v>
      </c>
      <c r="AK51" s="241">
        <f t="shared" si="29"/>
        <v>2543029076.0305018</v>
      </c>
      <c r="AM51" s="32">
        <v>44</v>
      </c>
      <c r="AN51" s="39">
        <f t="shared" si="0"/>
        <v>0.93933287186199965</v>
      </c>
      <c r="AO51" s="39">
        <f t="shared" si="1"/>
        <v>1.9922009742294002</v>
      </c>
      <c r="AP51" s="39">
        <f t="shared" si="2"/>
        <v>2.2498058118293995</v>
      </c>
      <c r="AQ51" s="39">
        <f t="shared" si="3"/>
        <v>2.1325967353680002</v>
      </c>
      <c r="AR51" s="39">
        <f t="shared" si="30"/>
        <v>2.6837529340182003</v>
      </c>
      <c r="AS51" s="39">
        <f t="shared" si="31"/>
        <v>2.5430290760305017</v>
      </c>
      <c r="AT51" s="39"/>
      <c r="AU51" s="39">
        <f t="shared" si="32"/>
        <v>2.2763544975596401</v>
      </c>
      <c r="AV51" s="9">
        <f>AR51</f>
        <v>2.6837529340182003</v>
      </c>
      <c r="AW51" s="9">
        <f>AV51</f>
        <v>2.6837529340182003</v>
      </c>
      <c r="AX51" s="9">
        <f>AW51</f>
        <v>2.6837529340182003</v>
      </c>
      <c r="AY51" s="74"/>
      <c r="AZ51" s="74"/>
      <c r="BA51" s="74"/>
      <c r="BB51" s="74"/>
      <c r="BC51" s="74"/>
      <c r="BD51" s="74"/>
      <c r="BF51" s="72"/>
      <c r="BG51" s="78">
        <v>-1</v>
      </c>
      <c r="BH51" s="63">
        <f t="shared" si="119"/>
        <v>1.1551404805220697</v>
      </c>
      <c r="BI51" s="10">
        <v>1.6768460288054823</v>
      </c>
      <c r="BJ51" s="10">
        <v>1.9868217231184708</v>
      </c>
      <c r="BK51" s="10">
        <v>2.4402031927917331</v>
      </c>
      <c r="BL51" s="10">
        <v>2.6461683325827128</v>
      </c>
      <c r="BM51" s="10"/>
      <c r="BN51" s="10">
        <v>2.0105637199539994</v>
      </c>
      <c r="BZ51" s="72"/>
      <c r="CA51" s="62" t="s">
        <v>101</v>
      </c>
      <c r="CB51" s="63">
        <f>CB34-CB33</f>
        <v>2</v>
      </c>
      <c r="CC51" s="63">
        <f>CC34-CC33</f>
        <v>2</v>
      </c>
      <c r="CD51" s="63">
        <f t="shared" si="120"/>
        <v>2</v>
      </c>
      <c r="CE51" s="63">
        <f t="shared" si="120"/>
        <v>3</v>
      </c>
      <c r="CF51" s="63">
        <f t="shared" si="120"/>
        <v>2</v>
      </c>
      <c r="CG51" s="63">
        <f t="shared" si="120"/>
        <v>2</v>
      </c>
      <c r="CH51" s="63">
        <f t="shared" si="120"/>
        <v>2</v>
      </c>
      <c r="CI51" s="63">
        <f t="shared" si="120"/>
        <v>2</v>
      </c>
      <c r="CT51" s="41">
        <f t="shared" si="33"/>
        <v>45050</v>
      </c>
      <c r="CU51" s="9">
        <f t="shared" si="34"/>
        <v>2.5430290760305017</v>
      </c>
      <c r="CV51" s="9">
        <f t="shared" si="99"/>
        <v>1.6695201102778936</v>
      </c>
      <c r="CW51" s="9">
        <f t="shared" si="99"/>
        <v>1.9991977952454258</v>
      </c>
      <c r="CX51" s="9">
        <f t="shared" si="99"/>
        <v>2.1303400293325478</v>
      </c>
      <c r="CY51" s="9">
        <f t="shared" si="99"/>
        <v>2.2220883208491138</v>
      </c>
      <c r="CZ51" s="9">
        <f t="shared" si="99"/>
        <v>2.4071798962021984</v>
      </c>
      <c r="DA51" s="9">
        <f t="shared" si="99"/>
        <v>2.6492271903683324</v>
      </c>
      <c r="DB51" s="9">
        <f t="shared" si="99"/>
        <v>2.914231475835583</v>
      </c>
      <c r="DC51" s="9">
        <f t="shared" si="99"/>
        <v>3.1950531028781834</v>
      </c>
      <c r="DD51" s="9">
        <f t="shared" si="99"/>
        <v>3.3631159287101844</v>
      </c>
      <c r="DE51" s="9">
        <f t="shared" si="99"/>
        <v>3.7280600929224375</v>
      </c>
      <c r="DF51" s="9">
        <f t="shared" si="99"/>
        <v>4.5268263527263821</v>
      </c>
      <c r="DG51" s="32"/>
      <c r="DH51" s="32"/>
      <c r="DR51" s="41">
        <v>45414</v>
      </c>
      <c r="DS51" s="9">
        <v>3.1932187930000002</v>
      </c>
      <c r="DT51" s="9">
        <f t="shared" si="100"/>
        <v>1.8009387261266376</v>
      </c>
      <c r="DU51" s="9">
        <f t="shared" si="100"/>
        <v>2.1276047967880474</v>
      </c>
      <c r="DV51" s="9">
        <f t="shared" si="100"/>
        <v>2.3012290733214442</v>
      </c>
      <c r="DW51" s="9">
        <f t="shared" si="100"/>
        <v>2.4071274561566454</v>
      </c>
      <c r="DX51" s="9">
        <f t="shared" si="100"/>
        <v>2.6126299033903502</v>
      </c>
      <c r="DY51" s="9">
        <f t="shared" si="100"/>
        <v>2.8711456806158875</v>
      </c>
      <c r="DZ51" s="9">
        <f t="shared" si="100"/>
        <v>3.1633388666237532</v>
      </c>
      <c r="EA51" s="9">
        <f t="shared" si="100"/>
        <v>3.4741047799281155</v>
      </c>
      <c r="EB51" s="9">
        <f t="shared" si="100"/>
        <v>3.6620955641182298</v>
      </c>
      <c r="EC51" s="9">
        <f t="shared" si="100"/>
        <v>4.0266449208767883</v>
      </c>
      <c r="ED51" s="9">
        <f t="shared" si="100"/>
        <v>5.1607133960601344</v>
      </c>
      <c r="EE51" s="32"/>
      <c r="EF51" s="32"/>
      <c r="EQ51" s="41"/>
      <c r="ER51" s="9"/>
      <c r="ES51" s="9"/>
      <c r="ET51" s="9"/>
      <c r="EU51" s="9"/>
      <c r="EV51" s="9"/>
      <c r="EW51" s="9"/>
      <c r="EX51" s="9"/>
      <c r="EY51" s="9"/>
      <c r="EZ51" s="9"/>
      <c r="FA51" s="9"/>
      <c r="FB51" s="9"/>
      <c r="FC51" s="9"/>
      <c r="FD51" s="32"/>
      <c r="FE51" s="32"/>
      <c r="FF51" s="32"/>
      <c r="FG51" s="32"/>
      <c r="FH51" s="32"/>
      <c r="FI51" s="32"/>
      <c r="FJ51" s="32"/>
      <c r="FK51" s="32"/>
      <c r="FL51" s="41"/>
      <c r="FM51" s="9"/>
      <c r="FN51" s="9"/>
      <c r="FO51" s="9"/>
      <c r="FP51" s="9"/>
      <c r="FQ51" s="9"/>
      <c r="FR51" s="9"/>
      <c r="FS51" s="9"/>
      <c r="FT51" s="9"/>
      <c r="FU51" s="9"/>
      <c r="FV51" s="9"/>
      <c r="FW51" s="9"/>
      <c r="FX51" s="9"/>
      <c r="FY51" s="32"/>
      <c r="FZ51" s="32"/>
      <c r="GA51" s="32"/>
      <c r="GB51" s="32"/>
      <c r="GC51" s="41">
        <v>45778</v>
      </c>
      <c r="GD51" s="9">
        <v>2.4152266955323114</v>
      </c>
      <c r="GE51" s="9">
        <f t="shared" si="101"/>
        <v>2.1019345709559354</v>
      </c>
      <c r="GF51" s="9">
        <f t="shared" si="101"/>
        <v>2.297560536989105</v>
      </c>
      <c r="GG51" s="9">
        <f t="shared" si="101"/>
        <v>2.4620243318772199</v>
      </c>
      <c r="GH51" s="9">
        <f t="shared" si="101"/>
        <v>2.5703062436688131</v>
      </c>
      <c r="GI51" s="9">
        <f t="shared" si="101"/>
        <v>2.7737642181555486</v>
      </c>
      <c r="GJ51" s="9">
        <f t="shared" si="101"/>
        <v>3.029550545730217</v>
      </c>
      <c r="GK51" s="9">
        <f t="shared" si="101"/>
        <v>3.3341495151950986</v>
      </c>
      <c r="GL51" s="9">
        <f t="shared" si="101"/>
        <v>3.6467139032781586</v>
      </c>
      <c r="GM51" s="9">
        <f t="shared" si="101"/>
        <v>3.841551405339239</v>
      </c>
      <c r="GN51" s="9">
        <f t="shared" si="101"/>
        <v>4.2347401401201052</v>
      </c>
      <c r="GO51" s="9">
        <f t="shared" si="101"/>
        <v>5.3308621690801656</v>
      </c>
      <c r="GP51" s="32"/>
      <c r="GQ51" s="32"/>
      <c r="HA51" s="253">
        <v>0.05</v>
      </c>
      <c r="HB51" s="250">
        <v>0.32537644802501148</v>
      </c>
      <c r="HC51" s="251"/>
      <c r="HD51" s="251">
        <v>0.74608573811728007</v>
      </c>
      <c r="HE51" s="251" t="s">
        <v>297</v>
      </c>
      <c r="HF51" s="250">
        <v>1.174493531063074</v>
      </c>
      <c r="HG51" s="9"/>
      <c r="HH51" s="9">
        <f t="shared" si="121"/>
        <v>0.30367515740009615</v>
      </c>
      <c r="HI51" s="9">
        <f t="shared" si="122"/>
        <v>0.3566645079109737</v>
      </c>
      <c r="HJ51" s="9">
        <f t="shared" si="123"/>
        <v>0.81782902315210015</v>
      </c>
      <c r="HK51" s="9">
        <f t="shared" si="124"/>
        <v>1.174493531063074</v>
      </c>
      <c r="HL51" s="9"/>
      <c r="HM51" s="9">
        <f t="shared" si="125"/>
        <v>3.566645079109737E-2</v>
      </c>
      <c r="HN51" s="9">
        <f t="shared" si="125"/>
        <v>5.111431394700626E-2</v>
      </c>
      <c r="HO51" s="9"/>
      <c r="HP51" s="9">
        <f t="shared" si="126"/>
        <v>3.2537644802501146E-2</v>
      </c>
      <c r="HQ51" s="9">
        <f t="shared" si="127"/>
        <v>5.3069817689878909E-2</v>
      </c>
      <c r="HR51" s="9"/>
      <c r="HS51" s="32"/>
      <c r="HT51" s="32"/>
      <c r="HU51" s="32"/>
      <c r="HV51" s="253">
        <v>0.05</v>
      </c>
      <c r="HW51" s="250">
        <v>0.32537644802501148</v>
      </c>
      <c r="HX51" s="251">
        <v>0.74608573811728007</v>
      </c>
      <c r="HY51" s="251" t="s">
        <v>297</v>
      </c>
      <c r="HZ51" s="250">
        <v>1.174493531063074</v>
      </c>
      <c r="IA51" s="9"/>
      <c r="IB51" s="9">
        <f t="shared" si="128"/>
        <v>0.30367515740009615</v>
      </c>
      <c r="IC51" s="9">
        <f t="shared" si="129"/>
        <v>0.3566645079109737</v>
      </c>
      <c r="ID51" s="9">
        <f t="shared" si="130"/>
        <v>0.81782902315210015</v>
      </c>
      <c r="IE51" s="9">
        <f t="shared" si="131"/>
        <v>1.174493531063074</v>
      </c>
      <c r="IF51" s="9"/>
      <c r="IG51" s="9">
        <f t="shared" si="132"/>
        <v>3.566645079109737E-2</v>
      </c>
      <c r="IH51" s="9">
        <f t="shared" si="132"/>
        <v>5.111431394700626E-2</v>
      </c>
      <c r="II51" s="9"/>
      <c r="IJ51" s="9">
        <f t="shared" si="133"/>
        <v>3.2537644802501146E-2</v>
      </c>
      <c r="IK51" s="9">
        <f t="shared" si="134"/>
        <v>5.3069817689878909E-2</v>
      </c>
      <c r="IL51" s="9"/>
      <c r="IM51" s="32"/>
      <c r="IN51" s="32"/>
      <c r="IO51" s="32"/>
      <c r="IZ51" s="41">
        <f t="shared" si="11"/>
        <v>45050</v>
      </c>
      <c r="JA51" s="9">
        <f t="shared" si="11"/>
        <v>2.5430290760305017</v>
      </c>
      <c r="JB51" s="9">
        <f>$JA51</f>
        <v>2.5430290760305017</v>
      </c>
      <c r="JC51" s="9">
        <f t="shared" ref="JC51:JM51" si="135">$JA51</f>
        <v>2.5430290760305017</v>
      </c>
      <c r="JD51" s="9">
        <f t="shared" si="135"/>
        <v>2.5430290760305017</v>
      </c>
      <c r="JE51" s="9">
        <f t="shared" si="135"/>
        <v>2.5430290760305017</v>
      </c>
      <c r="JF51" s="9">
        <f t="shared" si="135"/>
        <v>2.5430290760305017</v>
      </c>
      <c r="JG51" s="9">
        <f t="shared" si="135"/>
        <v>2.5430290760305017</v>
      </c>
      <c r="JH51" s="9">
        <f t="shared" si="135"/>
        <v>2.5430290760305017</v>
      </c>
      <c r="JI51" s="9">
        <f t="shared" si="135"/>
        <v>2.5430290760305017</v>
      </c>
      <c r="JJ51" s="9">
        <f t="shared" si="135"/>
        <v>2.5430290760305017</v>
      </c>
      <c r="JK51" s="9">
        <f t="shared" si="135"/>
        <v>2.5430290760305017</v>
      </c>
      <c r="JL51" s="9">
        <f t="shared" si="135"/>
        <v>2.5430290760305017</v>
      </c>
      <c r="JM51" s="9">
        <f t="shared" si="135"/>
        <v>2.5430290760305017</v>
      </c>
      <c r="JX51" s="41">
        <v>45050</v>
      </c>
      <c r="JY51" s="9"/>
      <c r="JZ51" s="9">
        <f t="shared" si="102"/>
        <v>3.028986942350282</v>
      </c>
      <c r="KA51" s="9">
        <f t="shared" si="102"/>
        <v>2.6575396634150525</v>
      </c>
      <c r="KB51" s="9"/>
      <c r="KM51" s="41"/>
      <c r="KN51" s="241"/>
      <c r="KO51" s="241"/>
      <c r="KQ51" s="41"/>
      <c r="KR51" s="241"/>
      <c r="KS51" s="241"/>
      <c r="KU51" s="41"/>
      <c r="KV51" s="241"/>
      <c r="KW51" s="241"/>
      <c r="KY51" s="41"/>
      <c r="KZ51" s="241"/>
      <c r="LA51" s="241"/>
      <c r="LC51" s="41"/>
      <c r="LD51" s="241"/>
      <c r="LE51" s="241"/>
      <c r="LK51" s="41"/>
      <c r="LL51" s="241"/>
      <c r="LM51" s="241"/>
      <c r="LU51" s="75"/>
      <c r="MA51" s="32"/>
      <c r="MB51" s="32"/>
      <c r="MC51" s="32"/>
      <c r="MD51" s="32"/>
      <c r="ME51" s="32"/>
      <c r="MF51" s="32"/>
      <c r="MG51" s="32"/>
      <c r="MH51" s="39"/>
      <c r="MI51" s="39"/>
      <c r="MJ51" s="39"/>
      <c r="MK51" s="39"/>
      <c r="ML51" s="9"/>
      <c r="MM51" s="9"/>
      <c r="MN51" s="9"/>
      <c r="MO51" s="74"/>
      <c r="MP51" s="74"/>
      <c r="MQ51" s="74"/>
      <c r="MR51" s="74"/>
      <c r="MS51" s="74"/>
      <c r="MT51" s="74"/>
      <c r="MV51" s="72"/>
      <c r="MW51" s="78">
        <v>0</v>
      </c>
      <c r="MX51" s="10">
        <v>0.60447472275527048</v>
      </c>
      <c r="MY51" s="53">
        <f t="shared" si="117"/>
        <v>0.79577460552359525</v>
      </c>
      <c r="MZ51" s="10">
        <v>1.0073900586704194</v>
      </c>
      <c r="NA51" s="10">
        <v>1.1142623865016059</v>
      </c>
      <c r="NB51" s="10">
        <v>1.1785127806106941</v>
      </c>
      <c r="NC51" s="10">
        <v>1.1157651979597807</v>
      </c>
      <c r="ND51" s="10">
        <v>1.5648217697033835</v>
      </c>
      <c r="NE51" s="10">
        <v>1.2479317427235863</v>
      </c>
      <c r="NF51" s="10">
        <v>1.6508219210582651</v>
      </c>
      <c r="NG51" s="10">
        <v>1.5570289135529773</v>
      </c>
      <c r="NH51" s="10">
        <v>0.87388833851930703</v>
      </c>
    </row>
    <row r="52" spans="2:372" x14ac:dyDescent="0.25">
      <c r="B52" s="48">
        <v>43048</v>
      </c>
      <c r="C52" s="49">
        <v>12112415.050999999</v>
      </c>
      <c r="D52" s="49">
        <v>13037420</v>
      </c>
      <c r="E52" s="50">
        <v>3000000</v>
      </c>
      <c r="F52" s="50"/>
      <c r="G52" s="50"/>
      <c r="H52" s="50"/>
      <c r="I52" s="38">
        <v>43230</v>
      </c>
      <c r="J52" s="240">
        <v>12000000</v>
      </c>
      <c r="K52" s="240">
        <v>21182169.492000002</v>
      </c>
      <c r="L52" s="241">
        <f t="shared" si="24"/>
        <v>960515041.35399961</v>
      </c>
      <c r="N52" s="38">
        <v>43594</v>
      </c>
      <c r="O52" s="240">
        <v>3000000</v>
      </c>
      <c r="P52" s="240">
        <v>13900927.675800001</v>
      </c>
      <c r="Q52" s="241">
        <f t="shared" si="25"/>
        <v>2006101901.9052002</v>
      </c>
      <c r="S52" s="38">
        <v>43958</v>
      </c>
      <c r="T52" s="240">
        <v>8000000</v>
      </c>
      <c r="U52" s="240">
        <v>27935620.996800002</v>
      </c>
      <c r="V52" s="241">
        <f t="shared" si="26"/>
        <v>2277741432.8261995</v>
      </c>
      <c r="X52" s="38">
        <v>44322</v>
      </c>
      <c r="Y52" s="240">
        <v>20000000</v>
      </c>
      <c r="Z52" s="240">
        <v>45293044.691399999</v>
      </c>
      <c r="AA52" s="241">
        <f t="shared" si="27"/>
        <v>2177889780.0594001</v>
      </c>
      <c r="AC52" s="38">
        <v>44686</v>
      </c>
      <c r="AD52" s="50">
        <v>40000000</v>
      </c>
      <c r="AE52" s="50">
        <v>72590205.38880001</v>
      </c>
      <c r="AF52" s="241">
        <f t="shared" si="28"/>
        <v>2756343139.4070005</v>
      </c>
      <c r="AG52" s="241"/>
      <c r="AH52" s="38">
        <v>45057</v>
      </c>
      <c r="AI52" s="50">
        <v>4000000</v>
      </c>
      <c r="AJ52" s="50">
        <v>23475778.632240802</v>
      </c>
      <c r="AK52" s="241">
        <f t="shared" si="29"/>
        <v>2566504854.6627426</v>
      </c>
      <c r="AM52" s="32">
        <v>45</v>
      </c>
      <c r="AN52" s="39">
        <f t="shared" si="0"/>
        <v>0.96051504135399957</v>
      </c>
      <c r="AO52" s="39">
        <f t="shared" si="1"/>
        <v>2.0061019019052004</v>
      </c>
      <c r="AP52" s="39">
        <f t="shared" si="2"/>
        <v>2.2777414328261996</v>
      </c>
      <c r="AQ52" s="39">
        <f t="shared" si="3"/>
        <v>2.1778897800594001</v>
      </c>
      <c r="AR52" s="39">
        <f t="shared" si="30"/>
        <v>2.7563431394070004</v>
      </c>
      <c r="AS52" s="39">
        <f t="shared" si="31"/>
        <v>2.5665048546627425</v>
      </c>
      <c r="AT52" s="39"/>
      <c r="AU52" s="39">
        <f t="shared" si="32"/>
        <v>2.3292929742470738</v>
      </c>
      <c r="AV52" s="9">
        <f t="shared" ref="AV52:AX60" si="136">AV51+AV$3</f>
        <v>2.6837529340182003</v>
      </c>
      <c r="AW52" s="9">
        <f t="shared" si="136"/>
        <v>2.6837529340182003</v>
      </c>
      <c r="AX52" s="9">
        <f t="shared" si="136"/>
        <v>2.6837529340182003</v>
      </c>
      <c r="AY52" s="74"/>
      <c r="AZ52" s="74"/>
      <c r="BA52" s="74"/>
      <c r="BB52" s="74"/>
      <c r="BC52" s="74"/>
      <c r="BD52" s="74"/>
      <c r="BF52" s="72"/>
      <c r="BG52" s="78">
        <v>0</v>
      </c>
      <c r="BH52" s="63">
        <f t="shared" si="119"/>
        <v>1.3523250164709073</v>
      </c>
      <c r="BI52" s="10">
        <v>2.0342122329580103</v>
      </c>
      <c r="BJ52" s="10">
        <v>2.3725070003703252</v>
      </c>
      <c r="BK52" s="10">
        <v>2.8402080831711904</v>
      </c>
      <c r="BL52" s="10">
        <v>3.1103342738647273</v>
      </c>
      <c r="BM52" s="10"/>
      <c r="BN52" s="10">
        <v>2.4307302491731733</v>
      </c>
      <c r="BZ52" s="72"/>
      <c r="CA52" s="62" t="s">
        <v>102</v>
      </c>
      <c r="CB52" s="63">
        <f>CB38-CB34</f>
        <v>9</v>
      </c>
      <c r="CC52" s="63">
        <f>CC38-CC34</f>
        <v>9</v>
      </c>
      <c r="CD52" s="63">
        <f t="shared" ref="CD52:CI52" si="137">CD38-CD34</f>
        <v>9.0000000000000036</v>
      </c>
      <c r="CE52" s="63">
        <f t="shared" si="137"/>
        <v>7</v>
      </c>
      <c r="CF52" s="63">
        <f t="shared" si="137"/>
        <v>8</v>
      </c>
      <c r="CG52" s="63">
        <f t="shared" si="137"/>
        <v>8</v>
      </c>
      <c r="CH52" s="63">
        <f t="shared" si="137"/>
        <v>7</v>
      </c>
      <c r="CI52" s="63">
        <f t="shared" si="137"/>
        <v>6</v>
      </c>
      <c r="CT52" s="41">
        <f t="shared" si="33"/>
        <v>45057</v>
      </c>
      <c r="CU52" s="9">
        <f t="shared" si="34"/>
        <v>2.5665048546627425</v>
      </c>
      <c r="CV52" s="9">
        <f t="shared" si="99"/>
        <v>1.7074637491478457</v>
      </c>
      <c r="CW52" s="9">
        <f t="shared" si="99"/>
        <v>2.0446341087737312</v>
      </c>
      <c r="CX52" s="9">
        <f t="shared" si="99"/>
        <v>2.1787568481810147</v>
      </c>
      <c r="CY52" s="9">
        <f t="shared" si="99"/>
        <v>2.2725903281411393</v>
      </c>
      <c r="CZ52" s="9">
        <f t="shared" si="99"/>
        <v>2.4618885302067937</v>
      </c>
      <c r="DA52" s="9">
        <f t="shared" si="99"/>
        <v>2.7094368992403401</v>
      </c>
      <c r="DB52" s="9">
        <f t="shared" si="99"/>
        <v>2.9804640093773007</v>
      </c>
      <c r="DC52" s="9">
        <f t="shared" si="99"/>
        <v>3.2676679461254148</v>
      </c>
      <c r="DD52" s="9">
        <f t="shared" si="99"/>
        <v>3.4395503816354158</v>
      </c>
      <c r="DE52" s="9">
        <f t="shared" si="99"/>
        <v>3.8127887313979474</v>
      </c>
      <c r="DF52" s="9">
        <f t="shared" si="99"/>
        <v>4.6297087698338002</v>
      </c>
      <c r="DG52" s="32"/>
      <c r="DH52" s="32"/>
      <c r="DR52" s="41">
        <v>45421</v>
      </c>
      <c r="DS52" s="9">
        <v>3.298268196</v>
      </c>
      <c r="DT52" s="9">
        <f t="shared" si="100"/>
        <v>1.8418691517204249</v>
      </c>
      <c r="DU52" s="9">
        <f t="shared" si="100"/>
        <v>2.1759594512605029</v>
      </c>
      <c r="DV52" s="9">
        <f t="shared" si="100"/>
        <v>2.3535297340787498</v>
      </c>
      <c r="DW52" s="9">
        <f t="shared" si="100"/>
        <v>2.4618348983420235</v>
      </c>
      <c r="DX52" s="9">
        <f t="shared" si="100"/>
        <v>2.672007855740131</v>
      </c>
      <c r="DY52" s="9">
        <f t="shared" si="100"/>
        <v>2.9363989915389759</v>
      </c>
      <c r="DZ52" s="9">
        <f t="shared" si="100"/>
        <v>3.2352329317742932</v>
      </c>
      <c r="EA52" s="9">
        <f t="shared" si="100"/>
        <v>3.5530617067446637</v>
      </c>
      <c r="EB52" s="9">
        <f t="shared" si="100"/>
        <v>3.7453250087572805</v>
      </c>
      <c r="EC52" s="9">
        <f t="shared" si="100"/>
        <v>4.1181595781694424</v>
      </c>
      <c r="ED52" s="9">
        <f t="shared" si="100"/>
        <v>5.2780023368796831</v>
      </c>
      <c r="EE52" s="32"/>
      <c r="EF52" s="32"/>
      <c r="EQ52" s="41"/>
      <c r="ER52" s="9"/>
      <c r="ES52" s="9"/>
      <c r="ET52" s="9"/>
      <c r="EU52" s="9"/>
      <c r="EV52" s="9"/>
      <c r="EW52" s="9"/>
      <c r="EX52" s="9"/>
      <c r="EY52" s="9"/>
      <c r="EZ52" s="9"/>
      <c r="FA52" s="9"/>
      <c r="FB52" s="9"/>
      <c r="FC52" s="9"/>
      <c r="FD52" s="32"/>
      <c r="FE52" s="32"/>
      <c r="FF52" s="32"/>
      <c r="FG52" s="32"/>
      <c r="FH52" s="32"/>
      <c r="FI52" s="32"/>
      <c r="FJ52" s="32"/>
      <c r="FK52" s="32"/>
      <c r="FL52" s="41"/>
      <c r="FM52" s="9"/>
      <c r="FN52" s="9"/>
      <c r="FO52" s="9"/>
      <c r="FP52" s="9"/>
      <c r="FQ52" s="9"/>
      <c r="FR52" s="9"/>
      <c r="FS52" s="9"/>
      <c r="FT52" s="9"/>
      <c r="FU52" s="9"/>
      <c r="FV52" s="9"/>
      <c r="FW52" s="9"/>
      <c r="FX52" s="9"/>
      <c r="FY52" s="32"/>
      <c r="FZ52" s="32"/>
      <c r="GA52" s="32"/>
      <c r="GB52" s="32"/>
      <c r="GC52" s="41">
        <v>45785</v>
      </c>
      <c r="GD52" s="9">
        <v>2.4724912643271746</v>
      </c>
      <c r="GE52" s="9">
        <f t="shared" si="101"/>
        <v>2.1497058112049339</v>
      </c>
      <c r="GF52" s="9">
        <f t="shared" si="101"/>
        <v>2.3497778219206755</v>
      </c>
      <c r="GG52" s="9">
        <f t="shared" si="101"/>
        <v>2.5179794303289751</v>
      </c>
      <c r="GH52" s="9">
        <f t="shared" si="101"/>
        <v>2.6287222946612863</v>
      </c>
      <c r="GI52" s="9">
        <f t="shared" si="101"/>
        <v>2.8368043140227202</v>
      </c>
      <c r="GJ52" s="9">
        <f t="shared" si="101"/>
        <v>3.0984039672240855</v>
      </c>
      <c r="GK52" s="9">
        <f t="shared" si="101"/>
        <v>3.4099256405404419</v>
      </c>
      <c r="GL52" s="9">
        <f t="shared" si="101"/>
        <v>3.7295937647162987</v>
      </c>
      <c r="GM52" s="9">
        <f t="shared" si="101"/>
        <v>3.9288593918242216</v>
      </c>
      <c r="GN52" s="9">
        <f t="shared" si="101"/>
        <v>4.3309842342137443</v>
      </c>
      <c r="GO52" s="9">
        <f t="shared" si="101"/>
        <v>5.4520181274683512</v>
      </c>
      <c r="GP52" s="32"/>
      <c r="GQ52" s="32"/>
      <c r="HA52" s="253">
        <v>0.1</v>
      </c>
      <c r="HB52" s="250">
        <v>0.36187523432355428</v>
      </c>
      <c r="HC52" s="251"/>
      <c r="HD52" s="251">
        <v>0.79408533770940015</v>
      </c>
      <c r="HE52" s="251" t="s">
        <v>297</v>
      </c>
      <c r="HF52" s="250">
        <v>1.2417216619292608</v>
      </c>
      <c r="HG52" s="9"/>
      <c r="HH52" s="9">
        <f t="shared" si="121"/>
        <v>0.31305153746475517</v>
      </c>
      <c r="HI52" s="9">
        <f t="shared" si="122"/>
        <v>0.38872287537024602</v>
      </c>
      <c r="HJ52" s="9">
        <f t="shared" si="123"/>
        <v>0.85299878655901484</v>
      </c>
      <c r="HK52" s="9">
        <f t="shared" si="124"/>
        <v>1.2417216619292608</v>
      </c>
      <c r="HL52" s="9"/>
      <c r="HM52" s="9">
        <f t="shared" si="125"/>
        <v>3.8872287537024604E-2</v>
      </c>
      <c r="HN52" s="9">
        <f t="shared" si="125"/>
        <v>5.3312424159938428E-2</v>
      </c>
      <c r="HO52" s="9"/>
      <c r="HP52" s="9">
        <f t="shared" si="126"/>
        <v>3.6187523432355428E-2</v>
      </c>
      <c r="HQ52" s="9">
        <f t="shared" si="127"/>
        <v>5.4990401725356658E-2</v>
      </c>
      <c r="HR52" s="9"/>
      <c r="HS52" s="32"/>
      <c r="HT52" s="32"/>
      <c r="HU52" s="32"/>
      <c r="HV52" s="253">
        <v>0.1</v>
      </c>
      <c r="HW52" s="250">
        <v>0.36187523432355428</v>
      </c>
      <c r="HX52" s="251">
        <v>0.79408533770940015</v>
      </c>
      <c r="HY52" s="251" t="s">
        <v>297</v>
      </c>
      <c r="HZ52" s="250">
        <v>1.2417216619292608</v>
      </c>
      <c r="IA52" s="9"/>
      <c r="IB52" s="9">
        <f t="shared" si="128"/>
        <v>0.31305153746475517</v>
      </c>
      <c r="IC52" s="9">
        <f t="shared" si="129"/>
        <v>0.38872287537024602</v>
      </c>
      <c r="ID52" s="9">
        <f t="shared" si="130"/>
        <v>0.85299878655901484</v>
      </c>
      <c r="IE52" s="9">
        <f t="shared" si="131"/>
        <v>1.2417216619292608</v>
      </c>
      <c r="IF52" s="9"/>
      <c r="IG52" s="9">
        <f t="shared" si="132"/>
        <v>3.8872287537024604E-2</v>
      </c>
      <c r="IH52" s="9">
        <f t="shared" si="132"/>
        <v>5.3312424159938428E-2</v>
      </c>
      <c r="II52" s="9"/>
      <c r="IJ52" s="9">
        <f t="shared" si="133"/>
        <v>3.6187523432355428E-2</v>
      </c>
      <c r="IK52" s="9">
        <f t="shared" si="134"/>
        <v>5.4990401725356658E-2</v>
      </c>
      <c r="IL52" s="9"/>
      <c r="IM52" s="32"/>
      <c r="IN52" s="32"/>
      <c r="IO52" s="32"/>
      <c r="IZ52" s="41">
        <f t="shared" ref="IZ52:IZ60" si="138">CT52</f>
        <v>45057</v>
      </c>
      <c r="JA52" s="9"/>
      <c r="JB52" s="9">
        <f t="shared" ref="JB52:JM60" si="139">JB51+JB$2</f>
        <v>2.5735001069846017</v>
      </c>
      <c r="JC52" s="9">
        <f t="shared" si="139"/>
        <v>2.5770879861404516</v>
      </c>
      <c r="JD52" s="9">
        <f t="shared" si="139"/>
        <v>2.5813369742668018</v>
      </c>
      <c r="JE52" s="9">
        <f t="shared" si="139"/>
        <v>2.5843167403850682</v>
      </c>
      <c r="JF52" s="9">
        <f t="shared" si="139"/>
        <v>2.5892827873959017</v>
      </c>
      <c r="JG52" s="9">
        <f t="shared" si="139"/>
        <v>2.5972847395115681</v>
      </c>
      <c r="JH52" s="9">
        <f t="shared" si="139"/>
        <v>2.6094795407670182</v>
      </c>
      <c r="JI52" s="9">
        <f t="shared" si="139"/>
        <v>2.6324868447430849</v>
      </c>
      <c r="JJ52" s="9">
        <f t="shared" si="139"/>
        <v>2.6403237120252849</v>
      </c>
      <c r="JK52" s="9">
        <f t="shared" si="139"/>
        <v>2.6724247202622626</v>
      </c>
      <c r="JL52" s="9">
        <f t="shared" si="139"/>
        <v>2.7945043915048515</v>
      </c>
      <c r="JM52" s="9">
        <f t="shared" si="139"/>
        <v>2.5430290760305017</v>
      </c>
      <c r="JX52" s="41">
        <v>45057</v>
      </c>
      <c r="JY52" s="9"/>
      <c r="JZ52" s="9">
        <f t="shared" si="102"/>
        <v>3.0965563747607665</v>
      </c>
      <c r="KA52" s="9">
        <f t="shared" si="102"/>
        <v>2.7113517891983063</v>
      </c>
      <c r="KB52" s="9"/>
      <c r="KM52" s="41"/>
      <c r="KN52" s="241"/>
      <c r="KO52" s="241"/>
      <c r="KQ52" s="41"/>
      <c r="KR52" s="241"/>
      <c r="KS52" s="241"/>
      <c r="KU52" s="41"/>
      <c r="KV52" s="241"/>
      <c r="KW52" s="241"/>
      <c r="KY52" s="41"/>
      <c r="KZ52" s="241"/>
      <c r="LA52" s="241"/>
      <c r="LC52" s="41"/>
      <c r="LD52" s="241"/>
      <c r="LE52" s="241"/>
      <c r="LK52" s="41"/>
      <c r="LL52" s="241"/>
      <c r="LM52" s="241"/>
      <c r="LU52" s="75"/>
      <c r="MA52" s="32"/>
      <c r="MB52" s="32"/>
      <c r="MC52" s="32"/>
      <c r="MD52" s="32"/>
      <c r="ME52" s="32"/>
      <c r="MF52" s="32"/>
      <c r="MG52" s="32"/>
      <c r="MH52" s="39"/>
      <c r="MI52" s="39"/>
      <c r="MJ52" s="39"/>
      <c r="MK52" s="39"/>
      <c r="ML52" s="9"/>
      <c r="MM52" s="9"/>
      <c r="MN52" s="9"/>
      <c r="MO52" s="74"/>
      <c r="MP52" s="74"/>
      <c r="MQ52" s="74"/>
      <c r="MR52" s="74"/>
      <c r="MS52" s="74"/>
      <c r="MT52" s="74"/>
      <c r="MV52" s="72"/>
      <c r="MW52" s="78">
        <v>1</v>
      </c>
      <c r="MX52" s="10">
        <v>0.72229952828316724</v>
      </c>
      <c r="MY52" s="53">
        <f t="shared" si="117"/>
        <v>0.94543398484773022</v>
      </c>
      <c r="MZ52" s="10">
        <v>1.243703156523696</v>
      </c>
      <c r="NA52" s="10">
        <v>1.3911966548318055</v>
      </c>
      <c r="NB52" s="10">
        <v>1.4604181198641002</v>
      </c>
      <c r="NC52" s="10">
        <v>1.3566342955196578</v>
      </c>
      <c r="ND52" s="10">
        <v>1.8455005249957193</v>
      </c>
      <c r="NE52" s="10">
        <v>1.5030950141193493</v>
      </c>
      <c r="NF52" s="10">
        <v>2.0014855169106895</v>
      </c>
      <c r="NG52" s="10">
        <v>1.8941020329486198</v>
      </c>
      <c r="NH52" s="10">
        <v>1.1264152398735934</v>
      </c>
    </row>
    <row r="53" spans="2:372" x14ac:dyDescent="0.25">
      <c r="B53" s="48">
        <v>43055</v>
      </c>
      <c r="C53" s="49">
        <v>16160991.978999998</v>
      </c>
      <c r="D53" s="49">
        <v>17395180</v>
      </c>
      <c r="E53" s="50">
        <v>6000000</v>
      </c>
      <c r="F53" s="50"/>
      <c r="G53" s="50"/>
      <c r="H53" s="50"/>
      <c r="I53" s="38">
        <v>43237</v>
      </c>
      <c r="J53" s="240">
        <v>20000000</v>
      </c>
      <c r="K53" s="240">
        <v>31720405.939200003</v>
      </c>
      <c r="L53" s="241">
        <f t="shared" si="24"/>
        <v>992235447.29319966</v>
      </c>
      <c r="N53" s="38">
        <v>43601</v>
      </c>
      <c r="O53" s="240">
        <v>8000000</v>
      </c>
      <c r="P53" s="240">
        <v>20721373.589400001</v>
      </c>
      <c r="Q53" s="241">
        <f t="shared" si="25"/>
        <v>2026823275.4946003</v>
      </c>
      <c r="S53" s="38">
        <v>43965</v>
      </c>
      <c r="T53" s="240">
        <v>3000000</v>
      </c>
      <c r="U53" s="240">
        <v>21279153.871800002</v>
      </c>
      <c r="V53" s="241">
        <f t="shared" si="26"/>
        <v>2299020586.6979995</v>
      </c>
      <c r="X53" s="38">
        <v>44329</v>
      </c>
      <c r="Y53" s="240">
        <v>30000000</v>
      </c>
      <c r="Z53" s="240">
        <v>59826044.302200004</v>
      </c>
      <c r="AA53" s="241">
        <f t="shared" si="27"/>
        <v>2237715824.3615999</v>
      </c>
      <c r="AC53" s="38">
        <v>44693</v>
      </c>
      <c r="AD53" s="50">
        <v>60000000</v>
      </c>
      <c r="AE53" s="50">
        <v>103770738.9972</v>
      </c>
      <c r="AF53" s="241">
        <f t="shared" si="28"/>
        <v>2860113878.4042006</v>
      </c>
      <c r="AG53" s="241"/>
      <c r="AH53" s="38">
        <v>45064</v>
      </c>
      <c r="AI53" s="50">
        <v>4000000</v>
      </c>
      <c r="AJ53" s="50">
        <v>23550131.751571905</v>
      </c>
      <c r="AK53" s="241">
        <f t="shared" si="29"/>
        <v>2590054986.4143147</v>
      </c>
      <c r="AM53" s="32">
        <v>46</v>
      </c>
      <c r="AN53" s="39">
        <f t="shared" si="0"/>
        <v>0.99223544729319968</v>
      </c>
      <c r="AO53" s="39">
        <f t="shared" si="1"/>
        <v>2.0268232754946003</v>
      </c>
      <c r="AP53" s="39">
        <f t="shared" si="2"/>
        <v>2.2990205866979996</v>
      </c>
      <c r="AQ53" s="39">
        <f t="shared" si="3"/>
        <v>2.2377158243616</v>
      </c>
      <c r="AR53" s="39">
        <f t="shared" si="30"/>
        <v>2.8601138784042006</v>
      </c>
      <c r="AS53" s="39">
        <f t="shared" si="31"/>
        <v>2.5900549864143145</v>
      </c>
      <c r="AT53" s="39"/>
      <c r="AU53" s="39">
        <f t="shared" si="32"/>
        <v>2.3822314509345075</v>
      </c>
      <c r="AV53" s="9">
        <f t="shared" si="136"/>
        <v>2.6837529340182003</v>
      </c>
      <c r="AW53" s="9">
        <f t="shared" si="136"/>
        <v>2.6837529340182003</v>
      </c>
      <c r="AX53" s="9">
        <f t="shared" si="136"/>
        <v>2.6837529340182003</v>
      </c>
      <c r="AY53" s="74"/>
      <c r="AZ53" s="74"/>
      <c r="BA53" s="74"/>
      <c r="BB53" s="74"/>
      <c r="BC53" s="74"/>
      <c r="BD53" s="74"/>
      <c r="BF53" s="72"/>
      <c r="BG53" s="78">
        <v>1</v>
      </c>
      <c r="BH53" s="63">
        <f t="shared" si="119"/>
        <v>1.5495095524197451</v>
      </c>
      <c r="BI53" s="10">
        <v>2.3915784371105384</v>
      </c>
      <c r="BJ53" s="10">
        <v>2.7581922776221797</v>
      </c>
      <c r="BK53" s="10">
        <v>3.2402129735506477</v>
      </c>
      <c r="BL53" s="10">
        <v>3.5745002151467418</v>
      </c>
      <c r="BM53" s="10"/>
      <c r="BN53" s="10">
        <v>2.8508967783923471</v>
      </c>
      <c r="CT53" s="41">
        <f t="shared" si="33"/>
        <v>45064</v>
      </c>
      <c r="CU53" s="9">
        <f t="shared" si="34"/>
        <v>2.5900549864143145</v>
      </c>
      <c r="CV53" s="9">
        <f t="shared" si="99"/>
        <v>1.7454073880177978</v>
      </c>
      <c r="CW53" s="9">
        <f t="shared" si="99"/>
        <v>2.0900704223020363</v>
      </c>
      <c r="CX53" s="9">
        <f t="shared" si="99"/>
        <v>2.2271736670294815</v>
      </c>
      <c r="CY53" s="9">
        <f t="shared" si="99"/>
        <v>2.3230923354331647</v>
      </c>
      <c r="CZ53" s="9">
        <f t="shared" si="99"/>
        <v>2.5165971642113889</v>
      </c>
      <c r="DA53" s="9">
        <f t="shared" si="99"/>
        <v>2.7696466081123479</v>
      </c>
      <c r="DB53" s="9">
        <f t="shared" si="99"/>
        <v>3.0466965429190185</v>
      </c>
      <c r="DC53" s="9">
        <f t="shared" si="99"/>
        <v>3.3402827893726461</v>
      </c>
      <c r="DD53" s="9">
        <f t="shared" si="99"/>
        <v>3.5159848345606473</v>
      </c>
      <c r="DE53" s="9">
        <f t="shared" si="99"/>
        <v>3.8975173698734573</v>
      </c>
      <c r="DF53" s="9">
        <f t="shared" si="99"/>
        <v>4.7325911869412183</v>
      </c>
      <c r="DG53" s="32"/>
      <c r="DH53" s="32"/>
      <c r="DR53" s="41">
        <v>45428</v>
      </c>
      <c r="DS53" s="9">
        <v>3.487323102</v>
      </c>
      <c r="DT53" s="9">
        <f t="shared" si="100"/>
        <v>1.8827995773142121</v>
      </c>
      <c r="DU53" s="9">
        <f t="shared" si="100"/>
        <v>2.2243141057329585</v>
      </c>
      <c r="DV53" s="9">
        <f t="shared" si="100"/>
        <v>2.4058303948360553</v>
      </c>
      <c r="DW53" s="9">
        <f t="shared" si="100"/>
        <v>2.5165423405274017</v>
      </c>
      <c r="DX53" s="9">
        <f t="shared" si="100"/>
        <v>2.7313858080899118</v>
      </c>
      <c r="DY53" s="9">
        <f t="shared" si="100"/>
        <v>3.0016523024620643</v>
      </c>
      <c r="DZ53" s="9">
        <f t="shared" si="100"/>
        <v>3.3071269969248331</v>
      </c>
      <c r="EA53" s="9">
        <f t="shared" si="100"/>
        <v>3.6320186335612119</v>
      </c>
      <c r="EB53" s="9">
        <f t="shared" si="100"/>
        <v>3.8285544533963312</v>
      </c>
      <c r="EC53" s="9">
        <f t="shared" si="100"/>
        <v>4.2096742354620966</v>
      </c>
      <c r="ED53" s="9">
        <f t="shared" si="100"/>
        <v>5.3952912776992319</v>
      </c>
      <c r="EE53" s="32"/>
      <c r="EF53" s="32"/>
      <c r="EQ53" s="41"/>
      <c r="ER53" s="9"/>
      <c r="ES53" s="9"/>
      <c r="ET53" s="9"/>
      <c r="EU53" s="9"/>
      <c r="EV53" s="9"/>
      <c r="EW53" s="9"/>
      <c r="EX53" s="9"/>
      <c r="EY53" s="9"/>
      <c r="EZ53" s="9"/>
      <c r="FA53" s="9"/>
      <c r="FB53" s="9"/>
      <c r="FC53" s="9"/>
      <c r="FD53" s="32"/>
      <c r="FE53" s="32"/>
      <c r="FF53" s="32"/>
      <c r="FG53" s="32"/>
      <c r="FH53" s="32"/>
      <c r="FI53" s="32"/>
      <c r="FJ53" s="32"/>
      <c r="FK53" s="32"/>
      <c r="FL53" s="41"/>
      <c r="FM53" s="9"/>
      <c r="FN53" s="9"/>
      <c r="FO53" s="9"/>
      <c r="FP53" s="9"/>
      <c r="FQ53" s="9"/>
      <c r="FR53" s="9"/>
      <c r="FS53" s="9"/>
      <c r="FT53" s="9"/>
      <c r="FU53" s="9"/>
      <c r="FV53" s="9"/>
      <c r="FW53" s="9"/>
      <c r="FX53" s="9"/>
      <c r="FY53" s="32"/>
      <c r="FZ53" s="32"/>
      <c r="GA53" s="32"/>
      <c r="GB53" s="32"/>
      <c r="GC53" s="41">
        <v>45792</v>
      </c>
      <c r="GD53" s="9">
        <v>2.5077430380391981</v>
      </c>
      <c r="GE53" s="9">
        <f t="shared" si="101"/>
        <v>2.1974770514539324</v>
      </c>
      <c r="GF53" s="9">
        <f t="shared" si="101"/>
        <v>2.401995106852246</v>
      </c>
      <c r="GG53" s="9">
        <f t="shared" si="101"/>
        <v>2.5739345287807303</v>
      </c>
      <c r="GH53" s="9">
        <f t="shared" si="101"/>
        <v>2.6871383456537594</v>
      </c>
      <c r="GI53" s="9">
        <f t="shared" si="101"/>
        <v>2.8998444098898917</v>
      </c>
      <c r="GJ53" s="9">
        <f t="shared" si="101"/>
        <v>3.167257388717954</v>
      </c>
      <c r="GK53" s="9">
        <f t="shared" si="101"/>
        <v>3.4857017658857852</v>
      </c>
      <c r="GL53" s="9">
        <f t="shared" si="101"/>
        <v>3.8124736261544387</v>
      </c>
      <c r="GM53" s="9">
        <f t="shared" si="101"/>
        <v>4.0161673783092047</v>
      </c>
      <c r="GN53" s="9">
        <f t="shared" si="101"/>
        <v>4.4272283283073834</v>
      </c>
      <c r="GO53" s="9">
        <f t="shared" si="101"/>
        <v>5.5731740858565368</v>
      </c>
      <c r="GP53" s="32"/>
      <c r="GQ53" s="32"/>
      <c r="HA53" s="253">
        <v>0.25</v>
      </c>
      <c r="HB53" s="250">
        <v>0.39089713126878861</v>
      </c>
      <c r="HC53" s="251"/>
      <c r="HD53" s="251">
        <v>0.91106354315548022</v>
      </c>
      <c r="HE53" s="251" t="s">
        <v>297</v>
      </c>
      <c r="HF53" s="250">
        <v>1.3665612111234922</v>
      </c>
      <c r="HG53" s="9"/>
      <c r="HH53" s="9">
        <f t="shared" si="121"/>
        <v>0.30023727977931786</v>
      </c>
      <c r="HI53" s="9">
        <f t="shared" si="122"/>
        <v>0.41029262067964739</v>
      </c>
      <c r="HJ53" s="9">
        <f t="shared" si="123"/>
        <v>0.95626859044384482</v>
      </c>
      <c r="HK53" s="9">
        <f t="shared" si="124"/>
        <v>1.3665612111234922</v>
      </c>
      <c r="HL53" s="9"/>
      <c r="HM53" s="9">
        <f t="shared" si="125"/>
        <v>4.1029262067964742E-2</v>
      </c>
      <c r="HN53" s="9">
        <f t="shared" si="125"/>
        <v>5.9766786902740301E-2</v>
      </c>
      <c r="HO53" s="9"/>
      <c r="HP53" s="9">
        <f t="shared" si="126"/>
        <v>3.908971312687886E-2</v>
      </c>
      <c r="HQ53" s="9">
        <f t="shared" si="127"/>
        <v>6.0979004990918975E-2</v>
      </c>
      <c r="HR53" s="9"/>
      <c r="HS53" s="32"/>
      <c r="HT53" s="32"/>
      <c r="HU53" s="32"/>
      <c r="HV53" s="253">
        <v>0.25</v>
      </c>
      <c r="HW53" s="250">
        <v>0.39089713126878861</v>
      </c>
      <c r="HX53" s="251">
        <v>0.91106354315548022</v>
      </c>
      <c r="HY53" s="251" t="s">
        <v>297</v>
      </c>
      <c r="HZ53" s="250">
        <v>1.3665612111234922</v>
      </c>
      <c r="IA53" s="9"/>
      <c r="IB53" s="9">
        <f t="shared" si="128"/>
        <v>0.30023727977931786</v>
      </c>
      <c r="IC53" s="9">
        <f t="shared" si="129"/>
        <v>0.41029262067964739</v>
      </c>
      <c r="ID53" s="9">
        <f t="shared" si="130"/>
        <v>0.95626859044384482</v>
      </c>
      <c r="IE53" s="9">
        <f t="shared" si="131"/>
        <v>1.3665612111234922</v>
      </c>
      <c r="IF53" s="9"/>
      <c r="IG53" s="9">
        <f t="shared" si="132"/>
        <v>4.1029262067964742E-2</v>
      </c>
      <c r="IH53" s="9">
        <f t="shared" si="132"/>
        <v>5.9766786902740301E-2</v>
      </c>
      <c r="II53" s="9"/>
      <c r="IJ53" s="9">
        <f t="shared" si="133"/>
        <v>3.908971312687886E-2</v>
      </c>
      <c r="IK53" s="9">
        <f t="shared" si="134"/>
        <v>6.0979004990918975E-2</v>
      </c>
      <c r="IL53" s="9"/>
      <c r="IM53" s="32"/>
      <c r="IN53" s="32"/>
      <c r="IO53" s="32"/>
      <c r="IZ53" s="41">
        <f t="shared" si="138"/>
        <v>45064</v>
      </c>
      <c r="JA53" s="9"/>
      <c r="JB53" s="9">
        <f t="shared" si="139"/>
        <v>2.6039711379387018</v>
      </c>
      <c r="JC53" s="9">
        <f t="shared" si="139"/>
        <v>2.6111468962504016</v>
      </c>
      <c r="JD53" s="9">
        <f t="shared" si="139"/>
        <v>2.6196448725031019</v>
      </c>
      <c r="JE53" s="9">
        <f t="shared" si="139"/>
        <v>2.6256044047396347</v>
      </c>
      <c r="JF53" s="9">
        <f t="shared" si="139"/>
        <v>2.6355364987613017</v>
      </c>
      <c r="JG53" s="9">
        <f t="shared" si="139"/>
        <v>2.6515404029926346</v>
      </c>
      <c r="JH53" s="9">
        <f t="shared" si="139"/>
        <v>2.6759300055035347</v>
      </c>
      <c r="JI53" s="9">
        <f t="shared" si="139"/>
        <v>2.7219446134556682</v>
      </c>
      <c r="JJ53" s="9">
        <f t="shared" si="139"/>
        <v>2.7376183480200682</v>
      </c>
      <c r="JK53" s="9">
        <f t="shared" si="139"/>
        <v>2.8018203644940236</v>
      </c>
      <c r="JL53" s="9">
        <f t="shared" si="139"/>
        <v>3.0459797069792014</v>
      </c>
      <c r="JM53" s="9">
        <f t="shared" si="139"/>
        <v>2.5430290760305017</v>
      </c>
      <c r="JX53" s="41">
        <v>45064</v>
      </c>
      <c r="JY53" s="9"/>
      <c r="JZ53" s="9">
        <f t="shared" si="102"/>
        <v>3.164125807171251</v>
      </c>
      <c r="KA53" s="9">
        <f t="shared" si="102"/>
        <v>2.7651639149815601</v>
      </c>
      <c r="KB53" s="9"/>
      <c r="KM53" s="41"/>
      <c r="KN53" s="241"/>
      <c r="KO53" s="241"/>
      <c r="KQ53" s="41"/>
      <c r="KR53" s="241"/>
      <c r="KS53" s="241"/>
      <c r="KU53" s="41"/>
      <c r="KV53" s="241"/>
      <c r="KW53" s="241"/>
      <c r="KY53" s="41"/>
      <c r="KZ53" s="241"/>
      <c r="LA53" s="241"/>
      <c r="LC53" s="41"/>
      <c r="LD53" s="241"/>
      <c r="LE53" s="241"/>
      <c r="LK53" s="41"/>
      <c r="LL53" s="241"/>
      <c r="LM53" s="241"/>
      <c r="LU53" s="75"/>
      <c r="MA53" s="32"/>
      <c r="MB53" s="32"/>
      <c r="MC53" s="32"/>
      <c r="MD53" s="32"/>
      <c r="ME53" s="32"/>
      <c r="MF53" s="32"/>
      <c r="MG53" s="32"/>
      <c r="MH53" s="39"/>
      <c r="MI53" s="39"/>
      <c r="MJ53" s="39"/>
      <c r="MK53" s="39"/>
      <c r="ML53" s="9"/>
      <c r="MM53" s="9"/>
      <c r="MN53" s="9"/>
      <c r="MO53" s="74"/>
      <c r="MP53" s="74"/>
      <c r="MQ53" s="74"/>
      <c r="MR53" s="74"/>
      <c r="MS53" s="74"/>
      <c r="MT53" s="74"/>
      <c r="MV53" s="72"/>
      <c r="MW53" s="78">
        <v>2</v>
      </c>
      <c r="MX53" s="10">
        <v>0.84012433381106388</v>
      </c>
      <c r="MY53" s="53">
        <f t="shared" si="117"/>
        <v>1.0950933641718654</v>
      </c>
      <c r="MZ53" s="10">
        <v>1.4800162543769726</v>
      </c>
      <c r="NA53" s="10">
        <v>1.6681309231620052</v>
      </c>
      <c r="NB53" s="10">
        <v>1.7423234591175061</v>
      </c>
      <c r="NC53" s="10">
        <v>1.5975033930795348</v>
      </c>
      <c r="ND53" s="10">
        <v>2.126179280288055</v>
      </c>
      <c r="NE53" s="10">
        <v>1.7582582855151123</v>
      </c>
      <c r="NF53" s="10">
        <v>2.3521491127631142</v>
      </c>
      <c r="NG53" s="10">
        <v>2.231175152344262</v>
      </c>
      <c r="NH53" s="10">
        <v>1.3789421412278799</v>
      </c>
    </row>
    <row r="54" spans="2:372" x14ac:dyDescent="0.25">
      <c r="B54" s="48">
        <v>43062</v>
      </c>
      <c r="C54" s="49">
        <v>23353511.268999998</v>
      </c>
      <c r="D54" s="49">
        <v>25136980</v>
      </c>
      <c r="E54" s="247">
        <v>10658989.09</v>
      </c>
      <c r="F54" s="247" t="s">
        <v>83</v>
      </c>
      <c r="G54" s="50"/>
      <c r="H54" s="50"/>
      <c r="I54" s="38">
        <v>43244</v>
      </c>
      <c r="J54" s="240">
        <v>30000000</v>
      </c>
      <c r="K54" s="240">
        <v>43577628.006000005</v>
      </c>
      <c r="L54" s="241">
        <f t="shared" si="24"/>
        <v>1035813075.2991997</v>
      </c>
      <c r="N54" s="38">
        <v>43608</v>
      </c>
      <c r="O54" s="240">
        <v>3000000</v>
      </c>
      <c r="P54" s="240">
        <v>14551612.435800001</v>
      </c>
      <c r="Q54" s="241">
        <f t="shared" si="25"/>
        <v>2041374887.9304004</v>
      </c>
      <c r="S54" s="38">
        <v>43972</v>
      </c>
      <c r="T54" s="240">
        <v>8000000</v>
      </c>
      <c r="U54" s="240">
        <v>29899609.119600002</v>
      </c>
      <c r="V54" s="241">
        <f t="shared" si="26"/>
        <v>2328920195.8175993</v>
      </c>
      <c r="X54" s="38">
        <v>44336</v>
      </c>
      <c r="Y54" s="240">
        <v>3000000</v>
      </c>
      <c r="Z54" s="240">
        <v>24344852.367000002</v>
      </c>
      <c r="AA54" s="241">
        <f t="shared" si="27"/>
        <v>2262060676.7286</v>
      </c>
      <c r="AC54" s="38">
        <v>44700</v>
      </c>
      <c r="AD54" s="50">
        <v>80000000</v>
      </c>
      <c r="AE54" s="50">
        <v>144637403.21580002</v>
      </c>
      <c r="AF54" s="241">
        <f t="shared" si="28"/>
        <v>3004751281.6200004</v>
      </c>
      <c r="AG54" s="241"/>
      <c r="AH54" s="38">
        <v>45071</v>
      </c>
      <c r="AI54" s="50">
        <v>12000000</v>
      </c>
      <c r="AJ54" s="50">
        <v>41624465.419156581</v>
      </c>
      <c r="AK54" s="241">
        <f t="shared" si="29"/>
        <v>2631679451.8334713</v>
      </c>
      <c r="AM54" s="32">
        <v>47</v>
      </c>
      <c r="AN54" s="39">
        <f t="shared" si="0"/>
        <v>1.0358130752991996</v>
      </c>
      <c r="AO54" s="39">
        <f t="shared" si="1"/>
        <v>2.0413748879304006</v>
      </c>
      <c r="AP54" s="39">
        <f t="shared" si="2"/>
        <v>2.3289201958175991</v>
      </c>
      <c r="AQ54" s="39">
        <f t="shared" si="3"/>
        <v>2.2620606767286002</v>
      </c>
      <c r="AR54" s="39">
        <f t="shared" si="30"/>
        <v>3.0047512816200004</v>
      </c>
      <c r="AS54" s="39">
        <f t="shared" si="31"/>
        <v>2.6316794518334712</v>
      </c>
      <c r="AT54" s="39"/>
      <c r="AU54" s="39">
        <f t="shared" si="32"/>
        <v>2.4351699276219412</v>
      </c>
      <c r="AV54" s="9">
        <f t="shared" si="136"/>
        <v>2.6837529340182003</v>
      </c>
      <c r="AW54" s="9">
        <f t="shared" si="136"/>
        <v>2.6837529340182003</v>
      </c>
      <c r="AX54" s="9">
        <f t="shared" si="136"/>
        <v>2.6837529340182003</v>
      </c>
      <c r="AY54" s="74"/>
      <c r="AZ54" s="74"/>
      <c r="BA54" s="74"/>
      <c r="BB54" s="74"/>
      <c r="BC54" s="74"/>
      <c r="BD54" s="74"/>
      <c r="BF54" s="72"/>
      <c r="BG54" s="78">
        <v>2</v>
      </c>
      <c r="BH54" s="63">
        <f t="shared" si="119"/>
        <v>1.7466940883685826</v>
      </c>
      <c r="BI54" s="10">
        <v>2.7489446412630665</v>
      </c>
      <c r="BJ54" s="10">
        <v>3.1438775548740341</v>
      </c>
      <c r="BK54" s="10">
        <v>3.6402178639301055</v>
      </c>
      <c r="BL54" s="10">
        <v>4.0386661564287554</v>
      </c>
      <c r="BM54" s="10"/>
      <c r="BN54" s="10">
        <v>3.271063307611521</v>
      </c>
      <c r="CA54" s="254" t="s">
        <v>298</v>
      </c>
      <c r="CB54" s="255" t="s">
        <v>104</v>
      </c>
      <c r="CC54" s="255" t="s">
        <v>105</v>
      </c>
      <c r="CD54" s="255" t="s">
        <v>106</v>
      </c>
      <c r="CT54" s="41">
        <f t="shared" si="33"/>
        <v>45071</v>
      </c>
      <c r="CU54" s="9">
        <f t="shared" si="34"/>
        <v>2.6316794518334712</v>
      </c>
      <c r="CV54" s="9">
        <f t="shared" si="99"/>
        <v>1.7833510268877499</v>
      </c>
      <c r="CW54" s="9">
        <f t="shared" si="99"/>
        <v>2.1355067358303415</v>
      </c>
      <c r="CX54" s="9">
        <f t="shared" si="99"/>
        <v>2.2755904858779483</v>
      </c>
      <c r="CY54" s="9">
        <f t="shared" si="99"/>
        <v>2.3735943427251902</v>
      </c>
      <c r="CZ54" s="9">
        <f t="shared" si="99"/>
        <v>2.5713057982159842</v>
      </c>
      <c r="DA54" s="9">
        <f t="shared" si="99"/>
        <v>2.8298563169843556</v>
      </c>
      <c r="DB54" s="9">
        <f t="shared" si="99"/>
        <v>3.1129290764607362</v>
      </c>
      <c r="DC54" s="9">
        <f t="shared" si="99"/>
        <v>3.4128976326198774</v>
      </c>
      <c r="DD54" s="9">
        <f t="shared" si="99"/>
        <v>3.5924192874858787</v>
      </c>
      <c r="DE54" s="9">
        <f t="shared" si="99"/>
        <v>3.9822460083489672</v>
      </c>
      <c r="DF54" s="9">
        <f t="shared" si="99"/>
        <v>4.8354736040486364</v>
      </c>
      <c r="DG54" s="32"/>
      <c r="DH54" s="32"/>
      <c r="DR54" s="41">
        <v>45435</v>
      </c>
      <c r="DS54" s="9">
        <v>3.7497074480000001</v>
      </c>
      <c r="DT54" s="9">
        <f t="shared" si="100"/>
        <v>1.9237300029079993</v>
      </c>
      <c r="DU54" s="9">
        <f t="shared" si="100"/>
        <v>2.2726687602054141</v>
      </c>
      <c r="DV54" s="9">
        <f t="shared" si="100"/>
        <v>2.4581310555933609</v>
      </c>
      <c r="DW54" s="9">
        <f t="shared" si="100"/>
        <v>2.5712497827127798</v>
      </c>
      <c r="DX54" s="9">
        <f t="shared" si="100"/>
        <v>2.7907637604396927</v>
      </c>
      <c r="DY54" s="9">
        <f t="shared" si="100"/>
        <v>3.0669056133851527</v>
      </c>
      <c r="DZ54" s="9">
        <f t="shared" si="100"/>
        <v>3.3790210620753731</v>
      </c>
      <c r="EA54" s="9">
        <f t="shared" si="100"/>
        <v>3.7109755603777601</v>
      </c>
      <c r="EB54" s="9">
        <f t="shared" si="100"/>
        <v>3.9117838980353818</v>
      </c>
      <c r="EC54" s="9">
        <f t="shared" si="100"/>
        <v>4.3011888927547508</v>
      </c>
      <c r="ED54" s="9">
        <f t="shared" si="100"/>
        <v>5.5125802185187807</v>
      </c>
      <c r="EE54" s="32"/>
      <c r="EF54" s="32"/>
      <c r="EQ54" s="41"/>
      <c r="ER54" s="9"/>
      <c r="ES54" s="9"/>
      <c r="ET54" s="9"/>
      <c r="EU54" s="9"/>
      <c r="EV54" s="9"/>
      <c r="EW54" s="9"/>
      <c r="EX54" s="9"/>
      <c r="EY54" s="9"/>
      <c r="EZ54" s="9"/>
      <c r="FA54" s="9"/>
      <c r="FB54" s="9"/>
      <c r="FC54" s="9"/>
      <c r="FD54" s="32"/>
      <c r="FE54" s="32"/>
      <c r="FF54" s="32"/>
      <c r="FG54" s="32"/>
      <c r="FH54" s="32"/>
      <c r="FI54" s="32"/>
      <c r="FJ54" s="32"/>
      <c r="FK54" s="32"/>
      <c r="FL54" s="41"/>
      <c r="FM54" s="9"/>
      <c r="FN54" s="9"/>
      <c r="FO54" s="9"/>
      <c r="FP54" s="9"/>
      <c r="FQ54" s="9"/>
      <c r="FR54" s="9"/>
      <c r="FS54" s="9"/>
      <c r="FT54" s="9"/>
      <c r="FU54" s="9"/>
      <c r="FV54" s="9"/>
      <c r="FW54" s="9"/>
      <c r="FX54" s="9"/>
      <c r="FY54" s="32"/>
      <c r="FZ54" s="32"/>
      <c r="GA54" s="32"/>
      <c r="GB54" s="32"/>
      <c r="GC54" s="41">
        <v>45799</v>
      </c>
      <c r="GD54" s="9">
        <v>2.5521466686063681</v>
      </c>
      <c r="GE54" s="9">
        <f t="shared" si="101"/>
        <v>2.2452482917029308</v>
      </c>
      <c r="GF54" s="9">
        <f t="shared" si="101"/>
        <v>2.4542123917838166</v>
      </c>
      <c r="GG54" s="9">
        <f t="shared" si="101"/>
        <v>2.6298896272324854</v>
      </c>
      <c r="GH54" s="9">
        <f t="shared" si="101"/>
        <v>2.7455543966462326</v>
      </c>
      <c r="GI54" s="9">
        <f t="shared" si="101"/>
        <v>2.9628845057570632</v>
      </c>
      <c r="GJ54" s="9">
        <f t="shared" si="101"/>
        <v>3.2361108102118226</v>
      </c>
      <c r="GK54" s="9">
        <f t="shared" si="101"/>
        <v>3.5614778912311285</v>
      </c>
      <c r="GL54" s="9">
        <f t="shared" si="101"/>
        <v>3.8953534875925788</v>
      </c>
      <c r="GM54" s="9">
        <f t="shared" si="101"/>
        <v>4.1034753647941873</v>
      </c>
      <c r="GN54" s="9">
        <f t="shared" si="101"/>
        <v>4.5234724224010225</v>
      </c>
      <c r="GO54" s="9">
        <f t="shared" si="101"/>
        <v>5.6943300442447224</v>
      </c>
      <c r="GP54" s="32"/>
      <c r="GQ54" s="32"/>
      <c r="HA54" s="256">
        <v>0.5</v>
      </c>
      <c r="HB54" s="257">
        <v>0.43805355433506865</v>
      </c>
      <c r="HC54" s="258"/>
      <c r="HD54" s="258">
        <v>1.0354748609469002</v>
      </c>
      <c r="HE54" s="258" t="s">
        <v>297</v>
      </c>
      <c r="HF54" s="257">
        <v>1.5665490246018492</v>
      </c>
      <c r="HG54" s="9"/>
      <c r="HH54" s="9">
        <f t="shared" si="121"/>
        <v>0.29728205428006244</v>
      </c>
      <c r="HI54" s="9">
        <f t="shared" si="122"/>
        <v>0.46570691216406579</v>
      </c>
      <c r="HJ54" s="9">
        <f t="shared" si="123"/>
        <v>1.1008421124377834</v>
      </c>
      <c r="HK54" s="9">
        <f t="shared" si="124"/>
        <v>1.5665490246018492</v>
      </c>
      <c r="HL54" s="9"/>
      <c r="HM54" s="9">
        <f t="shared" si="125"/>
        <v>4.6570691216406578E-2</v>
      </c>
      <c r="HN54" s="9">
        <f t="shared" si="125"/>
        <v>6.8802632027361463E-2</v>
      </c>
      <c r="HO54" s="9"/>
      <c r="HP54" s="9">
        <f t="shared" si="126"/>
        <v>4.3805355433506867E-2</v>
      </c>
      <c r="HQ54" s="9">
        <f t="shared" si="127"/>
        <v>7.0530966891673791E-2</v>
      </c>
      <c r="HR54" s="9"/>
      <c r="HS54" s="32"/>
      <c r="HT54" s="32"/>
      <c r="HU54" s="32"/>
      <c r="HV54" s="256">
        <v>0.5</v>
      </c>
      <c r="HW54" s="257">
        <v>0.43805355433506865</v>
      </c>
      <c r="HX54" s="258">
        <v>1.0354748609469002</v>
      </c>
      <c r="HY54" s="258" t="s">
        <v>297</v>
      </c>
      <c r="HZ54" s="257">
        <v>1.5665490246018492</v>
      </c>
      <c r="IA54" s="9"/>
      <c r="IB54" s="9">
        <f t="shared" si="128"/>
        <v>0.29728205428006244</v>
      </c>
      <c r="IC54" s="9">
        <f t="shared" si="129"/>
        <v>0.46570691216406579</v>
      </c>
      <c r="ID54" s="9">
        <f t="shared" si="130"/>
        <v>1.1008421124377834</v>
      </c>
      <c r="IE54" s="9">
        <f t="shared" si="131"/>
        <v>1.5665490246018492</v>
      </c>
      <c r="IF54" s="9"/>
      <c r="IG54" s="9">
        <f t="shared" si="132"/>
        <v>4.6570691216406578E-2</v>
      </c>
      <c r="IH54" s="9">
        <f t="shared" si="132"/>
        <v>6.8802632027361463E-2</v>
      </c>
      <c r="II54" s="9"/>
      <c r="IJ54" s="9">
        <f t="shared" si="133"/>
        <v>4.3805355433506867E-2</v>
      </c>
      <c r="IK54" s="9">
        <f t="shared" si="134"/>
        <v>7.0530966891673791E-2</v>
      </c>
      <c r="IL54" s="9"/>
      <c r="IM54" s="32"/>
      <c r="IN54" s="32"/>
      <c r="IO54" s="32"/>
      <c r="IZ54" s="41">
        <f t="shared" si="138"/>
        <v>45071</v>
      </c>
      <c r="JA54" s="9"/>
      <c r="JB54" s="9">
        <f t="shared" si="139"/>
        <v>2.6344421688928019</v>
      </c>
      <c r="JC54" s="9">
        <f t="shared" si="139"/>
        <v>2.6452058063603516</v>
      </c>
      <c r="JD54" s="9">
        <f t="shared" si="139"/>
        <v>2.6579527707394019</v>
      </c>
      <c r="JE54" s="9">
        <f t="shared" si="139"/>
        <v>2.6668920690942013</v>
      </c>
      <c r="JF54" s="9">
        <f t="shared" si="139"/>
        <v>2.6817902101267017</v>
      </c>
      <c r="JG54" s="9">
        <f t="shared" si="139"/>
        <v>2.7057960664737011</v>
      </c>
      <c r="JH54" s="9">
        <f t="shared" si="139"/>
        <v>2.7423804702400512</v>
      </c>
      <c r="JI54" s="9">
        <f t="shared" si="139"/>
        <v>2.8114023821682514</v>
      </c>
      <c r="JJ54" s="9">
        <f t="shared" si="139"/>
        <v>2.8349129840148515</v>
      </c>
      <c r="JK54" s="9">
        <f t="shared" si="139"/>
        <v>2.9312160087257846</v>
      </c>
      <c r="JL54" s="9">
        <f t="shared" si="139"/>
        <v>3.2974550224535513</v>
      </c>
      <c r="JM54" s="9">
        <f t="shared" si="139"/>
        <v>2.5430290760305017</v>
      </c>
      <c r="JX54" s="41">
        <v>45071</v>
      </c>
      <c r="JY54" s="9"/>
      <c r="JZ54" s="9">
        <f t="shared" si="102"/>
        <v>3.2316952395817355</v>
      </c>
      <c r="KA54" s="9">
        <f t="shared" si="102"/>
        <v>2.8189760407648139</v>
      </c>
      <c r="KB54" s="9"/>
      <c r="KM54" s="41"/>
      <c r="KN54" s="241"/>
      <c r="KO54" s="241"/>
      <c r="KQ54" s="41"/>
      <c r="KR54" s="241"/>
      <c r="KS54" s="241"/>
      <c r="KU54" s="41"/>
      <c r="KV54" s="241"/>
      <c r="KW54" s="241"/>
      <c r="KY54" s="41"/>
      <c r="KZ54" s="241"/>
      <c r="LA54" s="241"/>
      <c r="LC54" s="41"/>
      <c r="LD54" s="241"/>
      <c r="LE54" s="241"/>
      <c r="LK54" s="41"/>
      <c r="LL54" s="241"/>
      <c r="LM54" s="241"/>
      <c r="LU54" s="75"/>
      <c r="MA54" s="32"/>
      <c r="MB54" s="32"/>
      <c r="MC54" s="32"/>
      <c r="MD54" s="32"/>
      <c r="ME54" s="32"/>
      <c r="MF54" s="32"/>
      <c r="MG54" s="32"/>
      <c r="MH54" s="39"/>
      <c r="MI54" s="39"/>
      <c r="MJ54" s="39"/>
      <c r="MK54" s="39"/>
      <c r="ML54" s="9"/>
      <c r="MM54" s="9"/>
      <c r="MN54" s="9"/>
      <c r="MO54" s="74"/>
      <c r="MP54" s="74"/>
      <c r="MQ54" s="74"/>
      <c r="MR54" s="74"/>
      <c r="MS54" s="74"/>
      <c r="MT54" s="74"/>
      <c r="MV54" s="72"/>
      <c r="MW54" s="78">
        <v>3</v>
      </c>
      <c r="MX54" s="10">
        <v>0.95794913933896064</v>
      </c>
      <c r="MY54" s="53">
        <f>MZ86</f>
        <v>1.2447527434960004</v>
      </c>
      <c r="MZ54" s="10">
        <v>1.7163293522302494</v>
      </c>
      <c r="NA54" s="10">
        <v>1.9450651914922048</v>
      </c>
      <c r="NB54" s="10">
        <v>2.0242287983709124</v>
      </c>
      <c r="NC54" s="10">
        <v>1.8383724906394119</v>
      </c>
      <c r="ND54" s="10">
        <v>2.4068580355803908</v>
      </c>
      <c r="NE54" s="10">
        <v>2.0134215569108753</v>
      </c>
      <c r="NF54" s="10">
        <v>2.7028127086155385</v>
      </c>
      <c r="NG54" s="10">
        <v>2.5682482717399049</v>
      </c>
      <c r="NH54" s="10">
        <v>1.6314690425821663</v>
      </c>
    </row>
    <row r="55" spans="2:372" x14ac:dyDescent="0.25">
      <c r="B55" s="48">
        <v>43069</v>
      </c>
      <c r="C55" s="49">
        <v>12124985.097499998</v>
      </c>
      <c r="D55" s="49">
        <v>13050950</v>
      </c>
      <c r="E55" s="50">
        <v>3000000</v>
      </c>
      <c r="F55" s="50"/>
      <c r="G55" s="50"/>
      <c r="H55" s="50"/>
      <c r="I55" s="38">
        <v>43251</v>
      </c>
      <c r="J55" s="240">
        <v>40000000</v>
      </c>
      <c r="K55" s="240">
        <v>55628865.223800004</v>
      </c>
      <c r="L55" s="241">
        <f t="shared" si="24"/>
        <v>1091441940.5229998</v>
      </c>
      <c r="N55" s="38">
        <v>43615</v>
      </c>
      <c r="O55" s="240">
        <v>8000000</v>
      </c>
      <c r="P55" s="240">
        <v>19315259.693400003</v>
      </c>
      <c r="Q55" s="241">
        <f t="shared" si="25"/>
        <v>2060690147.6238003</v>
      </c>
      <c r="S55" s="38">
        <v>43979</v>
      </c>
      <c r="T55" s="240">
        <v>15000000</v>
      </c>
      <c r="U55" s="240">
        <v>45264857.305799998</v>
      </c>
      <c r="V55" s="241">
        <f t="shared" si="26"/>
        <v>2374185053.1233993</v>
      </c>
      <c r="X55" s="38">
        <v>44343</v>
      </c>
      <c r="Y55" s="240">
        <v>10000000</v>
      </c>
      <c r="Z55" s="240">
        <v>31106141.332200002</v>
      </c>
      <c r="AA55" s="241">
        <f t="shared" si="27"/>
        <v>2293166818.0608001</v>
      </c>
      <c r="AC55" s="38">
        <v>44707</v>
      </c>
      <c r="AD55" s="50">
        <v>4000000</v>
      </c>
      <c r="AE55" s="50">
        <v>24966976.795200001</v>
      </c>
      <c r="AF55" s="241">
        <f t="shared" si="28"/>
        <v>3029718258.4152002</v>
      </c>
      <c r="AG55" s="241"/>
      <c r="AH55" s="38">
        <v>45078</v>
      </c>
      <c r="AI55" s="50">
        <v>20000000</v>
      </c>
      <c r="AJ55" s="50">
        <v>54873607.377835892</v>
      </c>
      <c r="AK55" s="241">
        <f t="shared" si="29"/>
        <v>2686553059.211307</v>
      </c>
      <c r="AM55" s="32">
        <v>48</v>
      </c>
      <c r="AN55" s="39">
        <f t="shared" si="0"/>
        <v>1.0914419405229998</v>
      </c>
      <c r="AO55" s="39">
        <f t="shared" si="1"/>
        <v>2.0606901476238004</v>
      </c>
      <c r="AP55" s="39">
        <f t="shared" si="2"/>
        <v>2.3741850531233992</v>
      </c>
      <c r="AQ55" s="39">
        <f t="shared" si="3"/>
        <v>2.2931668180608002</v>
      </c>
      <c r="AR55" s="39">
        <f t="shared" si="30"/>
        <v>3.0297182584152003</v>
      </c>
      <c r="AS55" s="39">
        <f t="shared" si="31"/>
        <v>2.6865530592113069</v>
      </c>
      <c r="AT55" s="39"/>
      <c r="AU55" s="39">
        <f t="shared" si="32"/>
        <v>2.4881084043093749</v>
      </c>
      <c r="AV55" s="9">
        <f t="shared" si="136"/>
        <v>2.6837529340182003</v>
      </c>
      <c r="AW55" s="9">
        <f t="shared" si="136"/>
        <v>2.6837529340182003</v>
      </c>
      <c r="AX55" s="9">
        <f t="shared" si="136"/>
        <v>2.6837529340182003</v>
      </c>
      <c r="AY55" s="74"/>
      <c r="AZ55" s="74"/>
      <c r="BA55" s="74"/>
      <c r="BB55" s="74"/>
      <c r="BC55" s="74"/>
      <c r="BD55" s="74"/>
      <c r="BF55" s="72"/>
      <c r="BG55" s="78">
        <v>3</v>
      </c>
      <c r="BH55" s="63">
        <f t="shared" si="119"/>
        <v>1.9438786243174202</v>
      </c>
      <c r="BI55" s="10">
        <v>3.1063108454155941</v>
      </c>
      <c r="BJ55" s="10">
        <v>3.5295628321258885</v>
      </c>
      <c r="BK55" s="10">
        <v>4.0402227543095632</v>
      </c>
      <c r="BL55" s="10">
        <v>4.5028320977107699</v>
      </c>
      <c r="BM55" s="10"/>
      <c r="BN55" s="10">
        <v>3.6912298368306944</v>
      </c>
      <c r="CA55" t="s">
        <v>107</v>
      </c>
      <c r="CB55" s="79">
        <f>41/52</f>
        <v>0.78846153846153844</v>
      </c>
      <c r="CC55" s="79">
        <f>11/52</f>
        <v>0.21153846153846154</v>
      </c>
      <c r="CT55" s="41">
        <f t="shared" si="33"/>
        <v>45078</v>
      </c>
      <c r="CU55" s="9">
        <f t="shared" si="34"/>
        <v>2.6865530592113069</v>
      </c>
      <c r="CV55" s="9">
        <f t="shared" si="99"/>
        <v>1.821294665757702</v>
      </c>
      <c r="CW55" s="9">
        <f t="shared" si="99"/>
        <v>2.1809430493586466</v>
      </c>
      <c r="CX55" s="9">
        <f t="shared" si="99"/>
        <v>2.3240073047264151</v>
      </c>
      <c r="CY55" s="9">
        <f t="shared" si="99"/>
        <v>2.4240963500172157</v>
      </c>
      <c r="CZ55" s="9">
        <f t="shared" si="99"/>
        <v>2.6260144322205794</v>
      </c>
      <c r="DA55" s="9">
        <f t="shared" si="99"/>
        <v>2.8900660258563633</v>
      </c>
      <c r="DB55" s="9">
        <f t="shared" si="99"/>
        <v>3.179161610002454</v>
      </c>
      <c r="DC55" s="9">
        <f t="shared" si="99"/>
        <v>3.4855124758671088</v>
      </c>
      <c r="DD55" s="9">
        <f t="shared" si="99"/>
        <v>3.6688537404111101</v>
      </c>
      <c r="DE55" s="9">
        <f t="shared" si="99"/>
        <v>4.0669746468244776</v>
      </c>
      <c r="DF55" s="9">
        <f t="shared" si="99"/>
        <v>4.9383560211560544</v>
      </c>
      <c r="DG55" s="32"/>
      <c r="DH55" s="32"/>
      <c r="DR55" s="41">
        <v>45442</v>
      </c>
      <c r="DS55" s="9">
        <v>3.7782164119999999</v>
      </c>
      <c r="DT55" s="9">
        <f t="shared" si="100"/>
        <v>1.9646604285017866</v>
      </c>
      <c r="DU55" s="9">
        <f t="shared" si="100"/>
        <v>2.3210234146778697</v>
      </c>
      <c r="DV55" s="9">
        <f t="shared" si="100"/>
        <v>2.5104317163506664</v>
      </c>
      <c r="DW55" s="9">
        <f t="shared" si="100"/>
        <v>2.625957224898158</v>
      </c>
      <c r="DX55" s="9">
        <f t="shared" si="100"/>
        <v>2.8501417127894735</v>
      </c>
      <c r="DY55" s="9">
        <f t="shared" si="100"/>
        <v>3.1321589243082411</v>
      </c>
      <c r="DZ55" s="9">
        <f t="shared" si="100"/>
        <v>3.4509151272259131</v>
      </c>
      <c r="EA55" s="9">
        <f t="shared" si="100"/>
        <v>3.7899324871943083</v>
      </c>
      <c r="EB55" s="9">
        <f t="shared" si="100"/>
        <v>3.9950133426744325</v>
      </c>
      <c r="EC55" s="9">
        <f t="shared" si="100"/>
        <v>4.392703550047405</v>
      </c>
      <c r="ED55" s="9">
        <f t="shared" si="100"/>
        <v>5.6298691593383294</v>
      </c>
      <c r="EE55" s="32"/>
      <c r="EF55" s="32"/>
      <c r="EQ55" s="41"/>
      <c r="ER55" s="9"/>
      <c r="ES55" s="9"/>
      <c r="ET55" s="9"/>
      <c r="EU55" s="9"/>
      <c r="EV55" s="9"/>
      <c r="EW55" s="9"/>
      <c r="EX55" s="9"/>
      <c r="EY55" s="9"/>
      <c r="EZ55" s="9"/>
      <c r="FA55" s="9"/>
      <c r="FB55" s="9"/>
      <c r="FC55" s="9"/>
      <c r="FD55" s="32"/>
      <c r="FE55" s="32"/>
      <c r="FF55" s="32"/>
      <c r="FG55" s="32"/>
      <c r="FH55" s="32"/>
      <c r="FI55" s="32"/>
      <c r="FJ55" s="32"/>
      <c r="FK55" s="32"/>
      <c r="FL55" s="41"/>
      <c r="FM55" s="9"/>
      <c r="FN55" s="9"/>
      <c r="FO55" s="9"/>
      <c r="FP55" s="9"/>
      <c r="FQ55" s="9"/>
      <c r="FR55" s="9"/>
      <c r="FS55" s="9"/>
      <c r="FT55" s="9"/>
      <c r="FU55" s="9"/>
      <c r="FV55" s="9"/>
      <c r="FW55" s="9"/>
      <c r="FX55" s="9"/>
      <c r="FY55" s="32"/>
      <c r="FZ55" s="32"/>
      <c r="GA55" s="32"/>
      <c r="GB55" s="32"/>
      <c r="GC55" s="41">
        <v>45806</v>
      </c>
      <c r="GD55" s="9">
        <v>2.6041292935416265</v>
      </c>
      <c r="GE55" s="9">
        <f t="shared" si="101"/>
        <v>2.2930195319519293</v>
      </c>
      <c r="GF55" s="9">
        <f t="shared" si="101"/>
        <v>2.5064296767153871</v>
      </c>
      <c r="GG55" s="9">
        <f t="shared" si="101"/>
        <v>2.6858447256842406</v>
      </c>
      <c r="GH55" s="9">
        <f t="shared" si="101"/>
        <v>2.8039704476387057</v>
      </c>
      <c r="GI55" s="9">
        <f t="shared" si="101"/>
        <v>3.0259246016242347</v>
      </c>
      <c r="GJ55" s="9">
        <f t="shared" si="101"/>
        <v>3.3049642317056911</v>
      </c>
      <c r="GK55" s="9">
        <f t="shared" si="101"/>
        <v>3.6372540165764717</v>
      </c>
      <c r="GL55" s="9">
        <f t="shared" si="101"/>
        <v>3.9782333490307189</v>
      </c>
      <c r="GM55" s="9">
        <f t="shared" si="101"/>
        <v>4.1907833512791699</v>
      </c>
      <c r="GN55" s="9">
        <f t="shared" si="101"/>
        <v>4.6197165164946616</v>
      </c>
      <c r="GO55" s="9">
        <f t="shared" si="101"/>
        <v>5.815486002632908</v>
      </c>
      <c r="GP55" s="32"/>
      <c r="GQ55" s="32"/>
      <c r="HA55" s="253">
        <v>0.75</v>
      </c>
      <c r="HB55" s="250">
        <v>0.55073066064512577</v>
      </c>
      <c r="HC55" s="251"/>
      <c r="HD55" s="251">
        <v>1.29871834451238</v>
      </c>
      <c r="HE55" s="251" t="s">
        <v>297</v>
      </c>
      <c r="HF55" s="250">
        <v>1.819026259210192</v>
      </c>
      <c r="HG55" s="9"/>
      <c r="HH55" s="9">
        <f t="shared" si="121"/>
        <v>0.29778093859810073</v>
      </c>
      <c r="HI55" s="9">
        <f t="shared" si="122"/>
        <v>0.54167134680220308</v>
      </c>
      <c r="HJ55" s="9">
        <f t="shared" si="123"/>
        <v>1.277354912407989</v>
      </c>
      <c r="HK55" s="9">
        <f t="shared" si="124"/>
        <v>1.819026259210192</v>
      </c>
      <c r="HL55" s="9"/>
      <c r="HM55" s="9">
        <f t="shared" si="125"/>
        <v>5.4167134680220309E-2</v>
      </c>
      <c r="HN55" s="9">
        <f t="shared" si="125"/>
        <v>7.9834682025499315E-2</v>
      </c>
      <c r="HO55" s="9"/>
      <c r="HP55" s="9">
        <f t="shared" si="126"/>
        <v>5.507306606451258E-2</v>
      </c>
      <c r="HQ55" s="9">
        <f t="shared" si="127"/>
        <v>7.9268474910316633E-2</v>
      </c>
      <c r="HR55" s="9"/>
      <c r="HS55" s="32"/>
      <c r="HT55" s="32"/>
      <c r="HU55" s="32"/>
      <c r="HV55" s="253">
        <v>0.75</v>
      </c>
      <c r="HW55" s="250">
        <v>0.55073066064512577</v>
      </c>
      <c r="HX55" s="251">
        <v>1.29871834451238</v>
      </c>
      <c r="HY55" s="251" t="s">
        <v>297</v>
      </c>
      <c r="HZ55" s="250">
        <v>1.819026259210192</v>
      </c>
      <c r="IA55" s="9"/>
      <c r="IB55" s="9">
        <f t="shared" si="128"/>
        <v>0.29778093859810073</v>
      </c>
      <c r="IC55" s="9">
        <f t="shared" si="129"/>
        <v>0.54167134680220308</v>
      </c>
      <c r="ID55" s="9">
        <f t="shared" si="130"/>
        <v>1.277354912407989</v>
      </c>
      <c r="IE55" s="9">
        <f t="shared" si="131"/>
        <v>1.819026259210192</v>
      </c>
      <c r="IF55" s="9"/>
      <c r="IG55" s="9">
        <f t="shared" si="132"/>
        <v>5.4167134680220309E-2</v>
      </c>
      <c r="IH55" s="9">
        <f t="shared" si="132"/>
        <v>7.9834682025499315E-2</v>
      </c>
      <c r="II55" s="9"/>
      <c r="IJ55" s="9">
        <f t="shared" si="133"/>
        <v>5.507306606451258E-2</v>
      </c>
      <c r="IK55" s="9">
        <f t="shared" si="134"/>
        <v>7.9268474910316633E-2</v>
      </c>
      <c r="IL55" s="9"/>
      <c r="IM55" s="32"/>
      <c r="IN55" s="32"/>
      <c r="IO55" s="32"/>
      <c r="IZ55" s="41">
        <f t="shared" si="138"/>
        <v>45078</v>
      </c>
      <c r="JA55" s="9"/>
      <c r="JB55" s="9">
        <f t="shared" si="139"/>
        <v>2.664913199846902</v>
      </c>
      <c r="JC55" s="9">
        <f t="shared" si="139"/>
        <v>2.6792647164703016</v>
      </c>
      <c r="JD55" s="9">
        <f t="shared" si="139"/>
        <v>2.696260668975702</v>
      </c>
      <c r="JE55" s="9">
        <f t="shared" si="139"/>
        <v>2.7081797334487678</v>
      </c>
      <c r="JF55" s="9">
        <f t="shared" si="139"/>
        <v>2.7280439214921017</v>
      </c>
      <c r="JG55" s="9">
        <f t="shared" si="139"/>
        <v>2.7600517299547676</v>
      </c>
      <c r="JH55" s="9">
        <f t="shared" si="139"/>
        <v>2.8088309349765677</v>
      </c>
      <c r="JI55" s="9">
        <f t="shared" si="139"/>
        <v>2.9008601508808347</v>
      </c>
      <c r="JJ55" s="9">
        <f t="shared" si="139"/>
        <v>2.9322076200096348</v>
      </c>
      <c r="JK55" s="9">
        <f t="shared" si="139"/>
        <v>3.0606116529575456</v>
      </c>
      <c r="JL55" s="9">
        <f t="shared" si="139"/>
        <v>3.5489303379279011</v>
      </c>
      <c r="JM55" s="9">
        <f t="shared" si="139"/>
        <v>2.5430290760305017</v>
      </c>
      <c r="JX55" s="41">
        <v>45078</v>
      </c>
      <c r="JY55" s="9"/>
      <c r="JZ55" s="9">
        <f t="shared" si="102"/>
        <v>3.2992646719922201</v>
      </c>
      <c r="KA55" s="9">
        <f t="shared" si="102"/>
        <v>2.8727881665480677</v>
      </c>
      <c r="KB55" s="9"/>
      <c r="KM55" s="41"/>
      <c r="KN55" s="241"/>
      <c r="KO55" s="241"/>
      <c r="KQ55" s="41"/>
      <c r="KR55" s="241"/>
      <c r="KS55" s="241"/>
      <c r="KU55" s="41"/>
      <c r="KV55" s="241"/>
      <c r="KW55" s="241"/>
      <c r="KY55" s="41"/>
      <c r="KZ55" s="241"/>
      <c r="LA55" s="241"/>
      <c r="LC55" s="41"/>
      <c r="LD55" s="241"/>
      <c r="LE55" s="241"/>
      <c r="LK55" s="41"/>
      <c r="LL55" s="241"/>
      <c r="LM55" s="241"/>
      <c r="LU55" s="75"/>
      <c r="MA55" s="32"/>
      <c r="MB55" s="32"/>
      <c r="MC55" s="32"/>
      <c r="MD55" s="32"/>
      <c r="ME55" s="32"/>
      <c r="MF55" s="32"/>
      <c r="MG55" s="32"/>
      <c r="MH55" s="39"/>
      <c r="MI55" s="39"/>
      <c r="MJ55" s="39"/>
      <c r="MK55" s="39"/>
      <c r="ML55" s="9"/>
      <c r="MM55" s="9"/>
      <c r="MN55" s="9"/>
      <c r="MO55" s="74"/>
      <c r="MP55" s="74"/>
      <c r="MQ55" s="74"/>
      <c r="MR55" s="74"/>
      <c r="MS55" s="74"/>
      <c r="MT55" s="74"/>
      <c r="MV55" s="72"/>
      <c r="MW55" s="73"/>
    </row>
    <row r="56" spans="2:372" x14ac:dyDescent="0.25">
      <c r="B56" s="48">
        <v>43076</v>
      </c>
      <c r="C56" s="49">
        <v>15890582.685999999</v>
      </c>
      <c r="D56" s="49">
        <v>17104120</v>
      </c>
      <c r="E56" s="50">
        <v>6000000</v>
      </c>
      <c r="F56" s="50"/>
      <c r="G56" s="50"/>
      <c r="H56" s="50"/>
      <c r="I56" s="38">
        <v>43258</v>
      </c>
      <c r="J56" s="240">
        <v>50000000</v>
      </c>
      <c r="K56" s="240">
        <v>68210807.280000001</v>
      </c>
      <c r="L56" s="241">
        <f t="shared" si="24"/>
        <v>1159652747.8029997</v>
      </c>
      <c r="N56" s="38">
        <v>43622</v>
      </c>
      <c r="O56" s="240">
        <v>12000000</v>
      </c>
      <c r="P56" s="240">
        <v>23195800.768800002</v>
      </c>
      <c r="Q56" s="241">
        <f t="shared" si="25"/>
        <v>2083885948.3926003</v>
      </c>
      <c r="S56" s="38">
        <v>43986</v>
      </c>
      <c r="T56" s="240">
        <v>3000000</v>
      </c>
      <c r="U56" s="240">
        <v>23735620.464600001</v>
      </c>
      <c r="V56" s="241">
        <f t="shared" si="26"/>
        <v>2397920673.5879993</v>
      </c>
      <c r="X56" s="38">
        <v>44350</v>
      </c>
      <c r="Y56" s="240">
        <v>3000000</v>
      </c>
      <c r="Z56" s="240">
        <v>23467680.145800002</v>
      </c>
      <c r="AA56" s="241">
        <f t="shared" si="27"/>
        <v>2316634498.2066002</v>
      </c>
      <c r="AC56" s="38">
        <v>44714</v>
      </c>
      <c r="AD56" s="50">
        <v>4000000</v>
      </c>
      <c r="AE56" s="50">
        <v>26827184.089200001</v>
      </c>
      <c r="AF56" s="241">
        <f t="shared" si="28"/>
        <v>3056545442.5044003</v>
      </c>
      <c r="AG56" s="241"/>
      <c r="AH56" s="38">
        <v>45085</v>
      </c>
      <c r="AI56" s="50">
        <v>40000000</v>
      </c>
      <c r="AJ56" s="50">
        <v>76005627.388296828</v>
      </c>
      <c r="AK56" s="241">
        <f t="shared" si="29"/>
        <v>2762558686.5996037</v>
      </c>
      <c r="AM56" s="32">
        <v>49</v>
      </c>
      <c r="AN56" s="39">
        <f t="shared" si="0"/>
        <v>1.1596527478029997</v>
      </c>
      <c r="AO56" s="39">
        <f t="shared" si="1"/>
        <v>2.0838859483926004</v>
      </c>
      <c r="AP56" s="39">
        <f t="shared" si="2"/>
        <v>2.3979206735879992</v>
      </c>
      <c r="AQ56" s="39">
        <f t="shared" si="3"/>
        <v>2.3166344982066001</v>
      </c>
      <c r="AR56" s="39">
        <f t="shared" si="30"/>
        <v>3.0565454425044001</v>
      </c>
      <c r="AS56" s="39">
        <f t="shared" si="31"/>
        <v>2.7625586865996037</v>
      </c>
      <c r="AT56" s="39"/>
      <c r="AU56" s="39">
        <f t="shared" si="32"/>
        <v>2.5410468809968085</v>
      </c>
      <c r="AV56" s="9">
        <f t="shared" si="136"/>
        <v>2.6837529340182003</v>
      </c>
      <c r="AW56" s="9">
        <f t="shared" si="136"/>
        <v>2.6837529340182003</v>
      </c>
      <c r="AX56" s="9">
        <f t="shared" si="136"/>
        <v>2.6837529340182003</v>
      </c>
      <c r="AY56" s="74"/>
      <c r="AZ56" s="74"/>
      <c r="BA56" s="74"/>
      <c r="BB56" s="74"/>
      <c r="BC56" s="74"/>
      <c r="BD56" s="74"/>
      <c r="BF56" s="72"/>
      <c r="BG56" s="73"/>
      <c r="CA56" s="64" t="s">
        <v>30</v>
      </c>
      <c r="CB56" s="10">
        <v>3</v>
      </c>
      <c r="CC56" s="10">
        <v>10</v>
      </c>
      <c r="CD56" s="63">
        <f t="shared" ref="CD56:CD66" si="140">CB$55*CB56+CC$55*CC56</f>
        <v>4.4807692307692308</v>
      </c>
      <c r="CT56" s="41">
        <f t="shared" si="33"/>
        <v>45085</v>
      </c>
      <c r="CU56" s="9">
        <f t="shared" si="34"/>
        <v>2.7625586865996037</v>
      </c>
      <c r="CV56" s="9">
        <f t="shared" si="99"/>
        <v>1.8592383046276542</v>
      </c>
      <c r="CW56" s="9">
        <f t="shared" si="99"/>
        <v>2.2263793628869517</v>
      </c>
      <c r="CX56" s="9">
        <f t="shared" si="99"/>
        <v>2.372424123574882</v>
      </c>
      <c r="CY56" s="9">
        <f t="shared" si="99"/>
        <v>2.4745983573092412</v>
      </c>
      <c r="CZ56" s="9">
        <f t="shared" si="99"/>
        <v>2.6807230662251746</v>
      </c>
      <c r="DA56" s="9">
        <f t="shared" si="99"/>
        <v>2.950275734728371</v>
      </c>
      <c r="DB56" s="9">
        <f t="shared" si="99"/>
        <v>3.2453941435441718</v>
      </c>
      <c r="DC56" s="9">
        <f t="shared" si="99"/>
        <v>3.5581273191143401</v>
      </c>
      <c r="DD56" s="9">
        <f t="shared" si="99"/>
        <v>3.7452881933363416</v>
      </c>
      <c r="DE56" s="9">
        <f t="shared" si="99"/>
        <v>4.1517032852999876</v>
      </c>
      <c r="DF56" s="9">
        <f t="shared" si="99"/>
        <v>5.0412384382634725</v>
      </c>
      <c r="DG56" s="32"/>
      <c r="DH56" s="32"/>
      <c r="DR56" s="41">
        <v>45449</v>
      </c>
      <c r="DS56" s="9">
        <v>3.822214695</v>
      </c>
      <c r="DT56" s="9">
        <f t="shared" si="100"/>
        <v>2.0055908540955736</v>
      </c>
      <c r="DU56" s="9">
        <f t="shared" si="100"/>
        <v>2.3693780691503252</v>
      </c>
      <c r="DV56" s="9">
        <f t="shared" si="100"/>
        <v>2.562732377107972</v>
      </c>
      <c r="DW56" s="9">
        <f t="shared" si="100"/>
        <v>2.6806646670835361</v>
      </c>
      <c r="DX56" s="9">
        <f t="shared" si="100"/>
        <v>2.9095196651392543</v>
      </c>
      <c r="DY56" s="9">
        <f t="shared" si="100"/>
        <v>3.1974122352313294</v>
      </c>
      <c r="DZ56" s="9">
        <f t="shared" si="100"/>
        <v>3.5228091923764531</v>
      </c>
      <c r="EA56" s="9">
        <f t="shared" si="100"/>
        <v>3.8688894140108565</v>
      </c>
      <c r="EB56" s="9">
        <f t="shared" si="100"/>
        <v>4.0782427873134832</v>
      </c>
      <c r="EC56" s="9">
        <f t="shared" si="100"/>
        <v>4.4842182073400592</v>
      </c>
      <c r="ED56" s="9">
        <f t="shared" si="100"/>
        <v>5.7471581001578782</v>
      </c>
      <c r="EE56" s="32"/>
      <c r="EF56" s="32"/>
      <c r="EQ56" s="41"/>
      <c r="ER56" s="9"/>
      <c r="ES56" s="9"/>
      <c r="ET56" s="9"/>
      <c r="EU56" s="9"/>
      <c r="EV56" s="9"/>
      <c r="EW56" s="9"/>
      <c r="EX56" s="9"/>
      <c r="EY56" s="9"/>
      <c r="EZ56" s="9"/>
      <c r="FA56" s="9"/>
      <c r="FB56" s="9"/>
      <c r="FC56" s="9"/>
      <c r="FD56" s="32"/>
      <c r="FE56" s="32"/>
      <c r="FF56" s="32"/>
      <c r="FG56" s="32"/>
      <c r="FH56" s="32"/>
      <c r="FI56" s="32"/>
      <c r="FJ56" s="32"/>
      <c r="FK56" s="32"/>
      <c r="FL56" s="41"/>
      <c r="FM56" s="9"/>
      <c r="FN56" s="9"/>
      <c r="FO56" s="9"/>
      <c r="FP56" s="9"/>
      <c r="FQ56" s="9"/>
      <c r="FR56" s="9"/>
      <c r="FS56" s="9"/>
      <c r="FT56" s="9"/>
      <c r="FU56" s="9"/>
      <c r="FV56" s="9"/>
      <c r="FW56" s="9"/>
      <c r="FX56" s="9"/>
      <c r="FY56" s="32"/>
      <c r="FZ56" s="32"/>
      <c r="GA56" s="32"/>
      <c r="GB56" s="32"/>
      <c r="GC56" s="41">
        <v>45813</v>
      </c>
      <c r="GD56" s="9">
        <v>2.6828343093992353</v>
      </c>
      <c r="GE56" s="9">
        <f t="shared" si="101"/>
        <v>2.3407907722009278</v>
      </c>
      <c r="GF56" s="9">
        <f t="shared" si="101"/>
        <v>2.5586469616469576</v>
      </c>
      <c r="GG56" s="9">
        <f t="shared" si="101"/>
        <v>2.7417998241359958</v>
      </c>
      <c r="GH56" s="9">
        <f t="shared" si="101"/>
        <v>2.8623864986311789</v>
      </c>
      <c r="GI56" s="9">
        <f t="shared" si="101"/>
        <v>3.0889646974914062</v>
      </c>
      <c r="GJ56" s="9">
        <f t="shared" si="101"/>
        <v>3.3738176531995596</v>
      </c>
      <c r="GK56" s="9">
        <f t="shared" si="101"/>
        <v>3.713030141921815</v>
      </c>
      <c r="GL56" s="9">
        <f t="shared" si="101"/>
        <v>4.061113210468859</v>
      </c>
      <c r="GM56" s="9">
        <f t="shared" si="101"/>
        <v>4.2780913377641525</v>
      </c>
      <c r="GN56" s="9">
        <f t="shared" si="101"/>
        <v>4.7159606105883007</v>
      </c>
      <c r="GO56" s="9">
        <f t="shared" si="101"/>
        <v>5.9366419610210936</v>
      </c>
      <c r="GP56" s="32"/>
      <c r="GQ56" s="32"/>
      <c r="HA56" s="253">
        <v>0.9</v>
      </c>
      <c r="HB56" s="250">
        <v>0.80229304108884858</v>
      </c>
      <c r="HC56" s="251"/>
      <c r="HD56" s="251">
        <v>1.4747406078510605</v>
      </c>
      <c r="HE56" s="251" t="s">
        <v>297</v>
      </c>
      <c r="HF56" s="250">
        <v>2.0641957619539149</v>
      </c>
      <c r="HG56" s="9"/>
      <c r="HH56" s="9">
        <f t="shared" si="121"/>
        <v>0.35234131979664085</v>
      </c>
      <c r="HI56" s="9">
        <f t="shared" si="122"/>
        <v>0.72730145908547505</v>
      </c>
      <c r="HJ56" s="9">
        <f t="shared" si="123"/>
        <v>1.3368943028684399</v>
      </c>
      <c r="HK56" s="9">
        <f t="shared" si="124"/>
        <v>2.0641957619539149</v>
      </c>
      <c r="HL56" s="9"/>
      <c r="HM56" s="9">
        <f t="shared" si="125"/>
        <v>7.2730145908547511E-2</v>
      </c>
      <c r="HN56" s="9">
        <f t="shared" si="125"/>
        <v>8.3555893929277494E-2</v>
      </c>
      <c r="HO56" s="9"/>
      <c r="HP56" s="9">
        <f t="shared" si="126"/>
        <v>8.0229304108884861E-2</v>
      </c>
      <c r="HQ56" s="9">
        <f t="shared" si="127"/>
        <v>7.8868920054066649E-2</v>
      </c>
      <c r="HR56" s="9"/>
      <c r="HS56" s="32"/>
      <c r="HT56" s="32"/>
      <c r="HU56" s="32"/>
      <c r="HV56" s="253">
        <v>0.9</v>
      </c>
      <c r="HW56" s="250">
        <v>0.80229304108884858</v>
      </c>
      <c r="HX56" s="251">
        <v>1.4747406078510605</v>
      </c>
      <c r="HY56" s="251" t="s">
        <v>297</v>
      </c>
      <c r="HZ56" s="250">
        <v>2.0641957619539149</v>
      </c>
      <c r="IA56" s="9"/>
      <c r="IB56" s="9">
        <f t="shared" si="128"/>
        <v>0.35234131979664085</v>
      </c>
      <c r="IC56" s="9">
        <f t="shared" si="129"/>
        <v>0.72730145908547505</v>
      </c>
      <c r="ID56" s="9">
        <f t="shared" si="130"/>
        <v>1.3368943028684399</v>
      </c>
      <c r="IE56" s="9">
        <f t="shared" si="131"/>
        <v>2.0641957619539149</v>
      </c>
      <c r="IF56" s="9"/>
      <c r="IG56" s="9">
        <f t="shared" si="132"/>
        <v>7.2730145908547511E-2</v>
      </c>
      <c r="IH56" s="9">
        <f t="shared" si="132"/>
        <v>8.3555893929277494E-2</v>
      </c>
      <c r="II56" s="9"/>
      <c r="IJ56" s="9">
        <f t="shared" si="133"/>
        <v>8.0229304108884861E-2</v>
      </c>
      <c r="IK56" s="9">
        <f t="shared" si="134"/>
        <v>7.8868920054066649E-2</v>
      </c>
      <c r="IL56" s="9"/>
      <c r="IM56" s="32"/>
      <c r="IN56" s="32"/>
      <c r="IO56" s="32"/>
      <c r="IZ56" s="41">
        <f t="shared" si="138"/>
        <v>45085</v>
      </c>
      <c r="JA56" s="9"/>
      <c r="JB56" s="9">
        <f t="shared" si="139"/>
        <v>2.6953842308010021</v>
      </c>
      <c r="JC56" s="9">
        <f t="shared" si="139"/>
        <v>2.7133236265802516</v>
      </c>
      <c r="JD56" s="9">
        <f t="shared" si="139"/>
        <v>2.7345685672120021</v>
      </c>
      <c r="JE56" s="9">
        <f t="shared" si="139"/>
        <v>2.7494673978033344</v>
      </c>
      <c r="JF56" s="9">
        <f t="shared" si="139"/>
        <v>2.7742976328575017</v>
      </c>
      <c r="JG56" s="9">
        <f t="shared" si="139"/>
        <v>2.814307393435834</v>
      </c>
      <c r="JH56" s="9">
        <f t="shared" si="139"/>
        <v>2.8752813997130842</v>
      </c>
      <c r="JI56" s="9">
        <f t="shared" si="139"/>
        <v>2.990317919593418</v>
      </c>
      <c r="JJ56" s="9">
        <f t="shared" si="139"/>
        <v>3.029502256004418</v>
      </c>
      <c r="JK56" s="9">
        <f t="shared" si="139"/>
        <v>3.1900072971893065</v>
      </c>
      <c r="JL56" s="9">
        <f t="shared" si="139"/>
        <v>3.800405653402251</v>
      </c>
      <c r="JM56" s="9">
        <f t="shared" si="139"/>
        <v>2.5430290760305017</v>
      </c>
      <c r="JX56" s="41">
        <v>45085</v>
      </c>
      <c r="JY56" s="9"/>
      <c r="JZ56" s="9">
        <f t="shared" si="102"/>
        <v>3.3668341044027046</v>
      </c>
      <c r="KA56" s="9">
        <f t="shared" si="102"/>
        <v>2.9266002923313215</v>
      </c>
      <c r="KB56" s="9"/>
      <c r="KM56" s="41"/>
      <c r="KN56" s="241"/>
      <c r="KO56" s="241"/>
      <c r="KQ56" s="41"/>
      <c r="KR56" s="241"/>
      <c r="KS56" s="241"/>
      <c r="KU56" s="41"/>
      <c r="KV56" s="241"/>
      <c r="KW56" s="241"/>
      <c r="KY56" s="41"/>
      <c r="KZ56" s="241"/>
      <c r="LA56" s="241"/>
      <c r="LC56" s="41"/>
      <c r="LD56" s="241"/>
      <c r="LE56" s="241"/>
      <c r="LK56" s="41"/>
      <c r="LL56" s="241"/>
      <c r="LM56" s="241"/>
      <c r="LU56" s="75"/>
      <c r="MA56" s="32"/>
      <c r="MB56" s="32"/>
      <c r="MC56" s="32"/>
      <c r="MD56" s="32"/>
      <c r="ME56" s="32"/>
      <c r="MF56" s="32"/>
      <c r="MG56" s="32"/>
      <c r="MH56" s="39"/>
      <c r="MI56" s="39"/>
      <c r="MJ56" s="39"/>
      <c r="MK56" s="39"/>
      <c r="ML56" s="9"/>
      <c r="MM56" s="9"/>
      <c r="MN56" s="9"/>
      <c r="MO56" s="74"/>
      <c r="MP56" s="74"/>
      <c r="MQ56" s="74"/>
      <c r="MR56" s="74"/>
      <c r="MS56" s="74"/>
      <c r="MT56" s="74"/>
      <c r="MV56" s="72"/>
      <c r="MW56" s="77" t="s">
        <v>108</v>
      </c>
    </row>
    <row r="57" spans="2:372" x14ac:dyDescent="0.25">
      <c r="B57" s="48">
        <v>43083</v>
      </c>
      <c r="C57" s="49">
        <v>18074807.107499998</v>
      </c>
      <c r="D57" s="49">
        <v>19455150</v>
      </c>
      <c r="E57" s="50">
        <v>10000000</v>
      </c>
      <c r="F57" s="50"/>
      <c r="G57" s="50"/>
      <c r="H57" s="50"/>
      <c r="I57" s="38">
        <v>43265</v>
      </c>
      <c r="J57" s="240">
        <v>3000000</v>
      </c>
      <c r="K57" s="240">
        <v>14225635.241400002</v>
      </c>
      <c r="L57" s="241">
        <f t="shared" si="24"/>
        <v>1173878383.0443997</v>
      </c>
      <c r="N57" s="38">
        <v>43629</v>
      </c>
      <c r="O57" s="240">
        <v>20000000</v>
      </c>
      <c r="P57" s="240">
        <v>27864940.032600004</v>
      </c>
      <c r="Q57" s="241">
        <f t="shared" si="25"/>
        <v>2111750888.4252002</v>
      </c>
      <c r="S57" s="38">
        <v>43993</v>
      </c>
      <c r="T57" s="240">
        <v>8000000</v>
      </c>
      <c r="U57" s="240">
        <v>30790234.411200002</v>
      </c>
      <c r="V57" s="241">
        <f t="shared" si="26"/>
        <v>2428710907.9991994</v>
      </c>
      <c r="X57" s="38">
        <v>44357</v>
      </c>
      <c r="Y57" s="240">
        <v>8000000</v>
      </c>
      <c r="Z57" s="240">
        <v>27519536.748</v>
      </c>
      <c r="AA57" s="241">
        <f t="shared" si="27"/>
        <v>2344154034.9546003</v>
      </c>
      <c r="AC57" s="38">
        <v>44721</v>
      </c>
      <c r="AD57" s="50">
        <v>8000000</v>
      </c>
      <c r="AE57" s="50">
        <v>33356167.356600001</v>
      </c>
      <c r="AF57" s="241">
        <f t="shared" si="28"/>
        <v>3089901609.8610001</v>
      </c>
      <c r="AG57" s="241"/>
      <c r="AH57" s="38">
        <v>45092</v>
      </c>
      <c r="AI57" s="50">
        <v>60000000</v>
      </c>
      <c r="AJ57" s="50">
        <v>118226874.17077476</v>
      </c>
      <c r="AK57" s="241">
        <f t="shared" si="29"/>
        <v>2880785560.7703786</v>
      </c>
      <c r="AM57" s="32">
        <v>50</v>
      </c>
      <c r="AN57" s="39">
        <f t="shared" si="0"/>
        <v>1.1738783830443997</v>
      </c>
      <c r="AO57" s="39">
        <f t="shared" si="1"/>
        <v>2.1117508884252003</v>
      </c>
      <c r="AP57" s="39">
        <f t="shared" si="2"/>
        <v>2.4287109079991995</v>
      </c>
      <c r="AQ57" s="39">
        <f t="shared" si="3"/>
        <v>2.3441540349546002</v>
      </c>
      <c r="AR57" s="39">
        <f t="shared" si="30"/>
        <v>3.0899016098610002</v>
      </c>
      <c r="AS57" s="39">
        <f t="shared" si="31"/>
        <v>2.8807855607703785</v>
      </c>
      <c r="AT57" s="39"/>
      <c r="AU57" s="39">
        <f t="shared" si="32"/>
        <v>2.5939853576842422</v>
      </c>
      <c r="AV57" s="9">
        <f t="shared" si="136"/>
        <v>2.6837529340182003</v>
      </c>
      <c r="AW57" s="9">
        <f t="shared" si="136"/>
        <v>2.6837529340182003</v>
      </c>
      <c r="AX57" s="9">
        <f t="shared" si="136"/>
        <v>2.6837529340182003</v>
      </c>
      <c r="AY57" s="74"/>
      <c r="AZ57" s="74"/>
      <c r="BA57" s="74"/>
      <c r="BB57" s="74"/>
      <c r="BC57" s="74"/>
      <c r="BD57" s="74"/>
      <c r="BF57" s="72"/>
      <c r="BG57" s="77" t="s">
        <v>108</v>
      </c>
      <c r="CA57" s="62" t="s">
        <v>31</v>
      </c>
      <c r="CB57" s="10">
        <v>8</v>
      </c>
      <c r="CC57" s="10">
        <v>15</v>
      </c>
      <c r="CD57" s="63">
        <f t="shared" si="140"/>
        <v>9.4807692307692299</v>
      </c>
      <c r="CT57" s="41">
        <f t="shared" si="33"/>
        <v>45092</v>
      </c>
      <c r="CU57" s="9">
        <f t="shared" si="34"/>
        <v>2.8807855607703785</v>
      </c>
      <c r="CV57" s="9">
        <f t="shared" ref="CV57:DF59" si="141">CV56+CV$2</f>
        <v>1.8971819434976063</v>
      </c>
      <c r="CW57" s="9">
        <f t="shared" si="141"/>
        <v>2.2718156764152568</v>
      </c>
      <c r="CX57" s="9">
        <f t="shared" si="141"/>
        <v>2.4208409424233488</v>
      </c>
      <c r="CY57" s="9">
        <f t="shared" si="141"/>
        <v>2.5251003646012666</v>
      </c>
      <c r="CZ57" s="9">
        <f t="shared" si="141"/>
        <v>2.7354317002297699</v>
      </c>
      <c r="DA57" s="9">
        <f t="shared" si="141"/>
        <v>3.0104854436003787</v>
      </c>
      <c r="DB57" s="9">
        <f t="shared" si="141"/>
        <v>3.3116266770858895</v>
      </c>
      <c r="DC57" s="9">
        <f t="shared" si="141"/>
        <v>3.6307421623615714</v>
      </c>
      <c r="DD57" s="9">
        <f t="shared" si="141"/>
        <v>3.821722646261573</v>
      </c>
      <c r="DE57" s="9">
        <f t="shared" si="141"/>
        <v>4.2364319237754975</v>
      </c>
      <c r="DF57" s="9">
        <f t="shared" si="141"/>
        <v>5.1441208553708906</v>
      </c>
      <c r="DG57" s="32"/>
      <c r="DH57" s="32"/>
      <c r="DR57" s="41">
        <v>45456</v>
      </c>
      <c r="DS57" s="9">
        <v>3.8776135549999999</v>
      </c>
      <c r="DT57" s="9">
        <f t="shared" ref="DT57:ED59" si="142">DT56+DT$2</f>
        <v>2.0465212796893608</v>
      </c>
      <c r="DU57" s="9">
        <f t="shared" si="142"/>
        <v>2.4177327236227808</v>
      </c>
      <c r="DV57" s="9">
        <f t="shared" si="142"/>
        <v>2.6150330378652775</v>
      </c>
      <c r="DW57" s="9">
        <f t="shared" si="142"/>
        <v>2.7353721092689143</v>
      </c>
      <c r="DX57" s="9">
        <f t="shared" si="142"/>
        <v>2.9688976174890351</v>
      </c>
      <c r="DY57" s="9">
        <f t="shared" si="142"/>
        <v>3.2626655461544178</v>
      </c>
      <c r="DZ57" s="9">
        <f t="shared" si="142"/>
        <v>3.594703257526993</v>
      </c>
      <c r="EA57" s="9">
        <f t="shared" si="142"/>
        <v>3.9478463408274047</v>
      </c>
      <c r="EB57" s="9">
        <f t="shared" si="142"/>
        <v>4.1614722319525335</v>
      </c>
      <c r="EC57" s="9">
        <f t="shared" si="142"/>
        <v>4.5757328646327133</v>
      </c>
      <c r="ED57" s="9">
        <f t="shared" si="142"/>
        <v>5.864447040977427</v>
      </c>
      <c r="EE57" s="32"/>
      <c r="EF57" s="32"/>
      <c r="EQ57" s="41"/>
      <c r="ER57" s="9"/>
      <c r="ES57" s="9"/>
      <c r="ET57" s="9"/>
      <c r="EU57" s="9"/>
      <c r="EV57" s="9"/>
      <c r="EW57" s="9"/>
      <c r="EX57" s="9"/>
      <c r="EY57" s="9"/>
      <c r="EZ57" s="9"/>
      <c r="FA57" s="9"/>
      <c r="FB57" s="9"/>
      <c r="FC57" s="9"/>
      <c r="FD57" s="32"/>
      <c r="FE57" s="32"/>
      <c r="FF57" s="32"/>
      <c r="FG57" s="32"/>
      <c r="FH57" s="32"/>
      <c r="FI57" s="32"/>
      <c r="FJ57" s="32"/>
      <c r="FK57" s="32"/>
      <c r="FL57" s="41"/>
      <c r="FM57" s="9"/>
      <c r="FN57" s="9"/>
      <c r="FO57" s="9"/>
      <c r="FP57" s="9"/>
      <c r="FQ57" s="9"/>
      <c r="FR57" s="9"/>
      <c r="FS57" s="9"/>
      <c r="FT57" s="9"/>
      <c r="FU57" s="9"/>
      <c r="FV57" s="9"/>
      <c r="FW57" s="9"/>
      <c r="FX57" s="9"/>
      <c r="FY57" s="32"/>
      <c r="FZ57" s="32"/>
      <c r="GA57" s="32"/>
      <c r="GB57" s="32"/>
      <c r="GC57" s="41">
        <v>45820</v>
      </c>
      <c r="GD57" s="9">
        <v>2.8650114347354516</v>
      </c>
      <c r="GE57" s="9">
        <f t="shared" ref="GE57:GO59" si="143">GE56+GE$2</f>
        <v>2.3885620124499263</v>
      </c>
      <c r="GF57" s="9">
        <f t="shared" si="143"/>
        <v>2.6108642465785281</v>
      </c>
      <c r="GG57" s="9">
        <f t="shared" si="143"/>
        <v>2.7977549225877509</v>
      </c>
      <c r="GH57" s="9">
        <f t="shared" si="143"/>
        <v>2.920802549623652</v>
      </c>
      <c r="GI57" s="9">
        <f t="shared" si="143"/>
        <v>3.1520047933585777</v>
      </c>
      <c r="GJ57" s="9">
        <f t="shared" si="143"/>
        <v>3.4426710746934281</v>
      </c>
      <c r="GK57" s="9">
        <f t="shared" si="143"/>
        <v>3.7888062672671583</v>
      </c>
      <c r="GL57" s="9">
        <f t="shared" si="143"/>
        <v>4.1439930719069986</v>
      </c>
      <c r="GM57" s="9">
        <f t="shared" si="143"/>
        <v>4.3653993242491351</v>
      </c>
      <c r="GN57" s="9">
        <f t="shared" si="143"/>
        <v>4.8122047046819398</v>
      </c>
      <c r="GO57" s="9">
        <f t="shared" si="143"/>
        <v>6.0577979194092793</v>
      </c>
      <c r="GP57" s="32"/>
      <c r="GQ57" s="32"/>
      <c r="HA57" s="253">
        <v>0.95</v>
      </c>
      <c r="HB57" s="250">
        <v>0.82625859122852574</v>
      </c>
      <c r="HC57" s="251"/>
      <c r="HD57" s="251">
        <v>1.6427881133331805</v>
      </c>
      <c r="HE57" s="251" t="s">
        <v>297</v>
      </c>
      <c r="HF57" s="250">
        <v>2.2364671616931293</v>
      </c>
      <c r="HG57" s="9"/>
      <c r="HH57" s="9">
        <f t="shared" si="121"/>
        <v>0.33464680506122679</v>
      </c>
      <c r="HI57" s="9">
        <f t="shared" si="122"/>
        <v>0.74842659028495584</v>
      </c>
      <c r="HJ57" s="9">
        <f t="shared" si="123"/>
        <v>1.4880405714081735</v>
      </c>
      <c r="HK57" s="9">
        <f t="shared" si="124"/>
        <v>2.2364671616931293</v>
      </c>
      <c r="HL57" s="9"/>
      <c r="HM57" s="9">
        <f t="shared" si="125"/>
        <v>7.4842659028495587E-2</v>
      </c>
      <c r="HN57" s="9">
        <f t="shared" si="125"/>
        <v>9.3002535713010842E-2</v>
      </c>
      <c r="HO57" s="9"/>
      <c r="HP57" s="9">
        <f t="shared" si="126"/>
        <v>8.2625859122852571E-2</v>
      </c>
      <c r="HQ57" s="9">
        <f t="shared" si="127"/>
        <v>8.8138035654037716E-2</v>
      </c>
      <c r="HR57" s="9"/>
      <c r="HS57" s="32"/>
      <c r="HT57" s="32"/>
      <c r="HU57" s="32"/>
      <c r="HV57" s="253">
        <v>0.95</v>
      </c>
      <c r="HW57" s="250">
        <v>0.82625859122852574</v>
      </c>
      <c r="HX57" s="251">
        <v>1.6427881133331805</v>
      </c>
      <c r="HY57" s="251" t="s">
        <v>297</v>
      </c>
      <c r="HZ57" s="250">
        <v>2.2364671616931293</v>
      </c>
      <c r="IA57" s="9"/>
      <c r="IB57" s="9">
        <f t="shared" si="128"/>
        <v>0.33464680506122679</v>
      </c>
      <c r="IC57" s="9">
        <f t="shared" si="129"/>
        <v>0.74842659028495584</v>
      </c>
      <c r="ID57" s="9">
        <f t="shared" si="130"/>
        <v>1.4880405714081735</v>
      </c>
      <c r="IE57" s="9">
        <f t="shared" si="131"/>
        <v>2.2364671616931293</v>
      </c>
      <c r="IF57" s="9"/>
      <c r="IG57" s="9">
        <f t="shared" si="132"/>
        <v>7.4842659028495587E-2</v>
      </c>
      <c r="IH57" s="9">
        <f t="shared" si="132"/>
        <v>9.3002535713010842E-2</v>
      </c>
      <c r="II57" s="9"/>
      <c r="IJ57" s="9">
        <f t="shared" si="133"/>
        <v>8.2625859122852571E-2</v>
      </c>
      <c r="IK57" s="9">
        <f t="shared" si="134"/>
        <v>8.8138035654037716E-2</v>
      </c>
      <c r="IL57" s="9"/>
      <c r="IM57" s="32"/>
      <c r="IN57" s="32"/>
      <c r="IO57" s="32"/>
      <c r="IZ57" s="41">
        <f t="shared" si="138"/>
        <v>45092</v>
      </c>
      <c r="JA57" s="9"/>
      <c r="JB57" s="9">
        <f t="shared" si="139"/>
        <v>2.7258552617551022</v>
      </c>
      <c r="JC57" s="9">
        <f t="shared" si="139"/>
        <v>2.7473825366902016</v>
      </c>
      <c r="JD57" s="9">
        <f t="shared" si="139"/>
        <v>2.7728764654483022</v>
      </c>
      <c r="JE57" s="9">
        <f t="shared" si="139"/>
        <v>2.7907550621579009</v>
      </c>
      <c r="JF57" s="9">
        <f t="shared" si="139"/>
        <v>2.8205513442229018</v>
      </c>
      <c r="JG57" s="9">
        <f t="shared" si="139"/>
        <v>2.8685630569169005</v>
      </c>
      <c r="JH57" s="9">
        <f t="shared" si="139"/>
        <v>2.9417318644496007</v>
      </c>
      <c r="JI57" s="9">
        <f t="shared" si="139"/>
        <v>3.0797756883060012</v>
      </c>
      <c r="JJ57" s="9">
        <f t="shared" si="139"/>
        <v>3.1267968919992013</v>
      </c>
      <c r="JK57" s="9">
        <f t="shared" si="139"/>
        <v>3.3194029414210675</v>
      </c>
      <c r="JL57" s="9">
        <f t="shared" si="139"/>
        <v>4.0518809688766009</v>
      </c>
      <c r="JM57" s="9">
        <f t="shared" si="139"/>
        <v>2.5430290760305017</v>
      </c>
      <c r="JX57" s="41">
        <v>45092</v>
      </c>
      <c r="JY57" s="9"/>
      <c r="JZ57" s="9">
        <f t="shared" ref="JZ57:KA59" si="144">JZ56+JZ$2</f>
        <v>3.4344035368131891</v>
      </c>
      <c r="KA57" s="9">
        <f t="shared" si="144"/>
        <v>2.9804124181145752</v>
      </c>
      <c r="KB57" s="9"/>
      <c r="KC57" s="80">
        <f>JZ59/KA59-1</f>
        <v>0.15592617039835965</v>
      </c>
      <c r="KM57" s="41"/>
      <c r="KN57" s="241"/>
      <c r="KO57" s="241"/>
      <c r="KQ57" s="41"/>
      <c r="KR57" s="241"/>
      <c r="KS57" s="241"/>
      <c r="KU57" s="41"/>
      <c r="KV57" s="241"/>
      <c r="KW57" s="241"/>
      <c r="KY57" s="41"/>
      <c r="KZ57" s="241"/>
      <c r="LA57" s="241"/>
      <c r="LC57" s="41"/>
      <c r="LD57" s="241"/>
      <c r="LE57" s="241"/>
      <c r="LK57" s="41"/>
      <c r="LL57" s="241"/>
      <c r="LM57" s="241"/>
      <c r="LU57" s="75"/>
      <c r="MA57" s="32"/>
      <c r="MB57" s="32"/>
      <c r="MC57" s="32"/>
      <c r="MD57" s="32"/>
      <c r="ME57" s="32"/>
      <c r="MF57" s="32"/>
      <c r="MG57" s="32"/>
      <c r="MH57" s="39"/>
      <c r="MI57" s="39"/>
      <c r="MJ57" s="39"/>
      <c r="MK57" s="39"/>
      <c r="ML57" s="9"/>
      <c r="MM57" s="9"/>
      <c r="MN57" s="9"/>
      <c r="MO57" s="74"/>
      <c r="MP57" s="74"/>
      <c r="MQ57" s="74"/>
      <c r="MR57" s="74"/>
      <c r="MS57" s="74"/>
      <c r="MT57" s="74"/>
      <c r="MV57" s="72"/>
      <c r="MW57" s="78">
        <v>-3</v>
      </c>
      <c r="MX57" s="63">
        <f t="shared" ref="MX57:NH57" si="145">MX48</f>
        <v>0.25100030617158031</v>
      </c>
      <c r="MY57" s="63">
        <f t="shared" si="145"/>
        <v>0.34679646755118992</v>
      </c>
      <c r="MZ57" s="63">
        <f t="shared" si="145"/>
        <v>0.29845076511058954</v>
      </c>
      <c r="NA57" s="63">
        <f t="shared" si="145"/>
        <v>0.28345958151100703</v>
      </c>
      <c r="NB57" s="63">
        <f t="shared" si="145"/>
        <v>0.33279676285047599</v>
      </c>
      <c r="NC57" s="63">
        <f t="shared" si="145"/>
        <v>0.3931579052801496</v>
      </c>
      <c r="ND57" s="63">
        <f t="shared" si="145"/>
        <v>0.72278550382637596</v>
      </c>
      <c r="NE57" s="63">
        <f t="shared" si="145"/>
        <v>0.4824419285362973</v>
      </c>
      <c r="NF57" s="63">
        <f t="shared" si="145"/>
        <v>0.59883113350099171</v>
      </c>
      <c r="NG57" s="63">
        <f t="shared" si="145"/>
        <v>0.54580955536605003</v>
      </c>
      <c r="NH57" s="63">
        <f t="shared" si="145"/>
        <v>0.11630763445644776</v>
      </c>
    </row>
    <row r="58" spans="2:372" x14ac:dyDescent="0.25">
      <c r="B58" s="48">
        <v>43090</v>
      </c>
      <c r="C58" s="49">
        <v>21691097.070499998</v>
      </c>
      <c r="D58" s="49">
        <v>23347610</v>
      </c>
      <c r="E58" s="50">
        <v>16000000</v>
      </c>
      <c r="F58" s="81"/>
      <c r="G58" s="81"/>
      <c r="H58" s="81"/>
      <c r="I58" s="38">
        <v>43272</v>
      </c>
      <c r="J58" s="240">
        <v>3000000</v>
      </c>
      <c r="K58" s="240">
        <v>13241831.625000002</v>
      </c>
      <c r="L58" s="241">
        <f t="shared" si="24"/>
        <v>1187120214.6693997</v>
      </c>
      <c r="N58" s="38">
        <v>43636</v>
      </c>
      <c r="O58" s="240">
        <v>30000000</v>
      </c>
      <c r="P58" s="240">
        <v>35045722.470000006</v>
      </c>
      <c r="Q58" s="241">
        <f t="shared" si="25"/>
        <v>2146796610.8952003</v>
      </c>
      <c r="S58" s="38">
        <v>44000</v>
      </c>
      <c r="T58" s="240">
        <v>15000000</v>
      </c>
      <c r="U58" s="240">
        <v>36809282.248199999</v>
      </c>
      <c r="V58" s="241">
        <f t="shared" si="26"/>
        <v>2465520190.2473993</v>
      </c>
      <c r="X58" s="38">
        <v>44364</v>
      </c>
      <c r="Y58" s="240">
        <v>20000000</v>
      </c>
      <c r="Z58" s="240">
        <v>43025561.706600003</v>
      </c>
      <c r="AA58" s="241">
        <f t="shared" si="27"/>
        <v>2387179596.6612005</v>
      </c>
      <c r="AC58" s="38">
        <v>44728</v>
      </c>
      <c r="AD58" s="50">
        <v>20000000</v>
      </c>
      <c r="AE58" s="50">
        <v>51228090.916200005</v>
      </c>
      <c r="AF58" s="241">
        <f t="shared" si="28"/>
        <v>3141129700.7772002</v>
      </c>
      <c r="AG58" s="241"/>
      <c r="AH58" s="38">
        <v>45099</v>
      </c>
      <c r="AI58" s="50">
        <v>100000000</v>
      </c>
      <c r="AJ58" s="50">
        <v>227943283.26328865</v>
      </c>
      <c r="AK58" s="241">
        <f t="shared" si="29"/>
        <v>3108728844.0336671</v>
      </c>
      <c r="AM58" s="32">
        <v>51</v>
      </c>
      <c r="AN58" s="39">
        <f t="shared" si="0"/>
        <v>1.1871202146693998</v>
      </c>
      <c r="AO58" s="39">
        <f t="shared" si="1"/>
        <v>2.1467966108952004</v>
      </c>
      <c r="AP58" s="39">
        <f t="shared" si="2"/>
        <v>2.4655201902473993</v>
      </c>
      <c r="AQ58" s="39">
        <f t="shared" si="3"/>
        <v>2.3871795966612006</v>
      </c>
      <c r="AR58" s="39">
        <f t="shared" si="30"/>
        <v>3.1411297007772001</v>
      </c>
      <c r="AS58" s="39">
        <f t="shared" si="31"/>
        <v>3.1087288440336671</v>
      </c>
      <c r="AT58" s="39"/>
      <c r="AU58" s="39">
        <f t="shared" si="32"/>
        <v>2.6469238343716759</v>
      </c>
      <c r="AV58" s="9">
        <f t="shared" si="136"/>
        <v>2.6837529340182003</v>
      </c>
      <c r="AW58" s="9">
        <f t="shared" si="136"/>
        <v>2.6837529340182003</v>
      </c>
      <c r="AX58" s="9">
        <f t="shared" si="136"/>
        <v>2.6837529340182003</v>
      </c>
      <c r="AY58" s="74"/>
      <c r="AZ58" s="74"/>
      <c r="BA58" s="74"/>
      <c r="BB58" s="74"/>
      <c r="BC58" s="74"/>
      <c r="BD58" s="74"/>
      <c r="BF58" s="72"/>
      <c r="BG58" s="78">
        <v>-3</v>
      </c>
      <c r="BH58" s="63">
        <f t="shared" ref="BH58:BN58" si="146">BH49</f>
        <v>0.76077140862439452</v>
      </c>
      <c r="BI58" s="63">
        <f t="shared" si="146"/>
        <v>0.96211362050042659</v>
      </c>
      <c r="BJ58" s="63">
        <f t="shared" si="146"/>
        <v>1.2154511686147618</v>
      </c>
      <c r="BK58" s="63">
        <f t="shared" si="146"/>
        <v>1.6401934120328179</v>
      </c>
      <c r="BL58" s="63">
        <f t="shared" si="146"/>
        <v>1.7178364500186845</v>
      </c>
      <c r="BM58" s="63">
        <f>BM49</f>
        <v>0</v>
      </c>
      <c r="BN58" s="63">
        <f t="shared" si="146"/>
        <v>1.1702306615156521</v>
      </c>
      <c r="CA58" s="62" t="s">
        <v>32</v>
      </c>
      <c r="CB58" s="10">
        <v>11</v>
      </c>
      <c r="CC58" s="10">
        <v>17</v>
      </c>
      <c r="CD58" s="63">
        <f t="shared" si="140"/>
        <v>12.26923076923077</v>
      </c>
      <c r="CT58" s="41">
        <f t="shared" si="33"/>
        <v>45099</v>
      </c>
      <c r="CU58" s="9">
        <f t="shared" si="34"/>
        <v>3.1087288440336671</v>
      </c>
      <c r="CV58" s="9">
        <f t="shared" si="141"/>
        <v>1.9351255823675584</v>
      </c>
      <c r="CW58" s="9">
        <f t="shared" si="141"/>
        <v>2.317251989943562</v>
      </c>
      <c r="CX58" s="9">
        <f t="shared" si="141"/>
        <v>2.4692577612718156</v>
      </c>
      <c r="CY58" s="9">
        <f t="shared" si="141"/>
        <v>2.5756023718932921</v>
      </c>
      <c r="CZ58" s="9">
        <f t="shared" si="141"/>
        <v>2.7901403342343651</v>
      </c>
      <c r="DA58" s="9">
        <f t="shared" si="141"/>
        <v>3.0706951524723864</v>
      </c>
      <c r="DB58" s="9">
        <f t="shared" si="141"/>
        <v>3.3778592106276073</v>
      </c>
      <c r="DC58" s="9">
        <f t="shared" si="141"/>
        <v>3.7033570056088028</v>
      </c>
      <c r="DD58" s="9">
        <f t="shared" si="141"/>
        <v>3.8981570991868044</v>
      </c>
      <c r="DE58" s="9">
        <f t="shared" si="141"/>
        <v>4.3211605622510074</v>
      </c>
      <c r="DF58" s="9">
        <f t="shared" si="141"/>
        <v>5.2470032724783087</v>
      </c>
      <c r="DG58" s="32"/>
      <c r="DH58" s="32"/>
      <c r="DR58" s="41">
        <v>45463</v>
      </c>
      <c r="DS58" s="9">
        <v>3.951835483</v>
      </c>
      <c r="DT58" s="9">
        <f t="shared" si="142"/>
        <v>2.0874517052831481</v>
      </c>
      <c r="DU58" s="9">
        <f t="shared" si="142"/>
        <v>2.4660873780952364</v>
      </c>
      <c r="DV58" s="9">
        <f t="shared" si="142"/>
        <v>2.6673336986225831</v>
      </c>
      <c r="DW58" s="9">
        <f t="shared" si="142"/>
        <v>2.7900795514542924</v>
      </c>
      <c r="DX58" s="9">
        <f t="shared" si="142"/>
        <v>3.028275569838816</v>
      </c>
      <c r="DY58" s="9">
        <f t="shared" si="142"/>
        <v>3.3279188570775062</v>
      </c>
      <c r="DZ58" s="9">
        <f t="shared" si="142"/>
        <v>3.666597322677533</v>
      </c>
      <c r="EA58" s="9">
        <f t="shared" si="142"/>
        <v>4.0268032676439525</v>
      </c>
      <c r="EB58" s="9">
        <f t="shared" si="142"/>
        <v>4.2447016765915837</v>
      </c>
      <c r="EC58" s="9">
        <f t="shared" si="142"/>
        <v>4.6672475219253675</v>
      </c>
      <c r="ED58" s="9">
        <f t="shared" si="142"/>
        <v>5.9817359817969757</v>
      </c>
      <c r="EE58" s="32"/>
      <c r="EF58" s="32"/>
      <c r="EQ58" s="41"/>
      <c r="ER58" s="9"/>
      <c r="ES58" s="9"/>
      <c r="ET58" s="9"/>
      <c r="EU58" s="9"/>
      <c r="EV58" s="9"/>
      <c r="EW58" s="9"/>
      <c r="EX58" s="9"/>
      <c r="EY58" s="9"/>
      <c r="EZ58" s="9"/>
      <c r="FA58" s="9"/>
      <c r="FB58" s="9"/>
      <c r="FC58" s="9"/>
      <c r="FD58" s="32"/>
      <c r="FE58" s="32"/>
      <c r="FF58" s="32"/>
      <c r="FG58" s="32"/>
      <c r="FH58" s="32"/>
      <c r="FI58" s="32"/>
      <c r="FJ58" s="32"/>
      <c r="FK58" s="32"/>
      <c r="FL58" s="41"/>
      <c r="FM58" s="9"/>
      <c r="FN58" s="9"/>
      <c r="FO58" s="9"/>
      <c r="FP58" s="9"/>
      <c r="FQ58" s="9"/>
      <c r="FR58" s="9"/>
      <c r="FS58" s="9"/>
      <c r="FT58" s="9"/>
      <c r="FU58" s="9"/>
      <c r="FV58" s="9"/>
      <c r="FW58" s="9"/>
      <c r="FX58" s="9"/>
      <c r="FY58" s="32"/>
      <c r="FZ58" s="32"/>
      <c r="GA58" s="32"/>
      <c r="GB58" s="32"/>
      <c r="GC58" s="41">
        <v>45827</v>
      </c>
      <c r="GD58" s="9">
        <v>2.8924600538942782</v>
      </c>
      <c r="GE58" s="9">
        <f t="shared" si="143"/>
        <v>2.4363332526989248</v>
      </c>
      <c r="GF58" s="9">
        <f t="shared" si="143"/>
        <v>2.6630815315100986</v>
      </c>
      <c r="GG58" s="9">
        <f t="shared" si="143"/>
        <v>2.8537100210395061</v>
      </c>
      <c r="GH58" s="9">
        <f t="shared" si="143"/>
        <v>2.9792186006161252</v>
      </c>
      <c r="GI58" s="9">
        <f t="shared" si="143"/>
        <v>3.2150448892257493</v>
      </c>
      <c r="GJ58" s="9">
        <f t="shared" si="143"/>
        <v>3.5115244961872967</v>
      </c>
      <c r="GK58" s="9">
        <f t="shared" si="143"/>
        <v>3.8645823926125016</v>
      </c>
      <c r="GL58" s="9">
        <f t="shared" si="143"/>
        <v>4.2268729333451383</v>
      </c>
      <c r="GM58" s="9">
        <f t="shared" si="143"/>
        <v>4.4527073107341177</v>
      </c>
      <c r="GN58" s="9">
        <f t="shared" si="143"/>
        <v>4.9084487987755789</v>
      </c>
      <c r="GO58" s="9">
        <f t="shared" si="143"/>
        <v>6.1789538777974649</v>
      </c>
      <c r="GP58" s="32"/>
      <c r="GQ58" s="32"/>
      <c r="HA58" s="253">
        <v>0.99</v>
      </c>
      <c r="HB58" s="250">
        <v>1.1053987010615058</v>
      </c>
      <c r="HC58" s="251"/>
      <c r="HD58" s="251">
        <v>1.9683291563535605</v>
      </c>
      <c r="HE58" s="251" t="s">
        <v>297</v>
      </c>
      <c r="HF58" s="250">
        <v>2.6045474353429015</v>
      </c>
      <c r="HG58" s="9"/>
      <c r="HH58" s="9">
        <f t="shared" si="121"/>
        <v>0.35962803225888723</v>
      </c>
      <c r="HI58" s="9">
        <f t="shared" si="122"/>
        <v>0.93666826909729894</v>
      </c>
      <c r="HJ58" s="9">
        <f t="shared" si="123"/>
        <v>1.6678791662456027</v>
      </c>
      <c r="HK58" s="9">
        <f t="shared" si="124"/>
        <v>2.6045474353429015</v>
      </c>
      <c r="HL58" s="9"/>
      <c r="HM58" s="9">
        <f t="shared" si="125"/>
        <v>9.3666826909729897E-2</v>
      </c>
      <c r="HN58" s="9">
        <f t="shared" si="125"/>
        <v>0.10424244789035017</v>
      </c>
      <c r="HO58" s="9"/>
      <c r="HP58" s="9">
        <f t="shared" si="126"/>
        <v>0.11053987010615059</v>
      </c>
      <c r="HQ58" s="9">
        <f t="shared" si="127"/>
        <v>9.3696795892587226E-2</v>
      </c>
      <c r="HR58" s="9"/>
      <c r="HS58" s="32"/>
      <c r="HT58" s="32"/>
      <c r="HU58" s="32"/>
      <c r="HV58" s="253">
        <v>0.99</v>
      </c>
      <c r="HW58" s="250">
        <v>1.1053987010615058</v>
      </c>
      <c r="HX58" s="251">
        <v>1.9683291563535605</v>
      </c>
      <c r="HY58" s="251" t="s">
        <v>297</v>
      </c>
      <c r="HZ58" s="250">
        <v>2.6045474353429015</v>
      </c>
      <c r="IA58" s="9"/>
      <c r="IB58" s="9">
        <f t="shared" si="128"/>
        <v>0.35962803225888723</v>
      </c>
      <c r="IC58" s="9">
        <f t="shared" si="129"/>
        <v>0.93666826909729894</v>
      </c>
      <c r="ID58" s="9">
        <f t="shared" si="130"/>
        <v>1.6678791662456027</v>
      </c>
      <c r="IE58" s="9">
        <f t="shared" si="131"/>
        <v>2.6045474353429015</v>
      </c>
      <c r="IF58" s="9"/>
      <c r="IG58" s="9">
        <f t="shared" si="132"/>
        <v>9.3666826909729897E-2</v>
      </c>
      <c r="IH58" s="9">
        <f t="shared" si="132"/>
        <v>0.10424244789035017</v>
      </c>
      <c r="II58" s="9"/>
      <c r="IJ58" s="9">
        <f t="shared" si="133"/>
        <v>0.11053987010615059</v>
      </c>
      <c r="IK58" s="9">
        <f t="shared" si="134"/>
        <v>9.3696795892587226E-2</v>
      </c>
      <c r="IL58" s="9"/>
      <c r="IM58" s="32"/>
      <c r="IN58" s="32"/>
      <c r="IO58" s="32"/>
      <c r="IZ58" s="41">
        <f t="shared" si="138"/>
        <v>45099</v>
      </c>
      <c r="JA58" s="9"/>
      <c r="JB58" s="9">
        <f t="shared" si="139"/>
        <v>2.7563262927092023</v>
      </c>
      <c r="JC58" s="9">
        <f t="shared" si="139"/>
        <v>2.7814414468001516</v>
      </c>
      <c r="JD58" s="9">
        <f t="shared" si="139"/>
        <v>2.8111843636846023</v>
      </c>
      <c r="JE58" s="9">
        <f t="shared" si="139"/>
        <v>2.8320427265124675</v>
      </c>
      <c r="JF58" s="9">
        <f t="shared" si="139"/>
        <v>2.8668050555883018</v>
      </c>
      <c r="JG58" s="9">
        <f t="shared" si="139"/>
        <v>2.922818720397967</v>
      </c>
      <c r="JH58" s="9">
        <f t="shared" si="139"/>
        <v>3.0081823291861172</v>
      </c>
      <c r="JI58" s="9">
        <f t="shared" si="139"/>
        <v>3.1692334570185845</v>
      </c>
      <c r="JJ58" s="9">
        <f t="shared" si="139"/>
        <v>3.2240915279939846</v>
      </c>
      <c r="JK58" s="9">
        <f t="shared" si="139"/>
        <v>3.4487985856528285</v>
      </c>
      <c r="JL58" s="9">
        <f t="shared" si="139"/>
        <v>4.3033562843509507</v>
      </c>
      <c r="JM58" s="9">
        <f t="shared" si="139"/>
        <v>2.5430290760305017</v>
      </c>
      <c r="JX58" s="41">
        <v>45099</v>
      </c>
      <c r="JY58" s="9"/>
      <c r="JZ58" s="9">
        <f t="shared" si="144"/>
        <v>3.5019729692236736</v>
      </c>
      <c r="KA58" s="9">
        <f t="shared" si="144"/>
        <v>3.034224543897829</v>
      </c>
      <c r="KB58" s="9"/>
      <c r="KM58" s="41"/>
      <c r="KN58" s="241"/>
      <c r="KO58" s="241"/>
      <c r="KQ58" s="41"/>
      <c r="KR58" s="241"/>
      <c r="KS58" s="241"/>
      <c r="KU58" s="41"/>
      <c r="KV58" s="241"/>
      <c r="KW58" s="241"/>
      <c r="KY58" s="41"/>
      <c r="KZ58" s="241"/>
      <c r="LA58" s="241"/>
      <c r="LC58" s="41"/>
      <c r="LD58" s="241"/>
      <c r="LE58" s="241"/>
      <c r="LK58" s="41"/>
      <c r="LL58" s="241"/>
      <c r="LM58" s="241"/>
      <c r="LU58" s="75"/>
      <c r="MA58" s="32"/>
      <c r="MB58" s="32"/>
      <c r="MC58" s="32"/>
      <c r="MD58" s="32"/>
      <c r="ME58" s="32"/>
      <c r="MF58" s="32"/>
      <c r="MG58" s="32"/>
      <c r="MH58" s="39"/>
      <c r="MI58" s="39"/>
      <c r="MJ58" s="39"/>
      <c r="MK58" s="39"/>
      <c r="ML58" s="9"/>
      <c r="MM58" s="9"/>
      <c r="MN58" s="9"/>
      <c r="MO58" s="74"/>
      <c r="MP58" s="74"/>
      <c r="MQ58" s="74"/>
      <c r="MR58" s="74"/>
      <c r="MS58" s="74"/>
      <c r="MT58" s="74"/>
      <c r="MV58" s="72"/>
      <c r="MW58" s="78">
        <v>-2</v>
      </c>
      <c r="MX58" s="63">
        <f t="shared" ref="MX58:NH63" si="147">MX49-MX48</f>
        <v>0.11782480552789676</v>
      </c>
      <c r="MY58" s="63">
        <f t="shared" si="147"/>
        <v>0.14965937932413514</v>
      </c>
      <c r="MZ58" s="63">
        <f t="shared" si="147"/>
        <v>0.2363130978532767</v>
      </c>
      <c r="NA58" s="63">
        <f t="shared" si="147"/>
        <v>0.27693426833019963</v>
      </c>
      <c r="NB58" s="63">
        <f t="shared" si="147"/>
        <v>0.281905339253406</v>
      </c>
      <c r="NC58" s="63">
        <f t="shared" si="147"/>
        <v>0.24086909755987695</v>
      </c>
      <c r="ND58" s="63">
        <f t="shared" si="147"/>
        <v>0.28067875529233599</v>
      </c>
      <c r="NE58" s="63">
        <f t="shared" si="147"/>
        <v>0.255163271395763</v>
      </c>
      <c r="NF58" s="63">
        <f t="shared" si="147"/>
        <v>0.35066359585242446</v>
      </c>
      <c r="NG58" s="63">
        <f t="shared" si="147"/>
        <v>0.33707311939564244</v>
      </c>
      <c r="NH58" s="63">
        <f t="shared" si="147"/>
        <v>0.25252690135428646</v>
      </c>
    </row>
    <row r="59" spans="2:372" x14ac:dyDescent="0.25">
      <c r="B59" s="48">
        <v>43097</v>
      </c>
      <c r="C59" s="49">
        <v>25607943.998999998</v>
      </c>
      <c r="D59" s="49">
        <v>27563580</v>
      </c>
      <c r="E59" s="50">
        <v>27000000</v>
      </c>
      <c r="G59" s="50"/>
      <c r="H59" s="50"/>
      <c r="I59" s="38">
        <v>43279</v>
      </c>
      <c r="J59" s="240">
        <v>8000000</v>
      </c>
      <c r="K59" s="240">
        <v>19883894.692200001</v>
      </c>
      <c r="L59" s="241">
        <f t="shared" si="24"/>
        <v>1207004109.3615997</v>
      </c>
      <c r="N59" s="38">
        <v>43643</v>
      </c>
      <c r="O59" s="240">
        <v>40000000</v>
      </c>
      <c r="P59" s="240">
        <v>48100839.309600003</v>
      </c>
      <c r="Q59" s="241">
        <f t="shared" si="25"/>
        <v>2194897450.2048001</v>
      </c>
      <c r="S59" s="38">
        <v>44007</v>
      </c>
      <c r="T59" s="240">
        <v>30000000</v>
      </c>
      <c r="U59" s="240">
        <v>58368708.420000002</v>
      </c>
      <c r="V59" s="241">
        <f t="shared" si="26"/>
        <v>2523888898.6673994</v>
      </c>
      <c r="X59" s="38">
        <v>44371</v>
      </c>
      <c r="Y59" s="240">
        <v>40000000</v>
      </c>
      <c r="Z59" s="240">
        <v>66658922.820600003</v>
      </c>
      <c r="AA59" s="241">
        <f t="shared" si="27"/>
        <v>2453838519.4818006</v>
      </c>
      <c r="AC59" s="38">
        <v>44735</v>
      </c>
      <c r="AD59" s="50">
        <v>40000000</v>
      </c>
      <c r="AE59" s="50">
        <v>72128957.260800004</v>
      </c>
      <c r="AF59" s="241">
        <f t="shared" si="28"/>
        <v>3213258658.0380001</v>
      </c>
      <c r="AG59" s="241"/>
      <c r="AH59" s="38">
        <v>45106</v>
      </c>
      <c r="AI59" s="50">
        <v>4000000</v>
      </c>
      <c r="AJ59" s="50">
        <v>26311112.600588433</v>
      </c>
      <c r="AK59" s="241">
        <f t="shared" si="29"/>
        <v>3135039956.6342554</v>
      </c>
      <c r="AM59" s="32">
        <v>52</v>
      </c>
      <c r="AN59" s="39">
        <f t="shared" si="0"/>
        <v>1.2070041093615997</v>
      </c>
      <c r="AO59" s="39">
        <f t="shared" si="1"/>
        <v>2.1948974502048002</v>
      </c>
      <c r="AP59" s="82">
        <f t="shared" si="2"/>
        <v>2.5238888986673995</v>
      </c>
      <c r="AQ59" s="82">
        <f t="shared" si="3"/>
        <v>2.4538385194818004</v>
      </c>
      <c r="AR59" s="39">
        <f t="shared" si="30"/>
        <v>3.2132586580380003</v>
      </c>
      <c r="AS59" s="39">
        <f t="shared" si="31"/>
        <v>3.1350399566342553</v>
      </c>
      <c r="AT59" s="39"/>
      <c r="AU59" s="39">
        <f t="shared" si="32"/>
        <v>2.6998623110591096</v>
      </c>
      <c r="AV59" s="9">
        <f t="shared" si="136"/>
        <v>2.6837529340182003</v>
      </c>
      <c r="AW59" s="9">
        <f t="shared" si="136"/>
        <v>2.6837529340182003</v>
      </c>
      <c r="AX59" s="9">
        <f t="shared" si="136"/>
        <v>2.6837529340182003</v>
      </c>
      <c r="AY59" s="74"/>
      <c r="AZ59" s="74"/>
      <c r="BA59" s="74"/>
      <c r="BB59" s="74"/>
      <c r="BC59" s="74"/>
      <c r="BD59" s="74"/>
      <c r="BF59" s="72"/>
      <c r="BG59" s="78">
        <v>-2</v>
      </c>
      <c r="BH59" s="63">
        <f t="shared" ref="BH59:BN64" si="148">BH50-BH49</f>
        <v>0.19718453594883756</v>
      </c>
      <c r="BI59" s="63">
        <f t="shared" si="148"/>
        <v>0.35736620415252784</v>
      </c>
      <c r="BJ59" s="63">
        <f t="shared" si="148"/>
        <v>0.38568527725185464</v>
      </c>
      <c r="BK59" s="63">
        <f t="shared" si="148"/>
        <v>0.40000489037945752</v>
      </c>
      <c r="BL59" s="63">
        <f t="shared" si="148"/>
        <v>0.46416594128201427</v>
      </c>
      <c r="BM59" s="63">
        <f t="shared" si="148"/>
        <v>0</v>
      </c>
      <c r="BN59" s="63">
        <f t="shared" si="148"/>
        <v>0.42016652921917363</v>
      </c>
      <c r="CA59" s="62" t="s">
        <v>33</v>
      </c>
      <c r="CB59" s="10">
        <v>12</v>
      </c>
      <c r="CC59" s="10">
        <v>18</v>
      </c>
      <c r="CD59" s="63">
        <f t="shared" si="140"/>
        <v>13.26923076923077</v>
      </c>
      <c r="CT59" s="41">
        <f t="shared" si="33"/>
        <v>45106</v>
      </c>
      <c r="CU59" s="9">
        <f t="shared" si="34"/>
        <v>3.1350399566342553</v>
      </c>
      <c r="CV59" s="9">
        <f t="shared" si="141"/>
        <v>1.9730692212375105</v>
      </c>
      <c r="CW59" s="9">
        <f t="shared" si="141"/>
        <v>2.3626883034718671</v>
      </c>
      <c r="CX59" s="9">
        <f t="shared" si="141"/>
        <v>2.5176745801202824</v>
      </c>
      <c r="CY59" s="9">
        <f t="shared" si="141"/>
        <v>2.6261043791853176</v>
      </c>
      <c r="CZ59" s="9">
        <f t="shared" si="141"/>
        <v>2.8448489682389604</v>
      </c>
      <c r="DA59" s="9">
        <f t="shared" si="141"/>
        <v>3.1309048613443942</v>
      </c>
      <c r="DB59" s="9">
        <f t="shared" si="141"/>
        <v>3.4440917441693251</v>
      </c>
      <c r="DC59" s="9">
        <f t="shared" si="141"/>
        <v>3.7759718488560341</v>
      </c>
      <c r="DD59" s="9">
        <f t="shared" si="141"/>
        <v>3.9745915521120359</v>
      </c>
      <c r="DE59" s="9">
        <f t="shared" si="141"/>
        <v>4.4058892007265174</v>
      </c>
      <c r="DF59" s="9">
        <f t="shared" si="141"/>
        <v>5.3498856895857267</v>
      </c>
      <c r="DG59" s="32"/>
      <c r="DH59" s="32"/>
      <c r="DR59" s="41">
        <v>45470</v>
      </c>
      <c r="DS59" s="9">
        <v>3.9781259059999998</v>
      </c>
      <c r="DT59" s="9">
        <f t="shared" si="142"/>
        <v>2.1283821308769353</v>
      </c>
      <c r="DU59" s="9">
        <f t="shared" si="142"/>
        <v>2.5144420325676919</v>
      </c>
      <c r="DV59" s="9">
        <f t="shared" si="142"/>
        <v>2.7196343593798886</v>
      </c>
      <c r="DW59" s="9">
        <f t="shared" si="142"/>
        <v>2.8447869936396706</v>
      </c>
      <c r="DX59" s="9">
        <f t="shared" si="142"/>
        <v>3.0876535221885968</v>
      </c>
      <c r="DY59" s="9">
        <f t="shared" si="142"/>
        <v>3.3931721680005946</v>
      </c>
      <c r="DZ59" s="9">
        <f t="shared" si="142"/>
        <v>3.738491387828073</v>
      </c>
      <c r="EA59" s="9">
        <f t="shared" si="142"/>
        <v>4.1057601944605002</v>
      </c>
      <c r="EB59" s="9">
        <f t="shared" si="142"/>
        <v>4.3279311212306339</v>
      </c>
      <c r="EC59" s="9">
        <f t="shared" si="142"/>
        <v>4.7587621792180217</v>
      </c>
      <c r="ED59" s="9">
        <f t="shared" si="142"/>
        <v>6.0990249226165245</v>
      </c>
      <c r="EE59" s="32"/>
      <c r="EF59" s="32"/>
      <c r="EQ59" s="41"/>
      <c r="ER59" s="9"/>
      <c r="ES59" s="9"/>
      <c r="ET59" s="9"/>
      <c r="EU59" s="9"/>
      <c r="EV59" s="9"/>
      <c r="EW59" s="9"/>
      <c r="EX59" s="9"/>
      <c r="EY59" s="9"/>
      <c r="EZ59" s="9"/>
      <c r="FA59" s="9"/>
      <c r="FB59" s="9"/>
      <c r="FC59" s="9"/>
      <c r="FD59" s="32"/>
      <c r="FE59" s="32"/>
      <c r="FF59" s="32"/>
      <c r="FG59" s="32"/>
      <c r="FH59" s="32"/>
      <c r="FI59" s="32"/>
      <c r="FJ59" s="32"/>
      <c r="FK59" s="32"/>
      <c r="FL59" s="41"/>
      <c r="FM59" s="9"/>
      <c r="FN59" s="9"/>
      <c r="FO59" s="9"/>
      <c r="FP59" s="9"/>
      <c r="FQ59" s="9"/>
      <c r="FR59" s="9"/>
      <c r="FS59" s="9"/>
      <c r="FT59" s="9"/>
      <c r="FU59" s="9"/>
      <c r="FV59" s="9"/>
      <c r="FW59" s="9"/>
      <c r="FX59" s="9"/>
      <c r="FY59" s="32"/>
      <c r="FZ59" s="32"/>
      <c r="GA59" s="32"/>
      <c r="GB59" s="32"/>
      <c r="GC59" s="41">
        <v>45834</v>
      </c>
      <c r="GD59" s="9">
        <v>2.9319854918675299</v>
      </c>
      <c r="GE59" s="9">
        <f t="shared" si="143"/>
        <v>2.4841044929479232</v>
      </c>
      <c r="GF59" s="9">
        <f t="shared" si="143"/>
        <v>2.7152988164416691</v>
      </c>
      <c r="GG59" s="9">
        <f t="shared" si="143"/>
        <v>2.9096651194912613</v>
      </c>
      <c r="GH59" s="9">
        <f t="shared" si="143"/>
        <v>3.0376346516085984</v>
      </c>
      <c r="GI59" s="9">
        <f t="shared" si="143"/>
        <v>3.2780849850929208</v>
      </c>
      <c r="GJ59" s="9">
        <f t="shared" si="143"/>
        <v>3.5803779176811652</v>
      </c>
      <c r="GK59" s="9">
        <f t="shared" si="143"/>
        <v>3.9403585179578449</v>
      </c>
      <c r="GL59" s="9">
        <f t="shared" si="143"/>
        <v>4.3097527947832779</v>
      </c>
      <c r="GM59" s="9">
        <f t="shared" si="143"/>
        <v>4.5400152972191004</v>
      </c>
      <c r="GN59" s="9">
        <f t="shared" si="143"/>
        <v>5.004692892869218</v>
      </c>
      <c r="GO59" s="9">
        <f t="shared" si="143"/>
        <v>6.3001098361856505</v>
      </c>
      <c r="GP59" s="32"/>
      <c r="GQ59" s="32"/>
      <c r="HA59" s="252" t="s">
        <v>299</v>
      </c>
      <c r="HB59" s="250">
        <v>1.9520667491512629</v>
      </c>
      <c r="HC59" s="251"/>
      <c r="HD59" s="251">
        <v>2.940169956451641</v>
      </c>
      <c r="HE59" s="251" t="s">
        <v>297</v>
      </c>
      <c r="HF59" s="250">
        <v>3.3782235107867096</v>
      </c>
      <c r="HG59" s="9"/>
      <c r="HH59" s="9">
        <f t="shared" si="121"/>
        <v>0.39901314401153787</v>
      </c>
      <c r="HI59" s="9">
        <f t="shared" si="122"/>
        <v>1.3479555842127005</v>
      </c>
      <c r="HJ59" s="9">
        <f t="shared" si="123"/>
        <v>2.0302679265740093</v>
      </c>
      <c r="HK59" s="9">
        <f t="shared" si="124"/>
        <v>3.37822351078671</v>
      </c>
      <c r="HL59" s="9"/>
      <c r="HM59" s="9">
        <f t="shared" si="125"/>
        <v>0.13479555842127006</v>
      </c>
      <c r="HN59" s="9">
        <f t="shared" si="125"/>
        <v>0.12689174541087558</v>
      </c>
      <c r="HO59" s="9"/>
      <c r="HP59" s="9">
        <f t="shared" si="126"/>
        <v>0.19520667491512628</v>
      </c>
      <c r="HQ59" s="9">
        <f t="shared" si="127"/>
        <v>8.9134797602215418E-2</v>
      </c>
      <c r="HR59" s="9"/>
      <c r="HS59" s="32"/>
      <c r="HT59" s="32"/>
      <c r="HU59" s="32"/>
      <c r="HV59" s="252" t="s">
        <v>299</v>
      </c>
      <c r="HW59" s="250">
        <v>1.9520667491512629</v>
      </c>
      <c r="HX59" s="251">
        <v>2.940169956451641</v>
      </c>
      <c r="HY59" s="251" t="s">
        <v>297</v>
      </c>
      <c r="HZ59" s="250">
        <v>3.3782235107867096</v>
      </c>
      <c r="IA59" s="9"/>
      <c r="IB59" s="9">
        <f t="shared" si="128"/>
        <v>0.39901314401153787</v>
      </c>
      <c r="IC59" s="9">
        <f t="shared" si="129"/>
        <v>1.3479555842127005</v>
      </c>
      <c r="ID59" s="9">
        <f t="shared" si="130"/>
        <v>2.0302679265740093</v>
      </c>
      <c r="IE59" s="9">
        <f t="shared" si="131"/>
        <v>3.37822351078671</v>
      </c>
      <c r="IF59" s="9"/>
      <c r="IG59" s="9">
        <f t="shared" si="132"/>
        <v>0.13479555842127006</v>
      </c>
      <c r="IH59" s="9">
        <f t="shared" si="132"/>
        <v>0.12689174541087558</v>
      </c>
      <c r="II59" s="9"/>
      <c r="IJ59" s="9">
        <f t="shared" si="133"/>
        <v>0.19520667491512628</v>
      </c>
      <c r="IK59" s="9">
        <f t="shared" si="134"/>
        <v>8.9134797602215418E-2</v>
      </c>
      <c r="IL59" s="9"/>
      <c r="IM59" s="32"/>
      <c r="IN59" s="32"/>
      <c r="IO59" s="32"/>
      <c r="IZ59" s="41">
        <f t="shared" si="138"/>
        <v>45106</v>
      </c>
      <c r="JA59" s="9"/>
      <c r="JB59" s="9">
        <f t="shared" si="139"/>
        <v>2.7867973236633024</v>
      </c>
      <c r="JC59" s="9">
        <f t="shared" si="139"/>
        <v>2.8155003569101016</v>
      </c>
      <c r="JD59" s="9">
        <f t="shared" si="139"/>
        <v>2.8494922619209024</v>
      </c>
      <c r="JE59" s="9">
        <f t="shared" si="139"/>
        <v>2.873330390867034</v>
      </c>
      <c r="JF59" s="9">
        <f t="shared" si="139"/>
        <v>2.9130587669537018</v>
      </c>
      <c r="JG59" s="9">
        <f t="shared" si="139"/>
        <v>2.9770743838790334</v>
      </c>
      <c r="JH59" s="9">
        <f t="shared" si="139"/>
        <v>3.0746327939226337</v>
      </c>
      <c r="JI59" s="9">
        <f t="shared" si="139"/>
        <v>3.2586912257311678</v>
      </c>
      <c r="JJ59" s="9">
        <f t="shared" si="139"/>
        <v>3.3213861639887678</v>
      </c>
      <c r="JK59" s="9">
        <f t="shared" si="139"/>
        <v>3.5781942298845895</v>
      </c>
      <c r="JL59" s="9">
        <f t="shared" si="139"/>
        <v>4.5548315998253006</v>
      </c>
      <c r="JM59" s="9">
        <f t="shared" si="139"/>
        <v>2.5430290760305017</v>
      </c>
      <c r="JX59" s="41">
        <v>45106</v>
      </c>
      <c r="JY59" s="9"/>
      <c r="JZ59" s="9">
        <f t="shared" si="144"/>
        <v>3.5695424016341581</v>
      </c>
      <c r="KA59" s="9">
        <f t="shared" si="144"/>
        <v>3.0880366696810828</v>
      </c>
      <c r="KB59" s="9"/>
      <c r="KC59">
        <v>3.3078763443396002</v>
      </c>
      <c r="KM59" s="41"/>
      <c r="KN59" s="241"/>
      <c r="KO59" s="241"/>
      <c r="KQ59" s="41"/>
      <c r="KR59" s="241"/>
      <c r="KS59" s="241"/>
      <c r="KU59" s="41"/>
      <c r="KV59" s="241"/>
      <c r="KW59" s="241"/>
      <c r="KY59" s="41"/>
      <c r="KZ59" s="241"/>
      <c r="LA59" s="241"/>
      <c r="LC59" s="41"/>
      <c r="LD59" s="241"/>
      <c r="LE59" s="241"/>
      <c r="LK59" s="41"/>
      <c r="LL59" s="241"/>
      <c r="LM59" s="241"/>
      <c r="LU59" s="75"/>
      <c r="MA59" s="32"/>
      <c r="MB59" s="32"/>
      <c r="MC59" s="32"/>
      <c r="MD59" s="32"/>
      <c r="ME59" s="32"/>
      <c r="MF59" s="32"/>
      <c r="MG59" s="32"/>
      <c r="MH59" s="39"/>
      <c r="MI59" s="39"/>
      <c r="MJ59" s="39"/>
      <c r="MK59" s="39"/>
      <c r="ML59" s="9"/>
      <c r="MM59" s="9"/>
      <c r="MN59" s="9"/>
      <c r="MO59" s="74"/>
      <c r="MP59" s="74"/>
      <c r="MQ59" s="74"/>
      <c r="MR59" s="74"/>
      <c r="MS59" s="74"/>
      <c r="MT59" s="74"/>
      <c r="MV59" s="72"/>
      <c r="MW59" s="78">
        <v>-1</v>
      </c>
      <c r="MX59" s="63">
        <f t="shared" si="147"/>
        <v>0.1178248055278967</v>
      </c>
      <c r="MY59" s="63">
        <f t="shared" si="147"/>
        <v>0.14965937932413509</v>
      </c>
      <c r="MZ59" s="63">
        <f t="shared" si="147"/>
        <v>0.23631309785327659</v>
      </c>
      <c r="NA59" s="63">
        <f t="shared" si="147"/>
        <v>0.27693426833019963</v>
      </c>
      <c r="NB59" s="63">
        <f t="shared" si="147"/>
        <v>0.281905339253406</v>
      </c>
      <c r="NC59" s="63">
        <f t="shared" si="147"/>
        <v>0.24086909755987707</v>
      </c>
      <c r="ND59" s="63">
        <f t="shared" si="147"/>
        <v>0.28067875529233577</v>
      </c>
      <c r="NE59" s="63">
        <f t="shared" si="147"/>
        <v>0.255163271395763</v>
      </c>
      <c r="NF59" s="63">
        <f t="shared" si="147"/>
        <v>0.35066359585242446</v>
      </c>
      <c r="NG59" s="63">
        <f t="shared" si="147"/>
        <v>0.33707311939564244</v>
      </c>
      <c r="NH59" s="63">
        <f t="shared" si="147"/>
        <v>0.25252690135428646</v>
      </c>
    </row>
    <row r="60" spans="2:372" x14ac:dyDescent="0.25">
      <c r="B60" s="48">
        <v>43104</v>
      </c>
      <c r="C60" s="49">
        <v>43512391.207999997</v>
      </c>
      <c r="D60" s="49">
        <v>46835360</v>
      </c>
      <c r="E60" s="247">
        <v>35000000</v>
      </c>
      <c r="F60" s="247" t="s">
        <v>85</v>
      </c>
      <c r="G60" s="50"/>
      <c r="H60" s="50"/>
      <c r="I60" s="41"/>
      <c r="J60" s="41"/>
      <c r="K60" s="241"/>
      <c r="N60" s="41"/>
      <c r="O60" s="41"/>
      <c r="P60" s="241"/>
      <c r="S60" s="41"/>
      <c r="T60" s="41"/>
      <c r="U60" s="241"/>
      <c r="Y60" s="41"/>
      <c r="AC60" s="38">
        <v>44742</v>
      </c>
      <c r="AD60" s="50">
        <v>60000000</v>
      </c>
      <c r="AE60" s="50">
        <v>94617686.301600009</v>
      </c>
      <c r="AF60" s="241">
        <f t="shared" si="28"/>
        <v>3307876344.3396001</v>
      </c>
      <c r="AG60" s="241"/>
      <c r="AH60" s="38"/>
      <c r="AI60" s="50"/>
      <c r="AJ60" s="50"/>
      <c r="AK60" s="241"/>
      <c r="AM60" s="32">
        <v>53</v>
      </c>
      <c r="AN60" s="39"/>
      <c r="AO60" s="39"/>
      <c r="AP60" s="39"/>
      <c r="AQ60" s="39"/>
      <c r="AR60" s="39">
        <f t="shared" si="30"/>
        <v>3.3078763443396002</v>
      </c>
      <c r="AS60" s="39"/>
      <c r="AT60" s="39"/>
      <c r="AU60" s="39"/>
      <c r="AV60" s="9">
        <f t="shared" si="136"/>
        <v>2.6837529340182003</v>
      </c>
      <c r="AW60" s="66">
        <f t="shared" si="136"/>
        <v>2.6837529340182003</v>
      </c>
      <c r="AX60" s="9">
        <f t="shared" si="136"/>
        <v>2.6837529340182003</v>
      </c>
      <c r="BF60" s="72"/>
      <c r="BG60" s="78">
        <v>-1</v>
      </c>
      <c r="BH60" s="63">
        <f t="shared" si="148"/>
        <v>0.19718453594883767</v>
      </c>
      <c r="BI60" s="63">
        <f t="shared" si="148"/>
        <v>0.35736620415252784</v>
      </c>
      <c r="BJ60" s="63">
        <f t="shared" si="148"/>
        <v>0.38568527725185442</v>
      </c>
      <c r="BK60" s="63">
        <f t="shared" si="148"/>
        <v>0.40000489037945774</v>
      </c>
      <c r="BL60" s="63">
        <f t="shared" si="148"/>
        <v>0.46416594128201405</v>
      </c>
      <c r="BM60" s="63">
        <f t="shared" si="148"/>
        <v>0</v>
      </c>
      <c r="BN60" s="63">
        <f t="shared" si="148"/>
        <v>0.42016652921917363</v>
      </c>
      <c r="CA60" s="62" t="s">
        <v>34</v>
      </c>
      <c r="CB60" s="10">
        <v>14</v>
      </c>
      <c r="CC60" s="10">
        <v>21</v>
      </c>
      <c r="CD60" s="63">
        <f t="shared" si="140"/>
        <v>15.48076923076923</v>
      </c>
      <c r="CT60" s="41"/>
      <c r="CU60" s="9"/>
      <c r="CV60" s="9"/>
      <c r="CW60" s="9"/>
      <c r="CX60" s="9"/>
      <c r="CY60" s="9"/>
      <c r="CZ60" s="9"/>
      <c r="DA60" s="66"/>
      <c r="DB60" s="9"/>
      <c r="DC60" s="9"/>
      <c r="DD60" s="9"/>
      <c r="DE60" s="9"/>
      <c r="DF60" s="9"/>
      <c r="DG60" s="32"/>
      <c r="DH60" s="32"/>
      <c r="DR60" s="41"/>
      <c r="DS60" s="9"/>
      <c r="DT60" s="9"/>
      <c r="DU60" s="9"/>
      <c r="DV60" s="9"/>
      <c r="DW60" s="9"/>
      <c r="DX60" s="9"/>
      <c r="DY60" s="66"/>
      <c r="DZ60" s="9"/>
      <c r="EA60" s="9"/>
      <c r="EB60" s="9"/>
      <c r="EC60" s="9"/>
      <c r="ED60" s="9"/>
      <c r="EE60" s="32"/>
      <c r="EF60" s="32"/>
      <c r="EQ60" s="41"/>
      <c r="ER60" s="9"/>
      <c r="ES60" s="9"/>
      <c r="ET60" s="9"/>
      <c r="EU60" s="9"/>
      <c r="EV60" s="9"/>
      <c r="EW60" s="9"/>
      <c r="EX60" s="66"/>
      <c r="EY60" s="9"/>
      <c r="EZ60" s="9"/>
      <c r="FA60" s="9"/>
      <c r="FB60" s="9"/>
      <c r="FC60" s="9"/>
      <c r="FD60" s="32"/>
      <c r="FE60" s="32"/>
      <c r="FF60" s="32"/>
      <c r="FG60" s="32"/>
      <c r="FH60" s="32"/>
      <c r="FI60" s="32"/>
      <c r="FJ60" s="32"/>
      <c r="FK60" s="32"/>
      <c r="FL60" s="41"/>
      <c r="FM60" s="9"/>
      <c r="FN60" s="9"/>
      <c r="FO60" s="9"/>
      <c r="FP60" s="9"/>
      <c r="FQ60" s="9"/>
      <c r="FR60" s="9"/>
      <c r="FS60" s="66"/>
      <c r="FT60" s="9"/>
      <c r="FU60" s="9"/>
      <c r="FV60" s="9"/>
      <c r="FW60" s="9"/>
      <c r="FX60" s="9"/>
      <c r="FY60" s="32"/>
      <c r="FZ60" s="32"/>
      <c r="GA60" s="32"/>
      <c r="GB60" s="32"/>
      <c r="GC60" s="41"/>
      <c r="GD60" s="9"/>
      <c r="GE60" s="9"/>
      <c r="GF60" s="9"/>
      <c r="GG60" s="9"/>
      <c r="GH60" s="9"/>
      <c r="GI60" s="9"/>
      <c r="GJ60" s="66"/>
      <c r="GK60" s="9"/>
      <c r="GL60" s="9"/>
      <c r="GM60" s="9"/>
      <c r="GN60" s="9"/>
      <c r="GO60" s="9"/>
      <c r="GP60" s="32"/>
      <c r="GQ60" s="32"/>
      <c r="HA60" s="41"/>
      <c r="HB60" s="9"/>
      <c r="HC60" s="9"/>
      <c r="HD60" s="9"/>
      <c r="HE60" s="9"/>
      <c r="HF60" s="9"/>
      <c r="HG60" s="9"/>
      <c r="HH60" s="9"/>
      <c r="HI60" s="66"/>
      <c r="HJ60" s="9"/>
      <c r="HK60" s="9"/>
      <c r="HL60" s="9"/>
      <c r="HM60" s="9"/>
      <c r="HN60" s="9"/>
      <c r="HO60" s="9"/>
      <c r="HP60" s="9"/>
      <c r="HQ60" s="9"/>
      <c r="HR60" s="9"/>
      <c r="HS60" s="32"/>
      <c r="HT60" s="32"/>
      <c r="HU60" s="32"/>
      <c r="HV60" s="41"/>
      <c r="HW60" s="9"/>
      <c r="HX60" s="9"/>
      <c r="HY60" s="9"/>
      <c r="HZ60" s="9"/>
      <c r="IA60" s="9"/>
      <c r="IB60" s="9"/>
      <c r="IC60" s="66"/>
      <c r="ID60" s="9"/>
      <c r="IE60" s="9"/>
      <c r="IF60" s="9"/>
      <c r="IG60" s="9"/>
      <c r="IH60" s="9"/>
      <c r="II60" s="9"/>
      <c r="IJ60" s="9"/>
      <c r="IK60" s="9"/>
      <c r="IL60" s="9"/>
      <c r="IM60" s="32"/>
      <c r="IN60" s="32"/>
      <c r="IO60" s="32"/>
      <c r="IZ60" s="41">
        <f t="shared" si="138"/>
        <v>0</v>
      </c>
      <c r="JA60" s="9"/>
      <c r="JB60" s="9">
        <f t="shared" si="139"/>
        <v>2.8172683546174024</v>
      </c>
      <c r="JC60" s="9">
        <f t="shared" si="139"/>
        <v>2.8495592670200516</v>
      </c>
      <c r="JD60" s="9">
        <f t="shared" si="139"/>
        <v>2.8878001601572025</v>
      </c>
      <c r="JE60" s="9">
        <f t="shared" si="139"/>
        <v>2.9146180552216006</v>
      </c>
      <c r="JF60" s="9">
        <f t="shared" si="139"/>
        <v>2.9593124783191018</v>
      </c>
      <c r="JG60" s="66">
        <f t="shared" si="139"/>
        <v>3.0313300473600999</v>
      </c>
      <c r="JH60" s="9">
        <f t="shared" si="139"/>
        <v>3.1410832586591502</v>
      </c>
      <c r="JI60" s="9">
        <f t="shared" si="139"/>
        <v>3.348148994443751</v>
      </c>
      <c r="JJ60" s="9">
        <f t="shared" si="139"/>
        <v>3.4186807999835511</v>
      </c>
      <c r="JK60" s="9">
        <f t="shared" si="139"/>
        <v>3.7075898741163504</v>
      </c>
      <c r="JL60" s="9">
        <f t="shared" si="139"/>
        <v>4.8063069152996505</v>
      </c>
      <c r="JM60" s="9">
        <f t="shared" si="139"/>
        <v>2.5430290760305017</v>
      </c>
      <c r="JX60" s="41"/>
      <c r="JY60" s="9"/>
      <c r="JZ60" s="83">
        <f>JZ59/KC59-1</f>
        <v>7.9103941639873554E-2</v>
      </c>
      <c r="KA60" s="83">
        <f>KA59/KC59-1</f>
        <v>-6.6459459717925773E-2</v>
      </c>
      <c r="KB60" s="9"/>
      <c r="KM60" s="41"/>
      <c r="KN60" s="241"/>
      <c r="KQ60" s="41"/>
      <c r="KR60" s="241"/>
      <c r="KU60" s="41"/>
      <c r="KV60" s="241"/>
      <c r="KY60" s="41"/>
      <c r="KZ60" s="241"/>
      <c r="LC60" s="41"/>
      <c r="LD60" s="241"/>
      <c r="MV60" s="72"/>
      <c r="MW60" s="78">
        <v>0</v>
      </c>
      <c r="MX60" s="63">
        <f t="shared" si="147"/>
        <v>0.1178248055278967</v>
      </c>
      <c r="MY60" s="63">
        <f t="shared" si="147"/>
        <v>0.14965937932413509</v>
      </c>
      <c r="MZ60" s="63">
        <f t="shared" si="147"/>
        <v>0.23631309785327659</v>
      </c>
      <c r="NA60" s="63">
        <f t="shared" si="147"/>
        <v>0.27693426833019963</v>
      </c>
      <c r="NB60" s="63">
        <f t="shared" si="147"/>
        <v>0.28190533925340611</v>
      </c>
      <c r="NC60" s="63">
        <f t="shared" si="147"/>
        <v>0.24086909755987707</v>
      </c>
      <c r="ND60" s="63">
        <f t="shared" si="147"/>
        <v>0.28067875529233577</v>
      </c>
      <c r="NE60" s="63">
        <f t="shared" si="147"/>
        <v>0.255163271395763</v>
      </c>
      <c r="NF60" s="63">
        <f t="shared" si="147"/>
        <v>0.35066359585242446</v>
      </c>
      <c r="NG60" s="63">
        <f t="shared" si="147"/>
        <v>0.33707311939564244</v>
      </c>
      <c r="NH60" s="63">
        <f t="shared" si="147"/>
        <v>0.25252690135428635</v>
      </c>
    </row>
    <row r="61" spans="2:372" x14ac:dyDescent="0.25">
      <c r="B61" s="48">
        <v>43111</v>
      </c>
      <c r="C61" s="49">
        <v>74567968.530000001</v>
      </c>
      <c r="D61" s="49">
        <v>80262600</v>
      </c>
      <c r="E61" s="50">
        <v>55000000</v>
      </c>
      <c r="F61" s="50"/>
      <c r="G61" s="50"/>
      <c r="H61" s="50"/>
      <c r="N61" s="41"/>
      <c r="P61" s="241"/>
      <c r="S61" s="41"/>
      <c r="U61" s="241"/>
      <c r="AC61" s="38"/>
      <c r="AD61" s="50"/>
      <c r="AE61" s="50"/>
      <c r="AF61" s="241"/>
      <c r="AG61" s="241"/>
      <c r="AH61" s="38"/>
      <c r="AI61" s="50"/>
      <c r="AJ61" s="50"/>
      <c r="AK61" s="241"/>
      <c r="BF61" s="72"/>
      <c r="BG61" s="78">
        <v>0</v>
      </c>
      <c r="BH61" s="63">
        <f t="shared" si="148"/>
        <v>0.19718453594883756</v>
      </c>
      <c r="BI61" s="63">
        <f t="shared" si="148"/>
        <v>0.35736620415252807</v>
      </c>
      <c r="BJ61" s="63">
        <f t="shared" si="148"/>
        <v>0.38568527725185442</v>
      </c>
      <c r="BK61" s="63">
        <f t="shared" si="148"/>
        <v>0.4000048903794573</v>
      </c>
      <c r="BL61" s="63">
        <f t="shared" si="148"/>
        <v>0.46416594128201449</v>
      </c>
      <c r="BM61" s="63">
        <f t="shared" si="148"/>
        <v>0</v>
      </c>
      <c r="BN61" s="63">
        <f t="shared" si="148"/>
        <v>0.42016652921917386</v>
      </c>
      <c r="CA61" s="62" t="s">
        <v>35</v>
      </c>
      <c r="CB61" s="10">
        <v>17</v>
      </c>
      <c r="CC61" s="10">
        <v>23</v>
      </c>
      <c r="CD61" s="63">
        <f t="shared" si="140"/>
        <v>18.269230769230766</v>
      </c>
      <c r="HB61" s="9"/>
      <c r="HC61" s="9"/>
      <c r="HW61" s="9"/>
      <c r="KM61" s="41"/>
      <c r="KN61" s="241"/>
      <c r="KQ61" s="41"/>
      <c r="KR61" s="241"/>
      <c r="KU61" s="41"/>
      <c r="KV61" s="241"/>
      <c r="KY61" s="41"/>
      <c r="KZ61" s="241"/>
      <c r="LC61" s="41"/>
      <c r="LD61" s="241"/>
      <c r="MV61" s="72"/>
      <c r="MW61" s="78">
        <v>1</v>
      </c>
      <c r="MX61" s="63">
        <f t="shared" si="147"/>
        <v>0.11782480552789676</v>
      </c>
      <c r="MY61" s="63">
        <f t="shared" si="147"/>
        <v>0.14965937932413498</v>
      </c>
      <c r="MZ61" s="63">
        <f t="shared" si="147"/>
        <v>0.23631309785327659</v>
      </c>
      <c r="NA61" s="63">
        <f t="shared" si="147"/>
        <v>0.27693426833019963</v>
      </c>
      <c r="NB61" s="63">
        <f t="shared" si="147"/>
        <v>0.28190533925340611</v>
      </c>
      <c r="NC61" s="63">
        <f t="shared" si="147"/>
        <v>0.24086909755987707</v>
      </c>
      <c r="ND61" s="63">
        <f t="shared" si="147"/>
        <v>0.28067875529233577</v>
      </c>
      <c r="NE61" s="63">
        <f t="shared" si="147"/>
        <v>0.255163271395763</v>
      </c>
      <c r="NF61" s="63">
        <f t="shared" si="147"/>
        <v>0.35066359585242446</v>
      </c>
      <c r="NG61" s="63">
        <f t="shared" si="147"/>
        <v>0.33707311939564244</v>
      </c>
      <c r="NH61" s="63">
        <f t="shared" si="147"/>
        <v>0.25252690135428635</v>
      </c>
    </row>
    <row r="62" spans="2:372" x14ac:dyDescent="0.25">
      <c r="B62" s="48">
        <v>43118</v>
      </c>
      <c r="C62" s="49">
        <v>13428693.090999998</v>
      </c>
      <c r="D62" s="49">
        <v>14454220</v>
      </c>
      <c r="E62" s="50">
        <v>3000000</v>
      </c>
      <c r="F62" s="50"/>
      <c r="G62" s="50"/>
      <c r="H62" s="50"/>
      <c r="I62" s="70" t="s">
        <v>68</v>
      </c>
      <c r="J62" s="70"/>
      <c r="K62" s="241"/>
      <c r="L62" s="71">
        <f>COUNT(L8:L60)</f>
        <v>52</v>
      </c>
      <c r="N62" s="41"/>
      <c r="O62" s="70"/>
      <c r="P62" s="241"/>
      <c r="Q62" s="71">
        <f>COUNT(Q8:Q60)</f>
        <v>52</v>
      </c>
      <c r="S62" s="41"/>
      <c r="T62" s="70"/>
      <c r="U62" s="241"/>
      <c r="V62" s="71">
        <f>COUNT(V8:V60)</f>
        <v>52</v>
      </c>
      <c r="Y62" s="70"/>
      <c r="AA62" s="71">
        <f>COUNT(AA8:AA60)</f>
        <v>52</v>
      </c>
      <c r="AD62" s="70"/>
      <c r="AF62" s="71">
        <f>COUNT(AF8:AF60)</f>
        <v>53</v>
      </c>
      <c r="AG62" s="71"/>
      <c r="AI62" s="70"/>
      <c r="AK62" s="71">
        <f>COUNT(AK8:AK60)</f>
        <v>52</v>
      </c>
      <c r="AR62">
        <v>52</v>
      </c>
      <c r="AU62" s="10">
        <v>2.7528007877465419</v>
      </c>
      <c r="BF62" s="72"/>
      <c r="BG62" s="78">
        <v>1</v>
      </c>
      <c r="BH62" s="63">
        <f t="shared" si="148"/>
        <v>0.19718453594883778</v>
      </c>
      <c r="BI62" s="63">
        <f t="shared" si="148"/>
        <v>0.35736620415252807</v>
      </c>
      <c r="BJ62" s="63">
        <f t="shared" si="148"/>
        <v>0.38568527725185442</v>
      </c>
      <c r="BK62" s="63">
        <f t="shared" si="148"/>
        <v>0.4000048903794573</v>
      </c>
      <c r="BL62" s="63">
        <f t="shared" si="148"/>
        <v>0.46416594128201449</v>
      </c>
      <c r="BM62" s="63">
        <f t="shared" si="148"/>
        <v>0</v>
      </c>
      <c r="BN62" s="63">
        <f t="shared" si="148"/>
        <v>0.42016652921917386</v>
      </c>
      <c r="CA62" s="62" t="s">
        <v>36</v>
      </c>
      <c r="CB62" s="10">
        <v>19</v>
      </c>
      <c r="CC62" s="10">
        <v>25</v>
      </c>
      <c r="CD62" s="63">
        <f t="shared" si="140"/>
        <v>20.269230769230766</v>
      </c>
      <c r="IZ62" t="s">
        <v>91</v>
      </c>
      <c r="JB62" s="6">
        <v>40</v>
      </c>
      <c r="JX62" t="s">
        <v>91</v>
      </c>
      <c r="JZ62" s="6">
        <v>8</v>
      </c>
      <c r="KD62" s="6">
        <v>4</v>
      </c>
      <c r="KM62" s="41"/>
      <c r="KN62" s="241"/>
      <c r="KQ62" s="41"/>
      <c r="KR62" s="241"/>
      <c r="KU62" s="41"/>
      <c r="KV62" s="241"/>
      <c r="KY62" s="41"/>
      <c r="KZ62" s="241"/>
      <c r="LC62" s="41"/>
      <c r="LD62" s="241"/>
      <c r="MV62" s="72"/>
      <c r="MW62" s="78">
        <v>2</v>
      </c>
      <c r="MX62" s="63">
        <f t="shared" si="147"/>
        <v>0.11782480552789665</v>
      </c>
      <c r="MY62" s="63">
        <f t="shared" si="147"/>
        <v>0.1496593793241352</v>
      </c>
      <c r="MZ62" s="63">
        <f t="shared" si="147"/>
        <v>0.23631309785327659</v>
      </c>
      <c r="NA62" s="63">
        <f t="shared" si="147"/>
        <v>0.27693426833019963</v>
      </c>
      <c r="NB62" s="63">
        <f t="shared" si="147"/>
        <v>0.28190533925340588</v>
      </c>
      <c r="NC62" s="63">
        <f t="shared" si="147"/>
        <v>0.24086909755987707</v>
      </c>
      <c r="ND62" s="63">
        <f t="shared" si="147"/>
        <v>0.28067875529233577</v>
      </c>
      <c r="NE62" s="63">
        <f t="shared" si="147"/>
        <v>0.255163271395763</v>
      </c>
      <c r="NF62" s="63">
        <f t="shared" si="147"/>
        <v>0.35066359585242468</v>
      </c>
      <c r="NG62" s="63">
        <f t="shared" si="147"/>
        <v>0.33707311939564222</v>
      </c>
      <c r="NH62" s="63">
        <f t="shared" si="147"/>
        <v>0.25252690135428657</v>
      </c>
    </row>
    <row r="63" spans="2:372" x14ac:dyDescent="0.25">
      <c r="B63" s="48">
        <v>43125</v>
      </c>
      <c r="C63" s="49">
        <v>14845224.916499998</v>
      </c>
      <c r="D63" s="49">
        <v>15978930</v>
      </c>
      <c r="E63" s="50">
        <v>3000000</v>
      </c>
      <c r="F63" s="50"/>
      <c r="G63" s="50"/>
      <c r="H63" s="50"/>
      <c r="I63" s="70" t="s">
        <v>94</v>
      </c>
      <c r="J63" s="70"/>
      <c r="K63" s="241"/>
      <c r="L63" s="241">
        <f ca="1">OFFSET(L$7,L62,0)</f>
        <v>1207004109.3615997</v>
      </c>
      <c r="N63" s="41"/>
      <c r="O63" s="70"/>
      <c r="P63" s="241"/>
      <c r="Q63" s="241">
        <f ca="1">OFFSET(Q$7,Q62,0)</f>
        <v>2194897450.2048001</v>
      </c>
      <c r="S63" s="41"/>
      <c r="T63" s="70"/>
      <c r="U63" s="241"/>
      <c r="V63" s="241">
        <f ca="1">OFFSET(V$7,V62,0)</f>
        <v>2523888898.6673994</v>
      </c>
      <c r="Y63" s="70"/>
      <c r="AA63" s="241">
        <f ca="1">OFFSET(AA$7,AA62,0)</f>
        <v>2453838519.4818006</v>
      </c>
      <c r="AD63" s="70"/>
      <c r="AF63" s="241">
        <f ca="1">OFFSET(AF$7,AF62,0)</f>
        <v>3307876344.3396001</v>
      </c>
      <c r="AG63" s="241"/>
      <c r="AI63" s="70"/>
      <c r="AK63" s="241">
        <f ca="1">OFFSET(AK$7,AK62,0)</f>
        <v>3135039956.6342554</v>
      </c>
      <c r="AU63">
        <f>AU62/AR62</f>
        <v>5.2938476687433497E-2</v>
      </c>
      <c r="BF63" s="72"/>
      <c r="BG63" s="78">
        <v>2</v>
      </c>
      <c r="BH63" s="63">
        <f t="shared" si="148"/>
        <v>0.19718453594883756</v>
      </c>
      <c r="BI63" s="63">
        <f t="shared" si="148"/>
        <v>0.35736620415252807</v>
      </c>
      <c r="BJ63" s="63">
        <f t="shared" si="148"/>
        <v>0.38568527725185442</v>
      </c>
      <c r="BK63" s="63">
        <f t="shared" si="148"/>
        <v>0.40000489037945774</v>
      </c>
      <c r="BL63" s="63">
        <f t="shared" si="148"/>
        <v>0.46416594128201361</v>
      </c>
      <c r="BM63" s="63">
        <f t="shared" si="148"/>
        <v>0</v>
      </c>
      <c r="BN63" s="63">
        <f t="shared" si="148"/>
        <v>0.42016652921917386</v>
      </c>
      <c r="CA63" s="62" t="s">
        <v>37</v>
      </c>
      <c r="CB63" s="10">
        <v>21</v>
      </c>
      <c r="CC63" s="10">
        <v>27</v>
      </c>
      <c r="CD63" s="63">
        <f t="shared" si="140"/>
        <v>22.269230769230766</v>
      </c>
      <c r="CT63" t="s">
        <v>87</v>
      </c>
      <c r="CU63" t="s">
        <v>57</v>
      </c>
      <c r="CV63" t="s">
        <v>88</v>
      </c>
      <c r="CW63" t="s">
        <v>89</v>
      </c>
      <c r="CY63" t="s">
        <v>90</v>
      </c>
      <c r="DA63" t="s">
        <v>91</v>
      </c>
      <c r="DD63" s="6">
        <v>60</v>
      </c>
      <c r="DR63" t="s">
        <v>87</v>
      </c>
      <c r="DS63" t="s">
        <v>57</v>
      </c>
      <c r="DT63" t="s">
        <v>88</v>
      </c>
      <c r="DU63" t="s">
        <v>89</v>
      </c>
      <c r="DW63" t="s">
        <v>90</v>
      </c>
      <c r="DY63" t="s">
        <v>91</v>
      </c>
      <c r="EB63" s="6">
        <v>60</v>
      </c>
      <c r="EQ63" t="s">
        <v>87</v>
      </c>
      <c r="ER63" t="s">
        <v>57</v>
      </c>
      <c r="ES63" t="s">
        <v>88</v>
      </c>
      <c r="ET63" t="s">
        <v>89</v>
      </c>
      <c r="EV63" t="s">
        <v>90</v>
      </c>
      <c r="EX63" t="s">
        <v>91</v>
      </c>
      <c r="FA63" s="6">
        <v>60</v>
      </c>
      <c r="FL63" t="s">
        <v>87</v>
      </c>
      <c r="FM63" t="s">
        <v>57</v>
      </c>
      <c r="FN63" t="s">
        <v>88</v>
      </c>
      <c r="FO63" t="s">
        <v>89</v>
      </c>
      <c r="FQ63" t="s">
        <v>90</v>
      </c>
      <c r="FS63" t="s">
        <v>91</v>
      </c>
      <c r="FV63" s="6">
        <v>60</v>
      </c>
      <c r="GC63" t="s">
        <v>87</v>
      </c>
      <c r="GD63" t="s">
        <v>57</v>
      </c>
      <c r="GE63" t="s">
        <v>88</v>
      </c>
      <c r="GF63" t="s">
        <v>89</v>
      </c>
      <c r="GH63" t="s">
        <v>90</v>
      </c>
      <c r="GJ63" t="s">
        <v>91</v>
      </c>
      <c r="GM63" s="6">
        <v>60</v>
      </c>
      <c r="HI63" s="259" t="s">
        <v>300</v>
      </c>
      <c r="HR63" s="259"/>
      <c r="HS63" s="259" t="s">
        <v>301</v>
      </c>
      <c r="IC63" s="259" t="s">
        <v>302</v>
      </c>
      <c r="IZ63" t="s">
        <v>76</v>
      </c>
      <c r="JB63" s="6">
        <v>20</v>
      </c>
      <c r="JX63" t="s">
        <v>76</v>
      </c>
      <c r="JZ63" s="6">
        <v>160</v>
      </c>
      <c r="KD63" s="6">
        <v>160</v>
      </c>
      <c r="KM63" s="41"/>
      <c r="KN63" s="241"/>
      <c r="KQ63" s="41"/>
      <c r="KR63" s="241"/>
      <c r="KU63" s="41"/>
      <c r="KV63" s="241"/>
      <c r="KY63" s="41"/>
      <c r="KZ63" s="241"/>
      <c r="LC63" s="41"/>
      <c r="LD63" s="241"/>
      <c r="MV63" s="72"/>
      <c r="MW63" s="78">
        <v>3</v>
      </c>
      <c r="MX63" s="63">
        <f t="shared" si="147"/>
        <v>0.11782480552789676</v>
      </c>
      <c r="MY63" s="63">
        <f t="shared" si="147"/>
        <v>0.14965937932413498</v>
      </c>
      <c r="MZ63" s="63">
        <f t="shared" si="147"/>
        <v>0.23631309785327681</v>
      </c>
      <c r="NA63" s="63">
        <f t="shared" si="147"/>
        <v>0.27693426833019963</v>
      </c>
      <c r="NB63" s="63">
        <f t="shared" si="147"/>
        <v>0.28190533925340633</v>
      </c>
      <c r="NC63" s="63">
        <f t="shared" si="147"/>
        <v>0.24086909755987707</v>
      </c>
      <c r="ND63" s="63">
        <f t="shared" si="147"/>
        <v>0.28067875529233577</v>
      </c>
      <c r="NE63" s="63">
        <f t="shared" si="147"/>
        <v>0.255163271395763</v>
      </c>
      <c r="NF63" s="63">
        <f t="shared" si="147"/>
        <v>0.35066359585242424</v>
      </c>
      <c r="NG63" s="63">
        <f t="shared" si="147"/>
        <v>0.33707311939564288</v>
      </c>
      <c r="NH63" s="63">
        <f t="shared" si="147"/>
        <v>0.25252690135428635</v>
      </c>
    </row>
    <row r="64" spans="2:372" x14ac:dyDescent="0.25">
      <c r="B64" s="48">
        <v>43132</v>
      </c>
      <c r="C64" s="49">
        <v>11895964.981999999</v>
      </c>
      <c r="D64" s="49">
        <v>12804440</v>
      </c>
      <c r="E64" s="50">
        <v>3000000</v>
      </c>
      <c r="F64" s="50"/>
      <c r="G64" s="50"/>
      <c r="H64" s="50"/>
      <c r="I64" s="70" t="s">
        <v>109</v>
      </c>
      <c r="J64" s="70"/>
      <c r="K64" s="241"/>
      <c r="L64" s="241">
        <f ca="1">L63/L62*52</f>
        <v>1207004109.3615997</v>
      </c>
      <c r="N64" s="41"/>
      <c r="O64" s="70"/>
      <c r="P64" s="241"/>
      <c r="Q64" s="241">
        <f ca="1">Q63/Q62*52</f>
        <v>2194897450.2048001</v>
      </c>
      <c r="S64" s="41"/>
      <c r="T64" s="70"/>
      <c r="U64" s="241"/>
      <c r="V64" s="241">
        <f ca="1">V63/V62*52</f>
        <v>2523888898.6673994</v>
      </c>
      <c r="Y64" s="70"/>
      <c r="AA64" s="241">
        <f ca="1">AA63/AA62*52</f>
        <v>2453838519.4818006</v>
      </c>
      <c r="AD64" s="70"/>
      <c r="AF64" s="241">
        <f ca="1">AF63/AF62*52</f>
        <v>3245463583.1256452</v>
      </c>
      <c r="AG64" s="241"/>
      <c r="AI64" s="70"/>
      <c r="AK64" s="241">
        <f ca="1">AK63/AK62*52</f>
        <v>3135039956.6342554</v>
      </c>
      <c r="BF64" s="72"/>
      <c r="BG64" s="78">
        <v>3</v>
      </c>
      <c r="BH64" s="63">
        <f t="shared" si="148"/>
        <v>0.19718453594883756</v>
      </c>
      <c r="BI64" s="63">
        <f t="shared" si="148"/>
        <v>0.35736620415252762</v>
      </c>
      <c r="BJ64" s="63">
        <f t="shared" si="148"/>
        <v>0.38568527725185442</v>
      </c>
      <c r="BK64" s="63">
        <f t="shared" si="148"/>
        <v>0.40000489037945774</v>
      </c>
      <c r="BL64" s="63">
        <f t="shared" si="148"/>
        <v>0.46416594128201449</v>
      </c>
      <c r="BM64" s="63">
        <f t="shared" si="148"/>
        <v>0</v>
      </c>
      <c r="BN64" s="63">
        <f t="shared" si="148"/>
        <v>0.42016652921917341</v>
      </c>
      <c r="CA64" s="62" t="s">
        <v>38</v>
      </c>
      <c r="CB64" s="10">
        <v>22</v>
      </c>
      <c r="CC64" s="10">
        <v>28</v>
      </c>
      <c r="CD64" s="63">
        <f t="shared" si="140"/>
        <v>23.26923076923077</v>
      </c>
      <c r="CT64" s="67" t="s">
        <v>30</v>
      </c>
      <c r="CU64" s="7">
        <v>1.9730692212375116</v>
      </c>
      <c r="CV64" s="68">
        <v>52</v>
      </c>
      <c r="CW64" s="69">
        <f>CU64/CV64</f>
        <v>3.7943638869952147E-2</v>
      </c>
      <c r="CX64" s="69"/>
      <c r="CY64" s="7">
        <v>3.7943638869952147E-2</v>
      </c>
      <c r="DA64" t="s">
        <v>76</v>
      </c>
      <c r="DD64" s="6">
        <v>80</v>
      </c>
      <c r="DR64" s="67" t="s">
        <v>30</v>
      </c>
      <c r="DS64" s="7">
        <v>2.1283821308769344</v>
      </c>
      <c r="DT64" s="68">
        <v>52</v>
      </c>
      <c r="DU64" s="69">
        <f>DS64/DT64</f>
        <v>4.0930425593787199E-2</v>
      </c>
      <c r="DV64" s="69"/>
      <c r="DW64" s="7">
        <v>4.0930425593787199E-2</v>
      </c>
      <c r="DY64" t="s">
        <v>76</v>
      </c>
      <c r="EB64" s="6">
        <v>80</v>
      </c>
      <c r="EQ64" s="67" t="s">
        <v>30</v>
      </c>
      <c r="ER64" s="7">
        <v>1.1314</v>
      </c>
      <c r="ES64" s="68">
        <v>26</v>
      </c>
      <c r="ET64" s="69">
        <f>ER64/ES64</f>
        <v>4.3515384615384615E-2</v>
      </c>
      <c r="EU64" s="69"/>
      <c r="EV64" s="7">
        <v>4.3515384615384615E-2</v>
      </c>
      <c r="EX64" t="s">
        <v>76</v>
      </c>
      <c r="FA64" s="6">
        <v>80</v>
      </c>
      <c r="FL64" s="67" t="s">
        <v>30</v>
      </c>
      <c r="FM64" s="7">
        <v>0.98445005806087593</v>
      </c>
      <c r="FN64" s="68">
        <v>26</v>
      </c>
      <c r="FO64" s="69">
        <f>FM64/FN64</f>
        <v>3.7863463771572153E-2</v>
      </c>
      <c r="FP64" s="69"/>
      <c r="FQ64" s="7">
        <v>3.7863463771572153E-2</v>
      </c>
      <c r="FS64" t="s">
        <v>76</v>
      </c>
      <c r="FV64" s="6">
        <v>80</v>
      </c>
      <c r="GC64" s="67" t="s">
        <v>30</v>
      </c>
      <c r="GD64" s="7">
        <v>2.4841044929479255</v>
      </c>
      <c r="GE64" s="68">
        <v>52</v>
      </c>
      <c r="GF64" s="69">
        <f>GD64/GE64</f>
        <v>4.7771240248998564E-2</v>
      </c>
      <c r="GG64" s="69"/>
      <c r="GH64" s="7">
        <v>4.7771240248998564E-2</v>
      </c>
      <c r="GJ64" t="s">
        <v>76</v>
      </c>
      <c r="GM64" s="6">
        <v>80</v>
      </c>
      <c r="JG64" s="3"/>
      <c r="JH64" s="3"/>
      <c r="KM64" s="41"/>
      <c r="KN64" s="241"/>
      <c r="KQ64" s="41"/>
      <c r="KR64" s="241"/>
      <c r="KU64" s="41"/>
      <c r="KV64" s="241"/>
      <c r="KY64" s="41"/>
      <c r="KZ64" s="241"/>
      <c r="LC64" s="41"/>
      <c r="LD64" s="241"/>
    </row>
    <row r="65" spans="2:374" x14ac:dyDescent="0.25">
      <c r="B65" s="48">
        <v>43139</v>
      </c>
      <c r="C65" s="49">
        <v>15019877.025999999</v>
      </c>
      <c r="D65" s="49">
        <v>16166920</v>
      </c>
      <c r="E65" s="50">
        <v>6000000</v>
      </c>
      <c r="F65" s="50"/>
      <c r="G65" s="50"/>
      <c r="H65" s="50"/>
      <c r="I65" s="41"/>
      <c r="J65" s="41"/>
      <c r="K65" s="241"/>
      <c r="N65" s="41"/>
      <c r="O65" s="41"/>
      <c r="P65" s="241"/>
      <c r="S65" s="41"/>
      <c r="T65" s="41"/>
      <c r="U65" s="241"/>
      <c r="Y65" s="41"/>
      <c r="AD65" s="41"/>
      <c r="AI65" s="41"/>
      <c r="CA65" s="62" t="s">
        <v>39</v>
      </c>
      <c r="CB65" s="10">
        <v>25</v>
      </c>
      <c r="CC65" s="10">
        <v>30</v>
      </c>
      <c r="CD65" s="63">
        <f t="shared" si="140"/>
        <v>26.057692307692307</v>
      </c>
      <c r="CT65" s="67">
        <v>0.01</v>
      </c>
      <c r="CU65" s="7">
        <v>2.3626883034718671</v>
      </c>
      <c r="CV65" s="68">
        <v>52</v>
      </c>
      <c r="CW65" s="69">
        <f>CU65/CV65</f>
        <v>4.5436313528305135E-2</v>
      </c>
      <c r="CX65" s="69"/>
      <c r="CY65" s="7">
        <v>4.5436313528305135E-2</v>
      </c>
      <c r="DR65" s="67">
        <v>0.01</v>
      </c>
      <c r="DS65" s="7">
        <v>2.5144420325676951</v>
      </c>
      <c r="DT65" s="68">
        <v>52</v>
      </c>
      <c r="DU65" s="69">
        <f>DS65/DT65</f>
        <v>4.8354654472455676E-2</v>
      </c>
      <c r="DV65" s="69"/>
      <c r="DW65" s="7">
        <v>4.8354654472455676E-2</v>
      </c>
      <c r="EQ65" s="67">
        <v>0.01</v>
      </c>
      <c r="ER65" s="7">
        <v>1.266</v>
      </c>
      <c r="ES65" s="68">
        <v>26</v>
      </c>
      <c r="ET65" s="69">
        <f>ER65/ES65</f>
        <v>4.8692307692307694E-2</v>
      </c>
      <c r="EU65" s="69"/>
      <c r="EV65" s="7">
        <v>4.8692307692307694E-2</v>
      </c>
      <c r="FL65" s="67">
        <v>0.01</v>
      </c>
      <c r="FM65" s="7">
        <v>1.1028407873270922</v>
      </c>
      <c r="FN65" s="68">
        <v>26</v>
      </c>
      <c r="FO65" s="69">
        <f>FM65/FN65</f>
        <v>4.2416953358734313E-2</v>
      </c>
      <c r="FP65" s="69"/>
      <c r="FQ65" s="7">
        <v>4.2416953358734313E-2</v>
      </c>
      <c r="GC65" s="67">
        <v>0.01</v>
      </c>
      <c r="GD65" s="7">
        <v>2.7152988164416718</v>
      </c>
      <c r="GE65" s="68">
        <v>52</v>
      </c>
      <c r="GF65" s="69">
        <f>GD65/GE65</f>
        <v>5.2217284931570615E-2</v>
      </c>
      <c r="GG65" s="69"/>
      <c r="GH65" s="7">
        <v>5.2217284931570615E-2</v>
      </c>
      <c r="IZ65" t="s">
        <v>87</v>
      </c>
      <c r="JA65" t="s">
        <v>57</v>
      </c>
      <c r="JB65" t="s">
        <v>88</v>
      </c>
      <c r="JC65" t="s">
        <v>89</v>
      </c>
      <c r="JE65" t="s">
        <v>90</v>
      </c>
      <c r="JF65" s="11"/>
      <c r="JG65" t="s">
        <v>303</v>
      </c>
      <c r="JH65" t="s">
        <v>304</v>
      </c>
      <c r="JX65" t="s">
        <v>87</v>
      </c>
      <c r="JY65" t="s">
        <v>57</v>
      </c>
      <c r="JZ65" t="s">
        <v>88</v>
      </c>
      <c r="KA65" t="s">
        <v>89</v>
      </c>
      <c r="KD65" t="s">
        <v>57</v>
      </c>
      <c r="KE65" t="s">
        <v>88</v>
      </c>
      <c r="KF65" t="s">
        <v>89</v>
      </c>
      <c r="KM65" s="41"/>
      <c r="KN65" s="241"/>
      <c r="KQ65" s="41"/>
      <c r="KR65" s="241"/>
      <c r="KU65" s="41"/>
      <c r="KV65" s="241"/>
      <c r="KY65" s="41"/>
      <c r="KZ65" s="241"/>
      <c r="LC65" s="41"/>
      <c r="LD65" s="241"/>
      <c r="MX65" s="45" t="s">
        <v>104</v>
      </c>
      <c r="MY65" s="45" t="s">
        <v>105</v>
      </c>
      <c r="MZ65" s="45" t="s">
        <v>106</v>
      </c>
      <c r="NG65" s="45"/>
      <c r="NH65" s="45" t="s">
        <v>110</v>
      </c>
      <c r="NJ65" t="s">
        <v>81</v>
      </c>
    </row>
    <row r="66" spans="2:374" x14ac:dyDescent="0.25">
      <c r="B66" s="48">
        <v>43146</v>
      </c>
      <c r="C66" s="49">
        <v>13268654.937999999</v>
      </c>
      <c r="D66" s="49">
        <v>14281960</v>
      </c>
      <c r="E66" s="50">
        <v>3000000</v>
      </c>
      <c r="F66" s="50"/>
      <c r="G66" s="50"/>
      <c r="H66" s="50"/>
      <c r="I66" s="41"/>
      <c r="J66" s="41"/>
      <c r="K66" s="241"/>
      <c r="N66" s="41"/>
      <c r="O66" s="41"/>
      <c r="P66" s="241"/>
      <c r="S66" s="41"/>
      <c r="T66" s="41"/>
      <c r="U66" s="241"/>
      <c r="Y66" s="41"/>
      <c r="AD66" s="41"/>
      <c r="AI66" s="41"/>
      <c r="BH66" s="45" t="s">
        <v>104</v>
      </c>
      <c r="BI66" s="45" t="s">
        <v>105</v>
      </c>
      <c r="BJ66" s="45" t="s">
        <v>106</v>
      </c>
      <c r="CA66" s="62" t="s">
        <v>40</v>
      </c>
      <c r="CB66" s="10">
        <v>28</v>
      </c>
      <c r="CC66" s="10">
        <v>34</v>
      </c>
      <c r="CD66" s="63">
        <f t="shared" si="140"/>
        <v>29.26923076923077</v>
      </c>
      <c r="CT66" s="67">
        <v>0.05</v>
      </c>
      <c r="CU66" s="7">
        <v>2.5176745801202833</v>
      </c>
      <c r="CV66" s="68">
        <v>52</v>
      </c>
      <c r="CW66" s="69">
        <f t="shared" ref="CW66:CW73" si="149">CU66/CV66</f>
        <v>4.8416818848466985E-2</v>
      </c>
      <c r="CX66" s="69"/>
      <c r="CY66" s="7">
        <v>4.8416818848466985E-2</v>
      </c>
      <c r="DR66" s="67">
        <v>0.05</v>
      </c>
      <c r="DS66" s="7">
        <v>2.7196343593798886</v>
      </c>
      <c r="DT66" s="68">
        <v>52</v>
      </c>
      <c r="DU66" s="69">
        <f t="shared" ref="DU66:DU73" si="150">DS66/DT66</f>
        <v>5.230066075730555E-2</v>
      </c>
      <c r="DV66" s="69"/>
      <c r="DW66" s="7">
        <v>5.230066075730555E-2</v>
      </c>
      <c r="EQ66" s="67">
        <v>0.05</v>
      </c>
      <c r="ER66" s="7">
        <v>1.3632</v>
      </c>
      <c r="ES66" s="68">
        <v>26</v>
      </c>
      <c r="ET66" s="69">
        <f t="shared" ref="ET66:ET73" si="151">ER66/ES66</f>
        <v>5.2430769230769232E-2</v>
      </c>
      <c r="EU66" s="69"/>
      <c r="EV66" s="7">
        <v>5.2430769230769232E-2</v>
      </c>
      <c r="FL66" s="67">
        <v>0.05</v>
      </c>
      <c r="FM66" s="7">
        <v>1.1803265523410789</v>
      </c>
      <c r="FN66" s="68">
        <v>26</v>
      </c>
      <c r="FO66" s="69">
        <f t="shared" ref="FO66:FO73" si="152">FM66/FN66</f>
        <v>4.5397175090041493E-2</v>
      </c>
      <c r="FP66" s="69"/>
      <c r="FQ66" s="7">
        <v>4.5397175090041493E-2</v>
      </c>
      <c r="GC66" s="67">
        <v>0.05</v>
      </c>
      <c r="GD66" s="7">
        <v>2.9096651194912595</v>
      </c>
      <c r="GE66" s="68">
        <v>52</v>
      </c>
      <c r="GF66" s="69">
        <f t="shared" ref="GF66:GF73" si="153">GD66/GE66</f>
        <v>5.5955098451754989E-2</v>
      </c>
      <c r="GG66" s="69"/>
      <c r="GH66" s="7">
        <v>5.5955098451754989E-2</v>
      </c>
      <c r="IZ66" s="67" t="s">
        <v>30</v>
      </c>
      <c r="JA66" s="7">
        <v>0.27423927858690006</v>
      </c>
      <c r="JB66" s="84">
        <f t="shared" ref="JB66:JB76" si="154">COUNTBLANK($JA$8:$JA$60)</f>
        <v>9</v>
      </c>
      <c r="JC66" s="69">
        <f>JA66/JB66</f>
        <v>3.0471030954100007E-2</v>
      </c>
      <c r="JD66" s="69"/>
      <c r="JE66" s="10">
        <v>3.0471030954100007E-2</v>
      </c>
      <c r="JF66" s="11"/>
      <c r="JG66" s="7">
        <v>2</v>
      </c>
      <c r="JH66" s="7">
        <v>0</v>
      </c>
      <c r="JX66" s="67" t="s">
        <v>30</v>
      </c>
      <c r="JY66" s="7">
        <v>1.4740836850428862</v>
      </c>
      <c r="JZ66" s="84">
        <f>COUNTBLANK($JY$8:$JY$59)</f>
        <v>35</v>
      </c>
      <c r="KA66" s="69">
        <f>JY66/JZ66</f>
        <v>4.2116676715511038E-2</v>
      </c>
      <c r="KB66" s="69"/>
      <c r="KD66" s="7">
        <v>1.2175218934907286</v>
      </c>
      <c r="KE66" s="84">
        <f>COUNTBLANK($JY$8:$JY$59)</f>
        <v>35</v>
      </c>
      <c r="KF66" s="69">
        <f>KD66/KE66</f>
        <v>3.4786339814020815E-2</v>
      </c>
      <c r="KM66" s="41"/>
      <c r="KN66" s="241"/>
      <c r="KQ66" s="41"/>
      <c r="KR66" s="241"/>
      <c r="KU66" s="41"/>
      <c r="KV66" s="241"/>
      <c r="KY66" s="41"/>
      <c r="KZ66" s="241"/>
      <c r="LC66" s="41"/>
      <c r="LD66" s="241"/>
      <c r="MW66" t="s">
        <v>107</v>
      </c>
      <c r="MX66" s="79">
        <f>15/26</f>
        <v>0.57692307692307687</v>
      </c>
      <c r="MY66" s="79">
        <f>11/26</f>
        <v>0.42307692307692307</v>
      </c>
      <c r="NG66" s="45"/>
      <c r="NH66" s="45"/>
    </row>
    <row r="67" spans="2:374" x14ac:dyDescent="0.25">
      <c r="B67" s="48">
        <v>43153</v>
      </c>
      <c r="C67" s="49">
        <v>15915313.997</v>
      </c>
      <c r="D67" s="49">
        <v>17130740</v>
      </c>
      <c r="E67" s="50">
        <v>6000000</v>
      </c>
      <c r="F67" s="50"/>
      <c r="G67" s="50"/>
      <c r="H67" s="50"/>
      <c r="I67" s="41"/>
      <c r="J67" s="41"/>
      <c r="K67" s="241"/>
      <c r="N67" s="41"/>
      <c r="O67" s="41"/>
      <c r="P67" s="241"/>
      <c r="S67" s="41"/>
      <c r="T67" s="41"/>
      <c r="U67" s="241"/>
      <c r="Y67" s="41"/>
      <c r="AD67" s="41"/>
      <c r="AI67" s="41"/>
      <c r="BG67" t="s">
        <v>107</v>
      </c>
      <c r="BH67" s="79">
        <f>41/52</f>
        <v>0.78846153846153844</v>
      </c>
      <c r="BI67" s="79">
        <f>11/52</f>
        <v>0.21153846153846154</v>
      </c>
      <c r="BP67" t="s">
        <v>81</v>
      </c>
      <c r="CK67" t="s">
        <v>81</v>
      </c>
      <c r="CT67" s="67">
        <v>0.1</v>
      </c>
      <c r="CU67" s="7">
        <v>2.6261043791853167</v>
      </c>
      <c r="CV67" s="68">
        <v>52</v>
      </c>
      <c r="CW67" s="69">
        <f t="shared" si="149"/>
        <v>5.0502007292025322E-2</v>
      </c>
      <c r="CX67" s="69"/>
      <c r="CY67" s="7">
        <v>5.0502007292025322E-2</v>
      </c>
      <c r="DR67" s="67">
        <v>0.1</v>
      </c>
      <c r="DS67" s="7">
        <v>2.8447869936396719</v>
      </c>
      <c r="DT67" s="68">
        <v>52</v>
      </c>
      <c r="DU67" s="69">
        <f t="shared" si="150"/>
        <v>5.4707442185378305E-2</v>
      </c>
      <c r="DV67" s="69"/>
      <c r="DW67" s="7">
        <v>5.4707442185378305E-2</v>
      </c>
      <c r="EQ67" s="67">
        <v>0.1</v>
      </c>
      <c r="ER67" s="7">
        <v>1.4335</v>
      </c>
      <c r="ES67" s="68">
        <v>26</v>
      </c>
      <c r="ET67" s="69">
        <f t="shared" si="151"/>
        <v>5.5134615384615386E-2</v>
      </c>
      <c r="EU67" s="69"/>
      <c r="EV67" s="7">
        <v>5.5134615384615386E-2</v>
      </c>
      <c r="FL67" s="67">
        <v>0.1</v>
      </c>
      <c r="FM67" s="7">
        <v>1.2329408456995901</v>
      </c>
      <c r="FN67" s="68">
        <v>26</v>
      </c>
      <c r="FO67" s="69">
        <f t="shared" si="152"/>
        <v>4.7420801757676538E-2</v>
      </c>
      <c r="FP67" s="69"/>
      <c r="FQ67" s="7">
        <v>4.7420801757676538E-2</v>
      </c>
      <c r="GC67" s="67">
        <v>0.1</v>
      </c>
      <c r="GD67" s="7">
        <v>3.037634651608597</v>
      </c>
      <c r="GE67" s="68">
        <v>52</v>
      </c>
      <c r="GF67" s="69">
        <f t="shared" si="153"/>
        <v>5.8416050992473018E-2</v>
      </c>
      <c r="GG67" s="69"/>
      <c r="GH67" s="7">
        <v>5.8416050992473018E-2</v>
      </c>
      <c r="IZ67" s="67">
        <v>0.01</v>
      </c>
      <c r="JA67" s="7">
        <v>0.30653019098955003</v>
      </c>
      <c r="JB67" s="84">
        <f t="shared" si="154"/>
        <v>9</v>
      </c>
      <c r="JC67" s="69">
        <f>JA67/JB67</f>
        <v>3.4058910109950005E-2</v>
      </c>
      <c r="JD67" s="69"/>
      <c r="JE67" s="10">
        <v>3.4058910109950005E-2</v>
      </c>
      <c r="JF67" s="11"/>
      <c r="JG67" s="7">
        <v>4</v>
      </c>
      <c r="JH67" s="7">
        <v>0</v>
      </c>
      <c r="JX67" s="67">
        <v>0.01</v>
      </c>
      <c r="JY67" s="7">
        <v>1.6419839675243719</v>
      </c>
      <c r="JZ67" s="84">
        <f t="shared" ref="JZ67:JZ76" si="155">COUNTBLANK($JY$8:$JY$59)</f>
        <v>35</v>
      </c>
      <c r="KA67" s="69">
        <f>JY67/JZ67</f>
        <v>4.6913827643553487E-2</v>
      </c>
      <c r="KB67" s="69"/>
      <c r="KD67" s="7">
        <v>1.3570691778324013</v>
      </c>
      <c r="KE67" s="84">
        <f t="shared" ref="KE67:KE76" si="156">COUNTBLANK($JY$8:$JY$59)</f>
        <v>35</v>
      </c>
      <c r="KF67" s="69">
        <f>KD67/KE67</f>
        <v>3.8773405080925749E-2</v>
      </c>
      <c r="KM67" s="41"/>
      <c r="KN67" s="241"/>
      <c r="KQ67" s="41"/>
      <c r="KR67" s="241"/>
      <c r="KU67" s="41"/>
      <c r="KV67" s="241"/>
      <c r="KY67" s="41"/>
      <c r="KZ67" s="241"/>
      <c r="LC67" s="41"/>
      <c r="LD67" s="241"/>
    </row>
    <row r="68" spans="2:374" x14ac:dyDescent="0.25">
      <c r="B68" s="48">
        <v>43160</v>
      </c>
      <c r="C68" s="49">
        <v>20082437.704999998</v>
      </c>
      <c r="D68" s="49">
        <v>21616100</v>
      </c>
      <c r="E68" s="50">
        <v>10000000</v>
      </c>
      <c r="F68" s="50"/>
      <c r="G68" s="50"/>
      <c r="H68" s="50"/>
      <c r="I68" s="41"/>
      <c r="J68" s="41"/>
      <c r="K68" s="241"/>
      <c r="N68" s="41"/>
      <c r="O68" s="41"/>
      <c r="P68" s="241"/>
      <c r="S68" s="41"/>
      <c r="T68" s="41"/>
      <c r="U68" s="241"/>
      <c r="Y68" s="41"/>
      <c r="AD68" s="41"/>
      <c r="AI68" s="41"/>
      <c r="CT68" s="67">
        <v>0.25</v>
      </c>
      <c r="CU68" s="7">
        <v>2.8448489682389617</v>
      </c>
      <c r="CV68" s="68">
        <v>52</v>
      </c>
      <c r="CW68" s="69">
        <f t="shared" si="149"/>
        <v>5.470863400459542E-2</v>
      </c>
      <c r="CX68" s="69"/>
      <c r="CY68" s="7">
        <v>5.470863400459542E-2</v>
      </c>
      <c r="DR68" s="67">
        <v>0.25</v>
      </c>
      <c r="DS68" s="7">
        <v>3.087653522188595</v>
      </c>
      <c r="DT68" s="68">
        <v>52</v>
      </c>
      <c r="DU68" s="69">
        <f t="shared" si="150"/>
        <v>5.9377952349780674E-2</v>
      </c>
      <c r="DV68" s="69"/>
      <c r="DW68" s="7">
        <v>5.9377952349780674E-2</v>
      </c>
      <c r="EQ68" s="67">
        <v>0.25</v>
      </c>
      <c r="ER68" s="7">
        <v>1.5716000000000001</v>
      </c>
      <c r="ES68" s="68">
        <v>26</v>
      </c>
      <c r="ET68" s="69">
        <f t="shared" si="151"/>
        <v>6.0446153846153851E-2</v>
      </c>
      <c r="EU68" s="69"/>
      <c r="EV68" s="7">
        <v>6.0446153846153851E-2</v>
      </c>
      <c r="FL68" s="67">
        <v>0.25</v>
      </c>
      <c r="FM68" s="7">
        <v>1.3416944250023144</v>
      </c>
      <c r="FN68" s="68">
        <v>26</v>
      </c>
      <c r="FO68" s="69">
        <f t="shared" si="152"/>
        <v>5.1603631730858246E-2</v>
      </c>
      <c r="FP68" s="69"/>
      <c r="FQ68" s="7">
        <v>5.1603631730858246E-2</v>
      </c>
      <c r="GC68" s="67">
        <v>0.25</v>
      </c>
      <c r="GD68" s="7">
        <v>3.278084985092923</v>
      </c>
      <c r="GE68" s="68">
        <v>52</v>
      </c>
      <c r="GF68" s="69">
        <f t="shared" si="153"/>
        <v>6.3040095867171603E-2</v>
      </c>
      <c r="GG68" s="69"/>
      <c r="GH68" s="7">
        <v>6.3040095867171603E-2</v>
      </c>
      <c r="IZ68" s="67">
        <v>0.05</v>
      </c>
      <c r="JA68" s="7">
        <v>0.34477108412669999</v>
      </c>
      <c r="JB68" s="84">
        <f t="shared" si="154"/>
        <v>9</v>
      </c>
      <c r="JC68" s="69">
        <f t="shared" ref="JC68:JC75" si="157">JA68/JB68</f>
        <v>3.83078982363E-2</v>
      </c>
      <c r="JD68" s="69"/>
      <c r="JE68" s="10">
        <v>3.83078982363E-2</v>
      </c>
      <c r="JF68" s="11"/>
      <c r="JG68" s="7">
        <v>5</v>
      </c>
      <c r="JH68" s="7">
        <v>0</v>
      </c>
      <c r="JX68" s="67">
        <v>0.05</v>
      </c>
      <c r="JY68" s="7">
        <v>1.8201594958311291</v>
      </c>
      <c r="JZ68" s="84">
        <f t="shared" si="155"/>
        <v>35</v>
      </c>
      <c r="KA68" s="69">
        <f t="shared" ref="KA68:KA75" si="158">JY68/JZ68</f>
        <v>5.2004557023746546E-2</v>
      </c>
      <c r="KB68" s="69"/>
      <c r="KD68" s="7">
        <v>1.4711413158927578</v>
      </c>
      <c r="KE68" s="84">
        <f t="shared" si="156"/>
        <v>35</v>
      </c>
      <c r="KF68" s="69">
        <f t="shared" ref="KF68:KF75" si="159">KD68/KE68</f>
        <v>4.2032609025507366E-2</v>
      </c>
      <c r="KM68" s="41"/>
      <c r="KN68" s="241"/>
      <c r="KQ68" s="41"/>
      <c r="KR68" s="241"/>
      <c r="KU68" s="41"/>
      <c r="KV68" s="241"/>
      <c r="KY68" s="41"/>
      <c r="KZ68" s="241"/>
      <c r="LC68" s="41"/>
      <c r="LD68" s="241"/>
      <c r="MW68" s="64" t="s">
        <v>30</v>
      </c>
      <c r="MX68" s="10">
        <v>0.43130834089200015</v>
      </c>
      <c r="MY68" s="10">
        <v>0.55429758332299994</v>
      </c>
      <c r="MZ68" s="63">
        <f t="shared" ref="MZ68:MZ78" si="160">MX$66*MX68+MY$66*MY68</f>
        <v>0.48334225115126928</v>
      </c>
    </row>
    <row r="69" spans="2:374" x14ac:dyDescent="0.25">
      <c r="B69" s="48">
        <v>43167</v>
      </c>
      <c r="C69" s="49">
        <v>25385464.395499997</v>
      </c>
      <c r="D69" s="49">
        <v>27324110</v>
      </c>
      <c r="E69" s="50">
        <v>16000000</v>
      </c>
      <c r="F69" s="50"/>
      <c r="G69" s="50"/>
      <c r="H69" s="50"/>
      <c r="I69" s="41"/>
      <c r="J69" s="41"/>
      <c r="K69" s="241"/>
      <c r="N69" s="41"/>
      <c r="O69" s="41"/>
      <c r="P69" s="241"/>
      <c r="S69" s="41"/>
      <c r="T69" s="41"/>
      <c r="U69" s="241"/>
      <c r="Y69" s="41"/>
      <c r="AD69" s="41"/>
      <c r="AI69" s="41"/>
      <c r="BG69" s="64" t="s">
        <v>30</v>
      </c>
      <c r="BH69" s="10">
        <v>0.83517709635479209</v>
      </c>
      <c r="BI69" s="10">
        <v>1.0895535119590003</v>
      </c>
      <c r="BJ69" s="63">
        <f t="shared" ref="BJ69:BJ79" si="161">BH$67*BH69+BI$67*BI69</f>
        <v>0.88898749196337468</v>
      </c>
      <c r="BP69" s="40" t="s">
        <v>305</v>
      </c>
      <c r="BZ69" s="59" t="s">
        <v>287</v>
      </c>
      <c r="CA69" s="64" t="s">
        <v>30</v>
      </c>
      <c r="CB69" s="63">
        <f t="shared" ref="CB69:CD79" si="162">CB97</f>
        <v>0</v>
      </c>
      <c r="CC69" s="63">
        <f t="shared" si="162"/>
        <v>0</v>
      </c>
      <c r="CD69" s="63">
        <f t="shared" si="162"/>
        <v>0</v>
      </c>
      <c r="CE69" s="10">
        <v>0</v>
      </c>
      <c r="CF69" s="10">
        <v>1</v>
      </c>
      <c r="CG69" s="10">
        <v>1</v>
      </c>
      <c r="CH69" s="10">
        <v>1</v>
      </c>
      <c r="CI69" s="10">
        <v>1</v>
      </c>
      <c r="CK69" s="40" t="s">
        <v>305</v>
      </c>
      <c r="CT69" s="67">
        <v>0.5</v>
      </c>
      <c r="CU69" s="7">
        <v>3.1309048613443902</v>
      </c>
      <c r="CV69" s="68">
        <v>52</v>
      </c>
      <c r="CW69" s="69">
        <f t="shared" si="149"/>
        <v>6.0209708872007502E-2</v>
      </c>
      <c r="CX69" s="69"/>
      <c r="CY69" s="7">
        <v>6.0209708872007502E-2</v>
      </c>
      <c r="DR69" s="67">
        <v>0.5</v>
      </c>
      <c r="DS69" s="7">
        <v>3.393172168000592</v>
      </c>
      <c r="DT69" s="68">
        <v>52</v>
      </c>
      <c r="DU69" s="69">
        <f t="shared" si="150"/>
        <v>6.5253310923088309E-2</v>
      </c>
      <c r="DV69" s="69"/>
      <c r="DW69" s="7">
        <v>6.5253310923088309E-2</v>
      </c>
      <c r="EQ69" s="67">
        <v>0.5</v>
      </c>
      <c r="ER69" s="7">
        <v>1.7706</v>
      </c>
      <c r="ES69" s="68">
        <v>26</v>
      </c>
      <c r="ET69" s="69">
        <f t="shared" si="151"/>
        <v>6.8099999999999994E-2</v>
      </c>
      <c r="EU69" s="69"/>
      <c r="EV69" s="7">
        <v>6.8099999999999994E-2</v>
      </c>
      <c r="FL69" s="67">
        <v>0.5</v>
      </c>
      <c r="FM69" s="7">
        <v>1.5091283225477279</v>
      </c>
      <c r="FN69" s="68">
        <v>26</v>
      </c>
      <c r="FO69" s="69">
        <f t="shared" si="152"/>
        <v>5.8043397021066458E-2</v>
      </c>
      <c r="FP69" s="69"/>
      <c r="FQ69" s="7">
        <v>5.8043397021066458E-2</v>
      </c>
      <c r="GC69" s="67">
        <v>0.5</v>
      </c>
      <c r="GD69" s="7">
        <v>3.5803779176811688</v>
      </c>
      <c r="GE69" s="68">
        <v>52</v>
      </c>
      <c r="GF69" s="69">
        <f t="shared" si="153"/>
        <v>6.8853421493868625E-2</v>
      </c>
      <c r="GG69" s="69"/>
      <c r="GH69" s="7">
        <v>6.8853421493868625E-2</v>
      </c>
      <c r="IZ69" s="67">
        <v>0.1</v>
      </c>
      <c r="JA69" s="7">
        <v>0.37158897919110001</v>
      </c>
      <c r="JB69" s="84">
        <f t="shared" si="154"/>
        <v>9</v>
      </c>
      <c r="JC69" s="69">
        <f t="shared" si="157"/>
        <v>4.1287664354566669E-2</v>
      </c>
      <c r="JD69" s="69"/>
      <c r="JE69" s="10">
        <v>4.1287664354566669E-2</v>
      </c>
      <c r="JF69" s="11"/>
      <c r="JG69" s="7">
        <v>5</v>
      </c>
      <c r="JH69" s="7">
        <v>0</v>
      </c>
      <c r="JX69" s="67">
        <v>0.1</v>
      </c>
      <c r="JY69" s="7">
        <v>1.9151132457799573</v>
      </c>
      <c r="JZ69" s="84">
        <f t="shared" si="155"/>
        <v>35</v>
      </c>
      <c r="KA69" s="69">
        <f t="shared" si="158"/>
        <v>5.4717521307998784E-2</v>
      </c>
      <c r="KB69" s="69"/>
      <c r="KD69" s="7">
        <v>1.5426249814551718</v>
      </c>
      <c r="KE69" s="84">
        <f t="shared" si="156"/>
        <v>35</v>
      </c>
      <c r="KF69" s="69">
        <f t="shared" si="159"/>
        <v>4.4074999470147765E-2</v>
      </c>
      <c r="KM69" s="41"/>
      <c r="KN69" s="241"/>
      <c r="KQ69" s="41"/>
      <c r="KR69" s="241"/>
      <c r="KU69" s="41"/>
      <c r="KV69" s="241"/>
      <c r="KY69" s="41"/>
      <c r="KZ69" s="241"/>
      <c r="LC69" s="41"/>
      <c r="LD69" s="241"/>
      <c r="MW69" s="62" t="s">
        <v>31</v>
      </c>
      <c r="MX69" s="10">
        <v>0.47582013595966688</v>
      </c>
      <c r="MY69" s="10">
        <v>0.63579003038100002</v>
      </c>
      <c r="MZ69" s="63">
        <f t="shared" si="160"/>
        <v>0.5434997066763847</v>
      </c>
      <c r="NJ69" s="40" t="s">
        <v>306</v>
      </c>
    </row>
    <row r="70" spans="2:374" x14ac:dyDescent="0.25">
      <c r="B70" s="48">
        <v>43174</v>
      </c>
      <c r="C70" s="49">
        <v>38932193.288999997</v>
      </c>
      <c r="D70" s="49">
        <v>41905380</v>
      </c>
      <c r="E70" s="50">
        <v>27000000</v>
      </c>
      <c r="F70" s="50"/>
      <c r="G70" s="50"/>
      <c r="H70" s="50"/>
      <c r="I70" s="41"/>
      <c r="J70" s="41"/>
      <c r="K70" s="241"/>
      <c r="N70" s="41"/>
      <c r="O70" s="41"/>
      <c r="P70" s="241"/>
      <c r="S70" s="41"/>
      <c r="T70" s="41"/>
      <c r="U70" s="241"/>
      <c r="Y70" s="41"/>
      <c r="AD70" s="41"/>
      <c r="AI70" s="41"/>
      <c r="BG70" s="62" t="s">
        <v>31</v>
      </c>
      <c r="BH70" s="10">
        <v>0.91740745353491715</v>
      </c>
      <c r="BI70" s="10">
        <v>1.3229397176779525</v>
      </c>
      <c r="BJ70" s="63">
        <f t="shared" si="161"/>
        <v>1.0031931247959438</v>
      </c>
      <c r="BZ70" s="60"/>
      <c r="CA70" s="62" t="s">
        <v>31</v>
      </c>
      <c r="CB70" s="63">
        <f t="shared" si="162"/>
        <v>0</v>
      </c>
      <c r="CC70" s="63">
        <f t="shared" si="162"/>
        <v>0</v>
      </c>
      <c r="CD70" s="63">
        <f t="shared" si="162"/>
        <v>0</v>
      </c>
      <c r="CE70" s="10">
        <v>1</v>
      </c>
      <c r="CF70" s="10">
        <v>3</v>
      </c>
      <c r="CG70" s="10">
        <v>3</v>
      </c>
      <c r="CH70" s="10">
        <v>4</v>
      </c>
      <c r="CI70" s="10">
        <v>2</v>
      </c>
      <c r="CT70" s="67">
        <v>0.75</v>
      </c>
      <c r="CU70" s="7">
        <v>3.4440917441693273</v>
      </c>
      <c r="CV70" s="68">
        <v>52</v>
      </c>
      <c r="CW70" s="69">
        <f t="shared" si="149"/>
        <v>6.6232533541717833E-2</v>
      </c>
      <c r="CX70" s="69"/>
      <c r="CY70" s="7">
        <v>6.6232533541717833E-2</v>
      </c>
      <c r="DR70" s="67">
        <v>0.75</v>
      </c>
      <c r="DS70" s="7">
        <v>3.738491387828069</v>
      </c>
      <c r="DT70" s="68">
        <v>52</v>
      </c>
      <c r="DU70" s="69">
        <f t="shared" si="150"/>
        <v>7.1894065150539782E-2</v>
      </c>
      <c r="DV70" s="69"/>
      <c r="DW70" s="7">
        <v>7.1894065150539782E-2</v>
      </c>
      <c r="EQ70" s="67">
        <v>0.75</v>
      </c>
      <c r="ER70" s="7">
        <v>2.0129000000000001</v>
      </c>
      <c r="ES70" s="68">
        <v>26</v>
      </c>
      <c r="ET70" s="69">
        <f t="shared" si="151"/>
        <v>7.7419230769230768E-2</v>
      </c>
      <c r="EU70" s="69"/>
      <c r="EV70" s="7">
        <v>7.7419230769230768E-2</v>
      </c>
      <c r="FL70" s="67">
        <v>0.75</v>
      </c>
      <c r="FM70" s="7">
        <v>1.7343874442074971</v>
      </c>
      <c r="FN70" s="68">
        <v>26</v>
      </c>
      <c r="FO70" s="69">
        <f t="shared" si="152"/>
        <v>6.6707209392596042E-2</v>
      </c>
      <c r="FP70" s="69"/>
      <c r="FQ70" s="7">
        <v>6.6707209392596042E-2</v>
      </c>
      <c r="GC70" s="67">
        <v>0.75</v>
      </c>
      <c r="GD70" s="7">
        <v>3.9403585179578395</v>
      </c>
      <c r="GE70" s="68">
        <v>52</v>
      </c>
      <c r="GF70" s="69">
        <f t="shared" si="153"/>
        <v>7.5776125345343073E-2</v>
      </c>
      <c r="GG70" s="69"/>
      <c r="GH70" s="7">
        <v>7.5776125345343073E-2</v>
      </c>
      <c r="IZ70" s="67">
        <v>0.25</v>
      </c>
      <c r="JA70" s="7">
        <v>0.41628340228860006</v>
      </c>
      <c r="JB70" s="84">
        <f t="shared" si="154"/>
        <v>9</v>
      </c>
      <c r="JC70" s="69">
        <f t="shared" si="157"/>
        <v>4.6253711365400005E-2</v>
      </c>
      <c r="JD70" s="69"/>
      <c r="JE70" s="10">
        <v>4.6253711365400005E-2</v>
      </c>
      <c r="JF70" s="11"/>
      <c r="JG70" s="7">
        <v>6</v>
      </c>
      <c r="JH70" s="7">
        <v>1</v>
      </c>
      <c r="JX70" s="67">
        <v>0.25</v>
      </c>
      <c r="JY70" s="7">
        <v>2.1034141600291285</v>
      </c>
      <c r="JZ70" s="84">
        <f t="shared" si="155"/>
        <v>35</v>
      </c>
      <c r="KA70" s="69">
        <f t="shared" si="158"/>
        <v>6.0097547429403674E-2</v>
      </c>
      <c r="KB70" s="69"/>
      <c r="KD70" s="7">
        <v>1.6845436995088432</v>
      </c>
      <c r="KE70" s="84">
        <f t="shared" si="156"/>
        <v>35</v>
      </c>
      <c r="KF70" s="69">
        <f t="shared" si="159"/>
        <v>4.8129819985966951E-2</v>
      </c>
      <c r="KM70" s="41"/>
      <c r="KN70" s="241"/>
      <c r="KQ70" s="41"/>
      <c r="KR70" s="241"/>
      <c r="KU70" s="41"/>
      <c r="KV70" s="241"/>
      <c r="KY70" s="41"/>
      <c r="KZ70" s="241"/>
      <c r="LC70" s="41"/>
      <c r="LD70" s="241"/>
      <c r="MW70" s="62" t="s">
        <v>32</v>
      </c>
      <c r="MX70" s="10">
        <v>0.50838290614173354</v>
      </c>
      <c r="MY70" s="10">
        <v>0.71120310195319014</v>
      </c>
      <c r="MZ70" s="63">
        <f t="shared" si="160"/>
        <v>0.59419145052350353</v>
      </c>
    </row>
    <row r="71" spans="2:374" x14ac:dyDescent="0.25">
      <c r="B71" s="48">
        <v>43181</v>
      </c>
      <c r="C71" s="49">
        <v>48443528.473999999</v>
      </c>
      <c r="D71" s="49">
        <v>52143080</v>
      </c>
      <c r="E71" s="50">
        <v>40000000</v>
      </c>
      <c r="F71" s="50"/>
      <c r="G71" s="50"/>
      <c r="H71" s="50"/>
      <c r="I71" s="41"/>
      <c r="J71" s="41"/>
      <c r="K71" s="241"/>
      <c r="N71" s="41"/>
      <c r="O71" s="41"/>
      <c r="P71" s="241"/>
      <c r="S71" s="41"/>
      <c r="T71" s="41"/>
      <c r="U71" s="241"/>
      <c r="Y71" s="41"/>
      <c r="AD71" s="41"/>
      <c r="AI71" s="41"/>
      <c r="BG71" s="62" t="s">
        <v>32</v>
      </c>
      <c r="BH71" s="10">
        <v>0.98038876198321712</v>
      </c>
      <c r="BI71" s="10">
        <v>1.4407484359578204</v>
      </c>
      <c r="BJ71" s="63">
        <f t="shared" si="161"/>
        <v>1.0777725391701525</v>
      </c>
      <c r="BZ71" s="60"/>
      <c r="CA71" s="62" t="s">
        <v>32</v>
      </c>
      <c r="CB71" s="63">
        <f t="shared" si="162"/>
        <v>0</v>
      </c>
      <c r="CC71" s="63">
        <f t="shared" si="162"/>
        <v>2</v>
      </c>
      <c r="CD71" s="63">
        <f t="shared" si="162"/>
        <v>0.42307692307692307</v>
      </c>
      <c r="CE71" s="10">
        <v>2</v>
      </c>
      <c r="CF71" s="10">
        <v>5</v>
      </c>
      <c r="CG71" s="10">
        <v>5</v>
      </c>
      <c r="CH71" s="10">
        <v>5</v>
      </c>
      <c r="CI71" s="10">
        <v>4</v>
      </c>
      <c r="CT71" s="67">
        <v>0.9</v>
      </c>
      <c r="CU71" s="7">
        <v>3.7759718488560368</v>
      </c>
      <c r="CV71" s="68">
        <v>52</v>
      </c>
      <c r="CW71" s="69">
        <f t="shared" si="149"/>
        <v>7.261484324723147E-2</v>
      </c>
      <c r="CX71" s="69"/>
      <c r="CY71" s="7">
        <v>7.261484324723147E-2</v>
      </c>
      <c r="DR71" s="67">
        <v>0.9</v>
      </c>
      <c r="DS71" s="7">
        <v>4.1057601944604976</v>
      </c>
      <c r="DT71" s="68">
        <v>52</v>
      </c>
      <c r="DU71" s="69">
        <f t="shared" si="150"/>
        <v>7.8956926816548034E-2</v>
      </c>
      <c r="DV71" s="69"/>
      <c r="DW71" s="7">
        <v>7.8956926816548034E-2</v>
      </c>
      <c r="EQ71" s="67">
        <v>0.9</v>
      </c>
      <c r="ER71" s="7">
        <v>2.2898000000000001</v>
      </c>
      <c r="ES71" s="68">
        <v>26</v>
      </c>
      <c r="ET71" s="69">
        <f t="shared" si="151"/>
        <v>8.8069230769230775E-2</v>
      </c>
      <c r="EU71" s="69"/>
      <c r="EV71" s="7">
        <v>8.8069230769230775E-2</v>
      </c>
      <c r="FL71" s="67">
        <v>0.9</v>
      </c>
      <c r="FM71" s="7">
        <v>1.9623453397844028</v>
      </c>
      <c r="FN71" s="68">
        <v>26</v>
      </c>
      <c r="FO71" s="69">
        <f t="shared" si="152"/>
        <v>7.5474820760938574E-2</v>
      </c>
      <c r="FP71" s="69"/>
      <c r="FQ71" s="7">
        <v>7.5474820760938574E-2</v>
      </c>
      <c r="GC71" s="67">
        <v>0.9</v>
      </c>
      <c r="GD71" s="7">
        <v>4.3097527947832752</v>
      </c>
      <c r="GE71" s="68">
        <v>52</v>
      </c>
      <c r="GF71" s="69">
        <f t="shared" si="153"/>
        <v>8.2879861438139912E-2</v>
      </c>
      <c r="GG71" s="69"/>
      <c r="GH71" s="7">
        <v>8.2879861438139912E-2</v>
      </c>
      <c r="IZ71" s="67">
        <v>0.5</v>
      </c>
      <c r="JA71" s="7">
        <v>0.48830097132960004</v>
      </c>
      <c r="JB71" s="84">
        <f t="shared" si="154"/>
        <v>9</v>
      </c>
      <c r="JC71" s="69">
        <f t="shared" si="157"/>
        <v>5.4255663481066668E-2</v>
      </c>
      <c r="JD71" s="69"/>
      <c r="JE71" s="10">
        <v>5.4255663481066668E-2</v>
      </c>
      <c r="JF71" s="11"/>
      <c r="JG71" s="7">
        <v>7</v>
      </c>
      <c r="JH71" s="7">
        <v>2</v>
      </c>
      <c r="JW71">
        <f>1204.6122672672/1000</f>
        <v>1.2046122672671999</v>
      </c>
      <c r="JX71" s="67">
        <v>0.5</v>
      </c>
      <c r="JY71" s="7">
        <v>2.3649301343669573</v>
      </c>
      <c r="JZ71" s="84">
        <f t="shared" si="155"/>
        <v>35</v>
      </c>
      <c r="KA71" s="69">
        <f t="shared" si="158"/>
        <v>6.7569432410484492E-2</v>
      </c>
      <c r="KB71" s="10">
        <v>6.7569432410484492E-2</v>
      </c>
      <c r="KD71" s="7">
        <v>1.883424402413886</v>
      </c>
      <c r="KE71" s="84">
        <f t="shared" si="156"/>
        <v>35</v>
      </c>
      <c r="KF71" s="69">
        <f t="shared" si="159"/>
        <v>5.3812125783253888E-2</v>
      </c>
      <c r="KG71" s="10">
        <v>5.3812125783253888E-2</v>
      </c>
      <c r="KM71" s="41"/>
      <c r="KN71" s="241"/>
      <c r="KQ71" s="41"/>
      <c r="KR71" s="241"/>
      <c r="KU71" s="41"/>
      <c r="KV71" s="241"/>
      <c r="KY71" s="41"/>
      <c r="KZ71" s="241"/>
      <c r="LC71" s="41"/>
      <c r="LD71" s="241"/>
      <c r="MW71" s="62" t="s">
        <v>33</v>
      </c>
      <c r="MX71" s="10">
        <v>0.53006193051716699</v>
      </c>
      <c r="MY71" s="10">
        <v>0.7520261076064001</v>
      </c>
      <c r="MZ71" s="63">
        <f t="shared" si="160"/>
        <v>0.62396985159338092</v>
      </c>
    </row>
    <row r="72" spans="2:374" x14ac:dyDescent="0.25">
      <c r="B72" s="48">
        <v>43188</v>
      </c>
      <c r="C72" s="49">
        <v>14010287.681499999</v>
      </c>
      <c r="D72" s="49">
        <v>15080230</v>
      </c>
      <c r="E72" s="50">
        <v>3000000</v>
      </c>
      <c r="F72" s="50"/>
      <c r="G72" s="50"/>
      <c r="H72" s="50"/>
      <c r="I72" s="41"/>
      <c r="J72" s="41"/>
      <c r="K72" s="241"/>
      <c r="N72" s="41"/>
      <c r="O72" s="41"/>
      <c r="P72" s="241"/>
      <c r="S72" s="41"/>
      <c r="T72" s="41"/>
      <c r="U72" s="241"/>
      <c r="Y72" s="41"/>
      <c r="AD72" s="41"/>
      <c r="AI72" s="41"/>
      <c r="BG72" s="62" t="s">
        <v>33</v>
      </c>
      <c r="BH72" s="10">
        <v>1.0153611971345704</v>
      </c>
      <c r="BI72" s="10">
        <v>1.5165077630769008</v>
      </c>
      <c r="BJ72" s="63">
        <f t="shared" si="161"/>
        <v>1.1213729706992941</v>
      </c>
      <c r="BZ72" s="60"/>
      <c r="CA72" s="62" t="s">
        <v>33</v>
      </c>
      <c r="CB72" s="63">
        <f t="shared" si="162"/>
        <v>0</v>
      </c>
      <c r="CC72" s="63">
        <f t="shared" si="162"/>
        <v>2</v>
      </c>
      <c r="CD72" s="63">
        <f t="shared" si="162"/>
        <v>0.42307692307692307</v>
      </c>
      <c r="CE72" s="10">
        <v>3</v>
      </c>
      <c r="CF72" s="10">
        <v>6</v>
      </c>
      <c r="CG72" s="10">
        <v>6</v>
      </c>
      <c r="CH72" s="10">
        <v>6</v>
      </c>
      <c r="CI72" s="10">
        <v>4</v>
      </c>
      <c r="CT72" s="67">
        <v>0.95</v>
      </c>
      <c r="CU72" s="7">
        <v>3.9745915521120394</v>
      </c>
      <c r="CV72" s="68">
        <v>52</v>
      </c>
      <c r="CW72" s="69">
        <f t="shared" si="149"/>
        <v>7.643445292523153E-2</v>
      </c>
      <c r="CX72" s="69"/>
      <c r="CY72" s="7">
        <v>7.643445292523153E-2</v>
      </c>
      <c r="DR72" s="67">
        <v>0.95</v>
      </c>
      <c r="DS72" s="7">
        <v>4.3279311212306348</v>
      </c>
      <c r="DT72" s="68">
        <v>52</v>
      </c>
      <c r="DU72" s="69">
        <f t="shared" si="150"/>
        <v>8.3229444639050673E-2</v>
      </c>
      <c r="DV72" s="69"/>
      <c r="DW72" s="7">
        <v>8.3229444639050673E-2</v>
      </c>
      <c r="EQ72" s="67">
        <v>0.95</v>
      </c>
      <c r="ER72" s="7">
        <v>2.4641000000000002</v>
      </c>
      <c r="ES72" s="68">
        <v>26</v>
      </c>
      <c r="ET72" s="69">
        <f t="shared" si="151"/>
        <v>9.4773076923076932E-2</v>
      </c>
      <c r="EU72" s="69"/>
      <c r="EV72" s="7">
        <v>9.4773076923076932E-2</v>
      </c>
      <c r="FL72" s="67">
        <v>0.95</v>
      </c>
      <c r="FM72" s="7">
        <v>2.1400501445495919</v>
      </c>
      <c r="FN72" s="68">
        <v>26</v>
      </c>
      <c r="FO72" s="69">
        <f t="shared" si="152"/>
        <v>8.2309620944215067E-2</v>
      </c>
      <c r="FP72" s="69"/>
      <c r="FQ72" s="7">
        <v>8.2309620944215067E-2</v>
      </c>
      <c r="GC72" s="67">
        <v>0.95</v>
      </c>
      <c r="GD72" s="7">
        <v>4.540015297219103</v>
      </c>
      <c r="GE72" s="68">
        <v>52</v>
      </c>
      <c r="GF72" s="69">
        <f t="shared" si="153"/>
        <v>8.7307986484982752E-2</v>
      </c>
      <c r="GG72" s="69"/>
      <c r="GH72" s="7">
        <v>8.7307986484982752E-2</v>
      </c>
      <c r="IZ72" s="67">
        <v>0.75</v>
      </c>
      <c r="JA72" s="7">
        <v>0.59805418262865007</v>
      </c>
      <c r="JB72" s="84">
        <f t="shared" si="154"/>
        <v>9</v>
      </c>
      <c r="JC72" s="69">
        <f t="shared" si="157"/>
        <v>6.6450464736516668E-2</v>
      </c>
      <c r="JD72" s="69"/>
      <c r="JE72" s="10">
        <v>6.6450464736516668E-2</v>
      </c>
      <c r="JF72" s="11"/>
      <c r="JG72" s="7">
        <v>8</v>
      </c>
      <c r="JH72" s="7">
        <v>3</v>
      </c>
      <c r="JW72" s="63"/>
      <c r="JX72" s="67">
        <v>0.75</v>
      </c>
      <c r="JY72" s="7">
        <v>2.6803849475478434</v>
      </c>
      <c r="JZ72" s="84">
        <f t="shared" si="155"/>
        <v>35</v>
      </c>
      <c r="KA72" s="69">
        <f t="shared" si="158"/>
        <v>7.6582427072795528E-2</v>
      </c>
      <c r="KB72" s="69"/>
      <c r="KD72" s="7">
        <v>2.1426472431316212</v>
      </c>
      <c r="KE72" s="84">
        <f t="shared" si="156"/>
        <v>35</v>
      </c>
      <c r="KF72" s="69">
        <f t="shared" si="159"/>
        <v>6.1218492660903463E-2</v>
      </c>
      <c r="KM72" s="41"/>
      <c r="KN72" s="241"/>
      <c r="KQ72" s="41"/>
      <c r="KR72" s="241"/>
      <c r="KU72" s="41"/>
      <c r="KV72" s="241"/>
      <c r="KY72" s="41"/>
      <c r="KZ72" s="241"/>
      <c r="LC72" s="41"/>
      <c r="LD72" s="241"/>
      <c r="MW72" s="62" t="s">
        <v>34</v>
      </c>
      <c r="MX72" s="10">
        <v>0.57807239472100036</v>
      </c>
      <c r="MY72" s="10">
        <v>0.83556294077520021</v>
      </c>
      <c r="MZ72" s="63">
        <f t="shared" si="160"/>
        <v>0.68701070266700803</v>
      </c>
    </row>
    <row r="73" spans="2:374" x14ac:dyDescent="0.25">
      <c r="B73" s="48">
        <v>43195</v>
      </c>
      <c r="C73" s="49">
        <v>17016981.487</v>
      </c>
      <c r="D73" s="49">
        <v>18316540</v>
      </c>
      <c r="E73" s="50">
        <v>6000000</v>
      </c>
      <c r="F73" s="50"/>
      <c r="G73" s="50"/>
      <c r="H73" s="50"/>
      <c r="I73" s="41"/>
      <c r="J73" s="41"/>
      <c r="K73" s="241"/>
      <c r="N73" s="41"/>
      <c r="O73" s="41"/>
      <c r="P73" s="241"/>
      <c r="S73" s="41"/>
      <c r="T73" s="41"/>
      <c r="U73" s="241"/>
      <c r="Y73" s="41"/>
      <c r="AD73" s="41"/>
      <c r="AI73" s="41"/>
      <c r="BG73" s="62" t="s">
        <v>34</v>
      </c>
      <c r="BH73" s="10">
        <v>1.0849686047811882</v>
      </c>
      <c r="BI73" s="10">
        <v>1.6775988471341006</v>
      </c>
      <c r="BJ73" s="63">
        <f t="shared" si="161"/>
        <v>1.2103326945096888</v>
      </c>
      <c r="BZ73" s="60"/>
      <c r="CA73" s="62" t="s">
        <v>34</v>
      </c>
      <c r="CB73" s="63">
        <f t="shared" si="162"/>
        <v>1</v>
      </c>
      <c r="CC73" s="63">
        <f t="shared" si="162"/>
        <v>4</v>
      </c>
      <c r="CD73" s="63">
        <f t="shared" si="162"/>
        <v>1.6346153846153846</v>
      </c>
      <c r="CE73" s="10">
        <v>5</v>
      </c>
      <c r="CF73" s="10">
        <v>8</v>
      </c>
      <c r="CG73" s="10">
        <v>8</v>
      </c>
      <c r="CH73" s="10">
        <v>8</v>
      </c>
      <c r="CI73" s="10">
        <v>6</v>
      </c>
      <c r="CT73" s="67">
        <v>0.99</v>
      </c>
      <c r="CU73" s="7">
        <v>4.4058892007265182</v>
      </c>
      <c r="CV73" s="68">
        <v>52</v>
      </c>
      <c r="CW73" s="69">
        <f t="shared" si="149"/>
        <v>8.472863847550996E-2</v>
      </c>
      <c r="CX73" s="69"/>
      <c r="CY73" s="7">
        <v>8.472863847550996E-2</v>
      </c>
      <c r="DR73" s="67">
        <v>0.99</v>
      </c>
      <c r="DS73" s="7">
        <v>4.7587621792180261</v>
      </c>
      <c r="DT73" s="68">
        <v>52</v>
      </c>
      <c r="DU73" s="69">
        <f t="shared" si="150"/>
        <v>9.1514657292654344E-2</v>
      </c>
      <c r="DV73" s="69"/>
      <c r="DW73" s="7">
        <v>9.1514657292654344E-2</v>
      </c>
      <c r="EQ73" s="67">
        <v>0.99</v>
      </c>
      <c r="ER73" s="7">
        <v>2.8532000000000002</v>
      </c>
      <c r="ES73" s="68">
        <v>26</v>
      </c>
      <c r="ET73" s="69">
        <f t="shared" si="151"/>
        <v>0.10973846153846155</v>
      </c>
      <c r="EU73" s="69"/>
      <c r="EV73" s="7">
        <v>0.10973846153846155</v>
      </c>
      <c r="FL73" s="67">
        <v>0.99</v>
      </c>
      <c r="FM73" s="7">
        <v>2.5157201184231139</v>
      </c>
      <c r="FN73" s="68">
        <v>26</v>
      </c>
      <c r="FO73" s="69">
        <f t="shared" si="152"/>
        <v>9.6758466093196688E-2</v>
      </c>
      <c r="FP73" s="69"/>
      <c r="FQ73" s="7">
        <v>9.6758466093196688E-2</v>
      </c>
      <c r="GC73" s="67">
        <v>0.99</v>
      </c>
      <c r="GD73" s="7">
        <v>5.0046928928692171</v>
      </c>
      <c r="GE73" s="68">
        <v>52</v>
      </c>
      <c r="GF73" s="69">
        <f t="shared" si="153"/>
        <v>9.6244094093638793E-2</v>
      </c>
      <c r="GG73" s="69"/>
      <c r="GH73" s="7">
        <v>9.6244094093638793E-2</v>
      </c>
      <c r="IZ73" s="67">
        <v>0.9</v>
      </c>
      <c r="JA73" s="7">
        <v>0.80511991841325004</v>
      </c>
      <c r="JB73" s="84">
        <f t="shared" si="154"/>
        <v>9</v>
      </c>
      <c r="JC73" s="69">
        <f t="shared" si="157"/>
        <v>8.9457768712583333E-2</v>
      </c>
      <c r="JD73" s="69"/>
      <c r="JE73" s="10">
        <v>8.9457768712583333E-2</v>
      </c>
      <c r="JF73" s="11"/>
      <c r="JG73" s="7">
        <v>9</v>
      </c>
      <c r="JH73" s="7">
        <v>4</v>
      </c>
      <c r="JX73" s="67">
        <v>0.9</v>
      </c>
      <c r="JY73" s="7">
        <v>2.9913619150165149</v>
      </c>
      <c r="JZ73" s="84">
        <f t="shared" si="155"/>
        <v>35</v>
      </c>
      <c r="KA73" s="69">
        <f t="shared" si="158"/>
        <v>8.5467483286186141E-2</v>
      </c>
      <c r="KB73" s="69"/>
      <c r="KD73" s="7">
        <v>2.395675298891156</v>
      </c>
      <c r="KE73" s="84">
        <f t="shared" si="156"/>
        <v>35</v>
      </c>
      <c r="KF73" s="69">
        <f t="shared" si="159"/>
        <v>6.8447865682604456E-2</v>
      </c>
      <c r="KM73" s="41"/>
      <c r="KN73" s="241"/>
      <c r="KQ73" s="41"/>
      <c r="KR73" s="241"/>
      <c r="KU73" s="41"/>
      <c r="KV73" s="241"/>
      <c r="KY73" s="41"/>
      <c r="KZ73" s="241"/>
      <c r="LC73" s="41"/>
      <c r="LD73" s="241"/>
      <c r="MW73" s="62" t="s">
        <v>35</v>
      </c>
      <c r="MX73" s="10">
        <v>0.6390016924726668</v>
      </c>
      <c r="MY73" s="10">
        <v>0.95597933574880023</v>
      </c>
      <c r="MZ73" s="63">
        <f t="shared" si="160"/>
        <v>0.77310761847410792</v>
      </c>
    </row>
    <row r="74" spans="2:374" x14ac:dyDescent="0.25">
      <c r="B74" s="48">
        <v>43202</v>
      </c>
      <c r="C74" s="49">
        <v>11890446.424999999</v>
      </c>
      <c r="D74" s="49">
        <v>12798500</v>
      </c>
      <c r="E74" s="50">
        <v>3000000</v>
      </c>
      <c r="F74" s="50"/>
      <c r="G74" s="50"/>
      <c r="H74" s="50"/>
      <c r="I74" s="41"/>
      <c r="J74" s="41"/>
      <c r="K74" s="241"/>
      <c r="N74" s="41"/>
      <c r="O74" s="41"/>
      <c r="P74" s="241"/>
      <c r="S74" s="41"/>
      <c r="T74" s="41"/>
      <c r="U74" s="241"/>
      <c r="Y74" s="41"/>
      <c r="AD74" s="41"/>
      <c r="AI74" s="41"/>
      <c r="BG74" s="62" t="s">
        <v>35</v>
      </c>
      <c r="BH74" s="10">
        <v>1.1724086288044173</v>
      </c>
      <c r="BI74" s="10">
        <v>1.9021540881288008</v>
      </c>
      <c r="BJ74" s="63">
        <f t="shared" si="161"/>
        <v>1.3267778605845755</v>
      </c>
      <c r="BZ74" s="60"/>
      <c r="CA74" s="62" t="s">
        <v>35</v>
      </c>
      <c r="CB74" s="63">
        <f t="shared" si="162"/>
        <v>2</v>
      </c>
      <c r="CC74" s="63">
        <f t="shared" si="162"/>
        <v>5</v>
      </c>
      <c r="CD74" s="63">
        <f t="shared" si="162"/>
        <v>2.6346153846153846</v>
      </c>
      <c r="CE74" s="10">
        <v>6</v>
      </c>
      <c r="CF74" s="10">
        <v>10</v>
      </c>
      <c r="CG74" s="10">
        <v>10</v>
      </c>
      <c r="CH74" s="10">
        <v>10</v>
      </c>
      <c r="CI74" s="10">
        <v>8</v>
      </c>
      <c r="CT74" s="67" t="s">
        <v>40</v>
      </c>
      <c r="CU74" s="7">
        <v>5.349885689585725</v>
      </c>
      <c r="CV74" s="68">
        <v>52</v>
      </c>
      <c r="CW74" s="69">
        <f>CU74/CV74</f>
        <v>0.10288241710741779</v>
      </c>
      <c r="CX74" s="69"/>
      <c r="CY74" s="7">
        <v>0.10288241710741779</v>
      </c>
      <c r="DR74" s="67" t="s">
        <v>40</v>
      </c>
      <c r="DS74" s="7">
        <v>6.0990249226165218</v>
      </c>
      <c r="DT74" s="68">
        <v>52</v>
      </c>
      <c r="DU74" s="69">
        <f>DS74/DT74</f>
        <v>0.11728894081954849</v>
      </c>
      <c r="DV74" s="69"/>
      <c r="DW74" s="7">
        <v>0.11728894081954849</v>
      </c>
      <c r="EQ74" s="67" t="s">
        <v>40</v>
      </c>
      <c r="ER74" s="7">
        <v>3.7553999999999998</v>
      </c>
      <c r="ES74" s="68">
        <v>26</v>
      </c>
      <c r="ET74" s="69">
        <f>ER74/ES74</f>
        <v>0.14443846153846154</v>
      </c>
      <c r="EU74" s="69"/>
      <c r="EV74" s="7">
        <v>0.14443846153846154</v>
      </c>
      <c r="FL74" s="67" t="s">
        <v>40</v>
      </c>
      <c r="FM74" s="7">
        <v>3.3952879375741438</v>
      </c>
      <c r="FN74" s="68">
        <v>26</v>
      </c>
      <c r="FO74" s="69">
        <f>FM74/FN74</f>
        <v>0.13058799759900552</v>
      </c>
      <c r="FP74" s="69"/>
      <c r="FQ74" s="7">
        <v>0.13058799759900552</v>
      </c>
      <c r="GC74" s="67" t="s">
        <v>40</v>
      </c>
      <c r="GD74" s="7">
        <v>6.3001098361856487</v>
      </c>
      <c r="GE74" s="68">
        <v>52</v>
      </c>
      <c r="GF74" s="69">
        <f>GD74/GE74</f>
        <v>0.12115595838818555</v>
      </c>
      <c r="GG74" s="69"/>
      <c r="GH74" s="7">
        <v>0.12115595838818555</v>
      </c>
      <c r="IZ74" s="67">
        <v>0.95</v>
      </c>
      <c r="JA74" s="7">
        <v>0.87565172395305002</v>
      </c>
      <c r="JB74" s="84">
        <f t="shared" si="154"/>
        <v>9</v>
      </c>
      <c r="JC74" s="69">
        <f t="shared" si="157"/>
        <v>9.7294635994783329E-2</v>
      </c>
      <c r="JD74" s="69"/>
      <c r="JE74" s="10">
        <v>9.7294635994783329E-2</v>
      </c>
      <c r="JG74" s="7">
        <v>9</v>
      </c>
      <c r="JH74" s="7">
        <v>4</v>
      </c>
      <c r="JX74" s="67">
        <v>0.95</v>
      </c>
      <c r="JY74" s="7">
        <v>3.1886823198173437</v>
      </c>
      <c r="JZ74" s="84">
        <f t="shared" si="155"/>
        <v>35</v>
      </c>
      <c r="KA74" s="69">
        <f t="shared" si="158"/>
        <v>9.1105209137638393E-2</v>
      </c>
      <c r="KB74" s="69"/>
      <c r="KD74" s="7">
        <v>2.5591425067770843</v>
      </c>
      <c r="KE74" s="84">
        <f t="shared" si="156"/>
        <v>35</v>
      </c>
      <c r="KF74" s="69">
        <f t="shared" si="159"/>
        <v>7.3118357336488124E-2</v>
      </c>
      <c r="KM74" s="41"/>
      <c r="KN74" s="241"/>
      <c r="KQ74" s="41"/>
      <c r="KR74" s="241"/>
      <c r="KU74" s="41"/>
      <c r="KV74" s="241"/>
      <c r="KY74" s="41"/>
      <c r="KZ74" s="241"/>
      <c r="LC74" s="41"/>
      <c r="LD74" s="241"/>
      <c r="MW74" s="62" t="s">
        <v>36</v>
      </c>
      <c r="MX74" s="10">
        <v>0.7129409945455002</v>
      </c>
      <c r="MY74" s="10">
        <v>1.1094483283444001</v>
      </c>
      <c r="MZ74" s="63">
        <f t="shared" si="160"/>
        <v>0.88069409730657311</v>
      </c>
    </row>
    <row r="75" spans="2:374" x14ac:dyDescent="0.25">
      <c r="B75" s="48">
        <v>43209</v>
      </c>
      <c r="C75" s="49">
        <v>21933948.445200004</v>
      </c>
      <c r="D75" s="49">
        <v>18243324</v>
      </c>
      <c r="E75" s="50">
        <v>8000000</v>
      </c>
      <c r="F75" s="50"/>
      <c r="G75" s="50"/>
      <c r="H75" s="50"/>
      <c r="I75" s="41"/>
      <c r="J75" s="41"/>
      <c r="K75" s="241"/>
      <c r="N75" s="41"/>
      <c r="O75" s="41"/>
      <c r="P75" s="241"/>
      <c r="S75" s="41"/>
      <c r="T75" s="41"/>
      <c r="U75" s="241"/>
      <c r="Y75" s="41"/>
      <c r="AD75" s="41"/>
      <c r="AI75" s="41"/>
      <c r="BG75" s="62" t="s">
        <v>36</v>
      </c>
      <c r="BH75" s="10">
        <v>1.2834138346679214</v>
      </c>
      <c r="BI75" s="10">
        <v>2.1522512271766012</v>
      </c>
      <c r="BJ75" s="63">
        <f t="shared" si="161"/>
        <v>1.4672063600062959</v>
      </c>
      <c r="BZ75" s="60"/>
      <c r="CA75" s="62" t="s">
        <v>36</v>
      </c>
      <c r="CB75" s="63">
        <f t="shared" si="162"/>
        <v>3</v>
      </c>
      <c r="CC75" s="63">
        <f t="shared" si="162"/>
        <v>7</v>
      </c>
      <c r="CD75" s="63">
        <f t="shared" si="162"/>
        <v>3.8461538461538463</v>
      </c>
      <c r="CE75" s="10">
        <v>8</v>
      </c>
      <c r="CF75" s="10">
        <v>12</v>
      </c>
      <c r="CG75" s="10">
        <v>12</v>
      </c>
      <c r="CH75" s="10">
        <v>12</v>
      </c>
      <c r="CI75" s="10">
        <v>9</v>
      </c>
      <c r="IZ75" s="67">
        <v>0.99</v>
      </c>
      <c r="JA75" s="7">
        <v>1.1645607980858501</v>
      </c>
      <c r="JB75" s="84">
        <f t="shared" si="154"/>
        <v>9</v>
      </c>
      <c r="JC75" s="69">
        <f t="shared" si="157"/>
        <v>0.12939564423176111</v>
      </c>
      <c r="JD75" s="69"/>
      <c r="JE75" s="10">
        <v>0.12939564423176111</v>
      </c>
      <c r="JG75" s="7">
        <v>10</v>
      </c>
      <c r="JH75" s="7">
        <v>6</v>
      </c>
      <c r="JX75" s="67">
        <v>0.99</v>
      </c>
      <c r="JY75" s="7">
        <v>3.6488344371071557</v>
      </c>
      <c r="JZ75" s="84">
        <f t="shared" si="155"/>
        <v>35</v>
      </c>
      <c r="KA75" s="69">
        <f t="shared" si="158"/>
        <v>0.10425241248877588</v>
      </c>
      <c r="KB75" s="69"/>
      <c r="KD75" s="7">
        <v>2.9549714913034104</v>
      </c>
      <c r="KE75" s="84">
        <f t="shared" si="156"/>
        <v>35</v>
      </c>
      <c r="KF75" s="69">
        <f t="shared" si="159"/>
        <v>8.4427756894383157E-2</v>
      </c>
      <c r="KM75" s="41"/>
      <c r="KN75" s="241"/>
      <c r="KQ75" s="41"/>
      <c r="KR75" s="241"/>
      <c r="KU75" s="41"/>
      <c r="KV75" s="241"/>
      <c r="KY75" s="41"/>
      <c r="KZ75" s="241"/>
      <c r="LC75" s="41"/>
      <c r="LD75" s="241"/>
      <c r="MW75" s="62" t="s">
        <v>37</v>
      </c>
      <c r="MX75" s="10">
        <v>0.79987079708316688</v>
      </c>
      <c r="MY75" s="10">
        <v>1.2602891753773204</v>
      </c>
      <c r="MZ75" s="63">
        <f t="shared" si="160"/>
        <v>0.99466318789992414</v>
      </c>
    </row>
    <row r="76" spans="2:374" x14ac:dyDescent="0.25">
      <c r="B76" s="48">
        <v>43216</v>
      </c>
      <c r="C76" s="49">
        <v>14165645.280600002</v>
      </c>
      <c r="D76" s="49">
        <v>11782122</v>
      </c>
      <c r="E76" s="50">
        <v>3000000</v>
      </c>
      <c r="F76" s="50"/>
      <c r="G76" s="50"/>
      <c r="H76" s="50"/>
      <c r="I76" s="41"/>
      <c r="J76" s="41"/>
      <c r="K76" s="241"/>
      <c r="N76" s="41"/>
      <c r="O76" s="41"/>
      <c r="P76" s="241"/>
      <c r="S76" s="41"/>
      <c r="T76" s="41"/>
      <c r="U76" s="241"/>
      <c r="Y76" s="41"/>
      <c r="AD76" s="41"/>
      <c r="AI76" s="41"/>
      <c r="BG76" s="62" t="s">
        <v>37</v>
      </c>
      <c r="BH76" s="10">
        <v>1.4075011007937961</v>
      </c>
      <c r="BI76" s="10">
        <v>2.4039776193056817</v>
      </c>
      <c r="BJ76" s="63">
        <f t="shared" si="161"/>
        <v>1.6182942104790026</v>
      </c>
      <c r="BZ76" s="60"/>
      <c r="CA76" s="62" t="s">
        <v>37</v>
      </c>
      <c r="CB76" s="63">
        <f t="shared" si="162"/>
        <v>5</v>
      </c>
      <c r="CC76" s="63">
        <f t="shared" si="162"/>
        <v>9</v>
      </c>
      <c r="CD76" s="63">
        <f t="shared" si="162"/>
        <v>5.8461538461538458</v>
      </c>
      <c r="CE76" s="10">
        <v>10</v>
      </c>
      <c r="CF76" s="10">
        <v>14</v>
      </c>
      <c r="CG76" s="10">
        <v>14</v>
      </c>
      <c r="CH76" s="10">
        <v>14</v>
      </c>
      <c r="CI76" s="10">
        <v>11</v>
      </c>
      <c r="FM76">
        <v>1.7706</v>
      </c>
      <c r="IZ76" s="67" t="s">
        <v>40</v>
      </c>
      <c r="JA76" s="7">
        <v>2.2632778392691502</v>
      </c>
      <c r="JB76" s="84">
        <f t="shared" si="154"/>
        <v>9</v>
      </c>
      <c r="JC76" s="69">
        <f>JA76/JB76</f>
        <v>0.25147531547435004</v>
      </c>
      <c r="JD76" s="69"/>
      <c r="JE76" s="10">
        <v>0.25147531547435004</v>
      </c>
      <c r="JG76" s="7">
        <v>11</v>
      </c>
      <c r="JH76" s="7">
        <v>7</v>
      </c>
      <c r="JX76" s="67" t="s">
        <v>40</v>
      </c>
      <c r="JY76" s="7">
        <v>4.5814030154486005</v>
      </c>
      <c r="JZ76" s="84">
        <f t="shared" si="155"/>
        <v>35</v>
      </c>
      <c r="KA76" s="69">
        <f>JY76/JZ76</f>
        <v>0.13089722901281717</v>
      </c>
      <c r="KB76" s="69"/>
      <c r="KD76" s="7">
        <v>3.8407583004646706</v>
      </c>
      <c r="KE76" s="84">
        <f t="shared" si="156"/>
        <v>35</v>
      </c>
      <c r="KF76" s="69">
        <f>KD76/KE76</f>
        <v>0.10973595144184774</v>
      </c>
      <c r="KM76" s="41"/>
      <c r="KN76" s="241"/>
      <c r="KQ76" s="41"/>
      <c r="KR76" s="241"/>
      <c r="KU76" s="41"/>
      <c r="KV76" s="241"/>
      <c r="KY76" s="41"/>
      <c r="KZ76" s="241"/>
      <c r="LC76" s="41"/>
      <c r="LD76" s="241"/>
      <c r="MW76" s="62" t="s">
        <v>38</v>
      </c>
      <c r="MX76" s="10">
        <v>0.85695987006635044</v>
      </c>
      <c r="MY76" s="10">
        <v>1.3661198626108004</v>
      </c>
      <c r="MZ76" s="63">
        <f t="shared" si="160"/>
        <v>1.0723737130659254</v>
      </c>
    </row>
    <row r="77" spans="2:374" x14ac:dyDescent="0.25">
      <c r="B77" s="48">
        <v>43223</v>
      </c>
      <c r="C77" s="49">
        <v>20204475.964200001</v>
      </c>
      <c r="D77" s="49">
        <v>16804854</v>
      </c>
      <c r="E77" s="50">
        <v>8000000</v>
      </c>
      <c r="F77" s="50"/>
      <c r="G77" s="50"/>
      <c r="H77" s="50"/>
      <c r="I77" s="41"/>
      <c r="J77" s="41"/>
      <c r="K77" s="241"/>
      <c r="N77" s="41"/>
      <c r="O77" s="41"/>
      <c r="P77" s="241"/>
      <c r="S77" s="41"/>
      <c r="T77" s="41"/>
      <c r="U77" s="241"/>
      <c r="Y77" s="41"/>
      <c r="AD77" s="41"/>
      <c r="AI77" s="41"/>
      <c r="BG77" s="62" t="s">
        <v>38</v>
      </c>
      <c r="BH77" s="10">
        <v>1.487644366759618</v>
      </c>
      <c r="BI77" s="10">
        <v>2.5630009880633411</v>
      </c>
      <c r="BJ77" s="63">
        <f t="shared" si="161"/>
        <v>1.7151236520354054</v>
      </c>
      <c r="BZ77" s="60"/>
      <c r="CA77" s="62" t="s">
        <v>38</v>
      </c>
      <c r="CB77" s="63">
        <f t="shared" si="162"/>
        <v>5</v>
      </c>
      <c r="CC77" s="63">
        <f t="shared" si="162"/>
        <v>10</v>
      </c>
      <c r="CD77" s="63">
        <f t="shared" si="162"/>
        <v>6.0576923076923075</v>
      </c>
      <c r="CE77" s="10">
        <v>11</v>
      </c>
      <c r="CF77" s="10">
        <v>15</v>
      </c>
      <c r="CG77" s="10">
        <v>15</v>
      </c>
      <c r="CH77" s="10">
        <v>15</v>
      </c>
      <c r="CI77" s="10">
        <v>12</v>
      </c>
      <c r="FM77">
        <v>1.5091283225477279</v>
      </c>
      <c r="FN77" s="80">
        <f>FM77/FM76-1</f>
        <v>-0.14767405255409016</v>
      </c>
      <c r="KB77">
        <f>KB71*1000000000</f>
        <v>67569432.410484493</v>
      </c>
      <c r="KG77">
        <f>KG71*1000000000</f>
        <v>53812125.783253886</v>
      </c>
      <c r="KM77" s="41"/>
      <c r="KN77" s="241"/>
      <c r="KQ77" s="41"/>
      <c r="KR77" s="241"/>
      <c r="KU77" s="41"/>
      <c r="KV77" s="241"/>
      <c r="KY77" s="41"/>
      <c r="KZ77" s="241"/>
      <c r="LC77" s="41"/>
      <c r="LD77" s="241"/>
      <c r="MW77" s="62" t="s">
        <v>39</v>
      </c>
      <c r="MX77" s="10">
        <v>0.96932352957269541</v>
      </c>
      <c r="MY77" s="10">
        <v>1.6083791975707296</v>
      </c>
      <c r="MZ77" s="63">
        <f t="shared" si="160"/>
        <v>1.2396932352641714</v>
      </c>
    </row>
    <row r="78" spans="2:374" x14ac:dyDescent="0.25">
      <c r="B78" s="48">
        <v>43230</v>
      </c>
      <c r="C78" s="49">
        <v>21182169.492000002</v>
      </c>
      <c r="D78" s="49">
        <v>17618040</v>
      </c>
      <c r="E78" s="50">
        <v>12000000</v>
      </c>
      <c r="F78" s="50"/>
      <c r="G78" s="50"/>
      <c r="H78" s="50"/>
      <c r="I78" s="41"/>
      <c r="J78" s="41"/>
      <c r="K78" s="241"/>
      <c r="N78" s="41"/>
      <c r="O78" s="41"/>
      <c r="P78" s="241"/>
      <c r="S78" s="41"/>
      <c r="T78" s="41"/>
      <c r="U78" s="241"/>
      <c r="Y78" s="41"/>
      <c r="AD78" s="41"/>
      <c r="AI78" s="41"/>
      <c r="BG78" s="62" t="s">
        <v>39</v>
      </c>
      <c r="BH78" s="10">
        <v>1.6287940547840034</v>
      </c>
      <c r="BI78" s="10">
        <v>2.9648383781039112</v>
      </c>
      <c r="BJ78" s="63">
        <f t="shared" si="161"/>
        <v>1.9114188154862917</v>
      </c>
      <c r="BZ78" s="60"/>
      <c r="CA78" s="62" t="s">
        <v>39</v>
      </c>
      <c r="CB78" s="63">
        <f t="shared" si="162"/>
        <v>7</v>
      </c>
      <c r="CC78" s="63">
        <f t="shared" si="162"/>
        <v>13</v>
      </c>
      <c r="CD78" s="63">
        <f t="shared" si="162"/>
        <v>8.2692307692307701</v>
      </c>
      <c r="CE78" s="10">
        <v>13</v>
      </c>
      <c r="CF78" s="10">
        <v>18</v>
      </c>
      <c r="CG78" s="10">
        <v>17</v>
      </c>
      <c r="CH78" s="10">
        <v>17</v>
      </c>
      <c r="CI78" s="10">
        <v>14</v>
      </c>
      <c r="KM78" s="41"/>
      <c r="KN78" s="241"/>
      <c r="KQ78" s="41"/>
      <c r="KR78" s="241"/>
      <c r="KU78" s="41"/>
      <c r="KV78" s="241"/>
      <c r="KY78" s="41"/>
      <c r="KZ78" s="241"/>
      <c r="LC78" s="41"/>
      <c r="LD78" s="241"/>
      <c r="MW78" s="62" t="s">
        <v>40</v>
      </c>
      <c r="MX78" s="10">
        <v>1.3521757701789996</v>
      </c>
      <c r="MY78" s="10">
        <v>2.0647641387692008</v>
      </c>
      <c r="MZ78" s="63">
        <f t="shared" si="160"/>
        <v>1.6536554645825463</v>
      </c>
    </row>
    <row r="79" spans="2:374" x14ac:dyDescent="0.25">
      <c r="B79" s="48">
        <v>43237</v>
      </c>
      <c r="C79" s="49">
        <v>31720405.939200003</v>
      </c>
      <c r="D79" s="49">
        <v>26383104</v>
      </c>
      <c r="E79" s="50">
        <v>20000000</v>
      </c>
      <c r="F79" s="50"/>
      <c r="G79" s="50"/>
      <c r="H79" s="50"/>
      <c r="I79" s="41"/>
      <c r="J79" s="41"/>
      <c r="K79" s="241"/>
      <c r="N79" s="41"/>
      <c r="O79" s="41"/>
      <c r="P79" s="241"/>
      <c r="S79" s="41"/>
      <c r="T79" s="41"/>
      <c r="U79" s="241"/>
      <c r="Y79" s="41"/>
      <c r="AD79" s="41"/>
      <c r="AI79" s="41"/>
      <c r="BG79" s="62" t="s">
        <v>40</v>
      </c>
      <c r="BH79" s="10">
        <v>2.1123214451274914</v>
      </c>
      <c r="BI79" s="10">
        <v>4.1364317566946003</v>
      </c>
      <c r="BJ79" s="63">
        <f t="shared" si="161"/>
        <v>2.5404986264205336</v>
      </c>
      <c r="BZ79" s="60"/>
      <c r="CA79" s="62" t="s">
        <v>40</v>
      </c>
      <c r="CB79" s="63">
        <f t="shared" si="162"/>
        <v>11</v>
      </c>
      <c r="CC79" s="63">
        <f t="shared" si="162"/>
        <v>19</v>
      </c>
      <c r="CD79" s="63">
        <f t="shared" si="162"/>
        <v>12.692307692307693</v>
      </c>
      <c r="CE79" s="10">
        <v>17</v>
      </c>
      <c r="CF79" s="10">
        <v>21</v>
      </c>
      <c r="CG79" s="10">
        <v>22</v>
      </c>
      <c r="CH79" s="10">
        <v>21</v>
      </c>
      <c r="CI79" s="10">
        <v>16</v>
      </c>
      <c r="JY79" s="80">
        <f>JY71/KD71-1</f>
        <v>0.25565439809314916</v>
      </c>
      <c r="KM79" s="41"/>
      <c r="KN79" s="241"/>
      <c r="KQ79" s="41"/>
      <c r="KR79" s="241"/>
      <c r="KU79" s="41"/>
      <c r="KV79" s="241"/>
      <c r="KY79" s="41"/>
      <c r="KZ79" s="241"/>
      <c r="LC79" s="41"/>
      <c r="LD79" s="241"/>
    </row>
    <row r="80" spans="2:374" x14ac:dyDescent="0.25">
      <c r="B80" s="48">
        <v>43244</v>
      </c>
      <c r="C80" s="49">
        <v>43577628.006000005</v>
      </c>
      <c r="D80" s="49">
        <v>36245220</v>
      </c>
      <c r="E80" s="50">
        <v>30000000</v>
      </c>
      <c r="F80" s="50"/>
      <c r="G80" s="50"/>
      <c r="H80" s="50"/>
      <c r="I80" s="41"/>
      <c r="J80" s="41"/>
      <c r="K80" s="241"/>
      <c r="N80" s="41"/>
      <c r="O80" s="41"/>
      <c r="P80" s="241"/>
      <c r="S80" s="41"/>
      <c r="T80" s="41"/>
      <c r="U80" s="241"/>
      <c r="Y80" s="41"/>
      <c r="AD80" s="41"/>
      <c r="AI80" s="41"/>
      <c r="BZ80" s="60"/>
      <c r="CA80" s="64"/>
      <c r="EQ80">
        <v>38117855.737822823</v>
      </c>
      <c r="FL80">
        <v>38117855.737822823</v>
      </c>
      <c r="KM80" s="41"/>
      <c r="KN80" s="241"/>
      <c r="KQ80" s="41"/>
      <c r="KR80" s="241"/>
      <c r="KU80" s="41"/>
      <c r="KV80" s="241"/>
      <c r="KY80" s="41"/>
      <c r="KZ80" s="241"/>
      <c r="LC80" s="41"/>
      <c r="LD80" s="241"/>
      <c r="MW80" s="78">
        <v>-3</v>
      </c>
      <c r="MX80" s="10">
        <v>0.33011327229439913</v>
      </c>
      <c r="MY80" s="10">
        <v>0.36954627926499561</v>
      </c>
      <c r="MZ80" s="63">
        <f t="shared" ref="MZ80:MZ86" si="163">MX$66*MX80+MY$66*MY80</f>
        <v>0.34679646755118992</v>
      </c>
    </row>
    <row r="81" spans="2:374" x14ac:dyDescent="0.25">
      <c r="B81" s="48">
        <v>43251</v>
      </c>
      <c r="C81" s="49">
        <v>55628865.223800004</v>
      </c>
      <c r="D81" s="49">
        <v>46268706</v>
      </c>
      <c r="E81" s="50">
        <v>40000000</v>
      </c>
      <c r="F81" s="50"/>
      <c r="G81" s="50"/>
      <c r="H81" s="50"/>
      <c r="I81" s="41"/>
      <c r="J81" s="41"/>
      <c r="K81" s="241"/>
      <c r="N81" s="41"/>
      <c r="O81" s="41"/>
      <c r="P81" s="241"/>
      <c r="S81" s="41"/>
      <c r="T81" s="41"/>
      <c r="U81" s="241"/>
      <c r="Y81" s="41"/>
      <c r="AD81" s="41"/>
      <c r="AI81" s="41"/>
      <c r="BG81" s="78">
        <v>-3</v>
      </c>
      <c r="BH81" s="10">
        <v>0.72966063065690823</v>
      </c>
      <c r="BI81" s="10">
        <v>0.87672976286684356</v>
      </c>
      <c r="BJ81" s="63">
        <f t="shared" ref="BJ81:BJ87" si="164">BH$67*BH81+BI$67*BI81</f>
        <v>0.76077140862439452</v>
      </c>
      <c r="BZ81" s="60"/>
      <c r="CA81" s="65" t="s">
        <v>84</v>
      </c>
      <c r="EQ81">
        <v>73507496.964367449</v>
      </c>
      <c r="FL81">
        <v>73507496.964367449</v>
      </c>
      <c r="KM81" s="41"/>
      <c r="KN81" s="241"/>
      <c r="KQ81" s="41"/>
      <c r="KR81" s="241"/>
      <c r="KU81" s="41"/>
      <c r="KV81" s="241"/>
      <c r="KY81" s="41"/>
      <c r="KZ81" s="241"/>
      <c r="LC81" s="41"/>
      <c r="LD81" s="241"/>
      <c r="MW81" s="78">
        <v>-2</v>
      </c>
      <c r="MX81" s="10">
        <v>0.4382437337882103</v>
      </c>
      <c r="MY81" s="10">
        <v>0.57583600108502697</v>
      </c>
      <c r="MZ81" s="63">
        <f t="shared" si="163"/>
        <v>0.49645584687532507</v>
      </c>
    </row>
    <row r="82" spans="2:374" x14ac:dyDescent="0.25">
      <c r="B82" s="48">
        <v>43258</v>
      </c>
      <c r="C82" s="49">
        <v>68210807.280000001</v>
      </c>
      <c r="D82" s="49">
        <v>56733600</v>
      </c>
      <c r="E82" s="50">
        <v>50000000</v>
      </c>
      <c r="F82" s="50"/>
      <c r="G82" s="50"/>
      <c r="H82" s="50"/>
      <c r="I82" s="41"/>
      <c r="J82" s="41"/>
      <c r="K82" s="241"/>
      <c r="N82" s="41"/>
      <c r="O82" s="41"/>
      <c r="P82" s="241"/>
      <c r="S82" s="41"/>
      <c r="T82" s="41"/>
      <c r="U82" s="241"/>
      <c r="Y82" s="41"/>
      <c r="AD82" s="41"/>
      <c r="AI82" s="41"/>
      <c r="BG82" s="78">
        <v>-2</v>
      </c>
      <c r="BH82" s="10">
        <v>0.88476705410669676</v>
      </c>
      <c r="BI82" s="10">
        <v>1.2307508999485002</v>
      </c>
      <c r="BJ82" s="63">
        <f t="shared" si="164"/>
        <v>0.95795594457323208</v>
      </c>
      <c r="BZ82" s="60"/>
      <c r="CA82" s="64" t="s">
        <v>86</v>
      </c>
      <c r="CB82" s="63">
        <f t="shared" ref="CB82:CI82" si="165">CB69</f>
        <v>0</v>
      </c>
      <c r="CC82" s="63">
        <f t="shared" si="165"/>
        <v>0</v>
      </c>
      <c r="CD82" s="63">
        <f t="shared" si="165"/>
        <v>0</v>
      </c>
      <c r="CE82" s="63">
        <f t="shared" si="165"/>
        <v>0</v>
      </c>
      <c r="CF82" s="63">
        <f t="shared" si="165"/>
        <v>1</v>
      </c>
      <c r="CG82" s="63">
        <f t="shared" si="165"/>
        <v>1</v>
      </c>
      <c r="CH82" s="63">
        <f t="shared" si="165"/>
        <v>1</v>
      </c>
      <c r="CI82" s="63">
        <f t="shared" si="165"/>
        <v>1</v>
      </c>
      <c r="EQ82">
        <v>111498199.43942466</v>
      </c>
      <c r="FL82">
        <v>111498199.43942466</v>
      </c>
      <c r="KM82" s="41"/>
      <c r="KN82" s="241"/>
      <c r="KQ82" s="41"/>
      <c r="KR82" s="241"/>
      <c r="KU82" s="41"/>
      <c r="KV82" s="241"/>
      <c r="KY82" s="41"/>
      <c r="KZ82" s="241"/>
      <c r="LC82" s="41"/>
      <c r="LD82" s="241"/>
      <c r="MW82" s="78">
        <v>-1</v>
      </c>
      <c r="MX82" s="10">
        <v>0.54637419528202147</v>
      </c>
      <c r="MY82" s="10">
        <v>0.78212572290505844</v>
      </c>
      <c r="MZ82" s="63">
        <f t="shared" si="163"/>
        <v>0.64611522619946016</v>
      </c>
    </row>
    <row r="83" spans="2:374" x14ac:dyDescent="0.25">
      <c r="B83" s="48">
        <v>43265</v>
      </c>
      <c r="C83" s="49">
        <v>14225635.241400002</v>
      </c>
      <c r="D83" s="49">
        <v>11832018</v>
      </c>
      <c r="E83" s="247">
        <v>3000000</v>
      </c>
      <c r="F83" s="247" t="s">
        <v>83</v>
      </c>
      <c r="G83" s="247" t="s">
        <v>83</v>
      </c>
      <c r="H83" s="50"/>
      <c r="I83" s="41"/>
      <c r="J83" s="41"/>
      <c r="K83" s="241"/>
      <c r="N83" s="41"/>
      <c r="O83" s="41"/>
      <c r="P83" s="241"/>
      <c r="S83" s="41"/>
      <c r="T83" s="41"/>
      <c r="U83" s="241"/>
      <c r="Y83" s="41"/>
      <c r="AD83" s="41"/>
      <c r="AI83" s="41"/>
      <c r="BG83" s="78">
        <v>-1</v>
      </c>
      <c r="BH83" s="10">
        <v>1.0398734775564855</v>
      </c>
      <c r="BI83" s="10">
        <v>1.584772037030157</v>
      </c>
      <c r="BJ83" s="63">
        <f t="shared" si="164"/>
        <v>1.1551404805220697</v>
      </c>
      <c r="BZ83" s="60"/>
      <c r="CA83" s="62" t="s">
        <v>92</v>
      </c>
      <c r="CB83" s="63">
        <f>CB71-CB69</f>
        <v>0</v>
      </c>
      <c r="CC83" s="63">
        <f>CC71-CC69</f>
        <v>2</v>
      </c>
      <c r="CD83" s="63">
        <f t="shared" ref="CD83:CI83" si="166">CD71-CD69</f>
        <v>0.42307692307692307</v>
      </c>
      <c r="CE83" s="63">
        <f t="shared" si="166"/>
        <v>2</v>
      </c>
      <c r="CF83" s="63">
        <f t="shared" si="166"/>
        <v>4</v>
      </c>
      <c r="CG83" s="63">
        <f t="shared" si="166"/>
        <v>4</v>
      </c>
      <c r="CH83" s="63">
        <f t="shared" si="166"/>
        <v>4</v>
      </c>
      <c r="CI83" s="63">
        <f t="shared" si="166"/>
        <v>3</v>
      </c>
      <c r="EQ83">
        <v>149369573.89486763</v>
      </c>
      <c r="FL83">
        <v>149369573.89486763</v>
      </c>
      <c r="KM83" s="41"/>
      <c r="KN83" s="241"/>
      <c r="KQ83" s="41"/>
      <c r="KR83" s="241"/>
      <c r="KU83" s="41"/>
      <c r="KV83" s="241"/>
      <c r="KY83" s="41"/>
      <c r="KZ83" s="241"/>
      <c r="LC83" s="41"/>
      <c r="LD83" s="241"/>
      <c r="MW83" s="78">
        <v>0</v>
      </c>
      <c r="MX83" s="10">
        <v>0.65450465677583258</v>
      </c>
      <c r="MY83" s="10">
        <v>0.9884154447250898</v>
      </c>
      <c r="MZ83" s="63">
        <f t="shared" si="163"/>
        <v>0.79577460552359525</v>
      </c>
    </row>
    <row r="84" spans="2:374" x14ac:dyDescent="0.25">
      <c r="B84" s="48">
        <v>43272</v>
      </c>
      <c r="C84" s="49">
        <v>13241831.625000002</v>
      </c>
      <c r="D84" s="49">
        <v>11013750</v>
      </c>
      <c r="E84" s="50">
        <v>3000000</v>
      </c>
      <c r="F84" s="81"/>
      <c r="G84" s="81"/>
      <c r="H84" s="81"/>
      <c r="I84" s="41"/>
      <c r="J84" s="41"/>
      <c r="K84" s="241"/>
      <c r="N84" s="41"/>
      <c r="O84" s="41"/>
      <c r="P84" s="241"/>
      <c r="S84" s="41"/>
      <c r="T84" s="41"/>
      <c r="U84" s="241"/>
      <c r="Y84" s="41"/>
      <c r="AD84" s="41"/>
      <c r="AI84" s="41"/>
      <c r="BG84" s="78">
        <v>0</v>
      </c>
      <c r="BH84" s="10">
        <v>1.194979901006274</v>
      </c>
      <c r="BI84" s="10">
        <v>1.9387931741118136</v>
      </c>
      <c r="BJ84" s="63">
        <f t="shared" si="164"/>
        <v>1.3523250164709073</v>
      </c>
      <c r="BZ84" s="60"/>
      <c r="CA84" s="62" t="s">
        <v>93</v>
      </c>
      <c r="CB84" s="63">
        <f>CB73-CB71</f>
        <v>1</v>
      </c>
      <c r="CC84" s="63">
        <f>CC73-CC71</f>
        <v>2</v>
      </c>
      <c r="CD84" s="63">
        <f t="shared" ref="CD84:CI84" si="167">CD73-CD71</f>
        <v>1.2115384615384615</v>
      </c>
      <c r="CE84" s="63">
        <f t="shared" si="167"/>
        <v>3</v>
      </c>
      <c r="CF84" s="63">
        <f t="shared" si="167"/>
        <v>3</v>
      </c>
      <c r="CG84" s="63">
        <f t="shared" si="167"/>
        <v>3</v>
      </c>
      <c r="CH84" s="63">
        <f t="shared" si="167"/>
        <v>3</v>
      </c>
      <c r="CI84" s="63">
        <f t="shared" si="167"/>
        <v>2</v>
      </c>
      <c r="EQ84">
        <v>202910486.07819551</v>
      </c>
      <c r="FL84">
        <v>202910486.07819551</v>
      </c>
      <c r="KM84" s="41"/>
      <c r="KN84" s="241"/>
      <c r="KQ84" s="41"/>
      <c r="KR84" s="241"/>
      <c r="KU84" s="41"/>
      <c r="KV84" s="241"/>
      <c r="KY84" s="41"/>
      <c r="KZ84" s="241"/>
      <c r="LC84" s="41"/>
      <c r="LD84" s="241"/>
      <c r="MW84" s="78">
        <v>1</v>
      </c>
      <c r="MX84" s="10">
        <v>0.7626351182696437</v>
      </c>
      <c r="MY84" s="10">
        <v>1.1947051665451212</v>
      </c>
      <c r="MZ84" s="63">
        <f t="shared" si="163"/>
        <v>0.94543398484773022</v>
      </c>
    </row>
    <row r="85" spans="2:374" x14ac:dyDescent="0.25">
      <c r="B85" s="48">
        <v>43279</v>
      </c>
      <c r="C85" s="49">
        <v>19883894.692200001</v>
      </c>
      <c r="D85" s="49">
        <v>16538214</v>
      </c>
      <c r="E85" s="50">
        <v>8000000</v>
      </c>
      <c r="G85" s="50"/>
      <c r="H85" s="50"/>
      <c r="I85" s="41"/>
      <c r="J85" s="41"/>
      <c r="K85" s="241"/>
      <c r="N85" s="41"/>
      <c r="O85" s="41"/>
      <c r="P85" s="241"/>
      <c r="S85" s="41"/>
      <c r="T85" s="41"/>
      <c r="U85" s="241"/>
      <c r="Y85" s="41"/>
      <c r="AD85" s="41"/>
      <c r="AI85" s="41"/>
      <c r="BG85" s="78">
        <v>1</v>
      </c>
      <c r="BH85" s="10">
        <v>1.3500863244560626</v>
      </c>
      <c r="BI85" s="10">
        <v>2.2928143111934705</v>
      </c>
      <c r="BJ85" s="63">
        <f t="shared" si="164"/>
        <v>1.5495095524197451</v>
      </c>
      <c r="BZ85" s="60"/>
      <c r="CA85" s="62" t="s">
        <v>95</v>
      </c>
      <c r="CB85" s="63">
        <f>CB75-CB73</f>
        <v>2</v>
      </c>
      <c r="CC85" s="63">
        <f>CC75-CC73</f>
        <v>3</v>
      </c>
      <c r="CD85" s="63">
        <f t="shared" ref="CD85:CI85" si="168">CD75-CD73</f>
        <v>2.2115384615384617</v>
      </c>
      <c r="CE85" s="63">
        <f t="shared" si="168"/>
        <v>3</v>
      </c>
      <c r="CF85" s="63">
        <f t="shared" si="168"/>
        <v>4</v>
      </c>
      <c r="CG85" s="63">
        <f t="shared" si="168"/>
        <v>4</v>
      </c>
      <c r="CH85" s="63">
        <f t="shared" si="168"/>
        <v>4</v>
      </c>
      <c r="CI85" s="63">
        <f t="shared" si="168"/>
        <v>3</v>
      </c>
      <c r="EQ85">
        <v>270601814.42471397</v>
      </c>
      <c r="FL85">
        <v>270601814.42471397</v>
      </c>
      <c r="KM85" s="41"/>
      <c r="KN85" s="241"/>
      <c r="KQ85" s="41"/>
      <c r="KR85" s="241"/>
      <c r="KU85" s="41"/>
      <c r="KV85" s="241"/>
      <c r="KY85" s="41"/>
      <c r="KZ85" s="241"/>
      <c r="LC85" s="41"/>
      <c r="LD85" s="241"/>
      <c r="MW85" s="78">
        <v>2</v>
      </c>
      <c r="MX85" s="10">
        <v>0.87076557976345481</v>
      </c>
      <c r="MY85" s="10">
        <v>1.4009948883651526</v>
      </c>
      <c r="MZ85" s="63">
        <f t="shared" si="163"/>
        <v>1.0950933641718654</v>
      </c>
    </row>
    <row r="86" spans="2:374" x14ac:dyDescent="0.25">
      <c r="B86" s="48">
        <v>43286</v>
      </c>
      <c r="C86" s="49">
        <v>24234595.182600003</v>
      </c>
      <c r="D86" s="49">
        <v>20156862</v>
      </c>
      <c r="E86" s="247">
        <v>12000000</v>
      </c>
      <c r="F86" s="247" t="s">
        <v>85</v>
      </c>
      <c r="G86" s="247" t="s">
        <v>85</v>
      </c>
      <c r="H86" s="50"/>
      <c r="I86" s="41"/>
      <c r="J86" s="41"/>
      <c r="K86" s="241"/>
      <c r="N86" s="41"/>
      <c r="O86" s="41"/>
      <c r="P86" s="241"/>
      <c r="S86" s="41"/>
      <c r="T86" s="41"/>
      <c r="U86" s="241"/>
      <c r="Y86" s="41"/>
      <c r="AD86" s="41"/>
      <c r="AI86" s="41"/>
      <c r="BG86" s="78">
        <v>2</v>
      </c>
      <c r="BH86" s="10">
        <v>1.5051927479058513</v>
      </c>
      <c r="BI86" s="10">
        <v>2.6468354482751271</v>
      </c>
      <c r="BJ86" s="63">
        <f t="shared" si="164"/>
        <v>1.7466940883685826</v>
      </c>
      <c r="BP86" t="s">
        <v>81</v>
      </c>
      <c r="BZ86" s="60"/>
      <c r="CA86" s="62" t="s">
        <v>97</v>
      </c>
      <c r="CB86" s="63">
        <f>CB77-CB75</f>
        <v>2</v>
      </c>
      <c r="CC86" s="63">
        <f>CC77-CC75</f>
        <v>3</v>
      </c>
      <c r="CD86" s="63">
        <f t="shared" ref="CD86:CI86" si="169">CD77-CD75</f>
        <v>2.2115384615384612</v>
      </c>
      <c r="CE86" s="63">
        <f t="shared" si="169"/>
        <v>3</v>
      </c>
      <c r="CF86" s="63">
        <f t="shared" si="169"/>
        <v>3</v>
      </c>
      <c r="CG86" s="63">
        <f t="shared" si="169"/>
        <v>3</v>
      </c>
      <c r="CH86" s="63">
        <f t="shared" si="169"/>
        <v>3</v>
      </c>
      <c r="CI86" s="63">
        <f t="shared" si="169"/>
        <v>3</v>
      </c>
      <c r="CK86" t="s">
        <v>81</v>
      </c>
      <c r="EQ86">
        <v>364965926.42432171</v>
      </c>
      <c r="FL86">
        <v>364965926.42432171</v>
      </c>
      <c r="KM86" s="41"/>
      <c r="KN86" s="241"/>
      <c r="KQ86" s="41"/>
      <c r="KR86" s="241"/>
      <c r="KU86" s="41"/>
      <c r="KV86" s="241"/>
      <c r="KY86" s="41"/>
      <c r="KZ86" s="241"/>
      <c r="LC86" s="41"/>
      <c r="LD86" s="241"/>
      <c r="MW86" s="78">
        <v>3</v>
      </c>
      <c r="MX86" s="10">
        <v>0.97889604125726604</v>
      </c>
      <c r="MY86" s="10">
        <v>1.6072846101851841</v>
      </c>
      <c r="MZ86" s="63">
        <f t="shared" si="163"/>
        <v>1.2447527434960004</v>
      </c>
      <c r="NJ86" t="s">
        <v>81</v>
      </c>
    </row>
    <row r="87" spans="2:374" x14ac:dyDescent="0.25">
      <c r="B87" s="48">
        <v>43293</v>
      </c>
      <c r="C87" s="49">
        <v>32937821.254800003</v>
      </c>
      <c r="D87" s="49">
        <v>27395676</v>
      </c>
      <c r="E87" s="50">
        <v>20000000</v>
      </c>
      <c r="F87" s="50"/>
      <c r="G87" s="50"/>
      <c r="H87" s="50"/>
      <c r="I87" s="41"/>
      <c r="J87" s="41"/>
      <c r="K87" s="241"/>
      <c r="N87" s="41"/>
      <c r="O87" s="41"/>
      <c r="P87" s="241"/>
      <c r="S87" s="41"/>
      <c r="T87" s="41"/>
      <c r="U87" s="241"/>
      <c r="Y87" s="41"/>
      <c r="AD87" s="41"/>
      <c r="AI87" s="41"/>
      <c r="BG87" s="78">
        <v>3</v>
      </c>
      <c r="BH87" s="10">
        <v>1.6602991713556399</v>
      </c>
      <c r="BI87" s="10">
        <v>3.0008565853567837</v>
      </c>
      <c r="BJ87" s="63">
        <f t="shared" si="164"/>
        <v>1.9438786243174202</v>
      </c>
      <c r="BZ87" s="72"/>
      <c r="CA87" s="62" t="s">
        <v>98</v>
      </c>
      <c r="CB87" s="63">
        <f>CB79-CB77</f>
        <v>6</v>
      </c>
      <c r="CC87" s="63">
        <f>CC79-CC77</f>
        <v>9</v>
      </c>
      <c r="CD87" s="63">
        <f t="shared" ref="CD87:CI87" si="170">CD79-CD77</f>
        <v>6.6346153846153859</v>
      </c>
      <c r="CE87" s="63">
        <f t="shared" si="170"/>
        <v>6</v>
      </c>
      <c r="CF87" s="63">
        <f t="shared" si="170"/>
        <v>6</v>
      </c>
      <c r="CG87" s="63">
        <f t="shared" si="170"/>
        <v>7</v>
      </c>
      <c r="CH87" s="63">
        <f t="shared" si="170"/>
        <v>6</v>
      </c>
      <c r="CI87" s="63">
        <f t="shared" si="170"/>
        <v>4</v>
      </c>
      <c r="EQ87">
        <v>564057936.87374961</v>
      </c>
      <c r="FL87">
        <v>564057936.87374961</v>
      </c>
      <c r="KM87" s="41"/>
      <c r="KN87" s="241"/>
      <c r="KQ87" s="41"/>
      <c r="KR87" s="241"/>
      <c r="KU87" s="41"/>
      <c r="KV87" s="241"/>
      <c r="KY87" s="41"/>
      <c r="KZ87" s="241"/>
      <c r="LC87" s="41"/>
      <c r="LD87" s="241"/>
    </row>
    <row r="88" spans="2:374" x14ac:dyDescent="0.25">
      <c r="B88" s="48">
        <v>43300</v>
      </c>
      <c r="C88" s="49">
        <v>38658927.331200004</v>
      </c>
      <c r="D88" s="49">
        <v>32154144</v>
      </c>
      <c r="E88" s="50">
        <v>30000000</v>
      </c>
      <c r="F88" s="50"/>
      <c r="G88" s="50"/>
      <c r="H88" s="50"/>
      <c r="I88" s="41"/>
      <c r="J88" s="41"/>
      <c r="K88" s="241"/>
      <c r="N88" s="41"/>
      <c r="O88" s="41"/>
      <c r="P88" s="241"/>
      <c r="S88" s="41"/>
      <c r="T88" s="41"/>
      <c r="U88" s="241"/>
      <c r="Y88" s="41"/>
      <c r="AD88" s="41"/>
      <c r="AI88" s="41"/>
      <c r="BZ88" s="72"/>
      <c r="CA88" s="73"/>
      <c r="EQ88">
        <v>591320737.16430211</v>
      </c>
      <c r="FL88">
        <v>591320737.16430211</v>
      </c>
      <c r="KM88" s="41"/>
      <c r="KN88" s="241"/>
      <c r="KQ88" s="41"/>
      <c r="KR88" s="241"/>
      <c r="KU88" s="41"/>
      <c r="KV88" s="241"/>
      <c r="KY88" s="41"/>
      <c r="KZ88" s="241"/>
      <c r="LC88" s="41"/>
      <c r="LD88" s="241"/>
    </row>
    <row r="89" spans="2:374" x14ac:dyDescent="0.25">
      <c r="B89" s="48">
        <v>43307</v>
      </c>
      <c r="C89" s="49">
        <v>46773918.510000005</v>
      </c>
      <c r="D89" s="49">
        <v>38903700</v>
      </c>
      <c r="E89" s="50">
        <v>40000000</v>
      </c>
      <c r="F89" s="50"/>
      <c r="G89" s="50"/>
      <c r="H89" s="50"/>
      <c r="I89" s="41"/>
      <c r="J89" s="41"/>
      <c r="K89" s="241"/>
      <c r="N89" s="41"/>
      <c r="O89" s="41"/>
      <c r="P89" s="241"/>
      <c r="S89" s="41"/>
      <c r="T89" s="41"/>
      <c r="U89" s="241"/>
      <c r="Y89" s="41"/>
      <c r="AD89" s="41"/>
      <c r="AI89" s="41"/>
      <c r="BZ89" s="72"/>
      <c r="CA89" s="64" t="s">
        <v>86</v>
      </c>
      <c r="CB89" s="63">
        <f>CB69</f>
        <v>0</v>
      </c>
      <c r="CC89" s="63">
        <f>CC69</f>
        <v>0</v>
      </c>
      <c r="CD89" s="63">
        <f t="shared" ref="CD89:CI89" si="171">CD69</f>
        <v>0</v>
      </c>
      <c r="CE89" s="63">
        <f t="shared" si="171"/>
        <v>0</v>
      </c>
      <c r="CF89" s="63">
        <f t="shared" si="171"/>
        <v>1</v>
      </c>
      <c r="CG89" s="63">
        <f t="shared" si="171"/>
        <v>1</v>
      </c>
      <c r="CH89" s="63">
        <f t="shared" si="171"/>
        <v>1</v>
      </c>
      <c r="CI89" s="63">
        <f t="shared" si="171"/>
        <v>1</v>
      </c>
      <c r="EQ89">
        <v>619279547.08349144</v>
      </c>
      <c r="FL89">
        <v>619279547.08349144</v>
      </c>
      <c r="KM89" s="41"/>
      <c r="KN89" s="241"/>
      <c r="KQ89" s="41"/>
      <c r="KR89" s="241"/>
      <c r="KU89" s="41"/>
      <c r="KV89" s="241"/>
      <c r="KY89" s="41"/>
      <c r="KZ89" s="241"/>
      <c r="LC89" s="41"/>
      <c r="LD89" s="241"/>
    </row>
    <row r="90" spans="2:374" x14ac:dyDescent="0.25">
      <c r="B90" s="48">
        <v>43314</v>
      </c>
      <c r="C90" s="49">
        <v>57621785.680800006</v>
      </c>
      <c r="D90" s="49">
        <v>47926296</v>
      </c>
      <c r="E90" s="50">
        <v>50000000</v>
      </c>
      <c r="F90" s="50"/>
      <c r="G90" s="50"/>
      <c r="H90" s="50"/>
      <c r="I90" s="41"/>
      <c r="J90" s="41"/>
      <c r="K90" s="241"/>
      <c r="N90" s="41"/>
      <c r="O90" s="41"/>
      <c r="P90" s="241"/>
      <c r="S90" s="41"/>
      <c r="T90" s="41"/>
      <c r="U90" s="241"/>
      <c r="Y90" s="41"/>
      <c r="AD90" s="41"/>
      <c r="AI90" s="41"/>
      <c r="BZ90" s="72"/>
      <c r="CA90" s="62" t="s">
        <v>99</v>
      </c>
      <c r="CB90" s="63">
        <f>CB73-CB69</f>
        <v>1</v>
      </c>
      <c r="CC90" s="63">
        <f>CC73-CC69</f>
        <v>4</v>
      </c>
      <c r="CD90" s="63">
        <f t="shared" ref="CD90:CI90" si="172">CD73-CD69</f>
        <v>1.6346153846153846</v>
      </c>
      <c r="CE90" s="63">
        <f t="shared" si="172"/>
        <v>5</v>
      </c>
      <c r="CF90" s="63">
        <f t="shared" si="172"/>
        <v>7</v>
      </c>
      <c r="CG90" s="63">
        <f t="shared" si="172"/>
        <v>7</v>
      </c>
      <c r="CH90" s="63">
        <f t="shared" si="172"/>
        <v>7</v>
      </c>
      <c r="CI90" s="63">
        <f t="shared" si="172"/>
        <v>5</v>
      </c>
      <c r="EQ90">
        <v>663608290.92422366</v>
      </c>
      <c r="FL90">
        <v>663608290.92422366</v>
      </c>
      <c r="KM90" s="41"/>
      <c r="KN90" s="241"/>
      <c r="KQ90" s="41"/>
      <c r="KR90" s="241"/>
      <c r="KU90" s="41"/>
      <c r="KV90" s="241"/>
      <c r="KY90" s="41"/>
      <c r="KZ90" s="241"/>
      <c r="LC90" s="41"/>
      <c r="LD90" s="241"/>
    </row>
    <row r="91" spans="2:374" x14ac:dyDescent="0.25">
      <c r="B91" s="48">
        <v>43321</v>
      </c>
      <c r="C91" s="49">
        <v>108858925.53360002</v>
      </c>
      <c r="D91" s="49">
        <v>90542232</v>
      </c>
      <c r="E91" s="50">
        <v>80000000</v>
      </c>
      <c r="F91" s="50"/>
      <c r="G91" s="50"/>
      <c r="H91" s="50"/>
      <c r="I91" s="41"/>
      <c r="J91" s="41"/>
      <c r="K91" s="241"/>
      <c r="N91" s="41"/>
      <c r="O91" s="41"/>
      <c r="P91" s="241"/>
      <c r="S91" s="41"/>
      <c r="T91" s="41"/>
      <c r="U91" s="241"/>
      <c r="Y91" s="41"/>
      <c r="AD91" s="41"/>
      <c r="AI91" s="41"/>
      <c r="BZ91" s="72"/>
      <c r="CA91" s="62" t="s">
        <v>100</v>
      </c>
      <c r="CB91" s="63">
        <f>CB74-CB73</f>
        <v>1</v>
      </c>
      <c r="CC91" s="63">
        <f>CC74-CC73</f>
        <v>1</v>
      </c>
      <c r="CD91" s="63">
        <f t="shared" ref="CD91:CI92" si="173">CD74-CD73</f>
        <v>1</v>
      </c>
      <c r="CE91" s="63">
        <f t="shared" si="173"/>
        <v>1</v>
      </c>
      <c r="CF91" s="63">
        <f t="shared" si="173"/>
        <v>2</v>
      </c>
      <c r="CG91" s="63">
        <f t="shared" si="173"/>
        <v>2</v>
      </c>
      <c r="CH91" s="63">
        <f t="shared" si="173"/>
        <v>2</v>
      </c>
      <c r="CI91" s="63">
        <f t="shared" si="173"/>
        <v>2</v>
      </c>
      <c r="EQ91">
        <v>721077125.53069639</v>
      </c>
      <c r="FL91">
        <v>721077125.53069639</v>
      </c>
      <c r="KM91" s="41"/>
      <c r="KN91" s="241"/>
      <c r="KQ91" s="41"/>
      <c r="KR91" s="241"/>
      <c r="KU91" s="41"/>
      <c r="KV91" s="241"/>
      <c r="KY91" s="41"/>
      <c r="KZ91" s="241"/>
      <c r="LC91" s="41"/>
      <c r="LD91" s="241"/>
    </row>
    <row r="92" spans="2:374" x14ac:dyDescent="0.25">
      <c r="B92" s="48">
        <v>43328</v>
      </c>
      <c r="C92" s="49">
        <v>202730517.89760002</v>
      </c>
      <c r="D92" s="49">
        <v>168618912</v>
      </c>
      <c r="E92" s="50">
        <v>100000000</v>
      </c>
      <c r="F92" s="50"/>
      <c r="G92" s="50"/>
      <c r="H92" s="50"/>
      <c r="I92" s="41"/>
      <c r="J92" s="41"/>
      <c r="K92" s="241"/>
      <c r="N92" s="41"/>
      <c r="O92" s="41"/>
      <c r="P92" s="241"/>
      <c r="S92" s="41"/>
      <c r="T92" s="41"/>
      <c r="U92" s="241"/>
      <c r="Y92" s="41"/>
      <c r="AD92" s="41"/>
      <c r="AI92" s="41"/>
      <c r="BZ92" s="72"/>
      <c r="CA92" s="62" t="s">
        <v>101</v>
      </c>
      <c r="CB92" s="63">
        <f>CB75-CB74</f>
        <v>1</v>
      </c>
      <c r="CC92" s="63">
        <f>CC75-CC74</f>
        <v>2</v>
      </c>
      <c r="CD92" s="63">
        <f t="shared" si="173"/>
        <v>1.2115384615384617</v>
      </c>
      <c r="CE92" s="63">
        <f t="shared" si="173"/>
        <v>2</v>
      </c>
      <c r="CF92" s="63">
        <f t="shared" si="173"/>
        <v>2</v>
      </c>
      <c r="CG92" s="63">
        <f t="shared" si="173"/>
        <v>2</v>
      </c>
      <c r="CH92" s="63">
        <f t="shared" si="173"/>
        <v>2</v>
      </c>
      <c r="CI92" s="63">
        <f t="shared" si="173"/>
        <v>1</v>
      </c>
      <c r="EQ92">
        <v>748977600.53756142</v>
      </c>
      <c r="FL92">
        <v>748977600.53756142</v>
      </c>
      <c r="KM92" s="41"/>
      <c r="KN92" s="241"/>
      <c r="KQ92" s="41"/>
      <c r="KR92" s="241"/>
      <c r="KU92" s="41"/>
      <c r="KV92" s="241"/>
      <c r="KY92" s="41"/>
      <c r="KZ92" s="241"/>
      <c r="LC92" s="41"/>
      <c r="LD92" s="241"/>
    </row>
    <row r="93" spans="2:374" x14ac:dyDescent="0.25">
      <c r="B93" s="48">
        <v>43335</v>
      </c>
      <c r="C93" s="49">
        <v>17721954.901200004</v>
      </c>
      <c r="D93" s="49">
        <v>14740044</v>
      </c>
      <c r="E93" s="50">
        <v>3000000</v>
      </c>
      <c r="F93" s="50"/>
      <c r="G93" s="50"/>
      <c r="H93" s="50"/>
      <c r="I93" s="41"/>
      <c r="J93" s="41"/>
      <c r="K93" s="241"/>
      <c r="N93" s="41"/>
      <c r="O93" s="41"/>
      <c r="P93" s="241"/>
      <c r="S93" s="41"/>
      <c r="T93" s="41"/>
      <c r="U93" s="241"/>
      <c r="Y93" s="41"/>
      <c r="AD93" s="41"/>
      <c r="AI93" s="41"/>
      <c r="BZ93" s="72"/>
      <c r="CA93" s="62" t="s">
        <v>102</v>
      </c>
      <c r="CB93" s="63">
        <f>CB79-CB75</f>
        <v>8</v>
      </c>
      <c r="CC93" s="63">
        <f>CC79-CC75</f>
        <v>12</v>
      </c>
      <c r="CD93" s="63">
        <f t="shared" ref="CD93:CI93" si="174">CD79-CD75</f>
        <v>8.8461538461538467</v>
      </c>
      <c r="CE93" s="63">
        <f t="shared" si="174"/>
        <v>9</v>
      </c>
      <c r="CF93" s="63">
        <f t="shared" si="174"/>
        <v>9</v>
      </c>
      <c r="CG93" s="63">
        <f t="shared" si="174"/>
        <v>10</v>
      </c>
      <c r="CH93" s="63">
        <f t="shared" si="174"/>
        <v>9</v>
      </c>
      <c r="CI93" s="63">
        <f t="shared" si="174"/>
        <v>7</v>
      </c>
      <c r="EQ93">
        <v>793526832.267277</v>
      </c>
      <c r="FL93">
        <v>793526832.267277</v>
      </c>
      <c r="KM93" s="41"/>
      <c r="KN93" s="241"/>
      <c r="KQ93" s="41"/>
      <c r="KR93" s="241"/>
      <c r="KU93" s="41"/>
      <c r="KV93" s="241"/>
      <c r="KY93" s="41"/>
      <c r="KZ93" s="241"/>
      <c r="LC93" s="41"/>
      <c r="LD93" s="241"/>
    </row>
    <row r="94" spans="2:374" x14ac:dyDescent="0.25">
      <c r="B94" s="48">
        <v>43342</v>
      </c>
      <c r="C94" s="49">
        <v>20833577.034600001</v>
      </c>
      <c r="D94" s="49">
        <v>17328102</v>
      </c>
      <c r="E94" s="50">
        <v>8000000</v>
      </c>
      <c r="F94" s="50"/>
      <c r="G94" s="50"/>
      <c r="H94" s="50"/>
      <c r="I94" s="41"/>
      <c r="J94" s="41"/>
      <c r="K94" s="241"/>
      <c r="N94" s="41"/>
      <c r="O94" s="41"/>
      <c r="P94" s="241"/>
      <c r="S94" s="41"/>
      <c r="T94" s="41"/>
      <c r="U94" s="241"/>
      <c r="Y94" s="41"/>
      <c r="AD94" s="41"/>
      <c r="AI94" s="41"/>
      <c r="EQ94">
        <v>835775608.29892135</v>
      </c>
      <c r="FL94">
        <v>835775608.29892135</v>
      </c>
      <c r="KM94" s="41"/>
      <c r="KN94" s="241"/>
      <c r="KQ94" s="41"/>
      <c r="KR94" s="241"/>
      <c r="KU94" s="41"/>
      <c r="KV94" s="241"/>
      <c r="KY94" s="41"/>
      <c r="KZ94" s="241"/>
      <c r="LC94" s="41"/>
      <c r="LD94" s="241"/>
    </row>
    <row r="95" spans="2:374" x14ac:dyDescent="0.25">
      <c r="B95" s="48">
        <v>43349</v>
      </c>
      <c r="C95" s="49">
        <v>26251321.179600004</v>
      </c>
      <c r="D95" s="49">
        <v>21834252</v>
      </c>
      <c r="E95" s="50">
        <v>12000000</v>
      </c>
      <c r="F95" s="50"/>
      <c r="G95" s="50"/>
      <c r="H95" s="50"/>
      <c r="I95" s="41"/>
      <c r="J95" s="41"/>
      <c r="K95" s="241"/>
      <c r="N95" s="41"/>
      <c r="O95" s="41"/>
      <c r="P95" s="241"/>
      <c r="S95" s="41"/>
      <c r="T95" s="41"/>
      <c r="U95" s="241"/>
      <c r="Y95" s="41"/>
      <c r="AD95" s="41"/>
      <c r="AI95" s="41"/>
      <c r="CA95" s="254" t="s">
        <v>307</v>
      </c>
      <c r="CB95" s="255" t="s">
        <v>104</v>
      </c>
      <c r="CC95" s="255" t="s">
        <v>105</v>
      </c>
      <c r="CD95" s="255" t="s">
        <v>106</v>
      </c>
      <c r="EQ95">
        <v>894779767.38868928</v>
      </c>
      <c r="FL95">
        <v>894779767.38868928</v>
      </c>
      <c r="KM95" s="41"/>
      <c r="KN95" s="241"/>
      <c r="KQ95" s="41"/>
      <c r="KR95" s="241"/>
      <c r="KU95" s="41"/>
      <c r="KV95" s="241"/>
      <c r="KY95" s="41"/>
      <c r="KZ95" s="241"/>
      <c r="LC95" s="41"/>
      <c r="LD95" s="241"/>
    </row>
    <row r="96" spans="2:374" x14ac:dyDescent="0.25">
      <c r="B96" s="48">
        <v>43356</v>
      </c>
      <c r="C96" s="49">
        <v>34306163.694000006</v>
      </c>
      <c r="D96" s="49">
        <v>28533780</v>
      </c>
      <c r="E96" s="50">
        <v>20000000</v>
      </c>
      <c r="F96" s="50"/>
      <c r="G96" s="50"/>
      <c r="H96" s="50"/>
      <c r="I96" s="41"/>
      <c r="J96" s="41"/>
      <c r="K96" s="241"/>
      <c r="N96" s="41"/>
      <c r="O96" s="41"/>
      <c r="P96" s="241"/>
      <c r="S96" s="41"/>
      <c r="T96" s="41"/>
      <c r="U96" s="241"/>
      <c r="Y96" s="41"/>
      <c r="AD96" s="41"/>
      <c r="AI96" s="41"/>
      <c r="CA96" t="s">
        <v>107</v>
      </c>
      <c r="CB96" s="79">
        <f>41/52</f>
        <v>0.78846153846153844</v>
      </c>
      <c r="CC96" s="79">
        <f>11/52</f>
        <v>0.21153846153846154</v>
      </c>
      <c r="EQ96">
        <v>963259797.54154968</v>
      </c>
      <c r="FL96">
        <v>963259797.54154968</v>
      </c>
      <c r="KM96" s="41"/>
      <c r="KN96" s="241"/>
      <c r="KQ96" s="41"/>
      <c r="KR96" s="241"/>
      <c r="KU96" s="41"/>
      <c r="KV96" s="241"/>
      <c r="KY96" s="41"/>
      <c r="KZ96" s="241"/>
      <c r="LC96" s="41"/>
      <c r="LD96" s="241"/>
    </row>
    <row r="97" spans="2:168" x14ac:dyDescent="0.25">
      <c r="B97" s="48">
        <v>43363</v>
      </c>
      <c r="C97" s="49">
        <v>45161013.823200002</v>
      </c>
      <c r="D97" s="49">
        <v>37562184</v>
      </c>
      <c r="E97" s="50">
        <v>30000000</v>
      </c>
      <c r="F97" s="50"/>
      <c r="G97" s="50"/>
      <c r="H97" s="50"/>
      <c r="I97" s="41"/>
      <c r="J97" s="41"/>
      <c r="K97" s="241"/>
      <c r="N97" s="41"/>
      <c r="O97" s="41"/>
      <c r="P97" s="241"/>
      <c r="S97" s="41"/>
      <c r="T97" s="41"/>
      <c r="U97" s="241"/>
      <c r="Y97" s="41"/>
      <c r="AD97" s="41"/>
      <c r="AI97" s="41"/>
      <c r="CA97" s="64" t="s">
        <v>30</v>
      </c>
      <c r="CB97" s="10">
        <v>0</v>
      </c>
      <c r="CC97" s="10">
        <v>0</v>
      </c>
      <c r="CD97" s="63">
        <f t="shared" ref="CD97:CD107" si="175">CB$55*CB97+CC$55*CC97</f>
        <v>0</v>
      </c>
      <c r="EQ97">
        <v>1005839508.1267083</v>
      </c>
      <c r="FL97">
        <v>1005839508.1267083</v>
      </c>
    </row>
    <row r="98" spans="2:168" x14ac:dyDescent="0.25">
      <c r="B98" s="48">
        <v>43370</v>
      </c>
      <c r="C98" s="49">
        <v>15546684.007800002</v>
      </c>
      <c r="D98" s="49">
        <v>12930786</v>
      </c>
      <c r="E98" s="50">
        <v>3000000</v>
      </c>
      <c r="F98" s="50"/>
      <c r="G98" s="50"/>
      <c r="H98" s="50"/>
      <c r="I98" s="41"/>
      <c r="J98" s="41"/>
      <c r="K98" s="241"/>
      <c r="N98" s="41"/>
      <c r="O98" s="41"/>
      <c r="P98" s="241"/>
      <c r="S98" s="41"/>
      <c r="T98" s="41"/>
      <c r="U98" s="241"/>
      <c r="Y98" s="41"/>
      <c r="AD98" s="41"/>
      <c r="AI98" s="41"/>
      <c r="CA98" s="62" t="s">
        <v>31</v>
      </c>
      <c r="CB98" s="10">
        <v>0</v>
      </c>
      <c r="CC98" s="10">
        <v>0</v>
      </c>
      <c r="CD98" s="63">
        <f t="shared" si="175"/>
        <v>0</v>
      </c>
      <c r="EQ98">
        <v>1062426687.5112131</v>
      </c>
      <c r="FL98">
        <v>1062426687.5112131</v>
      </c>
    </row>
    <row r="99" spans="2:168" x14ac:dyDescent="0.25">
      <c r="B99" s="48">
        <v>43377</v>
      </c>
      <c r="C99" s="49">
        <v>22194381.052800003</v>
      </c>
      <c r="D99" s="49">
        <v>18459936</v>
      </c>
      <c r="E99" s="50">
        <v>8000000</v>
      </c>
      <c r="F99" s="50"/>
      <c r="G99" s="50"/>
      <c r="H99" s="50"/>
      <c r="I99" s="41"/>
      <c r="J99" s="41"/>
      <c r="K99" s="241"/>
      <c r="N99" s="41"/>
      <c r="O99" s="41"/>
      <c r="P99" s="241"/>
      <c r="S99" s="41"/>
      <c r="T99" s="41"/>
      <c r="U99" s="241"/>
      <c r="Y99" s="41"/>
      <c r="AD99" s="41"/>
      <c r="AI99" s="41"/>
      <c r="CA99" s="62" t="s">
        <v>32</v>
      </c>
      <c r="CB99" s="10">
        <v>0</v>
      </c>
      <c r="CC99" s="10">
        <v>2</v>
      </c>
      <c r="CD99" s="63">
        <f t="shared" si="175"/>
        <v>0.42307692307692307</v>
      </c>
      <c r="EQ99">
        <v>1129692978.3830013</v>
      </c>
      <c r="FL99">
        <v>1129692978.3830013</v>
      </c>
    </row>
    <row r="100" spans="2:168" x14ac:dyDescent="0.25">
      <c r="B100" s="48">
        <v>43384</v>
      </c>
      <c r="C100" s="49">
        <v>29433169.656000003</v>
      </c>
      <c r="D100" s="49">
        <v>24480720</v>
      </c>
      <c r="E100" s="50">
        <v>12000000</v>
      </c>
      <c r="F100" s="50"/>
      <c r="G100" s="50"/>
      <c r="H100" s="50"/>
      <c r="I100" s="41"/>
      <c r="J100" s="41"/>
      <c r="K100" s="241"/>
      <c r="N100" s="41"/>
      <c r="O100" s="41"/>
      <c r="P100" s="241"/>
      <c r="S100" s="41"/>
      <c r="T100" s="41"/>
      <c r="U100" s="241"/>
      <c r="Y100" s="41"/>
      <c r="AD100" s="41"/>
      <c r="AI100" s="41"/>
      <c r="CA100" s="62" t="s">
        <v>33</v>
      </c>
      <c r="CB100" s="10">
        <v>0</v>
      </c>
      <c r="CC100" s="10">
        <v>2</v>
      </c>
      <c r="CD100" s="63">
        <f t="shared" si="175"/>
        <v>0.42307692307692307</v>
      </c>
      <c r="EQ100">
        <v>1223356321.7890818</v>
      </c>
      <c r="FL100">
        <v>1223356321.7890818</v>
      </c>
    </row>
    <row r="101" spans="2:168" x14ac:dyDescent="0.25">
      <c r="B101" s="48">
        <v>43391</v>
      </c>
      <c r="C101" s="49">
        <v>35094603.178800002</v>
      </c>
      <c r="D101" s="49">
        <v>29189556</v>
      </c>
      <c r="E101" s="50">
        <v>20000000</v>
      </c>
      <c r="F101" s="50"/>
      <c r="G101" s="50"/>
      <c r="H101" s="50"/>
      <c r="I101" s="41"/>
      <c r="J101" s="41"/>
      <c r="K101" s="241"/>
      <c r="N101" s="41"/>
      <c r="O101" s="41"/>
      <c r="P101" s="241"/>
      <c r="S101" s="41"/>
      <c r="T101" s="41"/>
      <c r="U101" s="241"/>
      <c r="Y101" s="41"/>
      <c r="AD101" s="41"/>
      <c r="AI101" s="41"/>
      <c r="CA101" s="62" t="s">
        <v>34</v>
      </c>
      <c r="CB101" s="10">
        <v>1</v>
      </c>
      <c r="CC101" s="10">
        <v>4</v>
      </c>
      <c r="CD101" s="63">
        <f t="shared" si="175"/>
        <v>1.6346153846153846</v>
      </c>
      <c r="EQ101">
        <v>1406961436.5286698</v>
      </c>
      <c r="FL101">
        <v>1406961436.5286698</v>
      </c>
    </row>
    <row r="102" spans="2:168" x14ac:dyDescent="0.25">
      <c r="B102" s="48">
        <v>43398</v>
      </c>
      <c r="C102" s="49">
        <v>41656758.983400002</v>
      </c>
      <c r="D102" s="49">
        <v>34647558</v>
      </c>
      <c r="E102" s="50">
        <v>30000000</v>
      </c>
      <c r="F102" s="50"/>
      <c r="G102" s="50"/>
      <c r="H102" s="50"/>
      <c r="I102" s="41"/>
      <c r="J102" s="41"/>
      <c r="K102" s="241"/>
      <c r="N102" s="41"/>
      <c r="O102" s="41"/>
      <c r="P102" s="241"/>
      <c r="S102" s="41"/>
      <c r="T102" s="41"/>
      <c r="U102" s="241"/>
      <c r="Y102" s="41"/>
      <c r="AD102" s="41"/>
      <c r="AI102" s="41"/>
      <c r="CA102" s="62" t="s">
        <v>35</v>
      </c>
      <c r="CB102" s="10">
        <v>2</v>
      </c>
      <c r="CC102" s="10">
        <v>5</v>
      </c>
      <c r="CD102" s="63">
        <f t="shared" si="175"/>
        <v>2.6346153846153846</v>
      </c>
      <c r="EQ102">
        <v>1434528919.090945</v>
      </c>
      <c r="FL102">
        <v>1434528919.090945</v>
      </c>
    </row>
    <row r="103" spans="2:168" x14ac:dyDescent="0.25">
      <c r="B103" s="48">
        <v>43405</v>
      </c>
      <c r="C103" s="49">
        <v>50639620.798800007</v>
      </c>
      <c r="D103" s="49">
        <v>42118956</v>
      </c>
      <c r="E103" s="50">
        <v>40000000</v>
      </c>
      <c r="F103" s="50"/>
      <c r="G103" s="50"/>
      <c r="H103" s="50"/>
      <c r="I103" s="41"/>
      <c r="J103" s="41"/>
      <c r="K103" s="241"/>
      <c r="N103" s="41"/>
      <c r="O103" s="41"/>
      <c r="P103" s="241"/>
      <c r="S103" s="41"/>
      <c r="T103" s="41"/>
      <c r="U103" s="241"/>
      <c r="Y103" s="41"/>
      <c r="AD103" s="41"/>
      <c r="AI103" s="41"/>
      <c r="CA103" s="62" t="s">
        <v>36</v>
      </c>
      <c r="CB103" s="10">
        <v>3</v>
      </c>
      <c r="CC103" s="10">
        <v>7</v>
      </c>
      <c r="CD103" s="63">
        <f t="shared" si="175"/>
        <v>3.8461538461538463</v>
      </c>
      <c r="EQ103">
        <v>1475594429.634129</v>
      </c>
      <c r="FL103">
        <v>1475594429.634129</v>
      </c>
    </row>
    <row r="104" spans="2:168" x14ac:dyDescent="0.25">
      <c r="B104" s="48">
        <v>43412</v>
      </c>
      <c r="C104" s="49">
        <v>83405486.703000009</v>
      </c>
      <c r="D104" s="49">
        <v>69371610</v>
      </c>
      <c r="E104" s="50">
        <v>60000000</v>
      </c>
      <c r="F104" s="50"/>
      <c r="G104" s="50"/>
      <c r="H104" s="50"/>
      <c r="I104" s="41"/>
      <c r="J104" s="41"/>
      <c r="K104" s="241"/>
      <c r="N104" s="41"/>
      <c r="O104" s="41"/>
      <c r="P104" s="241"/>
      <c r="S104" s="41"/>
      <c r="T104" s="41"/>
      <c r="U104" s="241"/>
      <c r="Y104" s="41"/>
      <c r="AD104" s="41"/>
      <c r="AI104" s="41"/>
      <c r="CA104" s="62" t="s">
        <v>37</v>
      </c>
      <c r="CB104" s="10">
        <v>5</v>
      </c>
      <c r="CC104" s="10">
        <v>9</v>
      </c>
      <c r="CD104" s="63">
        <f t="shared" si="175"/>
        <v>5.8461538461538458</v>
      </c>
      <c r="EQ104">
        <v>1504849176.8542664</v>
      </c>
      <c r="FL104">
        <v>1504849176.8542664</v>
      </c>
    </row>
    <row r="105" spans="2:168" x14ac:dyDescent="0.25">
      <c r="B105" s="48">
        <v>43419</v>
      </c>
      <c r="C105" s="49">
        <v>16310127.675600002</v>
      </c>
      <c r="D105" s="49">
        <v>13565772</v>
      </c>
      <c r="E105" s="247">
        <v>3000000</v>
      </c>
      <c r="F105" s="247" t="s">
        <v>83</v>
      </c>
      <c r="I105" s="41"/>
      <c r="J105" s="41"/>
      <c r="K105" s="241"/>
      <c r="N105" s="41"/>
      <c r="O105" s="41"/>
      <c r="P105" s="241"/>
      <c r="S105" s="41"/>
      <c r="T105" s="41"/>
      <c r="U105" s="241"/>
      <c r="Y105" s="41"/>
      <c r="AD105" s="41"/>
      <c r="AI105" s="41"/>
      <c r="CA105" s="62" t="s">
        <v>38</v>
      </c>
      <c r="CB105" s="10">
        <v>5</v>
      </c>
      <c r="CC105" s="10">
        <v>10</v>
      </c>
      <c r="CD105" s="63">
        <f t="shared" si="175"/>
        <v>6.0576923076923075</v>
      </c>
      <c r="EQ105">
        <v>1545947452.124747</v>
      </c>
      <c r="FL105">
        <v>1545947452.124747</v>
      </c>
    </row>
    <row r="106" spans="2:168" x14ac:dyDescent="0.25">
      <c r="B106" s="48">
        <v>43426</v>
      </c>
      <c r="C106" s="49">
        <v>15836794.188600002</v>
      </c>
      <c r="D106" s="49">
        <v>13172082</v>
      </c>
      <c r="E106" s="50">
        <v>3000000</v>
      </c>
      <c r="F106" s="50"/>
      <c r="G106" s="50"/>
      <c r="H106" s="50"/>
      <c r="I106" s="41"/>
      <c r="J106" s="41"/>
      <c r="K106" s="241"/>
      <c r="N106" s="41"/>
      <c r="O106" s="41"/>
      <c r="P106" s="241"/>
      <c r="S106" s="41"/>
      <c r="T106" s="41"/>
      <c r="U106" s="241"/>
      <c r="Y106" s="41"/>
      <c r="AD106" s="41"/>
      <c r="AI106" s="41"/>
      <c r="CA106" s="62" t="s">
        <v>39</v>
      </c>
      <c r="CB106" s="10">
        <v>7</v>
      </c>
      <c r="CC106" s="10">
        <v>13</v>
      </c>
      <c r="CD106" s="63">
        <f t="shared" si="175"/>
        <v>8.2692307692307701</v>
      </c>
      <c r="EQ106">
        <v>1596833871.9016676</v>
      </c>
      <c r="FL106">
        <v>1596833871.9016676</v>
      </c>
    </row>
    <row r="107" spans="2:168" x14ac:dyDescent="0.25">
      <c r="B107" s="48">
        <v>43433</v>
      </c>
      <c r="C107" s="49">
        <v>23525586.849600002</v>
      </c>
      <c r="D107" s="49">
        <v>19567152</v>
      </c>
      <c r="E107" s="50">
        <v>8000000</v>
      </c>
      <c r="F107" s="50"/>
      <c r="G107" s="50"/>
      <c r="H107" s="50"/>
      <c r="I107" s="41"/>
      <c r="J107" s="41"/>
      <c r="K107" s="241"/>
      <c r="N107" s="41"/>
      <c r="O107" s="41"/>
      <c r="P107" s="241"/>
      <c r="S107" s="41"/>
      <c r="T107" s="41"/>
      <c r="U107" s="241"/>
      <c r="Y107" s="41"/>
      <c r="AD107" s="41"/>
      <c r="AI107" s="41"/>
      <c r="CA107" s="62" t="s">
        <v>40</v>
      </c>
      <c r="CB107" s="10">
        <v>11</v>
      </c>
      <c r="CC107" s="10">
        <v>19</v>
      </c>
      <c r="CD107" s="63">
        <f t="shared" si="175"/>
        <v>12.692307692307693</v>
      </c>
    </row>
    <row r="108" spans="2:168" x14ac:dyDescent="0.25">
      <c r="B108" s="48">
        <v>43440</v>
      </c>
      <c r="C108" s="49">
        <v>28901591.947800003</v>
      </c>
      <c r="D108" s="49">
        <v>24038586</v>
      </c>
      <c r="E108" s="50">
        <v>12000000</v>
      </c>
      <c r="F108" s="50"/>
      <c r="G108" s="50"/>
      <c r="H108" s="50"/>
      <c r="I108" s="41"/>
      <c r="J108" s="41"/>
      <c r="K108" s="241"/>
      <c r="N108" s="41"/>
      <c r="O108" s="41"/>
      <c r="P108" s="241"/>
      <c r="S108" s="41"/>
      <c r="T108" s="41"/>
      <c r="U108" s="241"/>
      <c r="Y108" s="41"/>
      <c r="AD108" s="41"/>
      <c r="AI108" s="41"/>
    </row>
    <row r="109" spans="2:168" x14ac:dyDescent="0.25">
      <c r="B109" s="48">
        <v>43447</v>
      </c>
      <c r="C109" s="49">
        <v>38292401.367000006</v>
      </c>
      <c r="D109" s="49">
        <v>31849290</v>
      </c>
      <c r="E109" s="50">
        <v>20000000</v>
      </c>
      <c r="F109" s="50"/>
      <c r="G109" s="50"/>
      <c r="H109" s="50"/>
      <c r="I109" s="41"/>
      <c r="J109" s="41"/>
      <c r="K109" s="241"/>
      <c r="N109" s="41"/>
      <c r="O109" s="41"/>
      <c r="P109" s="241"/>
      <c r="S109" s="41"/>
      <c r="T109" s="41"/>
      <c r="U109" s="241"/>
      <c r="Y109" s="41"/>
      <c r="AD109" s="41"/>
      <c r="AI109" s="41"/>
    </row>
    <row r="110" spans="2:168" x14ac:dyDescent="0.25">
      <c r="B110" s="48">
        <v>43454</v>
      </c>
      <c r="C110" s="49">
        <v>38746055.607600003</v>
      </c>
      <c r="D110" s="49">
        <v>32226612</v>
      </c>
      <c r="E110" s="50">
        <v>25000000</v>
      </c>
      <c r="F110" s="81"/>
      <c r="G110" s="81"/>
      <c r="H110" s="81"/>
      <c r="I110" s="41"/>
      <c r="J110" s="41"/>
      <c r="K110" s="241"/>
      <c r="N110" s="41"/>
      <c r="O110" s="41"/>
      <c r="P110" s="241"/>
      <c r="S110" s="41"/>
      <c r="T110" s="41"/>
      <c r="U110" s="241"/>
      <c r="Y110" s="41"/>
      <c r="AD110" s="41"/>
      <c r="AI110" s="41"/>
    </row>
    <row r="111" spans="2:168" x14ac:dyDescent="0.25">
      <c r="B111" s="48">
        <v>43461</v>
      </c>
      <c r="C111" s="49">
        <v>43712843.473200008</v>
      </c>
      <c r="D111" s="49">
        <v>36357684</v>
      </c>
      <c r="E111" s="50">
        <v>30000000</v>
      </c>
      <c r="F111" s="50"/>
      <c r="G111" s="50"/>
      <c r="H111" s="50"/>
      <c r="I111" s="41"/>
      <c r="J111" s="41"/>
      <c r="K111" s="241"/>
      <c r="N111" s="41"/>
      <c r="O111" s="41"/>
      <c r="P111" s="241"/>
      <c r="S111" s="41"/>
      <c r="T111" s="41"/>
      <c r="U111" s="241"/>
      <c r="Y111" s="41"/>
      <c r="AD111" s="41"/>
      <c r="AI111" s="41"/>
    </row>
    <row r="112" spans="2:168" x14ac:dyDescent="0.25">
      <c r="B112" s="48">
        <v>43468</v>
      </c>
      <c r="C112" s="49">
        <v>78951152.761800006</v>
      </c>
      <c r="D112" s="49">
        <v>65666766</v>
      </c>
      <c r="E112" s="247">
        <v>50000000</v>
      </c>
      <c r="F112" s="247" t="s">
        <v>85</v>
      </c>
      <c r="G112" s="50"/>
      <c r="H112" s="50"/>
      <c r="I112" s="41"/>
      <c r="J112" s="41"/>
      <c r="K112" s="241"/>
      <c r="N112" s="41"/>
      <c r="O112" s="41"/>
      <c r="P112" s="241"/>
      <c r="S112" s="41"/>
      <c r="T112" s="41"/>
      <c r="U112" s="241"/>
      <c r="Y112" s="41"/>
      <c r="AD112" s="41"/>
      <c r="AI112" s="41"/>
    </row>
    <row r="113" spans="2:7" x14ac:dyDescent="0.25">
      <c r="B113" s="48">
        <v>43475</v>
      </c>
      <c r="C113" s="49">
        <v>131992038.38040002</v>
      </c>
      <c r="D113" s="49">
        <v>109782948</v>
      </c>
      <c r="E113" s="50">
        <v>80000000</v>
      </c>
      <c r="F113" s="50"/>
      <c r="G113" s="50"/>
    </row>
    <row r="114" spans="2:7" x14ac:dyDescent="0.25">
      <c r="B114" s="48">
        <v>43482</v>
      </c>
      <c r="C114" s="49">
        <v>206489095.25640002</v>
      </c>
      <c r="D114" s="49">
        <v>171745068</v>
      </c>
      <c r="E114" s="50">
        <v>100000000</v>
      </c>
      <c r="F114" s="50"/>
      <c r="G114" s="50"/>
    </row>
    <row r="115" spans="2:7" x14ac:dyDescent="0.25">
      <c r="B115" s="48">
        <v>43489</v>
      </c>
      <c r="C115" s="49">
        <v>16920422.369400002</v>
      </c>
      <c r="D115" s="49">
        <v>14073378</v>
      </c>
      <c r="E115" s="50">
        <v>3000000</v>
      </c>
      <c r="F115" s="50"/>
      <c r="G115" s="50"/>
    </row>
    <row r="116" spans="2:7" x14ac:dyDescent="0.25">
      <c r="B116" s="48">
        <v>43496</v>
      </c>
      <c r="C116" s="49">
        <v>22065910.488600004</v>
      </c>
      <c r="D116" s="49">
        <v>18353082</v>
      </c>
      <c r="E116" s="50">
        <v>8000000</v>
      </c>
      <c r="F116" s="50"/>
      <c r="G116" s="50"/>
    </row>
    <row r="117" spans="2:7" x14ac:dyDescent="0.25">
      <c r="B117" s="48">
        <v>43503</v>
      </c>
      <c r="C117" s="49">
        <v>30998780.670000006</v>
      </c>
      <c r="D117" s="49">
        <v>25782900</v>
      </c>
      <c r="E117" s="50">
        <v>12000000</v>
      </c>
      <c r="F117" s="50"/>
      <c r="G117" s="50"/>
    </row>
    <row r="118" spans="2:7" x14ac:dyDescent="0.25">
      <c r="B118" s="48">
        <v>43510</v>
      </c>
      <c r="C118" s="49">
        <v>38759624.765400007</v>
      </c>
      <c r="D118" s="49">
        <v>32237898</v>
      </c>
      <c r="E118" s="50">
        <v>20000000</v>
      </c>
      <c r="F118" s="50"/>
      <c r="G118" s="50"/>
    </row>
    <row r="119" spans="2:7" x14ac:dyDescent="0.25">
      <c r="B119" s="48">
        <v>43517</v>
      </c>
      <c r="C119" s="49">
        <v>47285578.916400008</v>
      </c>
      <c r="D119" s="49">
        <v>39329268</v>
      </c>
      <c r="E119" s="50">
        <v>30000000</v>
      </c>
      <c r="F119" s="50"/>
      <c r="G119" s="50"/>
    </row>
    <row r="120" spans="2:7" x14ac:dyDescent="0.25">
      <c r="B120" s="48">
        <v>43524</v>
      </c>
      <c r="C120" s="49">
        <v>54494451.89100001</v>
      </c>
      <c r="D120" s="49">
        <v>45325170</v>
      </c>
      <c r="E120" s="50">
        <v>40000000</v>
      </c>
      <c r="F120" s="50"/>
      <c r="G120" s="50"/>
    </row>
    <row r="121" spans="2:7" x14ac:dyDescent="0.25">
      <c r="B121" s="48">
        <v>43531</v>
      </c>
      <c r="C121" s="49">
        <v>15442733.149800003</v>
      </c>
      <c r="D121" s="49">
        <v>12844326</v>
      </c>
      <c r="E121" s="50">
        <v>3000000</v>
      </c>
      <c r="F121" s="50"/>
      <c r="G121" s="50"/>
    </row>
    <row r="122" spans="2:7" x14ac:dyDescent="0.25">
      <c r="B122" s="48">
        <v>43538</v>
      </c>
      <c r="C122" s="49">
        <v>19679960.566200003</v>
      </c>
      <c r="D122" s="49">
        <v>16368594</v>
      </c>
      <c r="E122" s="50">
        <v>8000000</v>
      </c>
      <c r="F122" s="50"/>
      <c r="G122" s="50"/>
    </row>
    <row r="123" spans="2:7" x14ac:dyDescent="0.25">
      <c r="B123" s="48">
        <v>43545</v>
      </c>
      <c r="C123" s="49">
        <v>25763148.906000003</v>
      </c>
      <c r="D123" s="49">
        <v>21428220</v>
      </c>
      <c r="E123" s="50">
        <v>12000000</v>
      </c>
      <c r="F123" s="50"/>
      <c r="G123" s="50"/>
    </row>
    <row r="124" spans="2:7" x14ac:dyDescent="0.25">
      <c r="B124" s="48">
        <v>43552</v>
      </c>
      <c r="C124" s="49">
        <v>31628040.444000002</v>
      </c>
      <c r="D124" s="49">
        <v>26306280</v>
      </c>
      <c r="E124" s="50">
        <v>20000000</v>
      </c>
      <c r="F124" s="50"/>
      <c r="G124" s="50"/>
    </row>
    <row r="125" spans="2:7" x14ac:dyDescent="0.25">
      <c r="B125" s="48">
        <v>43559</v>
      </c>
      <c r="C125" s="49">
        <v>16092624.391800001</v>
      </c>
      <c r="D125" s="49">
        <v>13384866</v>
      </c>
      <c r="E125" s="50">
        <v>3000000</v>
      </c>
      <c r="F125" s="50"/>
      <c r="G125" s="50"/>
    </row>
    <row r="126" spans="2:7" x14ac:dyDescent="0.25">
      <c r="B126" s="48">
        <v>43566</v>
      </c>
      <c r="C126" s="49">
        <v>21837932.767200004</v>
      </c>
      <c r="D126" s="49">
        <v>18163464</v>
      </c>
      <c r="E126" s="50">
        <v>8000000</v>
      </c>
      <c r="F126" s="50"/>
      <c r="G126" s="50"/>
    </row>
    <row r="127" spans="2:7" x14ac:dyDescent="0.25">
      <c r="B127" s="48">
        <v>43573</v>
      </c>
      <c r="C127" s="49">
        <v>25804411.842000004</v>
      </c>
      <c r="D127" s="49">
        <v>21462540</v>
      </c>
      <c r="E127" s="50">
        <v>12000000</v>
      </c>
      <c r="F127" s="50"/>
      <c r="G127" s="50"/>
    </row>
    <row r="128" spans="2:7" x14ac:dyDescent="0.25">
      <c r="B128" s="48">
        <v>43580</v>
      </c>
      <c r="C128" s="49">
        <v>27226951.560600005</v>
      </c>
      <c r="D128" s="49">
        <v>22645722</v>
      </c>
      <c r="E128" s="50">
        <v>20000000</v>
      </c>
      <c r="F128" s="50"/>
      <c r="G128" s="50"/>
    </row>
    <row r="129" spans="2:7" x14ac:dyDescent="0.25">
      <c r="B129" s="48">
        <v>43587</v>
      </c>
      <c r="C129" s="49">
        <v>41381487.589200005</v>
      </c>
      <c r="D129" s="49">
        <v>34418604</v>
      </c>
      <c r="E129" s="50">
        <v>30000000</v>
      </c>
      <c r="F129" s="50"/>
      <c r="G129" s="50"/>
    </row>
    <row r="130" spans="2:7" x14ac:dyDescent="0.25">
      <c r="B130" s="48">
        <v>43594</v>
      </c>
      <c r="C130" s="49">
        <v>13900927.675800001</v>
      </c>
      <c r="D130" s="49">
        <v>11561946</v>
      </c>
      <c r="E130" s="50">
        <v>3000000</v>
      </c>
      <c r="F130" s="50"/>
      <c r="G130" s="50"/>
    </row>
    <row r="131" spans="2:7" x14ac:dyDescent="0.25">
      <c r="B131" s="48">
        <v>43601</v>
      </c>
      <c r="C131" s="49">
        <v>20721373.589400001</v>
      </c>
      <c r="D131" s="49">
        <v>17234778</v>
      </c>
      <c r="E131" s="247">
        <v>8000000</v>
      </c>
      <c r="F131" s="247" t="s">
        <v>83</v>
      </c>
      <c r="G131" s="247" t="s">
        <v>83</v>
      </c>
    </row>
    <row r="132" spans="2:7" x14ac:dyDescent="0.25">
      <c r="B132" s="48">
        <v>43608</v>
      </c>
      <c r="C132" s="49">
        <v>14551612.435800001</v>
      </c>
      <c r="D132" s="49">
        <v>12103146</v>
      </c>
      <c r="E132" s="50">
        <v>3000000</v>
      </c>
      <c r="F132" s="50"/>
      <c r="G132" s="50"/>
    </row>
    <row r="133" spans="2:7" x14ac:dyDescent="0.25">
      <c r="B133" s="48">
        <v>43615</v>
      </c>
      <c r="C133" s="49">
        <v>19315259.693400003</v>
      </c>
      <c r="D133" s="49">
        <v>16065258</v>
      </c>
      <c r="E133" s="50">
        <v>8000000</v>
      </c>
      <c r="F133" s="50"/>
      <c r="G133" s="50"/>
    </row>
    <row r="134" spans="2:7" x14ac:dyDescent="0.25">
      <c r="B134" s="48">
        <v>43622</v>
      </c>
      <c r="C134" s="49">
        <v>23195800.768800002</v>
      </c>
      <c r="D134" s="49">
        <v>19292856</v>
      </c>
      <c r="E134" s="50">
        <v>12000000</v>
      </c>
      <c r="F134" s="50"/>
      <c r="G134" s="50"/>
    </row>
    <row r="135" spans="2:7" x14ac:dyDescent="0.25">
      <c r="B135" s="48">
        <v>43629</v>
      </c>
      <c r="C135" s="49">
        <v>27864940.032600004</v>
      </c>
      <c r="D135" s="49">
        <v>23176362</v>
      </c>
      <c r="E135" s="50">
        <v>20000000</v>
      </c>
      <c r="F135" s="50"/>
      <c r="G135" s="50"/>
    </row>
    <row r="136" spans="2:7" x14ac:dyDescent="0.25">
      <c r="B136" s="48">
        <v>43636</v>
      </c>
      <c r="C136" s="49">
        <v>35045722.470000006</v>
      </c>
      <c r="D136" s="49">
        <v>29148900</v>
      </c>
      <c r="E136" s="50">
        <v>30000000</v>
      </c>
      <c r="F136" s="81"/>
      <c r="G136" s="81"/>
    </row>
    <row r="137" spans="2:7" x14ac:dyDescent="0.25">
      <c r="B137" s="48">
        <v>43643</v>
      </c>
      <c r="C137" s="49">
        <v>48100839.309600003</v>
      </c>
      <c r="D137" s="49">
        <v>40007352</v>
      </c>
      <c r="E137" s="50">
        <v>40000000</v>
      </c>
      <c r="F137" s="50"/>
      <c r="G137" s="50"/>
    </row>
    <row r="138" spans="2:7" x14ac:dyDescent="0.25">
      <c r="B138" s="48">
        <v>43650</v>
      </c>
      <c r="C138" s="49">
        <v>63792737.111400008</v>
      </c>
      <c r="D138" s="49">
        <v>53058918</v>
      </c>
      <c r="E138" s="247">
        <v>60000000</v>
      </c>
      <c r="F138" s="247" t="s">
        <v>85</v>
      </c>
      <c r="G138" s="247" t="s">
        <v>85</v>
      </c>
    </row>
    <row r="139" spans="2:7" x14ac:dyDescent="0.25">
      <c r="B139" s="48">
        <v>43657</v>
      </c>
      <c r="C139" s="49">
        <v>88605172.101600006</v>
      </c>
      <c r="D139" s="49">
        <v>73696392</v>
      </c>
      <c r="E139" s="50">
        <v>80000000</v>
      </c>
      <c r="F139" s="50"/>
      <c r="G139" s="50"/>
    </row>
    <row r="140" spans="2:7" x14ac:dyDescent="0.25">
      <c r="B140" s="48">
        <v>43664</v>
      </c>
      <c r="C140" s="49">
        <v>187249140.42120004</v>
      </c>
      <c r="D140" s="49">
        <v>155742444</v>
      </c>
      <c r="E140" s="50">
        <v>110000000</v>
      </c>
      <c r="F140" s="50"/>
      <c r="G140" s="50"/>
    </row>
    <row r="141" spans="2:7" x14ac:dyDescent="0.25">
      <c r="B141" s="48">
        <v>43671</v>
      </c>
      <c r="C141" s="49">
        <v>17288376.666000001</v>
      </c>
      <c r="D141" s="49">
        <v>14379420</v>
      </c>
      <c r="E141" s="50">
        <v>3000000</v>
      </c>
      <c r="F141" s="50"/>
      <c r="G141" s="50"/>
    </row>
    <row r="142" spans="2:7" x14ac:dyDescent="0.25">
      <c r="B142" s="48">
        <v>43678</v>
      </c>
      <c r="C142" s="49">
        <v>20864524.236600004</v>
      </c>
      <c r="D142" s="49">
        <v>17353842</v>
      </c>
      <c r="E142" s="50">
        <v>8000000</v>
      </c>
      <c r="F142" s="50"/>
      <c r="G142" s="50"/>
    </row>
    <row r="143" spans="2:7" x14ac:dyDescent="0.25">
      <c r="B143" s="48">
        <v>43685</v>
      </c>
      <c r="C143" s="49">
        <v>29054344.162800003</v>
      </c>
      <c r="D143" s="49">
        <v>24165636</v>
      </c>
      <c r="E143" s="50">
        <v>12000000</v>
      </c>
      <c r="F143" s="50"/>
      <c r="G143" s="50"/>
    </row>
    <row r="144" spans="2:7" x14ac:dyDescent="0.25">
      <c r="B144" s="48">
        <v>43692</v>
      </c>
      <c r="C144" s="49">
        <v>37922780.682600006</v>
      </c>
      <c r="D144" s="49">
        <v>31541862</v>
      </c>
      <c r="E144" s="50">
        <v>20000000</v>
      </c>
      <c r="F144" s="50"/>
      <c r="G144" s="50"/>
    </row>
    <row r="145" spans="2:7" x14ac:dyDescent="0.25">
      <c r="B145" s="48">
        <v>43699</v>
      </c>
      <c r="C145" s="49">
        <v>49475212.48560001</v>
      </c>
      <c r="D145" s="49">
        <v>41150472</v>
      </c>
      <c r="E145" s="50">
        <v>40000000</v>
      </c>
      <c r="F145" s="50"/>
      <c r="G145" s="50"/>
    </row>
    <row r="146" spans="2:7" x14ac:dyDescent="0.25">
      <c r="B146" s="48">
        <v>43706</v>
      </c>
      <c r="C146" s="49">
        <v>67743504.529800013</v>
      </c>
      <c r="D146" s="49">
        <v>56344926</v>
      </c>
      <c r="E146" s="50">
        <v>60000000</v>
      </c>
      <c r="F146" s="50"/>
      <c r="G146" s="50"/>
    </row>
    <row r="147" spans="2:7" x14ac:dyDescent="0.25">
      <c r="B147" s="48">
        <v>43713</v>
      </c>
      <c r="C147" s="49">
        <v>102861119.73060001</v>
      </c>
      <c r="D147" s="49">
        <v>85553622</v>
      </c>
      <c r="E147" s="50">
        <v>80000000</v>
      </c>
      <c r="F147" s="50"/>
      <c r="G147" s="50"/>
    </row>
    <row r="148" spans="2:7" x14ac:dyDescent="0.25">
      <c r="B148" s="48">
        <v>43720</v>
      </c>
      <c r="C148" s="49">
        <v>148115848.02960002</v>
      </c>
      <c r="D148" s="49">
        <v>123193752</v>
      </c>
      <c r="E148" s="50">
        <v>100000000</v>
      </c>
      <c r="F148" s="50"/>
      <c r="G148" s="50"/>
    </row>
    <row r="149" spans="2:7" x14ac:dyDescent="0.25">
      <c r="B149" s="48">
        <v>43727</v>
      </c>
      <c r="C149" s="49">
        <v>249269713.78320003</v>
      </c>
      <c r="D149" s="49">
        <v>207327384</v>
      </c>
      <c r="E149" s="50">
        <v>150000000</v>
      </c>
      <c r="F149" s="50"/>
      <c r="G149" s="50"/>
    </row>
    <row r="150" spans="2:7" x14ac:dyDescent="0.25">
      <c r="B150" s="48">
        <v>43734</v>
      </c>
      <c r="C150" s="49">
        <v>18980395.097400002</v>
      </c>
      <c r="D150" s="49">
        <v>15786738</v>
      </c>
      <c r="E150" s="50">
        <v>3000000</v>
      </c>
      <c r="F150" s="50"/>
      <c r="G150" s="50"/>
    </row>
    <row r="151" spans="2:7" x14ac:dyDescent="0.25">
      <c r="B151" s="48">
        <v>43741</v>
      </c>
      <c r="C151" s="49">
        <v>22398321.204600003</v>
      </c>
      <c r="D151" s="49">
        <v>18460662</v>
      </c>
      <c r="E151" s="50">
        <v>8000000</v>
      </c>
      <c r="F151" s="50"/>
      <c r="G151" s="50"/>
    </row>
    <row r="152" spans="2:7" x14ac:dyDescent="0.25">
      <c r="B152" s="48">
        <v>43748</v>
      </c>
      <c r="C152" s="49">
        <v>27503681.343600001</v>
      </c>
      <c r="D152" s="49">
        <v>22668492</v>
      </c>
      <c r="E152" s="50">
        <v>12000000</v>
      </c>
      <c r="F152" s="50"/>
      <c r="G152" s="50"/>
    </row>
    <row r="153" spans="2:7" x14ac:dyDescent="0.25">
      <c r="B153" s="48">
        <v>43755</v>
      </c>
      <c r="C153" s="49">
        <v>18563555.518199999</v>
      </c>
      <c r="D153" s="49">
        <v>15300054</v>
      </c>
      <c r="E153" s="50">
        <v>3000000</v>
      </c>
      <c r="F153" s="50"/>
      <c r="G153" s="50"/>
    </row>
    <row r="154" spans="2:7" x14ac:dyDescent="0.25">
      <c r="B154" s="48">
        <v>43762</v>
      </c>
      <c r="C154" s="49">
        <v>26437685.670000002</v>
      </c>
      <c r="D154" s="49">
        <v>21789900</v>
      </c>
      <c r="E154" s="50">
        <v>8000000</v>
      </c>
      <c r="F154" s="50"/>
      <c r="G154" s="50"/>
    </row>
    <row r="155" spans="2:7" x14ac:dyDescent="0.25">
      <c r="B155" s="48">
        <v>43769</v>
      </c>
      <c r="C155" s="49">
        <v>28366599.716400001</v>
      </c>
      <c r="D155" s="49">
        <v>23379708</v>
      </c>
      <c r="E155" s="50">
        <v>12000000</v>
      </c>
      <c r="F155" s="50"/>
      <c r="G155" s="50"/>
    </row>
    <row r="156" spans="2:7" x14ac:dyDescent="0.25">
      <c r="B156" s="48">
        <v>43776</v>
      </c>
      <c r="C156" s="49">
        <v>37094919.760800004</v>
      </c>
      <c r="D156" s="49">
        <v>30573576</v>
      </c>
      <c r="E156" s="50">
        <v>20000000</v>
      </c>
      <c r="F156" s="50"/>
      <c r="G156" s="50"/>
    </row>
    <row r="157" spans="2:7" x14ac:dyDescent="0.25">
      <c r="B157" s="48">
        <v>43783</v>
      </c>
      <c r="C157" s="49">
        <v>48927856.111200005</v>
      </c>
      <c r="D157" s="49">
        <v>40326264</v>
      </c>
      <c r="E157" s="50">
        <v>30000000</v>
      </c>
      <c r="F157" s="50"/>
      <c r="G157" s="50"/>
    </row>
    <row r="158" spans="2:7" x14ac:dyDescent="0.25">
      <c r="B158" s="48">
        <v>43790</v>
      </c>
      <c r="C158" s="49">
        <v>58922766.718200006</v>
      </c>
      <c r="D158" s="49">
        <v>48564054</v>
      </c>
      <c r="E158" s="50">
        <v>40000000</v>
      </c>
      <c r="F158" s="50"/>
      <c r="G158" s="50"/>
    </row>
    <row r="159" spans="2:7" x14ac:dyDescent="0.25">
      <c r="B159" s="48">
        <v>43797</v>
      </c>
      <c r="C159" s="49">
        <v>17306974.680600002</v>
      </c>
      <c r="D159" s="49">
        <v>14264382</v>
      </c>
      <c r="E159" s="50">
        <v>3000000</v>
      </c>
      <c r="F159" s="50"/>
      <c r="G159" s="50"/>
    </row>
    <row r="160" spans="2:7" x14ac:dyDescent="0.25">
      <c r="B160" s="48">
        <v>43804</v>
      </c>
      <c r="C160" s="49">
        <v>24380567.0658</v>
      </c>
      <c r="D160" s="49">
        <v>20094426</v>
      </c>
      <c r="E160" s="50">
        <v>8000000</v>
      </c>
      <c r="F160" s="50"/>
      <c r="G160" s="50"/>
    </row>
    <row r="161" spans="2:7" x14ac:dyDescent="0.25">
      <c r="B161" s="48">
        <v>43811</v>
      </c>
      <c r="C161" s="49">
        <v>31890743.616599999</v>
      </c>
      <c r="D161" s="49">
        <v>26284302</v>
      </c>
      <c r="E161" s="50">
        <v>12000000</v>
      </c>
      <c r="F161" s="50"/>
      <c r="G161" s="50"/>
    </row>
    <row r="162" spans="2:7" x14ac:dyDescent="0.25">
      <c r="B162" s="48">
        <v>43818</v>
      </c>
      <c r="C162" s="49">
        <v>31508051.810400002</v>
      </c>
      <c r="D162" s="49">
        <v>25968888</v>
      </c>
      <c r="E162" s="50">
        <v>15000000</v>
      </c>
      <c r="F162" s="50"/>
      <c r="G162" s="50"/>
    </row>
    <row r="163" spans="2:7" x14ac:dyDescent="0.25">
      <c r="B163" s="48">
        <v>43825</v>
      </c>
      <c r="C163" s="49">
        <v>30107571.166200001</v>
      </c>
      <c r="D163" s="49">
        <v>24814614</v>
      </c>
      <c r="E163" s="247">
        <v>25000000</v>
      </c>
      <c r="F163" s="247" t="s">
        <v>83</v>
      </c>
      <c r="G163" s="50"/>
    </row>
    <row r="164" spans="2:7" x14ac:dyDescent="0.25">
      <c r="B164" s="48">
        <v>43832</v>
      </c>
      <c r="C164" s="49">
        <v>17322589.851600002</v>
      </c>
      <c r="D164" s="49">
        <v>14277252</v>
      </c>
      <c r="E164" s="247">
        <v>3000000</v>
      </c>
      <c r="F164" s="247" t="s">
        <v>85</v>
      </c>
      <c r="G164" s="50"/>
    </row>
    <row r="165" spans="2:7" x14ac:dyDescent="0.25">
      <c r="B165" s="48">
        <v>43839</v>
      </c>
      <c r="C165" s="49">
        <v>24139372.7322</v>
      </c>
      <c r="D165" s="49">
        <v>19895634</v>
      </c>
      <c r="E165" s="50">
        <v>8000000</v>
      </c>
      <c r="F165" s="50"/>
      <c r="G165" s="50"/>
    </row>
    <row r="166" spans="2:7" x14ac:dyDescent="0.25">
      <c r="B166" s="48">
        <v>43846</v>
      </c>
      <c r="C166" s="49">
        <v>32784331.786800001</v>
      </c>
      <c r="D166" s="49">
        <v>27020796</v>
      </c>
      <c r="E166" s="50">
        <v>12000000</v>
      </c>
      <c r="F166" s="50"/>
      <c r="G166" s="50"/>
    </row>
    <row r="167" spans="2:7" x14ac:dyDescent="0.25">
      <c r="B167" s="48">
        <v>43853</v>
      </c>
      <c r="C167" s="49">
        <v>42358994.099399999</v>
      </c>
      <c r="D167" s="49">
        <v>34912218</v>
      </c>
      <c r="E167" s="50">
        <v>20000000</v>
      </c>
      <c r="F167" s="50"/>
      <c r="G167" s="50"/>
    </row>
    <row r="168" spans="2:7" x14ac:dyDescent="0.25">
      <c r="B168" s="48">
        <v>43860</v>
      </c>
      <c r="C168" s="49">
        <v>54779541.346200004</v>
      </c>
      <c r="D168" s="49">
        <v>45149214</v>
      </c>
      <c r="E168" s="50">
        <v>40000000</v>
      </c>
      <c r="F168" s="50"/>
      <c r="G168" s="50"/>
    </row>
    <row r="169" spans="2:7" x14ac:dyDescent="0.25">
      <c r="B169" s="48">
        <v>43867</v>
      </c>
      <c r="C169" s="49">
        <v>81228117.597000003</v>
      </c>
      <c r="D169" s="49">
        <v>66948090</v>
      </c>
      <c r="E169" s="50">
        <v>60000000</v>
      </c>
      <c r="F169" s="50"/>
      <c r="G169" s="50"/>
    </row>
    <row r="170" spans="2:7" x14ac:dyDescent="0.25">
      <c r="B170" s="48">
        <v>43874</v>
      </c>
      <c r="C170" s="49">
        <v>17358384.628200002</v>
      </c>
      <c r="D170" s="49">
        <v>14306754</v>
      </c>
      <c r="E170" s="50">
        <v>3000000</v>
      </c>
      <c r="F170" s="50"/>
      <c r="G170" s="50"/>
    </row>
    <row r="171" spans="2:7" x14ac:dyDescent="0.25">
      <c r="B171" s="48">
        <v>43881</v>
      </c>
      <c r="C171" s="49">
        <v>26167262.939400002</v>
      </c>
      <c r="D171" s="49">
        <v>21567018</v>
      </c>
      <c r="E171" s="50">
        <v>8000000</v>
      </c>
      <c r="F171" s="50"/>
      <c r="G171" s="50"/>
    </row>
    <row r="172" spans="2:7" x14ac:dyDescent="0.25">
      <c r="B172" s="48">
        <v>43888</v>
      </c>
      <c r="C172" s="49">
        <v>33133390.916999999</v>
      </c>
      <c r="D172" s="49">
        <v>27308490</v>
      </c>
      <c r="E172" s="50">
        <v>12000000</v>
      </c>
      <c r="F172" s="50"/>
      <c r="G172" s="50"/>
    </row>
    <row r="173" spans="2:7" x14ac:dyDescent="0.25">
      <c r="B173" s="48">
        <v>43895</v>
      </c>
      <c r="C173" s="49">
        <v>44847651.967799999</v>
      </c>
      <c r="D173" s="49">
        <v>36963366</v>
      </c>
      <c r="E173" s="50">
        <v>20000000</v>
      </c>
      <c r="F173" s="50"/>
      <c r="G173" s="50"/>
    </row>
    <row r="174" spans="2:7" x14ac:dyDescent="0.25">
      <c r="B174" s="48">
        <v>43902</v>
      </c>
      <c r="C174" s="49">
        <v>56381497.735200003</v>
      </c>
      <c r="D174" s="49">
        <v>46469544</v>
      </c>
      <c r="E174" s="50">
        <v>40000000</v>
      </c>
      <c r="F174" s="50"/>
      <c r="G174" s="50"/>
    </row>
    <row r="175" spans="2:7" x14ac:dyDescent="0.25">
      <c r="B175" s="48">
        <v>43909</v>
      </c>
      <c r="C175" s="49">
        <v>79560497.412</v>
      </c>
      <c r="D175" s="49">
        <v>65573640</v>
      </c>
      <c r="E175" s="50">
        <v>60000000</v>
      </c>
      <c r="F175" s="50"/>
      <c r="G175" s="50"/>
    </row>
    <row r="176" spans="2:7" x14ac:dyDescent="0.25">
      <c r="B176" s="48">
        <v>43916</v>
      </c>
      <c r="C176" s="49">
        <v>104209725.49680001</v>
      </c>
      <c r="D176" s="49">
        <v>85889496</v>
      </c>
      <c r="E176" s="50">
        <v>80000000</v>
      </c>
      <c r="F176" s="50"/>
      <c r="G176" s="50"/>
    </row>
    <row r="177" spans="2:7" x14ac:dyDescent="0.25">
      <c r="B177" s="48">
        <v>43923</v>
      </c>
      <c r="C177" s="49">
        <v>18553786.0266</v>
      </c>
      <c r="D177" s="49">
        <v>15292002</v>
      </c>
      <c r="E177" s="50">
        <v>3000000</v>
      </c>
      <c r="F177" s="50"/>
      <c r="G177" s="50"/>
    </row>
    <row r="178" spans="2:7" x14ac:dyDescent="0.25">
      <c r="B178" s="48">
        <v>43930</v>
      </c>
      <c r="C178" s="49">
        <v>28120760.8704</v>
      </c>
      <c r="D178" s="49">
        <v>23177088</v>
      </c>
      <c r="E178" s="50">
        <v>8000000</v>
      </c>
      <c r="F178" s="50"/>
      <c r="G178" s="50"/>
    </row>
    <row r="179" spans="2:7" x14ac:dyDescent="0.25">
      <c r="B179" s="48">
        <v>43937</v>
      </c>
      <c r="C179" s="49">
        <v>34600416.213</v>
      </c>
      <c r="D179" s="49">
        <v>28517610</v>
      </c>
      <c r="E179" s="50">
        <v>12000000</v>
      </c>
      <c r="F179" s="50"/>
      <c r="G179" s="50"/>
    </row>
    <row r="180" spans="2:7" x14ac:dyDescent="0.25">
      <c r="B180" s="48">
        <v>43944</v>
      </c>
      <c r="C180" s="49">
        <v>48641017.431600004</v>
      </c>
      <c r="D180" s="49">
        <v>40089852</v>
      </c>
      <c r="E180" s="50">
        <v>20000000</v>
      </c>
      <c r="F180" s="50"/>
      <c r="G180" s="50"/>
    </row>
    <row r="181" spans="2:7" x14ac:dyDescent="0.25">
      <c r="B181" s="48">
        <v>43951</v>
      </c>
      <c r="C181" s="49">
        <v>20986309.3572</v>
      </c>
      <c r="D181" s="49">
        <v>17296884</v>
      </c>
      <c r="E181" s="50">
        <v>3000000</v>
      </c>
      <c r="F181" s="50"/>
      <c r="G181" s="50"/>
    </row>
    <row r="182" spans="2:7" x14ac:dyDescent="0.25">
      <c r="B182" s="48">
        <v>43958</v>
      </c>
      <c r="C182" s="49">
        <v>27935620.996800002</v>
      </c>
      <c r="D182" s="49">
        <v>23024496</v>
      </c>
      <c r="E182" s="50">
        <v>8000000</v>
      </c>
      <c r="F182" s="50"/>
      <c r="G182" s="50"/>
    </row>
    <row r="183" spans="2:7" x14ac:dyDescent="0.25">
      <c r="B183" s="48">
        <v>43965</v>
      </c>
      <c r="C183" s="49">
        <v>21279153.871800002</v>
      </c>
      <c r="D183" s="49">
        <v>17538246</v>
      </c>
      <c r="E183" s="50">
        <v>3000000</v>
      </c>
      <c r="F183" s="50"/>
      <c r="G183" s="50"/>
    </row>
    <row r="184" spans="2:7" x14ac:dyDescent="0.25">
      <c r="B184" s="48">
        <v>43972</v>
      </c>
      <c r="C184" s="49">
        <v>29899609.119600002</v>
      </c>
      <c r="D184" s="49">
        <v>24643212</v>
      </c>
      <c r="E184" s="50">
        <v>8000000</v>
      </c>
      <c r="F184" s="50"/>
      <c r="G184" s="50"/>
    </row>
    <row r="185" spans="2:7" x14ac:dyDescent="0.25">
      <c r="B185" s="48">
        <v>43979</v>
      </c>
      <c r="C185" s="49">
        <v>45264857.305799998</v>
      </c>
      <c r="D185" s="49">
        <v>37307226</v>
      </c>
      <c r="E185" s="247">
        <v>15000000</v>
      </c>
      <c r="F185" s="247" t="s">
        <v>83</v>
      </c>
      <c r="G185" s="247" t="s">
        <v>83</v>
      </c>
    </row>
    <row r="186" spans="2:7" x14ac:dyDescent="0.25">
      <c r="B186" s="48">
        <v>43986</v>
      </c>
      <c r="C186" s="49">
        <v>23735620.464600001</v>
      </c>
      <c r="D186" s="49">
        <v>19562862</v>
      </c>
      <c r="E186" s="50">
        <v>3000000</v>
      </c>
      <c r="F186" s="50"/>
      <c r="G186" s="50"/>
    </row>
    <row r="187" spans="2:7" x14ac:dyDescent="0.25">
      <c r="B187" s="48">
        <v>43993</v>
      </c>
      <c r="C187" s="49">
        <v>30790234.411200002</v>
      </c>
      <c r="D187" s="49">
        <v>25377264</v>
      </c>
      <c r="E187" s="50">
        <v>8000000</v>
      </c>
      <c r="F187" s="50"/>
      <c r="G187" s="50"/>
    </row>
    <row r="188" spans="2:7" x14ac:dyDescent="0.25">
      <c r="B188" s="48">
        <v>44000</v>
      </c>
      <c r="C188" s="49">
        <v>36809282.248199999</v>
      </c>
      <c r="D188" s="49">
        <v>30338154</v>
      </c>
      <c r="E188" s="50">
        <v>15000000</v>
      </c>
      <c r="F188" s="50"/>
      <c r="G188" s="50"/>
    </row>
    <row r="189" spans="2:7" x14ac:dyDescent="0.25">
      <c r="B189" s="48">
        <v>44007</v>
      </c>
      <c r="C189" s="49">
        <v>58368708.420000002</v>
      </c>
      <c r="D189" s="49">
        <v>48107400</v>
      </c>
      <c r="E189" s="50">
        <v>30000000</v>
      </c>
      <c r="F189" s="50"/>
      <c r="G189" s="50"/>
    </row>
    <row r="190" spans="2:7" x14ac:dyDescent="0.25">
      <c r="B190" s="48">
        <v>44014</v>
      </c>
      <c r="C190" s="49">
        <v>83878292.387999997</v>
      </c>
      <c r="D190" s="49">
        <v>69132360</v>
      </c>
      <c r="E190" s="247">
        <v>50000000</v>
      </c>
      <c r="F190" s="247" t="s">
        <v>85</v>
      </c>
      <c r="G190" s="247" t="s">
        <v>85</v>
      </c>
    </row>
    <row r="191" spans="2:7" x14ac:dyDescent="0.25">
      <c r="B191" s="48">
        <v>44021</v>
      </c>
      <c r="C191" s="49">
        <v>131653108.257</v>
      </c>
      <c r="D191" s="49">
        <v>108508290</v>
      </c>
      <c r="E191" s="50">
        <v>80000000</v>
      </c>
      <c r="F191" s="50"/>
      <c r="G191" s="50"/>
    </row>
    <row r="192" spans="2:7" x14ac:dyDescent="0.25">
      <c r="B192" s="48">
        <v>44028</v>
      </c>
      <c r="C192" s="49">
        <v>25034242.1472</v>
      </c>
      <c r="D192" s="49">
        <v>20633184</v>
      </c>
      <c r="E192" s="50">
        <v>3000000</v>
      </c>
      <c r="F192" s="50"/>
      <c r="G192" s="50"/>
    </row>
    <row r="193" spans="2:7" x14ac:dyDescent="0.25">
      <c r="B193" s="48">
        <v>44035</v>
      </c>
      <c r="C193" s="49">
        <v>31423890.042600002</v>
      </c>
      <c r="D193" s="49">
        <v>25899522</v>
      </c>
      <c r="E193" s="50">
        <v>8000000</v>
      </c>
      <c r="F193" s="50"/>
      <c r="G193" s="50"/>
    </row>
    <row r="194" spans="2:7" x14ac:dyDescent="0.25">
      <c r="B194" s="48">
        <v>44042</v>
      </c>
      <c r="C194" s="49">
        <v>52241395.397399999</v>
      </c>
      <c r="D194" s="49">
        <v>43057278</v>
      </c>
      <c r="E194" s="50">
        <v>20000000</v>
      </c>
      <c r="F194" s="50"/>
      <c r="G194" s="50"/>
    </row>
    <row r="195" spans="2:7" x14ac:dyDescent="0.25">
      <c r="B195" s="48">
        <v>44049</v>
      </c>
      <c r="C195" s="49">
        <v>26378588.253600001</v>
      </c>
      <c r="D195" s="49">
        <v>21741192</v>
      </c>
      <c r="E195" s="50">
        <v>3000000</v>
      </c>
      <c r="F195" s="50"/>
      <c r="G195" s="50"/>
    </row>
    <row r="196" spans="2:7" x14ac:dyDescent="0.25">
      <c r="B196" s="48">
        <v>44056</v>
      </c>
      <c r="C196" s="49">
        <v>32611764.127800003</v>
      </c>
      <c r="D196" s="49">
        <v>26878566</v>
      </c>
      <c r="E196" s="50">
        <v>8000000</v>
      </c>
      <c r="F196" s="50"/>
      <c r="G196" s="50"/>
    </row>
    <row r="197" spans="2:7" x14ac:dyDescent="0.25">
      <c r="B197" s="48">
        <v>44063</v>
      </c>
      <c r="C197" s="49">
        <v>22018352.0436</v>
      </c>
      <c r="D197" s="49">
        <v>18147492</v>
      </c>
      <c r="E197" s="50">
        <v>3000000</v>
      </c>
      <c r="F197" s="50"/>
      <c r="G197" s="50"/>
    </row>
    <row r="198" spans="2:7" x14ac:dyDescent="0.25">
      <c r="B198" s="48">
        <v>44070</v>
      </c>
      <c r="C198" s="49">
        <v>33171427.872000001</v>
      </c>
      <c r="D198" s="49">
        <v>27339840</v>
      </c>
      <c r="E198" s="50">
        <v>8000000</v>
      </c>
      <c r="F198" s="50"/>
      <c r="G198" s="50"/>
    </row>
    <row r="199" spans="2:7" x14ac:dyDescent="0.25">
      <c r="B199" s="48">
        <v>44077</v>
      </c>
      <c r="C199" s="49">
        <v>50490814.611600004</v>
      </c>
      <c r="D199" s="49">
        <v>41614452</v>
      </c>
      <c r="E199" s="50">
        <v>20000000</v>
      </c>
      <c r="F199" s="50"/>
      <c r="G199" s="50"/>
    </row>
    <row r="200" spans="2:7" x14ac:dyDescent="0.25">
      <c r="B200" s="48">
        <v>44084</v>
      </c>
      <c r="C200" s="49">
        <v>73730673.4164</v>
      </c>
      <c r="D200" s="49">
        <v>60768708</v>
      </c>
      <c r="E200" s="50">
        <v>40000000</v>
      </c>
      <c r="F200" s="50"/>
      <c r="G200" s="50"/>
    </row>
    <row r="201" spans="2:7" x14ac:dyDescent="0.25">
      <c r="B201" s="48">
        <v>44091</v>
      </c>
      <c r="C201" s="49">
        <v>101493806.832</v>
      </c>
      <c r="D201" s="49">
        <v>83651040</v>
      </c>
      <c r="E201" s="50">
        <v>60000000</v>
      </c>
      <c r="F201" s="50"/>
      <c r="G201" s="50"/>
    </row>
    <row r="202" spans="2:7" x14ac:dyDescent="0.25">
      <c r="B202" s="48">
        <v>44098</v>
      </c>
      <c r="C202" s="49">
        <v>24737153.509199999</v>
      </c>
      <c r="D202" s="49">
        <v>20388324</v>
      </c>
      <c r="E202" s="50">
        <v>3000000</v>
      </c>
      <c r="F202" s="50"/>
      <c r="G202" s="50"/>
    </row>
    <row r="203" spans="2:7" x14ac:dyDescent="0.25">
      <c r="B203" s="48">
        <v>44105</v>
      </c>
      <c r="C203" s="49">
        <v>33317569.857000001</v>
      </c>
      <c r="D203" s="49">
        <v>27460290</v>
      </c>
      <c r="E203" s="50">
        <v>8000000</v>
      </c>
      <c r="F203" s="50"/>
      <c r="G203" s="50"/>
    </row>
    <row r="204" spans="2:7" x14ac:dyDescent="0.25">
      <c r="B204" s="48">
        <v>44112</v>
      </c>
      <c r="C204" s="49">
        <v>53505343.3926</v>
      </c>
      <c r="D204" s="49">
        <v>44099022</v>
      </c>
      <c r="E204" s="50">
        <v>20000000</v>
      </c>
      <c r="F204" s="50"/>
      <c r="G204" s="50"/>
    </row>
    <row r="205" spans="2:7" x14ac:dyDescent="0.25">
      <c r="B205" s="48">
        <v>44119</v>
      </c>
      <c r="C205" s="49">
        <v>78724084.791000009</v>
      </c>
      <c r="D205" s="49">
        <v>64884270</v>
      </c>
      <c r="E205" s="50">
        <v>40000000</v>
      </c>
      <c r="F205" s="50"/>
      <c r="G205" s="50"/>
    </row>
    <row r="206" spans="2:7" x14ac:dyDescent="0.25">
      <c r="B206" s="48">
        <v>44126</v>
      </c>
      <c r="C206" s="49">
        <v>23505076.478399999</v>
      </c>
      <c r="D206" s="49">
        <v>19372848</v>
      </c>
      <c r="E206" s="50">
        <v>3000000</v>
      </c>
      <c r="F206" s="50"/>
      <c r="G206" s="50"/>
    </row>
    <row r="207" spans="2:7" x14ac:dyDescent="0.25">
      <c r="B207" s="48">
        <v>44133</v>
      </c>
      <c r="C207" s="49">
        <v>30641209.625399999</v>
      </c>
      <c r="D207" s="49">
        <v>25254438</v>
      </c>
      <c r="E207" s="50">
        <v>8000000</v>
      </c>
      <c r="F207" s="50"/>
      <c r="G207" s="50"/>
    </row>
    <row r="208" spans="2:7" x14ac:dyDescent="0.25">
      <c r="B208" s="48">
        <v>44140</v>
      </c>
      <c r="C208" s="49">
        <v>48481102.065000005</v>
      </c>
      <c r="D208" s="49">
        <v>39958050</v>
      </c>
      <c r="E208" s="50">
        <v>20000000</v>
      </c>
      <c r="F208" s="50"/>
      <c r="G208" s="50"/>
    </row>
    <row r="209" spans="2:7" x14ac:dyDescent="0.25">
      <c r="B209" s="48">
        <v>44147</v>
      </c>
      <c r="C209" s="49">
        <v>21949164.8244</v>
      </c>
      <c r="D209" s="49">
        <v>18090468</v>
      </c>
      <c r="E209" s="50">
        <v>3000000</v>
      </c>
      <c r="F209" s="50"/>
      <c r="G209" s="50"/>
    </row>
    <row r="210" spans="2:7" x14ac:dyDescent="0.25">
      <c r="B210" s="48">
        <v>44154</v>
      </c>
      <c r="C210" s="49">
        <v>30118381.669199999</v>
      </c>
      <c r="D210" s="49">
        <v>24823524</v>
      </c>
      <c r="E210" s="50">
        <v>8000000</v>
      </c>
      <c r="F210" s="50"/>
      <c r="G210" s="50"/>
    </row>
    <row r="211" spans="2:7" x14ac:dyDescent="0.25">
      <c r="B211" s="48">
        <v>44161</v>
      </c>
      <c r="C211" s="49">
        <v>48476697.785999998</v>
      </c>
      <c r="D211" s="49">
        <v>39954420</v>
      </c>
      <c r="E211" s="50">
        <v>20000000</v>
      </c>
      <c r="F211" s="50"/>
      <c r="G211" s="50"/>
    </row>
    <row r="212" spans="2:7" x14ac:dyDescent="0.25">
      <c r="B212" s="48">
        <v>44168</v>
      </c>
      <c r="C212" s="49">
        <v>21570396.830400001</v>
      </c>
      <c r="D212" s="49">
        <v>17778288</v>
      </c>
      <c r="E212" s="50">
        <v>3000000</v>
      </c>
      <c r="F212" s="50"/>
      <c r="G212" s="50"/>
    </row>
    <row r="213" spans="2:7" x14ac:dyDescent="0.25">
      <c r="B213" s="48">
        <v>44175</v>
      </c>
      <c r="C213" s="49">
        <v>32757505.7238</v>
      </c>
      <c r="D213" s="49">
        <v>26998686</v>
      </c>
      <c r="E213" s="50">
        <v>8000000</v>
      </c>
      <c r="F213" s="50"/>
      <c r="G213" s="50"/>
    </row>
    <row r="214" spans="2:7" x14ac:dyDescent="0.25">
      <c r="B214" s="48">
        <v>44182</v>
      </c>
      <c r="C214" s="49">
        <v>51526460.799000002</v>
      </c>
      <c r="D214" s="49">
        <v>42468030</v>
      </c>
      <c r="E214" s="50">
        <v>20000000</v>
      </c>
      <c r="F214" s="50"/>
      <c r="G214" s="50"/>
    </row>
    <row r="215" spans="2:7" x14ac:dyDescent="0.25">
      <c r="B215" s="48">
        <v>44189</v>
      </c>
      <c r="C215" s="49">
        <v>22728001.507200003</v>
      </c>
      <c r="D215" s="49">
        <v>18732384</v>
      </c>
      <c r="E215" s="50">
        <v>3000000</v>
      </c>
      <c r="F215" s="81"/>
      <c r="G215" s="81"/>
    </row>
    <row r="216" spans="2:7" x14ac:dyDescent="0.25">
      <c r="B216" s="48">
        <v>44196</v>
      </c>
      <c r="C216" s="49">
        <v>33792831.600000001</v>
      </c>
      <c r="D216" s="49">
        <v>27852000</v>
      </c>
      <c r="E216" s="247">
        <v>10000000</v>
      </c>
      <c r="F216" s="247" t="s">
        <v>83</v>
      </c>
      <c r="G216" s="50"/>
    </row>
    <row r="217" spans="2:7" x14ac:dyDescent="0.25">
      <c r="B217" s="48">
        <v>44203</v>
      </c>
      <c r="C217" s="49">
        <v>21551818.7808</v>
      </c>
      <c r="D217" s="49">
        <v>17762976</v>
      </c>
      <c r="E217" s="247">
        <v>3000000</v>
      </c>
      <c r="F217" s="247" t="s">
        <v>85</v>
      </c>
      <c r="G217" s="50"/>
    </row>
    <row r="218" spans="2:7" x14ac:dyDescent="0.25">
      <c r="B218" s="48">
        <v>44210</v>
      </c>
      <c r="C218" s="49">
        <v>28845464.9604</v>
      </c>
      <c r="D218" s="49">
        <v>23774388</v>
      </c>
      <c r="E218" s="50">
        <v>8000000</v>
      </c>
      <c r="F218" s="50"/>
      <c r="G218" s="50"/>
    </row>
    <row r="219" spans="2:7" x14ac:dyDescent="0.25">
      <c r="B219" s="48">
        <v>44217</v>
      </c>
      <c r="C219" s="49">
        <v>46513750.674600005</v>
      </c>
      <c r="D219" s="49">
        <v>38336562</v>
      </c>
      <c r="E219" s="50">
        <v>20000000</v>
      </c>
      <c r="F219" s="50"/>
      <c r="G219" s="50"/>
    </row>
    <row r="220" spans="2:7" x14ac:dyDescent="0.25">
      <c r="B220" s="48">
        <v>44224</v>
      </c>
      <c r="C220" s="49">
        <v>27647901.461400002</v>
      </c>
      <c r="D220" s="49">
        <v>22787358</v>
      </c>
      <c r="E220" s="50">
        <v>8000000</v>
      </c>
      <c r="F220" s="50"/>
      <c r="G220" s="50"/>
    </row>
    <row r="221" spans="2:7" x14ac:dyDescent="0.25">
      <c r="B221" s="48">
        <v>44231</v>
      </c>
      <c r="C221" s="49">
        <v>46228433.473200001</v>
      </c>
      <c r="D221" s="49">
        <v>38101404</v>
      </c>
      <c r="E221" s="50">
        <v>20000000</v>
      </c>
      <c r="F221" s="50"/>
      <c r="G221" s="50"/>
    </row>
    <row r="222" spans="2:7" x14ac:dyDescent="0.25">
      <c r="B222" s="48">
        <v>44238</v>
      </c>
      <c r="C222" s="49">
        <v>58547522.147399999</v>
      </c>
      <c r="D222" s="49">
        <v>48254778</v>
      </c>
      <c r="E222" s="50">
        <v>30000000</v>
      </c>
      <c r="F222" s="50"/>
      <c r="G222" s="50"/>
    </row>
    <row r="223" spans="2:7" x14ac:dyDescent="0.25">
      <c r="B223" s="48">
        <v>44245</v>
      </c>
      <c r="C223" s="49">
        <v>95321410.008000001</v>
      </c>
      <c r="D223" s="49">
        <v>78563760</v>
      </c>
      <c r="E223" s="50">
        <v>50000000</v>
      </c>
      <c r="F223" s="50"/>
      <c r="G223" s="50"/>
    </row>
    <row r="224" spans="2:7" x14ac:dyDescent="0.25">
      <c r="B224" s="48">
        <v>44252</v>
      </c>
      <c r="C224" s="49">
        <v>28874373.0462</v>
      </c>
      <c r="D224" s="49">
        <v>23798214</v>
      </c>
      <c r="E224" s="50">
        <v>8000000</v>
      </c>
      <c r="F224" s="50"/>
      <c r="G224" s="50"/>
    </row>
    <row r="225" spans="2:7" x14ac:dyDescent="0.25">
      <c r="B225" s="48">
        <v>44259</v>
      </c>
      <c r="C225" s="49">
        <v>45299290.759800002</v>
      </c>
      <c r="D225" s="49">
        <v>37335606</v>
      </c>
      <c r="E225" s="50">
        <v>20000000</v>
      </c>
      <c r="F225" s="50"/>
      <c r="G225" s="50"/>
    </row>
    <row r="226" spans="2:7" x14ac:dyDescent="0.25">
      <c r="B226" s="48">
        <v>44266</v>
      </c>
      <c r="C226" s="49">
        <v>55487589.253800005</v>
      </c>
      <c r="D226" s="49">
        <v>45732786</v>
      </c>
      <c r="E226" s="50">
        <v>30000000</v>
      </c>
      <c r="F226" s="50"/>
      <c r="G226" s="50"/>
    </row>
    <row r="227" spans="2:7" x14ac:dyDescent="0.25">
      <c r="B227" s="48">
        <v>44273</v>
      </c>
      <c r="C227" s="49">
        <v>83260332.005400002</v>
      </c>
      <c r="D227" s="49">
        <v>68623038</v>
      </c>
      <c r="E227" s="50">
        <v>50000000</v>
      </c>
      <c r="F227" s="50"/>
      <c r="G227" s="50"/>
    </row>
    <row r="228" spans="2:7" x14ac:dyDescent="0.25">
      <c r="B228" s="48">
        <v>44280</v>
      </c>
      <c r="C228" s="49">
        <v>28833533.3682</v>
      </c>
      <c r="D228" s="49">
        <v>23764554</v>
      </c>
      <c r="E228" s="50">
        <v>8000000</v>
      </c>
      <c r="F228" s="50"/>
      <c r="G228" s="50"/>
    </row>
    <row r="229" spans="2:7" x14ac:dyDescent="0.25">
      <c r="B229" s="48">
        <v>44287</v>
      </c>
      <c r="C229" s="49">
        <v>45623605.849799998</v>
      </c>
      <c r="D229" s="49">
        <v>37602906</v>
      </c>
      <c r="E229" s="50">
        <v>20000000</v>
      </c>
      <c r="F229" s="50"/>
      <c r="G229" s="50"/>
    </row>
    <row r="230" spans="2:7" x14ac:dyDescent="0.25">
      <c r="B230" s="48">
        <v>44294</v>
      </c>
      <c r="C230" s="49">
        <v>51381519.980999999</v>
      </c>
      <c r="D230" s="49">
        <v>42348570</v>
      </c>
      <c r="E230" s="50">
        <v>30000000</v>
      </c>
      <c r="F230" s="50"/>
      <c r="G230" s="50"/>
    </row>
    <row r="231" spans="2:7" x14ac:dyDescent="0.25">
      <c r="B231" s="48">
        <v>44301</v>
      </c>
      <c r="C231" s="49">
        <v>78958632.667199999</v>
      </c>
      <c r="D231" s="49">
        <v>65077584</v>
      </c>
      <c r="E231" s="50">
        <v>50000000</v>
      </c>
      <c r="F231" s="50"/>
      <c r="G231" s="50"/>
    </row>
    <row r="232" spans="2:7" x14ac:dyDescent="0.25">
      <c r="B232" s="48">
        <v>44308</v>
      </c>
      <c r="C232" s="49">
        <v>140997947.2836</v>
      </c>
      <c r="D232" s="49">
        <v>116210292</v>
      </c>
      <c r="E232" s="50">
        <v>80000000</v>
      </c>
      <c r="F232" s="50"/>
      <c r="G232" s="50"/>
    </row>
    <row r="233" spans="2:7" x14ac:dyDescent="0.25">
      <c r="B233" s="48">
        <v>44315</v>
      </c>
      <c r="C233" s="49">
        <v>29266273.799400002</v>
      </c>
      <c r="D233" s="49">
        <v>24121218</v>
      </c>
      <c r="E233" s="50">
        <v>8000000</v>
      </c>
      <c r="F233" s="50"/>
      <c r="G233" s="50"/>
    </row>
    <row r="234" spans="2:7" x14ac:dyDescent="0.25">
      <c r="B234" s="48">
        <v>44322</v>
      </c>
      <c r="C234" s="49">
        <v>45293044.691399999</v>
      </c>
      <c r="D234" s="49">
        <v>37330458</v>
      </c>
      <c r="E234" s="50">
        <v>20000000</v>
      </c>
      <c r="F234" s="50"/>
      <c r="G234" s="50"/>
    </row>
    <row r="235" spans="2:7" x14ac:dyDescent="0.25">
      <c r="B235" s="48">
        <v>44329</v>
      </c>
      <c r="C235" s="49">
        <v>59826044.302200004</v>
      </c>
      <c r="D235" s="49">
        <v>49308534</v>
      </c>
      <c r="E235" s="50">
        <v>30000000</v>
      </c>
      <c r="F235" s="50"/>
      <c r="G235" s="50"/>
    </row>
    <row r="236" spans="2:7" x14ac:dyDescent="0.25">
      <c r="B236" s="48">
        <v>44336</v>
      </c>
      <c r="C236" s="49">
        <v>24344852.367000002</v>
      </c>
      <c r="D236" s="49">
        <v>20064990</v>
      </c>
      <c r="E236" s="50">
        <v>3000000</v>
      </c>
      <c r="F236" s="50"/>
      <c r="G236" s="50"/>
    </row>
    <row r="237" spans="2:7" x14ac:dyDescent="0.25">
      <c r="B237" s="48">
        <v>44343</v>
      </c>
      <c r="C237" s="49">
        <v>31106141.332200002</v>
      </c>
      <c r="D237" s="49">
        <v>25637634</v>
      </c>
      <c r="E237" s="247">
        <v>10000000</v>
      </c>
      <c r="F237" s="247" t="s">
        <v>83</v>
      </c>
      <c r="G237" s="247" t="s">
        <v>83</v>
      </c>
    </row>
    <row r="238" spans="2:7" x14ac:dyDescent="0.25">
      <c r="B238" s="48">
        <v>44350</v>
      </c>
      <c r="C238" s="49">
        <v>23467680.145800002</v>
      </c>
      <c r="D238" s="49">
        <v>19342026</v>
      </c>
      <c r="E238" s="50">
        <v>3000000</v>
      </c>
      <c r="F238" s="50"/>
      <c r="G238" s="50"/>
    </row>
    <row r="239" spans="2:7" x14ac:dyDescent="0.25">
      <c r="B239" s="48">
        <v>44357</v>
      </c>
      <c r="C239" s="49">
        <v>27519536.748</v>
      </c>
      <c r="D239" s="49">
        <v>22681560</v>
      </c>
      <c r="E239" s="50">
        <v>8000000</v>
      </c>
      <c r="F239" s="50"/>
      <c r="G239" s="50"/>
    </row>
    <row r="240" spans="2:7" x14ac:dyDescent="0.25">
      <c r="B240" s="48">
        <v>44364</v>
      </c>
      <c r="C240" s="49">
        <v>43025561.706600003</v>
      </c>
      <c r="D240" s="49">
        <v>35461602</v>
      </c>
      <c r="E240" s="50">
        <v>20000000</v>
      </c>
      <c r="F240" s="81"/>
      <c r="G240" s="81"/>
    </row>
    <row r="241" spans="2:7" x14ac:dyDescent="0.25">
      <c r="B241" s="38">
        <v>44371</v>
      </c>
      <c r="C241" s="49">
        <v>66658922.820600003</v>
      </c>
      <c r="D241" s="49">
        <v>54940182</v>
      </c>
      <c r="E241" s="50">
        <v>40000000</v>
      </c>
      <c r="G241" s="50"/>
    </row>
    <row r="242" spans="2:7" x14ac:dyDescent="0.25">
      <c r="B242" s="38">
        <v>44378</v>
      </c>
      <c r="C242" s="49">
        <v>95665744.548000008</v>
      </c>
      <c r="D242" s="49">
        <v>78847560</v>
      </c>
      <c r="E242" s="247">
        <v>60000000</v>
      </c>
      <c r="F242" s="247" t="s">
        <v>85</v>
      </c>
      <c r="G242" s="247" t="s">
        <v>85</v>
      </c>
    </row>
    <row r="243" spans="2:7" x14ac:dyDescent="0.25">
      <c r="B243" s="38">
        <v>44385</v>
      </c>
      <c r="C243" s="49">
        <v>22266833.457000002</v>
      </c>
      <c r="D243" s="49">
        <v>18352290</v>
      </c>
      <c r="E243" s="50">
        <v>3000000</v>
      </c>
      <c r="F243" s="50"/>
      <c r="G243" s="50"/>
    </row>
    <row r="244" spans="2:7" x14ac:dyDescent="0.25">
      <c r="B244" s="38">
        <v>44392</v>
      </c>
      <c r="C244" s="49">
        <v>31179332.441400003</v>
      </c>
      <c r="D244" s="49">
        <v>25697958</v>
      </c>
      <c r="E244" s="50">
        <v>8000000</v>
      </c>
      <c r="F244" s="50"/>
      <c r="G244" s="50"/>
    </row>
    <row r="245" spans="2:7" x14ac:dyDescent="0.25">
      <c r="B245" s="38">
        <v>44399</v>
      </c>
      <c r="C245" s="49">
        <v>51124870.631999999</v>
      </c>
      <c r="D245" s="49">
        <v>42137040</v>
      </c>
      <c r="E245" s="50">
        <v>20000000</v>
      </c>
      <c r="F245" s="50"/>
      <c r="G245" s="50"/>
    </row>
    <row r="246" spans="2:7" x14ac:dyDescent="0.25">
      <c r="B246" s="38">
        <v>44406</v>
      </c>
      <c r="C246" s="49">
        <v>69914165.468400002</v>
      </c>
      <c r="D246" s="49">
        <v>57623148</v>
      </c>
      <c r="E246" s="50">
        <v>40000000</v>
      </c>
      <c r="F246" s="50"/>
      <c r="G246" s="50"/>
    </row>
    <row r="247" spans="2:7" x14ac:dyDescent="0.25">
      <c r="B247" s="38">
        <v>44413</v>
      </c>
      <c r="C247" s="49">
        <v>99278614.650600001</v>
      </c>
      <c r="D247" s="49">
        <v>81825282</v>
      </c>
      <c r="E247" s="50">
        <v>60000000</v>
      </c>
      <c r="F247" s="50"/>
      <c r="G247" s="50"/>
    </row>
    <row r="248" spans="2:7" x14ac:dyDescent="0.25">
      <c r="B248" s="38">
        <v>44420</v>
      </c>
      <c r="C248" s="49">
        <v>160471586.99880001</v>
      </c>
      <c r="D248" s="49">
        <v>132260436</v>
      </c>
      <c r="E248" s="50">
        <v>80000000</v>
      </c>
      <c r="F248" s="50"/>
      <c r="G248" s="50"/>
    </row>
    <row r="249" spans="2:7" x14ac:dyDescent="0.25">
      <c r="B249" s="38">
        <v>44427</v>
      </c>
      <c r="C249" s="49">
        <v>25638429.148200002</v>
      </c>
      <c r="D249" s="49">
        <v>21131154</v>
      </c>
      <c r="E249" s="50">
        <v>3000000</v>
      </c>
      <c r="F249" s="50"/>
      <c r="G249" s="50"/>
    </row>
    <row r="250" spans="2:7" x14ac:dyDescent="0.25">
      <c r="B250" s="38">
        <v>44434</v>
      </c>
      <c r="C250" s="49">
        <v>35501051.229600005</v>
      </c>
      <c r="D250" s="49">
        <v>29259912</v>
      </c>
      <c r="E250" s="50">
        <v>8000000</v>
      </c>
      <c r="F250" s="50"/>
      <c r="G250" s="50"/>
    </row>
    <row r="251" spans="2:7" x14ac:dyDescent="0.25">
      <c r="B251" s="38">
        <v>44441</v>
      </c>
      <c r="C251" s="49">
        <v>53277201.740400001</v>
      </c>
      <c r="D251" s="49">
        <v>43910988</v>
      </c>
      <c r="E251" s="50">
        <v>20000000</v>
      </c>
      <c r="F251" s="50"/>
      <c r="G251" s="50"/>
    </row>
    <row r="252" spans="2:7" x14ac:dyDescent="0.25">
      <c r="B252" s="38">
        <v>44448</v>
      </c>
      <c r="C252" s="49">
        <v>23267325.490200002</v>
      </c>
      <c r="D252" s="49">
        <v>19176894</v>
      </c>
      <c r="E252" s="50">
        <v>3000000</v>
      </c>
      <c r="F252" s="50"/>
      <c r="G252" s="50"/>
    </row>
    <row r="253" spans="2:7" x14ac:dyDescent="0.25">
      <c r="B253" s="38">
        <v>44455</v>
      </c>
      <c r="C253" s="49">
        <v>31729787.238600001</v>
      </c>
      <c r="D253" s="49">
        <v>26151642</v>
      </c>
      <c r="E253" s="50">
        <v>10000000</v>
      </c>
      <c r="F253" s="50"/>
      <c r="G253" s="50"/>
    </row>
    <row r="254" spans="2:7" x14ac:dyDescent="0.25">
      <c r="B254" s="38">
        <v>44462</v>
      </c>
      <c r="C254" s="49">
        <v>24174927.275400002</v>
      </c>
      <c r="D254" s="49">
        <v>19924938</v>
      </c>
      <c r="E254" s="50">
        <v>3000000</v>
      </c>
      <c r="F254" s="50"/>
      <c r="G254" s="50"/>
    </row>
    <row r="255" spans="2:7" x14ac:dyDescent="0.25">
      <c r="B255" s="38">
        <v>44469</v>
      </c>
      <c r="C255" s="49">
        <v>32480836.924800001</v>
      </c>
      <c r="D255" s="49">
        <v>26770656</v>
      </c>
      <c r="E255" s="50">
        <v>8000000</v>
      </c>
      <c r="F255" s="50"/>
      <c r="G255" s="50"/>
    </row>
    <row r="256" spans="2:7" x14ac:dyDescent="0.25">
      <c r="B256" s="38">
        <v>44476</v>
      </c>
      <c r="C256" s="49">
        <v>53936081.878800005</v>
      </c>
      <c r="D256" s="49">
        <v>44454036</v>
      </c>
      <c r="E256" s="50">
        <v>20000000</v>
      </c>
      <c r="F256" s="50"/>
      <c r="G256" s="50"/>
    </row>
    <row r="257" spans="2:7" x14ac:dyDescent="0.25">
      <c r="B257" s="38">
        <v>44483</v>
      </c>
      <c r="C257" s="49">
        <v>72394174.934400007</v>
      </c>
      <c r="D257" s="49">
        <v>59667168</v>
      </c>
      <c r="E257" s="50">
        <v>40000000</v>
      </c>
      <c r="F257" s="50"/>
      <c r="G257" s="50"/>
    </row>
    <row r="258" spans="2:7" x14ac:dyDescent="0.25">
      <c r="B258" s="38">
        <v>44490</v>
      </c>
      <c r="C258" s="49">
        <v>106445817.984</v>
      </c>
      <c r="D258" s="49">
        <v>87732480</v>
      </c>
      <c r="E258" s="50">
        <v>60000000</v>
      </c>
      <c r="F258" s="50"/>
      <c r="G258" s="50"/>
    </row>
    <row r="259" spans="2:7" x14ac:dyDescent="0.25">
      <c r="B259" s="38">
        <v>44497</v>
      </c>
      <c r="C259" s="49">
        <v>23283180.8946</v>
      </c>
      <c r="D259" s="49">
        <v>19189962</v>
      </c>
      <c r="E259" s="50">
        <v>3000000</v>
      </c>
      <c r="F259" s="50"/>
      <c r="G259" s="50"/>
    </row>
    <row r="260" spans="2:7" x14ac:dyDescent="0.25">
      <c r="B260" s="38">
        <v>44504</v>
      </c>
      <c r="C260" s="49">
        <v>31844058.259200003</v>
      </c>
      <c r="D260" s="49">
        <v>26245824</v>
      </c>
      <c r="E260" s="50">
        <v>8000000</v>
      </c>
      <c r="F260" s="50"/>
      <c r="G260" s="50"/>
    </row>
    <row r="261" spans="2:7" x14ac:dyDescent="0.25">
      <c r="B261" s="38">
        <v>44511</v>
      </c>
      <c r="C261" s="49">
        <v>49816399.380000003</v>
      </c>
      <c r="D261" s="49">
        <v>41058600</v>
      </c>
      <c r="E261" s="50">
        <v>20000000</v>
      </c>
      <c r="F261" s="50"/>
      <c r="G261" s="50"/>
    </row>
    <row r="262" spans="2:7" x14ac:dyDescent="0.25">
      <c r="B262" s="38">
        <v>44518</v>
      </c>
      <c r="C262" s="49">
        <v>72366468.015599996</v>
      </c>
      <c r="D262" s="49">
        <v>59644332</v>
      </c>
      <c r="E262" s="50">
        <v>40000000</v>
      </c>
      <c r="F262" s="50"/>
      <c r="G262" s="50"/>
    </row>
    <row r="263" spans="2:7" x14ac:dyDescent="0.25">
      <c r="B263" s="38">
        <v>44525</v>
      </c>
      <c r="C263" s="49">
        <v>101441836.3398</v>
      </c>
      <c r="D263" s="49">
        <v>83608206</v>
      </c>
      <c r="E263" s="50">
        <v>60000000</v>
      </c>
      <c r="F263" s="50"/>
      <c r="G263" s="50"/>
    </row>
    <row r="264" spans="2:7" x14ac:dyDescent="0.25">
      <c r="B264" s="38">
        <v>44532</v>
      </c>
      <c r="C264" s="49">
        <v>136230034.99380001</v>
      </c>
      <c r="D264" s="49">
        <v>112280586</v>
      </c>
      <c r="E264" s="247">
        <v>80000000</v>
      </c>
      <c r="F264" s="247" t="s">
        <v>83</v>
      </c>
      <c r="G264" s="50"/>
    </row>
    <row r="265" spans="2:7" x14ac:dyDescent="0.25">
      <c r="B265" s="38">
        <v>44539</v>
      </c>
      <c r="C265" s="49">
        <v>22880469.6384</v>
      </c>
      <c r="D265" s="49">
        <v>18858048</v>
      </c>
      <c r="E265" s="50">
        <v>3000000</v>
      </c>
      <c r="F265" s="50"/>
      <c r="G265" s="50"/>
    </row>
    <row r="266" spans="2:7" x14ac:dyDescent="0.25">
      <c r="B266" s="38">
        <v>44546</v>
      </c>
      <c r="C266" s="49">
        <v>31335884.540400002</v>
      </c>
      <c r="D266" s="49">
        <v>25826988</v>
      </c>
      <c r="E266" s="50">
        <v>8000000</v>
      </c>
      <c r="F266" s="50"/>
      <c r="G266" s="50"/>
    </row>
    <row r="267" spans="2:7" x14ac:dyDescent="0.25">
      <c r="B267" s="38">
        <v>44553</v>
      </c>
      <c r="C267" s="49">
        <v>50851244.789400004</v>
      </c>
      <c r="D267" s="49">
        <v>41911518</v>
      </c>
      <c r="E267" s="50">
        <v>20000000</v>
      </c>
      <c r="F267" s="50"/>
      <c r="G267" s="50"/>
    </row>
    <row r="268" spans="2:7" x14ac:dyDescent="0.25">
      <c r="B268" s="38">
        <v>44560</v>
      </c>
      <c r="C268" s="49">
        <v>55106258.770199999</v>
      </c>
      <c r="D268" s="49">
        <v>45418494</v>
      </c>
      <c r="E268" s="50">
        <v>30000000</v>
      </c>
      <c r="G268" s="50"/>
    </row>
    <row r="269" spans="2:7" x14ac:dyDescent="0.25">
      <c r="B269" s="38">
        <v>44567</v>
      </c>
      <c r="C269" s="49">
        <v>93039993.486000001</v>
      </c>
      <c r="D269" s="49">
        <v>76683420</v>
      </c>
      <c r="E269" s="247">
        <v>60000000</v>
      </c>
      <c r="F269" s="247" t="s">
        <v>85</v>
      </c>
    </row>
    <row r="270" spans="2:7" x14ac:dyDescent="0.25">
      <c r="B270" s="38">
        <v>44574</v>
      </c>
      <c r="C270" s="49">
        <v>23674681.2588</v>
      </c>
      <c r="D270" s="49">
        <v>19512636</v>
      </c>
      <c r="E270" s="50">
        <v>3000000</v>
      </c>
      <c r="F270" s="50"/>
      <c r="G270" s="50"/>
    </row>
    <row r="271" spans="2:7" x14ac:dyDescent="0.25">
      <c r="B271" s="38">
        <v>44581</v>
      </c>
      <c r="C271" s="49">
        <v>26668790.200800002</v>
      </c>
      <c r="D271" s="49">
        <v>21980376</v>
      </c>
      <c r="E271" s="50">
        <v>8000000</v>
      </c>
      <c r="F271" s="50"/>
      <c r="G271" s="50"/>
    </row>
    <row r="272" spans="2:7" x14ac:dyDescent="0.25">
      <c r="B272" s="38">
        <v>44588</v>
      </c>
      <c r="C272" s="49">
        <v>41344888.8402</v>
      </c>
      <c r="D272" s="49">
        <v>34076394</v>
      </c>
      <c r="E272" s="50">
        <v>20000000</v>
      </c>
      <c r="F272" s="50"/>
      <c r="G272" s="50"/>
    </row>
    <row r="273" spans="2:7" x14ac:dyDescent="0.25">
      <c r="B273" s="38">
        <v>44595</v>
      </c>
      <c r="C273" s="49">
        <v>69636856.047000006</v>
      </c>
      <c r="D273" s="49">
        <v>57394590</v>
      </c>
      <c r="E273" s="50">
        <v>40000000</v>
      </c>
      <c r="F273" s="50"/>
      <c r="G273" s="50"/>
    </row>
    <row r="274" spans="2:7" x14ac:dyDescent="0.25">
      <c r="B274" s="38">
        <v>44602</v>
      </c>
      <c r="C274" s="49">
        <v>95947458.248400003</v>
      </c>
      <c r="D274" s="49">
        <v>79079748</v>
      </c>
      <c r="E274" s="50">
        <v>60000000</v>
      </c>
      <c r="F274" s="50"/>
      <c r="G274" s="50"/>
    </row>
    <row r="275" spans="2:7" x14ac:dyDescent="0.25">
      <c r="B275" s="38">
        <v>44609</v>
      </c>
      <c r="C275" s="49">
        <v>141654425.088</v>
      </c>
      <c r="D275" s="49">
        <v>116751360</v>
      </c>
      <c r="E275" s="50">
        <v>80000000</v>
      </c>
      <c r="F275" s="50"/>
      <c r="G275" s="50"/>
    </row>
    <row r="276" spans="2:7" x14ac:dyDescent="0.25">
      <c r="B276" s="38">
        <v>44616</v>
      </c>
      <c r="C276" s="49">
        <v>301559461.65180004</v>
      </c>
      <c r="D276" s="49">
        <v>248544846</v>
      </c>
      <c r="E276" s="50">
        <v>120000000</v>
      </c>
      <c r="F276" s="50"/>
      <c r="G276" s="50"/>
    </row>
    <row r="277" spans="2:7" x14ac:dyDescent="0.25">
      <c r="B277" s="38">
        <v>44623</v>
      </c>
      <c r="C277" s="49">
        <v>24300168.954600003</v>
      </c>
      <c r="D277" s="49">
        <v>20028162</v>
      </c>
      <c r="E277" s="50">
        <v>3000000</v>
      </c>
      <c r="F277" s="50"/>
      <c r="G277" s="50"/>
    </row>
    <row r="278" spans="2:7" x14ac:dyDescent="0.25">
      <c r="B278" s="38">
        <v>44630</v>
      </c>
      <c r="C278" s="49">
        <v>31022299.875600003</v>
      </c>
      <c r="D278" s="49">
        <v>25568532</v>
      </c>
      <c r="E278" s="50">
        <v>8000000</v>
      </c>
      <c r="F278" s="50"/>
      <c r="G278" s="50"/>
    </row>
    <row r="279" spans="2:7" x14ac:dyDescent="0.25">
      <c r="B279" s="38">
        <v>44637</v>
      </c>
      <c r="C279" s="49">
        <v>52436945.385000005</v>
      </c>
      <c r="D279" s="49">
        <v>43218450</v>
      </c>
      <c r="E279" s="50">
        <v>20000000</v>
      </c>
    </row>
    <row r="280" spans="2:7" x14ac:dyDescent="0.25">
      <c r="B280" s="38">
        <v>44644</v>
      </c>
      <c r="C280" s="49">
        <v>23910910.768800002</v>
      </c>
      <c r="D280" s="49">
        <v>19707336</v>
      </c>
      <c r="E280" s="50">
        <v>3000000</v>
      </c>
    </row>
    <row r="281" spans="2:7" x14ac:dyDescent="0.25">
      <c r="B281" s="38">
        <v>44651</v>
      </c>
      <c r="C281" s="49">
        <v>34507525.965000004</v>
      </c>
      <c r="D281" s="49">
        <v>28441050</v>
      </c>
      <c r="E281" s="50">
        <v>8000000</v>
      </c>
    </row>
    <row r="282" spans="2:7" x14ac:dyDescent="0.25">
      <c r="B282" s="38">
        <v>44658</v>
      </c>
      <c r="C282" s="49">
        <v>53940326.0022</v>
      </c>
      <c r="D282" s="49">
        <v>44457534</v>
      </c>
      <c r="E282" s="50">
        <v>20000000</v>
      </c>
    </row>
    <row r="283" spans="2:7" x14ac:dyDescent="0.25">
      <c r="B283" s="38">
        <v>44665</v>
      </c>
      <c r="C283" s="49">
        <v>25267348.623</v>
      </c>
      <c r="D283" s="49">
        <v>20825310</v>
      </c>
      <c r="E283" s="50">
        <v>4000000</v>
      </c>
    </row>
    <row r="284" spans="2:7" x14ac:dyDescent="0.25">
      <c r="B284" s="38">
        <v>44672</v>
      </c>
      <c r="C284" s="49">
        <v>29463185.1096</v>
      </c>
      <c r="D284" s="49">
        <v>24283512</v>
      </c>
      <c r="E284" s="50">
        <v>8000000</v>
      </c>
    </row>
    <row r="285" spans="2:7" x14ac:dyDescent="0.25">
      <c r="B285" s="38">
        <v>44679</v>
      </c>
      <c r="C285" s="49">
        <v>51475050.851400003</v>
      </c>
      <c r="D285" s="49">
        <v>42425658</v>
      </c>
      <c r="E285" s="50">
        <v>20000000</v>
      </c>
    </row>
    <row r="286" spans="2:7" x14ac:dyDescent="0.25">
      <c r="B286" s="38">
        <v>44686</v>
      </c>
      <c r="C286" s="49">
        <v>72590205.38880001</v>
      </c>
      <c r="D286" s="49">
        <v>59828736</v>
      </c>
      <c r="E286" s="50">
        <v>40000000</v>
      </c>
    </row>
    <row r="287" spans="2:7" x14ac:dyDescent="0.25">
      <c r="B287" s="38">
        <v>44693</v>
      </c>
      <c r="C287" s="49">
        <v>103770738.9972</v>
      </c>
      <c r="D287" s="49">
        <v>85527684</v>
      </c>
      <c r="E287" s="50">
        <v>60000000</v>
      </c>
    </row>
    <row r="288" spans="2:7" x14ac:dyDescent="0.25">
      <c r="B288" s="38">
        <v>44700</v>
      </c>
      <c r="C288" s="49">
        <v>144637403.21580002</v>
      </c>
      <c r="D288" s="49">
        <v>119209926</v>
      </c>
      <c r="E288" s="50">
        <v>80000000</v>
      </c>
    </row>
    <row r="289" spans="2:7" x14ac:dyDescent="0.25">
      <c r="B289" s="38">
        <v>44707</v>
      </c>
      <c r="C289" s="49">
        <v>24966976.795200001</v>
      </c>
      <c r="D289" s="49">
        <v>20577744</v>
      </c>
      <c r="E289" s="50">
        <v>4000000</v>
      </c>
    </row>
    <row r="290" spans="2:7" x14ac:dyDescent="0.25">
      <c r="B290" s="38">
        <v>44714</v>
      </c>
      <c r="C290" s="49">
        <v>26827184.089200001</v>
      </c>
      <c r="D290" s="49">
        <v>22110924</v>
      </c>
      <c r="E290" s="50">
        <v>4000000</v>
      </c>
    </row>
    <row r="291" spans="2:7" x14ac:dyDescent="0.25">
      <c r="B291" s="38">
        <v>44721</v>
      </c>
      <c r="C291" s="49">
        <v>33356167.356600001</v>
      </c>
      <c r="D291" s="49">
        <v>27492102</v>
      </c>
      <c r="E291" s="50">
        <v>8000000</v>
      </c>
    </row>
    <row r="292" spans="2:7" x14ac:dyDescent="0.25">
      <c r="B292" s="38">
        <v>44728</v>
      </c>
      <c r="C292" s="49">
        <v>51228090.916200005</v>
      </c>
      <c r="D292" s="49">
        <v>42222114</v>
      </c>
      <c r="E292" s="50">
        <v>20000000</v>
      </c>
    </row>
    <row r="293" spans="2:7" x14ac:dyDescent="0.25">
      <c r="B293" s="38">
        <v>44735</v>
      </c>
      <c r="C293" s="49">
        <v>72128957.260800004</v>
      </c>
      <c r="D293" s="49">
        <v>59448576</v>
      </c>
      <c r="E293" s="50">
        <v>40000000</v>
      </c>
    </row>
    <row r="294" spans="2:7" x14ac:dyDescent="0.25">
      <c r="B294" s="38">
        <v>44742</v>
      </c>
      <c r="C294" s="49">
        <v>94617686.301600009</v>
      </c>
      <c r="D294" s="49">
        <v>77983752</v>
      </c>
      <c r="E294" s="247">
        <v>60000000</v>
      </c>
      <c r="F294" s="247" t="s">
        <v>83</v>
      </c>
      <c r="G294" s="247" t="s">
        <v>83</v>
      </c>
    </row>
  </sheetData>
  <pageMargins left="0.7" right="0.7" top="0.75" bottom="0.75" header="0.3" footer="0.3"/>
  <pageSetup paperSize="9" scale="96"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2DE8B-09B4-441C-9614-BA47AC166511}">
  <sheetPr codeName="Sheet2">
    <tabColor theme="4"/>
  </sheetPr>
  <dimension ref="A1"/>
  <sheetViews>
    <sheetView workbookViewId="0">
      <selection activeCell="H36" sqref="H36"/>
    </sheetView>
  </sheetViews>
  <sheetFormatPr defaultRowHeight="1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28126-DE7E-4279-81F8-6EC68C716DF2}">
  <sheetPr codeName="Sheet21">
    <tabColor theme="4" tint="0.79998168889431442"/>
  </sheetPr>
  <dimension ref="B2:PH298"/>
  <sheetViews>
    <sheetView showGridLines="0" tabSelected="1" topLeftCell="FC1" zoomScale="85" zoomScaleNormal="85" workbookViewId="0">
      <pane ySplit="6" topLeftCell="A50" activePane="bottomLeft" state="frozen"/>
      <selection activeCell="BS23" activeCellId="3" sqref="BS10 BS13 BS18 BS23"/>
      <selection pane="bottomLeft" activeCell="FY60" sqref="FY60"/>
    </sheetView>
  </sheetViews>
  <sheetFormatPr defaultRowHeight="15" x14ac:dyDescent="0.25"/>
  <cols>
    <col min="2" max="2" width="12.5703125" bestFit="1" customWidth="1"/>
    <col min="3" max="4" width="13" bestFit="1" customWidth="1"/>
    <col min="5" max="5" width="16.7109375" customWidth="1"/>
    <col min="6" max="7" width="12.5703125" customWidth="1"/>
    <col min="8" max="8" width="4.28515625" customWidth="1"/>
    <col min="9" max="9" width="13.7109375" style="1" customWidth="1"/>
    <col min="10" max="10" width="13.7109375" style="2" customWidth="1"/>
    <col min="11" max="11" width="14.7109375" customWidth="1"/>
    <col min="12" max="12" width="5.7109375" customWidth="1"/>
    <col min="13" max="13" width="13.7109375" style="1" customWidth="1"/>
    <col min="14" max="14" width="13.7109375" style="2" customWidth="1"/>
    <col min="15" max="15" width="14.7109375" customWidth="1"/>
    <col min="16" max="16" width="5.7109375" customWidth="1"/>
    <col min="17" max="17" width="13.7109375" style="1" customWidth="1"/>
    <col min="18" max="18" width="13.7109375" style="2" customWidth="1"/>
    <col min="19" max="19" width="14.7109375" customWidth="1"/>
    <col min="20" max="20" width="5.7109375" customWidth="1"/>
    <col min="21" max="22" width="13.7109375" customWidth="1"/>
    <col min="23" max="23" width="14.7109375" customWidth="1"/>
    <col min="24" max="24" width="5.7109375" customWidth="1"/>
    <col min="25" max="26" width="13.7109375" customWidth="1"/>
    <col min="27" max="27" width="14.7109375" customWidth="1"/>
    <col min="28" max="28" width="5.7109375" customWidth="1"/>
    <col min="29" max="29" width="7.85546875" bestFit="1" customWidth="1"/>
    <col min="30" max="31" width="7.85546875" customWidth="1"/>
    <col min="32" max="38" width="8.7109375" customWidth="1"/>
    <col min="39" max="39" width="5.7109375" customWidth="1"/>
    <col min="40" max="44" width="14.5703125" customWidth="1"/>
    <col min="45" max="45" width="5.7109375" customWidth="1"/>
    <col min="46" max="46" width="10.5703125" bestFit="1" customWidth="1"/>
    <col min="47" max="47" width="19.28515625" bestFit="1" customWidth="1"/>
    <col min="48" max="54" width="10.7109375" customWidth="1"/>
    <col min="64" max="64" width="5.7109375" customWidth="1"/>
    <col min="65" max="65" width="12.5703125" customWidth="1"/>
    <col min="66" max="78" width="9.7109375" customWidth="1"/>
    <col min="79" max="79" width="2.7109375" customWidth="1"/>
    <col min="89" max="89" width="2.7109375" customWidth="1"/>
    <col min="90" max="90" width="12.5703125" customWidth="1"/>
    <col min="91" max="103" width="9.7109375" customWidth="1"/>
    <col min="104" max="104" width="2.7109375" customWidth="1"/>
    <col min="105" max="106" width="10.7109375" customWidth="1"/>
    <col min="107" max="107" width="2.7109375" customWidth="1"/>
    <col min="108" max="108" width="12.5703125" customWidth="1"/>
    <col min="109" max="121" width="9.7109375" customWidth="1"/>
    <col min="122" max="122" width="2.7109375" customWidth="1"/>
    <col min="123" max="124" width="10.7109375" customWidth="1"/>
    <col min="125" max="125" width="2.7109375" customWidth="1"/>
    <col min="135" max="135" width="2.7109375" customWidth="1"/>
    <col min="136" max="136" width="12.28515625" bestFit="1" customWidth="1"/>
    <col min="137" max="137" width="12.5703125" customWidth="1"/>
    <col min="138" max="150" width="9.7109375" customWidth="1"/>
    <col min="151" max="151" width="2.7109375" customWidth="1"/>
    <col min="152" max="153" width="10.7109375" customWidth="1"/>
    <col min="154" max="154" width="2.7109375" customWidth="1"/>
    <col min="163" max="163" width="2.7109375" customWidth="1"/>
    <col min="164" max="164" width="12.28515625" bestFit="1" customWidth="1"/>
    <col min="165" max="165" width="12.5703125" customWidth="1"/>
    <col min="166" max="178" width="9.7109375" customWidth="1"/>
    <col min="179" max="179" width="2.7109375" customWidth="1"/>
    <col min="180" max="181" width="10.7109375" customWidth="1"/>
    <col min="182" max="182" width="2.7109375" customWidth="1"/>
    <col min="191" max="191" width="2.7109375" customWidth="1"/>
    <col min="192" max="192" width="12.5703125" customWidth="1"/>
    <col min="193" max="205" width="9.7109375" customWidth="1"/>
    <col min="206" max="206" width="2.7109375" customWidth="1"/>
    <col min="207" max="208" width="10.7109375" customWidth="1"/>
    <col min="209" max="209" width="2.7109375" customWidth="1"/>
    <col min="210" max="210" width="12.5703125" customWidth="1"/>
    <col min="211" max="223" width="9.7109375" customWidth="1"/>
    <col min="224" max="224" width="2.7109375" customWidth="1"/>
    <col min="225" max="226" width="10.7109375" customWidth="1"/>
    <col min="236" max="236" width="2.7109375" customWidth="1"/>
    <col min="237" max="237" width="12.5703125" customWidth="1"/>
    <col min="238" max="250" width="9.7109375" customWidth="1"/>
    <col min="251" max="251" width="2.7109375" customWidth="1"/>
    <col min="261" max="261" width="2.7109375" customWidth="1"/>
    <col min="262" max="262" width="11" bestFit="1" customWidth="1"/>
    <col min="263" max="275" width="9.7109375" customWidth="1"/>
    <col min="285" max="285" width="3.7109375" customWidth="1"/>
    <col min="286" max="286" width="11" bestFit="1" customWidth="1"/>
    <col min="287" max="289" width="9.7109375" customWidth="1"/>
    <col min="299" max="299" width="9.42578125" customWidth="1"/>
    <col min="300" max="300" width="13.7109375" style="1" customWidth="1"/>
    <col min="301" max="301" width="13.7109375" style="2" customWidth="1"/>
    <col min="302" max="302" width="13.7109375" customWidth="1"/>
    <col min="303" max="303" width="2.7109375" customWidth="1"/>
    <col min="304" max="304" width="13.7109375" style="1" customWidth="1"/>
    <col min="305" max="305" width="13.7109375" style="2" customWidth="1"/>
    <col min="306" max="306" width="13.7109375" customWidth="1"/>
    <col min="307" max="307" width="2.7109375" customWidth="1"/>
    <col min="308" max="308" width="13.7109375" style="1" customWidth="1"/>
    <col min="309" max="309" width="13.7109375" style="2" customWidth="1"/>
    <col min="310" max="310" width="13.7109375" customWidth="1"/>
    <col min="311" max="311" width="2.7109375" customWidth="1"/>
    <col min="312" max="312" width="13.7109375" style="1" customWidth="1"/>
    <col min="313" max="313" width="13.7109375" style="2" customWidth="1"/>
    <col min="314" max="314" width="13.7109375" customWidth="1"/>
    <col min="315" max="315" width="2.7109375" customWidth="1"/>
    <col min="316" max="316" width="13.7109375" style="1" customWidth="1"/>
    <col min="317" max="317" width="13.7109375" style="2" customWidth="1"/>
    <col min="318" max="318" width="14.5703125" bestFit="1" customWidth="1"/>
    <col min="319" max="319" width="2.7109375" customWidth="1"/>
    <col min="320" max="322" width="13.7109375" customWidth="1"/>
    <col min="323" max="323" width="2.7109375" customWidth="1"/>
    <col min="324" max="326" width="13.7109375" customWidth="1"/>
    <col min="327" max="327" width="2.7109375" customWidth="1"/>
    <col min="328" max="330" width="13.7109375" customWidth="1"/>
    <col min="331" max="331" width="2.7109375" customWidth="1"/>
    <col min="332" max="334" width="13.7109375" customWidth="1"/>
    <col min="335" max="335" width="2.7109375" customWidth="1"/>
    <col min="336" max="337" width="13.7109375" customWidth="1"/>
    <col min="338" max="338" width="14.85546875" bestFit="1" customWidth="1"/>
    <col min="339" max="339" width="9.5703125" customWidth="1"/>
    <col min="340" max="340" width="7.85546875" bestFit="1" customWidth="1"/>
    <col min="341" max="348" width="7.85546875" customWidth="1"/>
    <col min="349" max="353" width="8.7109375" customWidth="1"/>
    <col min="354" max="359" width="14.5703125" customWidth="1"/>
    <col min="361" max="361" width="10.5703125" bestFit="1" customWidth="1"/>
    <col min="362" max="362" width="28.140625" bestFit="1" customWidth="1"/>
    <col min="363" max="373" width="10.7109375" customWidth="1"/>
    <col min="384" max="384" width="12.5703125" customWidth="1"/>
    <col min="385" max="397" width="9.7109375" customWidth="1"/>
    <col min="398" max="398" width="2.7109375" customWidth="1"/>
    <col min="408" max="408" width="2.7109375" customWidth="1"/>
    <col min="409" max="409" width="11" bestFit="1" customWidth="1"/>
    <col min="410" max="422" width="9.7109375" customWidth="1"/>
    <col min="432" max="432" width="9.42578125" customWidth="1"/>
  </cols>
  <sheetData>
    <row r="2" spans="2:424" x14ac:dyDescent="0.25">
      <c r="AF2" s="4"/>
      <c r="AG2" s="4" t="s">
        <v>0</v>
      </c>
      <c r="AH2" s="5"/>
      <c r="AJ2" s="6">
        <v>0.8</v>
      </c>
      <c r="AK2" s="6">
        <v>1</v>
      </c>
      <c r="AL2" s="6">
        <v>1.2</v>
      </c>
      <c r="BN2" t="s">
        <v>1</v>
      </c>
      <c r="BO2" s="7">
        <v>1.6032204874777817E-2</v>
      </c>
      <c r="BP2" s="7">
        <v>1.8223138082807688E-2</v>
      </c>
      <c r="BQ2" s="7">
        <v>1.9443728141978436E-2</v>
      </c>
      <c r="BR2" s="7">
        <v>2.0199848897457344E-2</v>
      </c>
      <c r="BS2" s="7">
        <v>2.1609953490484776E-2</v>
      </c>
      <c r="BT2" s="7">
        <v>2.3469807538576672E-2</v>
      </c>
      <c r="BU2" s="7">
        <v>2.5540580974329746E-2</v>
      </c>
      <c r="BV2" s="7">
        <v>2.7720420236719803E-2</v>
      </c>
      <c r="BW2" s="7">
        <v>2.9126260596895739E-2</v>
      </c>
      <c r="BX2" s="7">
        <v>3.2006943607976859E-2</v>
      </c>
      <c r="BY2" s="7">
        <v>3.9503586953510528E-2</v>
      </c>
      <c r="BZ2" s="211">
        <f>AH3</f>
        <v>0</v>
      </c>
      <c r="CM2" t="s">
        <v>1</v>
      </c>
      <c r="CN2" s="7">
        <v>1.7840861952782641E-2</v>
      </c>
      <c r="CO2" s="7">
        <v>2.031320330793044E-2</v>
      </c>
      <c r="CP2" s="7">
        <v>2.2123388189543756E-2</v>
      </c>
      <c r="CQ2" s="7">
        <v>2.30791995096538E-2</v>
      </c>
      <c r="CR2" s="7">
        <v>2.5085393476016016E-2</v>
      </c>
      <c r="CS2" s="7">
        <v>2.7849777595389986E-2</v>
      </c>
      <c r="CT2" s="7">
        <v>3.0926849530240552E-2</v>
      </c>
      <c r="CU2" s="7">
        <v>3.4283922167867346E-2</v>
      </c>
      <c r="CV2" s="7">
        <v>3.653071055718194E-2</v>
      </c>
      <c r="CW2" s="7">
        <v>4.1081429507014336E-2</v>
      </c>
      <c r="CX2" s="7">
        <v>5.1005977807515715E-2</v>
      </c>
      <c r="CY2" s="211">
        <f>BG3</f>
        <v>0</v>
      </c>
      <c r="DE2" t="s">
        <v>1</v>
      </c>
      <c r="DF2" s="7">
        <v>1.768519326195234E-2</v>
      </c>
      <c r="DG2" s="7">
        <v>1.9696927229476753E-2</v>
      </c>
      <c r="DH2" s="7">
        <v>2.0936183632214975E-2</v>
      </c>
      <c r="DI2" s="7">
        <v>2.1772897247750809E-2</v>
      </c>
      <c r="DJ2" s="7">
        <v>2.3387803016937957E-2</v>
      </c>
      <c r="DK2" s="7">
        <v>2.5528449206446042E-2</v>
      </c>
      <c r="DL2" s="7">
        <v>2.8203244819970566E-2</v>
      </c>
      <c r="DM2" s="7">
        <v>3.1091437817747088E-2</v>
      </c>
      <c r="DN2" s="7">
        <v>3.2835693004700545E-2</v>
      </c>
      <c r="DO2" s="7">
        <v>3.6698754505888817E-2</v>
      </c>
      <c r="DP2" s="7">
        <v>4.5988189338231504E-2</v>
      </c>
      <c r="DQ2" s="211">
        <f>BY3</f>
        <v>0</v>
      </c>
      <c r="EH2" t="s">
        <v>1</v>
      </c>
      <c r="EI2" s="7">
        <v>2.0290315534278788E-2</v>
      </c>
      <c r="EJ2" s="7">
        <v>2.2020049249536877E-2</v>
      </c>
      <c r="EK2" s="7">
        <v>2.3526137950388291E-2</v>
      </c>
      <c r="EL2" s="7">
        <v>2.4509692149352801E-2</v>
      </c>
      <c r="EM2" s="7">
        <v>2.6325675332730395E-2</v>
      </c>
      <c r="EN2" s="7">
        <v>2.8842512504586828E-2</v>
      </c>
      <c r="EO2" s="7">
        <v>3.1771684630234193E-2</v>
      </c>
      <c r="EP2" s="7">
        <v>3.4902161066502985E-2</v>
      </c>
      <c r="EQ2" s="7">
        <v>3.6777586101275933E-2</v>
      </c>
      <c r="ER2" s="7">
        <v>4.08930951469966E-2</v>
      </c>
      <c r="ES2" s="7">
        <v>4.9334846516055318E-2</v>
      </c>
      <c r="ET2" s="211">
        <f>DB3</f>
        <v>0</v>
      </c>
      <c r="FJ2" t="s">
        <v>1</v>
      </c>
      <c r="FK2" s="7">
        <v>2.0290315534278788E-2</v>
      </c>
      <c r="FL2" s="7">
        <v>2.2020049249536877E-2</v>
      </c>
      <c r="FM2" s="7">
        <v>2.3526137950388291E-2</v>
      </c>
      <c r="FN2" s="7">
        <v>2.4509692149352801E-2</v>
      </c>
      <c r="FO2" s="7">
        <v>2.6325675332730395E-2</v>
      </c>
      <c r="FP2" s="7">
        <v>2.8842512504586828E-2</v>
      </c>
      <c r="FQ2" s="7">
        <v>3.1771684630234193E-2</v>
      </c>
      <c r="FR2" s="7">
        <v>3.4902161066502985E-2</v>
      </c>
      <c r="FS2" s="7">
        <v>3.6777586101275933E-2</v>
      </c>
      <c r="FT2" s="7">
        <v>4.08930951469966E-2</v>
      </c>
      <c r="FU2" s="7">
        <v>4.9334846516055318E-2</v>
      </c>
      <c r="FV2" s="211">
        <f>ED3</f>
        <v>0</v>
      </c>
      <c r="GK2" t="s">
        <v>1</v>
      </c>
      <c r="GL2" s="7">
        <v>1.6745963307897852E-2</v>
      </c>
      <c r="GM2" s="7">
        <v>1.9279450770187237E-2</v>
      </c>
      <c r="GN2" s="7">
        <v>2.0727722660439128E-2</v>
      </c>
      <c r="GO2" s="7">
        <v>2.1545826390927298E-2</v>
      </c>
      <c r="GP2" s="7">
        <v>2.3240220817402638E-2</v>
      </c>
      <c r="GQ2" s="7">
        <v>2.6046443279611062E-2</v>
      </c>
      <c r="GR2" s="7">
        <v>2.9690405696207352E-2</v>
      </c>
      <c r="GS2" s="7">
        <v>3.3971288139103946E-2</v>
      </c>
      <c r="GT2" s="7">
        <v>3.738668945575023E-2</v>
      </c>
      <c r="GU2" s="7">
        <v>4.3863262424991216E-2</v>
      </c>
      <c r="GV2" s="7">
        <v>5.7010409211483253E-2</v>
      </c>
      <c r="GW2" s="211">
        <f>CI3</f>
        <v>0</v>
      </c>
      <c r="HC2" t="s">
        <v>1</v>
      </c>
      <c r="HD2" s="7">
        <v>1.8552144620110324E-2</v>
      </c>
      <c r="HE2" s="7">
        <v>2.0920946201214735E-2</v>
      </c>
      <c r="HF2" s="7">
        <v>2.2572897152483607E-2</v>
      </c>
      <c r="HG2" s="7">
        <v>2.361679462879648E-2</v>
      </c>
      <c r="HH2" s="7">
        <v>2.5887025129576319E-2</v>
      </c>
      <c r="HI2" s="7">
        <v>2.9079679969067809E-2</v>
      </c>
      <c r="HJ2" s="7">
        <v>3.3267652381548149E-2</v>
      </c>
      <c r="HK2" s="7">
        <v>3.7989262251926656E-2</v>
      </c>
      <c r="HL2" s="7">
        <v>4.0978168440206485E-2</v>
      </c>
      <c r="HM2" s="7">
        <v>4.7632814663369771E-2</v>
      </c>
      <c r="HN2" s="7">
        <v>6.1245539507311028E-2</v>
      </c>
      <c r="HO2" s="211">
        <f>DA3</f>
        <v>0</v>
      </c>
      <c r="ID2" t="s">
        <v>1</v>
      </c>
      <c r="IE2" s="7">
        <v>1.5091504126311295E-2</v>
      </c>
      <c r="IF2" s="7">
        <v>1.7106177969175237E-2</v>
      </c>
      <c r="IG2" s="7">
        <v>1.8979967752991888E-2</v>
      </c>
      <c r="IH2" s="7">
        <v>2.0005378361471857E-2</v>
      </c>
      <c r="II2" s="7">
        <v>2.2095355858531153E-2</v>
      </c>
      <c r="IJ2" s="7">
        <v>2.5121987267000781E-2</v>
      </c>
      <c r="IK2" s="7">
        <v>2.8967767073464486E-2</v>
      </c>
      <c r="IL2" s="7">
        <v>3.3364205456045161E-2</v>
      </c>
      <c r="IM2" s="7">
        <v>3.6287910273047584E-2</v>
      </c>
      <c r="IN2" s="7">
        <v>4.3263319127634536E-2</v>
      </c>
      <c r="IO2" s="7">
        <v>5.1628025945178437E-2</v>
      </c>
      <c r="IP2" s="211">
        <f>CF3</f>
        <v>0</v>
      </c>
      <c r="JC2" t="s">
        <v>1</v>
      </c>
      <c r="JD2" s="10">
        <v>1.2733020308199998E-2</v>
      </c>
      <c r="JE2" s="10">
        <v>1.3744016357466663E-2</v>
      </c>
      <c r="JF2" s="10">
        <v>1.4362740898466666E-2</v>
      </c>
      <c r="JG2" s="10">
        <v>1.5373736947733332E-2</v>
      </c>
      <c r="JH2" s="10">
        <v>1.6744192240666665E-2</v>
      </c>
      <c r="JI2" s="10">
        <v>1.951791509113333E-2</v>
      </c>
      <c r="JJ2" s="10">
        <v>2.290164709133333E-2</v>
      </c>
      <c r="JK2" s="10">
        <v>2.631701423453333E-2</v>
      </c>
      <c r="JL2" s="10">
        <v>3.2675207952466666E-2</v>
      </c>
      <c r="JM2" s="10">
        <v>4.3604455594000002E-2</v>
      </c>
      <c r="JN2" s="10">
        <v>5.762210323553333E-2</v>
      </c>
      <c r="JO2" s="9">
        <f>BZ2</f>
        <v>0</v>
      </c>
      <c r="KA2" t="s">
        <v>1</v>
      </c>
      <c r="KB2" s="10">
        <v>1.7841575314275E-2</v>
      </c>
      <c r="KC2" s="10">
        <v>2.0520708074249997E-2</v>
      </c>
      <c r="MJ2" s="4" t="s">
        <v>0</v>
      </c>
      <c r="ML2" s="5"/>
      <c r="MM2">
        <v>0.8</v>
      </c>
      <c r="MN2">
        <v>1</v>
      </c>
      <c r="MO2">
        <v>1.2</v>
      </c>
      <c r="NU2" t="s">
        <v>1</v>
      </c>
      <c r="NV2" s="7">
        <v>1.5433151487946153E-2</v>
      </c>
      <c r="NW2" s="7">
        <v>1.6867674691430769E-2</v>
      </c>
      <c r="NX2" s="7">
        <v>1.7917404360820382E-2</v>
      </c>
      <c r="NY2" s="7">
        <v>1.8738886879453846E-2</v>
      </c>
      <c r="NZ2" s="7">
        <v>2.0395517722730773E-2</v>
      </c>
      <c r="OA2" s="7">
        <v>2.2526944401807695E-2</v>
      </c>
      <c r="OB2" s="7">
        <v>2.5291991662338458E-2</v>
      </c>
      <c r="OC2" s="7">
        <v>2.8508343538959226E-2</v>
      </c>
      <c r="OD2" s="7">
        <v>3.0517649732723071E-2</v>
      </c>
      <c r="OE2" s="7">
        <v>3.4534613209915382E-2</v>
      </c>
      <c r="OF2" s="7">
        <v>4.264335589068461E-2</v>
      </c>
      <c r="OG2" s="9">
        <f ca="1">$ML$3</f>
        <v>2.196879204072941E-2</v>
      </c>
      <c r="OT2" t="s">
        <v>1</v>
      </c>
      <c r="OU2" s="10">
        <v>1.2733020308199998E-2</v>
      </c>
      <c r="OV2" s="10">
        <v>1.3744016357466663E-2</v>
      </c>
      <c r="OW2" s="10">
        <v>1.4362740898466666E-2</v>
      </c>
      <c r="OX2" s="10">
        <v>1.5373736947733332E-2</v>
      </c>
      <c r="OY2" s="10">
        <v>1.6744192240666665E-2</v>
      </c>
      <c r="OZ2" s="10">
        <v>1.951791509113333E-2</v>
      </c>
      <c r="PA2" s="10">
        <v>2.290164709133333E-2</v>
      </c>
      <c r="PB2" s="10">
        <v>2.631701423453333E-2</v>
      </c>
      <c r="PC2" s="10">
        <v>3.2675207952466666E-2</v>
      </c>
      <c r="PD2" s="10">
        <v>4.3604455594000002E-2</v>
      </c>
      <c r="PE2" s="10">
        <v>5.762210323553333E-2</v>
      </c>
      <c r="PF2" s="9">
        <f ca="1">$ML$3</f>
        <v>2.196879204072941E-2</v>
      </c>
    </row>
    <row r="3" spans="2:424" x14ac:dyDescent="0.25">
      <c r="AF3" s="4"/>
      <c r="AG3" s="4" t="s">
        <v>2</v>
      </c>
      <c r="AH3" s="5"/>
      <c r="AI3" s="57">
        <f ca="1">OFFSET($AH$7,COUNT(AI8:AI59),0)/COUNT(AI8:AI59)</f>
        <v>2.1527753272136536E-2</v>
      </c>
      <c r="AJ3" s="11">
        <f>AJ2*$AH$3</f>
        <v>0</v>
      </c>
      <c r="AK3" s="11">
        <f>AK2*$AH$3</f>
        <v>0</v>
      </c>
      <c r="AL3" s="11">
        <f>AL2*$AH$3</f>
        <v>0</v>
      </c>
      <c r="MJ3" s="4" t="s">
        <v>2</v>
      </c>
      <c r="ML3" s="12">
        <f ca="1">OFFSET($ML$7,COUNT(ML8:ML59),0)/COUNT(ML8:ML59)</f>
        <v>2.196879204072941E-2</v>
      </c>
      <c r="MM3" s="11">
        <f ca="1">MM2*$ML$3</f>
        <v>1.7575033632583528E-2</v>
      </c>
      <c r="MN3" s="11">
        <f ca="1">MN2*$ML$3</f>
        <v>2.196879204072941E-2</v>
      </c>
      <c r="MO3" s="11">
        <f ca="1">MO2*$ML$3</f>
        <v>2.6362550448875293E-2</v>
      </c>
    </row>
    <row r="4" spans="2:424" ht="18.75" x14ac:dyDescent="0.25">
      <c r="B4" s="13" t="s">
        <v>236</v>
      </c>
      <c r="C4" s="14"/>
      <c r="D4" s="14"/>
      <c r="E4" s="14"/>
      <c r="F4" s="14"/>
      <c r="G4" s="14"/>
      <c r="H4" s="15"/>
      <c r="I4" s="16" t="s">
        <v>3</v>
      </c>
      <c r="J4" s="17"/>
      <c r="K4" s="17"/>
      <c r="L4" s="17"/>
      <c r="M4" s="16"/>
      <c r="N4" s="17"/>
      <c r="O4" s="17"/>
      <c r="P4" s="17"/>
      <c r="Q4" s="16"/>
      <c r="R4" s="17"/>
      <c r="S4" s="17"/>
      <c r="T4" s="17"/>
      <c r="U4" s="17"/>
      <c r="V4" s="17"/>
      <c r="W4" s="17"/>
      <c r="X4" s="17"/>
      <c r="Y4" s="17"/>
      <c r="Z4" s="17"/>
      <c r="AA4" s="17"/>
      <c r="AC4" s="16" t="s">
        <v>4</v>
      </c>
      <c r="AD4" s="17"/>
      <c r="AE4" s="17"/>
      <c r="AF4" s="17"/>
      <c r="AG4" s="17"/>
      <c r="AH4" s="16"/>
      <c r="AI4" s="16"/>
      <c r="AJ4" s="17"/>
      <c r="AK4" s="16"/>
      <c r="AL4" s="17"/>
      <c r="AM4" s="17"/>
      <c r="AN4" s="17"/>
      <c r="AO4" s="17"/>
      <c r="AP4" s="17"/>
      <c r="AQ4" s="17"/>
      <c r="AR4" s="17"/>
      <c r="AT4" s="18" t="s">
        <v>5</v>
      </c>
      <c r="AU4" s="19"/>
      <c r="AV4" s="19"/>
      <c r="AW4" s="19"/>
      <c r="AX4" s="19"/>
      <c r="AY4" s="19"/>
      <c r="AZ4" s="19"/>
      <c r="BA4" s="19"/>
      <c r="BB4" s="19"/>
      <c r="BC4" s="19"/>
      <c r="BD4" s="19"/>
      <c r="BE4" s="19"/>
      <c r="BF4" s="19"/>
      <c r="BG4" s="19"/>
      <c r="BH4" s="19"/>
      <c r="BI4" s="19"/>
      <c r="BJ4" s="19"/>
      <c r="BK4" s="19"/>
      <c r="BM4" s="16" t="s">
        <v>6</v>
      </c>
      <c r="BN4" s="17"/>
      <c r="BO4" s="16"/>
      <c r="BP4" s="17"/>
      <c r="BQ4" s="16"/>
      <c r="BR4" s="17"/>
      <c r="BS4" s="17"/>
      <c r="BT4" s="17"/>
      <c r="BU4" s="17"/>
      <c r="BV4" s="17"/>
      <c r="BW4" s="17"/>
      <c r="BX4" s="17"/>
      <c r="BY4" s="17"/>
      <c r="BZ4" s="17"/>
      <c r="CA4" s="17"/>
      <c r="CB4" s="17"/>
      <c r="CC4" s="17"/>
      <c r="CD4" s="17"/>
      <c r="CE4" s="17"/>
      <c r="CF4" s="17"/>
      <c r="CG4" s="17"/>
      <c r="CH4" s="17"/>
      <c r="CI4" s="17"/>
      <c r="CJ4" s="17"/>
      <c r="CL4" s="16" t="s">
        <v>6</v>
      </c>
      <c r="CM4" s="17"/>
      <c r="CN4" s="16"/>
      <c r="CO4" s="17"/>
      <c r="CP4" s="16"/>
      <c r="CQ4" s="17"/>
      <c r="CR4" s="17"/>
      <c r="CS4" s="17"/>
      <c r="CT4" s="17"/>
      <c r="CU4" s="17"/>
      <c r="CV4" s="17"/>
      <c r="CW4" s="17"/>
      <c r="CX4" s="17"/>
      <c r="CY4" s="17"/>
      <c r="CZ4" s="17"/>
      <c r="DA4" s="17"/>
      <c r="DB4" s="17"/>
      <c r="DC4" s="15"/>
      <c r="DD4" s="16" t="s">
        <v>6</v>
      </c>
      <c r="DE4" s="17"/>
      <c r="DF4" s="16"/>
      <c r="DG4" s="17"/>
      <c r="DH4" s="16"/>
      <c r="DI4" s="17"/>
      <c r="DJ4" s="17"/>
      <c r="DK4" s="17"/>
      <c r="DL4" s="17"/>
      <c r="DM4" s="17"/>
      <c r="DN4" s="17"/>
      <c r="DO4" s="17"/>
      <c r="DP4" s="17"/>
      <c r="DQ4" s="17"/>
      <c r="DR4" s="17"/>
      <c r="DS4" s="17"/>
      <c r="DT4" s="17"/>
      <c r="DU4" s="17"/>
      <c r="DV4" s="17"/>
      <c r="DW4" s="17"/>
      <c r="DX4" s="17"/>
      <c r="DY4" s="17"/>
      <c r="DZ4" s="17"/>
      <c r="EA4" s="17"/>
      <c r="EB4" s="17"/>
      <c r="EC4" s="17"/>
      <c r="ED4" s="17"/>
      <c r="EF4" s="15"/>
      <c r="EG4" s="16" t="s">
        <v>6</v>
      </c>
      <c r="EH4" s="17"/>
      <c r="EI4" s="16"/>
      <c r="EJ4" s="17"/>
      <c r="EK4" s="16"/>
      <c r="EL4" s="17"/>
      <c r="EM4" s="17"/>
      <c r="EN4" s="17"/>
      <c r="EO4" s="17"/>
      <c r="EP4" s="17"/>
      <c r="EQ4" s="17"/>
      <c r="ER4" s="17"/>
      <c r="ES4" s="17"/>
      <c r="ET4" s="17"/>
      <c r="EU4" s="17"/>
      <c r="EV4" s="17"/>
      <c r="EW4" s="17"/>
      <c r="EX4" s="17"/>
      <c r="EY4" s="17"/>
      <c r="EZ4" s="17"/>
      <c r="FA4" s="17"/>
      <c r="FB4" s="17"/>
      <c r="FC4" s="17"/>
      <c r="FD4" s="17"/>
      <c r="FE4" s="17"/>
      <c r="FF4" s="17"/>
      <c r="FG4" s="15"/>
      <c r="FH4" s="15"/>
      <c r="FI4" s="16" t="s">
        <v>6</v>
      </c>
      <c r="FJ4" s="17"/>
      <c r="FK4" s="16"/>
      <c r="FL4" s="17"/>
      <c r="FM4" s="16"/>
      <c r="FN4" s="17"/>
      <c r="FO4" s="17"/>
      <c r="FP4" s="17"/>
      <c r="FQ4" s="17"/>
      <c r="FR4" s="17"/>
      <c r="FS4" s="17"/>
      <c r="FT4" s="17"/>
      <c r="FU4" s="17"/>
      <c r="FV4" s="17"/>
      <c r="FW4" s="17"/>
      <c r="FX4" s="17"/>
      <c r="FY4" s="17"/>
      <c r="FZ4" s="17"/>
      <c r="GA4" s="17"/>
      <c r="GB4" s="17"/>
      <c r="GC4" s="17"/>
      <c r="GD4" s="17"/>
      <c r="GE4" s="17"/>
      <c r="GF4" s="17"/>
      <c r="GG4" s="17"/>
      <c r="GH4" s="17"/>
      <c r="GI4" s="15"/>
      <c r="GJ4" s="16" t="s">
        <v>6</v>
      </c>
      <c r="GK4" s="17"/>
      <c r="GL4" s="16"/>
      <c r="GM4" s="17"/>
      <c r="GN4" s="16"/>
      <c r="GO4" s="17"/>
      <c r="GP4" s="17"/>
      <c r="GQ4" s="17"/>
      <c r="GR4" s="17"/>
      <c r="GS4" s="17"/>
      <c r="GT4" s="17"/>
      <c r="GU4" s="17"/>
      <c r="GV4" s="17"/>
      <c r="GW4" s="17"/>
      <c r="GX4" s="17"/>
      <c r="GY4" s="17"/>
      <c r="GZ4" s="17"/>
      <c r="HA4" s="15"/>
      <c r="HB4" s="16" t="s">
        <v>6</v>
      </c>
      <c r="HC4" s="17"/>
      <c r="HD4" s="16"/>
      <c r="HE4" s="17"/>
      <c r="HF4" s="16"/>
      <c r="HG4" s="17"/>
      <c r="HH4" s="17"/>
      <c r="HI4" s="17"/>
      <c r="HJ4" s="17"/>
      <c r="HK4" s="17"/>
      <c r="HL4" s="17"/>
      <c r="HM4" s="17"/>
      <c r="HN4" s="17"/>
      <c r="HO4" s="17"/>
      <c r="HP4" s="17"/>
      <c r="HQ4" s="17"/>
      <c r="HR4" s="17"/>
      <c r="HS4" s="17"/>
      <c r="HT4" s="17"/>
      <c r="HU4" s="17"/>
      <c r="HV4" s="17"/>
      <c r="HW4" s="17"/>
      <c r="HX4" s="17"/>
      <c r="HY4" s="17"/>
      <c r="HZ4" s="17"/>
      <c r="IA4" s="17"/>
      <c r="IC4" s="16" t="s">
        <v>6</v>
      </c>
      <c r="ID4" s="17"/>
      <c r="IE4" s="16"/>
      <c r="IF4" s="17"/>
      <c r="IG4" s="16"/>
      <c r="IH4" s="17"/>
      <c r="II4" s="17"/>
      <c r="IJ4" s="17"/>
      <c r="IK4" s="17"/>
      <c r="IL4" s="17"/>
      <c r="IM4" s="17"/>
      <c r="IN4" s="17"/>
      <c r="IO4" s="17"/>
      <c r="IP4" s="17"/>
      <c r="IQ4" s="17"/>
      <c r="IR4" s="17"/>
      <c r="IS4" s="17"/>
      <c r="IT4" s="17"/>
      <c r="IU4" s="17"/>
      <c r="IV4" s="17"/>
      <c r="IW4" s="17"/>
      <c r="IX4" s="17"/>
      <c r="IY4" s="17"/>
      <c r="IZ4" s="17"/>
      <c r="JB4" s="16" t="s">
        <v>7</v>
      </c>
      <c r="JC4" s="17"/>
      <c r="JD4" s="16"/>
      <c r="JE4" s="17"/>
      <c r="JF4" s="16"/>
      <c r="JG4" s="17"/>
      <c r="JH4" s="17"/>
      <c r="JI4" s="17"/>
      <c r="JJ4" s="17"/>
      <c r="JK4" s="17"/>
      <c r="JL4" s="17"/>
      <c r="JM4" s="17"/>
      <c r="JN4" s="17"/>
      <c r="JO4" s="17"/>
      <c r="JP4" s="17"/>
      <c r="JQ4" s="17"/>
      <c r="JR4" s="17"/>
      <c r="JS4" s="17"/>
      <c r="JT4" s="17"/>
      <c r="JU4" s="17"/>
      <c r="JV4" s="17"/>
      <c r="JW4" s="17"/>
      <c r="JX4" s="17"/>
      <c r="JY4" s="15"/>
      <c r="JZ4" s="16" t="s">
        <v>7</v>
      </c>
      <c r="KA4" s="17"/>
      <c r="KB4" s="16"/>
      <c r="KC4" s="17"/>
      <c r="KD4" s="17"/>
      <c r="KE4" s="17"/>
      <c r="KF4" s="17"/>
      <c r="KG4" s="17"/>
      <c r="KH4" s="17"/>
      <c r="KI4" s="17"/>
      <c r="KJ4" s="17"/>
      <c r="KK4" s="17"/>
      <c r="KL4" s="17"/>
      <c r="KN4" s="20"/>
      <c r="KO4" s="20"/>
      <c r="KP4" s="20"/>
      <c r="KQ4" s="20"/>
      <c r="KR4" s="20"/>
      <c r="KS4" s="20"/>
      <c r="KT4" s="20"/>
      <c r="KU4" s="20"/>
      <c r="KV4" s="20"/>
      <c r="KW4" s="20"/>
      <c r="KX4" s="20"/>
      <c r="KY4" s="20"/>
      <c r="KZ4" s="20"/>
      <c r="LA4" s="20"/>
      <c r="LB4" s="20"/>
      <c r="LC4" s="20"/>
      <c r="LD4" s="20"/>
      <c r="LE4" s="20"/>
      <c r="LF4" s="20"/>
      <c r="LG4" s="20"/>
      <c r="LH4" s="20"/>
      <c r="LI4" s="20"/>
      <c r="LJ4" s="20"/>
      <c r="LK4" s="20"/>
      <c r="LL4" s="20"/>
      <c r="LM4" s="20"/>
      <c r="LN4" s="20"/>
      <c r="LO4" s="20"/>
      <c r="LP4" s="20"/>
      <c r="LQ4" s="20"/>
      <c r="LR4" s="20"/>
      <c r="LS4" s="20"/>
      <c r="LT4" s="20"/>
      <c r="LU4" s="20"/>
      <c r="LV4" s="20"/>
      <c r="LW4" s="20"/>
      <c r="LX4" s="20"/>
      <c r="LY4" s="20"/>
      <c r="LZ4" s="20"/>
      <c r="MB4" s="21" t="s">
        <v>8</v>
      </c>
      <c r="MC4" s="22"/>
      <c r="MD4" s="22"/>
      <c r="ME4" s="22"/>
      <c r="MF4" s="22"/>
      <c r="MG4" s="22"/>
      <c r="MH4" s="22"/>
      <c r="MI4" s="22"/>
      <c r="MJ4" s="22"/>
      <c r="MK4" s="22"/>
      <c r="ML4" s="20"/>
      <c r="MM4" s="20"/>
      <c r="MN4" s="21"/>
      <c r="MO4" s="20"/>
      <c r="MP4" s="20"/>
      <c r="MQ4" s="20"/>
      <c r="MR4" s="20"/>
      <c r="MS4" s="20"/>
      <c r="MT4" s="20"/>
      <c r="MU4" s="20"/>
      <c r="MW4" s="23" t="s">
        <v>9</v>
      </c>
      <c r="MX4" s="24"/>
      <c r="MY4" s="24"/>
      <c r="MZ4" s="24"/>
      <c r="NA4" s="24"/>
      <c r="NB4" s="24"/>
      <c r="NC4" s="24"/>
      <c r="ND4" s="24"/>
      <c r="NE4" s="24"/>
      <c r="NF4" s="24"/>
      <c r="NG4" s="24"/>
      <c r="NH4" s="24"/>
      <c r="NI4" s="24"/>
      <c r="NJ4" s="24"/>
      <c r="NK4" s="24"/>
      <c r="NL4" s="24"/>
      <c r="NM4" s="24"/>
      <c r="NN4" s="24"/>
      <c r="NO4" s="24"/>
      <c r="NP4" s="24"/>
      <c r="NQ4" s="24"/>
      <c r="NR4" s="24"/>
      <c r="NT4" s="21" t="s">
        <v>10</v>
      </c>
      <c r="NU4" s="20"/>
      <c r="NV4" s="21"/>
      <c r="NW4" s="20"/>
      <c r="NX4" s="21"/>
      <c r="NY4" s="20"/>
      <c r="NZ4" s="20"/>
      <c r="OA4" s="20"/>
      <c r="OB4" s="20"/>
      <c r="OC4" s="20"/>
      <c r="OD4" s="20"/>
      <c r="OE4" s="20"/>
      <c r="OF4" s="20"/>
      <c r="OG4" s="20"/>
      <c r="OH4" s="20"/>
      <c r="OI4" s="20"/>
      <c r="OJ4" s="20"/>
      <c r="OK4" s="20"/>
      <c r="OL4" s="20"/>
      <c r="OM4" s="20"/>
      <c r="ON4" s="20"/>
      <c r="OO4" s="20"/>
      <c r="OP4" s="20"/>
      <c r="OQ4" s="20"/>
      <c r="OS4" s="21" t="s">
        <v>11</v>
      </c>
      <c r="OT4" s="20"/>
      <c r="OU4" s="21"/>
      <c r="OV4" s="20"/>
      <c r="OW4" s="21"/>
      <c r="OX4" s="20"/>
      <c r="OY4" s="20"/>
      <c r="OZ4" s="20"/>
      <c r="PA4" s="20"/>
      <c r="PB4" s="20"/>
      <c r="PC4" s="20"/>
      <c r="PD4" s="20"/>
      <c r="PE4" s="20"/>
      <c r="PF4" s="20"/>
      <c r="PG4" s="20"/>
      <c r="PH4" s="20"/>
    </row>
    <row r="6" spans="2:424" s="26" customFormat="1" ht="45" x14ac:dyDescent="0.25">
      <c r="B6" s="26" t="s">
        <v>12</v>
      </c>
      <c r="C6" s="26" t="s">
        <v>13</v>
      </c>
      <c r="D6" s="26" t="s">
        <v>14</v>
      </c>
      <c r="E6" s="26" t="s">
        <v>15</v>
      </c>
      <c r="F6" s="26" t="s">
        <v>16</v>
      </c>
      <c r="G6" s="26" t="s">
        <v>17</v>
      </c>
      <c r="H6" s="27"/>
      <c r="I6" s="28" t="s">
        <v>18</v>
      </c>
      <c r="J6" s="28" t="s">
        <v>44</v>
      </c>
      <c r="K6" s="28" t="s">
        <v>45</v>
      </c>
      <c r="M6" s="28" t="s">
        <v>19</v>
      </c>
      <c r="N6" s="28" t="s">
        <v>44</v>
      </c>
      <c r="O6" s="28" t="s">
        <v>45</v>
      </c>
      <c r="Q6" s="28" t="s">
        <v>20</v>
      </c>
      <c r="R6" s="28" t="s">
        <v>44</v>
      </c>
      <c r="S6" s="28" t="s">
        <v>45</v>
      </c>
      <c r="U6" s="28" t="s">
        <v>21</v>
      </c>
      <c r="V6" s="28" t="s">
        <v>44</v>
      </c>
      <c r="W6" s="28" t="s">
        <v>45</v>
      </c>
      <c r="Y6" s="28" t="s">
        <v>22</v>
      </c>
      <c r="Z6" s="28" t="s">
        <v>44</v>
      </c>
      <c r="AA6" s="28" t="s">
        <v>45</v>
      </c>
      <c r="AC6" s="26" t="s">
        <v>24</v>
      </c>
      <c r="AD6" s="28" t="s">
        <v>18</v>
      </c>
      <c r="AE6" s="28" t="s">
        <v>19</v>
      </c>
      <c r="AF6" s="26" t="s">
        <v>20</v>
      </c>
      <c r="AG6" s="26" t="s">
        <v>21</v>
      </c>
      <c r="AH6" s="26" t="s">
        <v>22</v>
      </c>
      <c r="AJ6" s="26" t="s">
        <v>26</v>
      </c>
      <c r="AK6" s="26" t="s">
        <v>27</v>
      </c>
      <c r="AL6" s="26" t="s">
        <v>28</v>
      </c>
      <c r="AV6" s="28" t="s">
        <v>18</v>
      </c>
      <c r="AW6" s="28" t="s">
        <v>19</v>
      </c>
      <c r="AX6" s="28" t="s">
        <v>20</v>
      </c>
      <c r="AY6" s="28" t="s">
        <v>21</v>
      </c>
      <c r="AZ6" s="28" t="s">
        <v>22</v>
      </c>
      <c r="BA6" s="28"/>
      <c r="BB6" s="28" t="s">
        <v>22</v>
      </c>
      <c r="BM6" s="26" t="s">
        <v>12</v>
      </c>
      <c r="BN6" s="26" t="s">
        <v>29</v>
      </c>
      <c r="BO6" s="26" t="s">
        <v>30</v>
      </c>
      <c r="BP6" s="26" t="s">
        <v>31</v>
      </c>
      <c r="BQ6" s="26" t="s">
        <v>32</v>
      </c>
      <c r="BR6" s="26" t="s">
        <v>33</v>
      </c>
      <c r="BS6" s="26" t="s">
        <v>34</v>
      </c>
      <c r="BT6" s="26" t="s">
        <v>35</v>
      </c>
      <c r="BU6" s="26" t="s">
        <v>36</v>
      </c>
      <c r="BV6" s="26" t="s">
        <v>37</v>
      </c>
      <c r="BW6" s="26" t="s">
        <v>38</v>
      </c>
      <c r="BX6" s="26" t="s">
        <v>39</v>
      </c>
      <c r="BY6" s="26" t="s">
        <v>40</v>
      </c>
      <c r="BZ6" s="26" t="s">
        <v>41</v>
      </c>
      <c r="CL6" s="26" t="s">
        <v>12</v>
      </c>
      <c r="CM6" s="26" t="s">
        <v>29</v>
      </c>
      <c r="CN6" s="26" t="s">
        <v>30</v>
      </c>
      <c r="CO6" s="26" t="s">
        <v>31</v>
      </c>
      <c r="CP6" s="26" t="s">
        <v>32</v>
      </c>
      <c r="CQ6" s="26" t="s">
        <v>33</v>
      </c>
      <c r="CR6" s="26" t="s">
        <v>34</v>
      </c>
      <c r="CS6" s="26" t="s">
        <v>35</v>
      </c>
      <c r="CT6" s="26" t="s">
        <v>36</v>
      </c>
      <c r="CU6" s="26" t="s">
        <v>37</v>
      </c>
      <c r="CV6" s="26" t="s">
        <v>38</v>
      </c>
      <c r="CW6" s="26" t="s">
        <v>39</v>
      </c>
      <c r="CX6" s="26" t="s">
        <v>40</v>
      </c>
      <c r="CY6" s="26" t="s">
        <v>41</v>
      </c>
      <c r="DC6" s="27"/>
      <c r="DD6" s="26" t="s">
        <v>12</v>
      </c>
      <c r="DE6" s="26" t="s">
        <v>29</v>
      </c>
      <c r="DF6" s="26" t="s">
        <v>30</v>
      </c>
      <c r="DG6" s="26" t="s">
        <v>31</v>
      </c>
      <c r="DH6" s="26" t="s">
        <v>32</v>
      </c>
      <c r="DI6" s="26" t="s">
        <v>33</v>
      </c>
      <c r="DJ6" s="26" t="s">
        <v>34</v>
      </c>
      <c r="DK6" s="26" t="s">
        <v>35</v>
      </c>
      <c r="DL6" s="26" t="s">
        <v>36</v>
      </c>
      <c r="DM6" s="26" t="s">
        <v>37</v>
      </c>
      <c r="DN6" s="26" t="s">
        <v>38</v>
      </c>
      <c r="DO6" s="26" t="s">
        <v>39</v>
      </c>
      <c r="DP6" s="26" t="s">
        <v>40</v>
      </c>
      <c r="DQ6" s="26" t="s">
        <v>41</v>
      </c>
      <c r="EE6" s="27"/>
      <c r="EF6" s="27"/>
      <c r="EG6" s="26" t="s">
        <v>12</v>
      </c>
      <c r="EH6" s="26" t="s">
        <v>29</v>
      </c>
      <c r="EI6" s="26" t="s">
        <v>30</v>
      </c>
      <c r="EJ6" s="26" t="s">
        <v>31</v>
      </c>
      <c r="EK6" s="26" t="s">
        <v>32</v>
      </c>
      <c r="EL6" s="26" t="s">
        <v>33</v>
      </c>
      <c r="EM6" s="26" t="s">
        <v>34</v>
      </c>
      <c r="EN6" s="26" t="s">
        <v>35</v>
      </c>
      <c r="EO6" s="26" t="s">
        <v>36</v>
      </c>
      <c r="EP6" s="26" t="s">
        <v>37</v>
      </c>
      <c r="EQ6" s="26" t="s">
        <v>38</v>
      </c>
      <c r="ER6" s="26" t="s">
        <v>39</v>
      </c>
      <c r="ES6" s="26" t="s">
        <v>40</v>
      </c>
      <c r="ET6" s="26" t="s">
        <v>41</v>
      </c>
      <c r="FG6" s="27"/>
      <c r="FH6" s="27"/>
      <c r="FI6" s="26" t="s">
        <v>12</v>
      </c>
      <c r="FJ6" s="26" t="s">
        <v>29</v>
      </c>
      <c r="FK6" s="26" t="s">
        <v>30</v>
      </c>
      <c r="FL6" s="26" t="s">
        <v>31</v>
      </c>
      <c r="FM6" s="26" t="s">
        <v>32</v>
      </c>
      <c r="FN6" s="26" t="s">
        <v>33</v>
      </c>
      <c r="FO6" s="26" t="s">
        <v>34</v>
      </c>
      <c r="FP6" s="26" t="s">
        <v>35</v>
      </c>
      <c r="FQ6" s="26" t="s">
        <v>36</v>
      </c>
      <c r="FR6" s="26" t="s">
        <v>37</v>
      </c>
      <c r="FS6" s="26" t="s">
        <v>38</v>
      </c>
      <c r="FT6" s="26" t="s">
        <v>39</v>
      </c>
      <c r="FU6" s="26" t="s">
        <v>40</v>
      </c>
      <c r="FV6" s="26" t="s">
        <v>41</v>
      </c>
      <c r="GI6" s="27"/>
      <c r="GJ6" s="26" t="s">
        <v>12</v>
      </c>
      <c r="GK6" s="26" t="s">
        <v>29</v>
      </c>
      <c r="GL6" s="26" t="s">
        <v>30</v>
      </c>
      <c r="GM6" s="26" t="s">
        <v>31</v>
      </c>
      <c r="GN6" s="26" t="s">
        <v>32</v>
      </c>
      <c r="GO6" s="26" t="s">
        <v>33</v>
      </c>
      <c r="GP6" s="26" t="s">
        <v>34</v>
      </c>
      <c r="GQ6" s="26" t="s">
        <v>35</v>
      </c>
      <c r="GR6" s="26" t="s">
        <v>36</v>
      </c>
      <c r="GS6" s="26" t="s">
        <v>37</v>
      </c>
      <c r="GT6" s="26" t="s">
        <v>38</v>
      </c>
      <c r="GU6" s="26" t="s">
        <v>39</v>
      </c>
      <c r="GV6" s="26" t="s">
        <v>40</v>
      </c>
      <c r="GW6" s="26" t="s">
        <v>41</v>
      </c>
      <c r="HA6" s="27"/>
      <c r="HB6" s="26" t="s">
        <v>12</v>
      </c>
      <c r="HC6" s="26" t="s">
        <v>29</v>
      </c>
      <c r="HD6" s="26" t="s">
        <v>30</v>
      </c>
      <c r="HE6" s="26" t="s">
        <v>31</v>
      </c>
      <c r="HF6" s="26" t="s">
        <v>32</v>
      </c>
      <c r="HG6" s="26" t="s">
        <v>33</v>
      </c>
      <c r="HH6" s="26" t="s">
        <v>34</v>
      </c>
      <c r="HI6" s="26" t="s">
        <v>35</v>
      </c>
      <c r="HJ6" s="26" t="s">
        <v>36</v>
      </c>
      <c r="HK6" s="26" t="s">
        <v>37</v>
      </c>
      <c r="HL6" s="26" t="s">
        <v>38</v>
      </c>
      <c r="HM6" s="26" t="s">
        <v>39</v>
      </c>
      <c r="HN6" s="26" t="s">
        <v>40</v>
      </c>
      <c r="HO6" s="26" t="s">
        <v>41</v>
      </c>
      <c r="IC6" s="26" t="s">
        <v>12</v>
      </c>
      <c r="ID6" s="26" t="s">
        <v>29</v>
      </c>
      <c r="IE6" s="26" t="s">
        <v>30</v>
      </c>
      <c r="IF6" s="26" t="s">
        <v>31</v>
      </c>
      <c r="IG6" s="26" t="s">
        <v>32</v>
      </c>
      <c r="IH6" s="26" t="s">
        <v>33</v>
      </c>
      <c r="II6" s="26" t="s">
        <v>34</v>
      </c>
      <c r="IJ6" s="26" t="s">
        <v>35</v>
      </c>
      <c r="IK6" s="26" t="s">
        <v>36</v>
      </c>
      <c r="IL6" s="26" t="s">
        <v>37</v>
      </c>
      <c r="IM6" s="26" t="s">
        <v>38</v>
      </c>
      <c r="IN6" s="26" t="s">
        <v>39</v>
      </c>
      <c r="IO6" s="26" t="s">
        <v>40</v>
      </c>
      <c r="IP6" s="26" t="s">
        <v>41</v>
      </c>
      <c r="JB6" s="26" t="s">
        <v>12</v>
      </c>
      <c r="JC6" s="26" t="s">
        <v>29</v>
      </c>
      <c r="JD6" s="26" t="s">
        <v>30</v>
      </c>
      <c r="JE6" s="26" t="s">
        <v>31</v>
      </c>
      <c r="JF6" s="26" t="s">
        <v>32</v>
      </c>
      <c r="JG6" s="26" t="s">
        <v>33</v>
      </c>
      <c r="JH6" s="26" t="s">
        <v>34</v>
      </c>
      <c r="JI6" s="26" t="s">
        <v>35</v>
      </c>
      <c r="JJ6" s="26" t="s">
        <v>36</v>
      </c>
      <c r="JK6" s="26" t="s">
        <v>37</v>
      </c>
      <c r="JL6" s="26" t="s">
        <v>38</v>
      </c>
      <c r="JM6" s="26" t="s">
        <v>39</v>
      </c>
      <c r="JN6" s="26" t="s">
        <v>40</v>
      </c>
      <c r="JO6" s="26" t="s">
        <v>41</v>
      </c>
      <c r="JZ6" s="26" t="s">
        <v>12</v>
      </c>
      <c r="KA6" s="26" t="s">
        <v>29</v>
      </c>
      <c r="KB6" s="29" t="s">
        <v>237</v>
      </c>
      <c r="KC6" s="29" t="s">
        <v>238</v>
      </c>
      <c r="KD6" s="29" t="s">
        <v>42</v>
      </c>
      <c r="KN6" s="28" t="s">
        <v>43</v>
      </c>
      <c r="KO6" s="28" t="s">
        <v>44</v>
      </c>
      <c r="KP6" s="28" t="s">
        <v>45</v>
      </c>
      <c r="KR6" s="28" t="s">
        <v>46</v>
      </c>
      <c r="KS6" s="28" t="s">
        <v>44</v>
      </c>
      <c r="KT6" s="28" t="s">
        <v>45</v>
      </c>
      <c r="KV6" s="28" t="s">
        <v>47</v>
      </c>
      <c r="KW6" s="28" t="s">
        <v>44</v>
      </c>
      <c r="KX6" s="28" t="s">
        <v>45</v>
      </c>
      <c r="KZ6" s="28" t="s">
        <v>48</v>
      </c>
      <c r="LA6" s="28" t="s">
        <v>44</v>
      </c>
      <c r="LB6" s="28" t="s">
        <v>45</v>
      </c>
      <c r="LD6" s="28" t="s">
        <v>49</v>
      </c>
      <c r="LE6" s="28" t="s">
        <v>44</v>
      </c>
      <c r="LF6" s="28" t="s">
        <v>45</v>
      </c>
      <c r="LH6" s="26" t="s">
        <v>50</v>
      </c>
      <c r="LI6" s="28" t="s">
        <v>44</v>
      </c>
      <c r="LJ6" s="28" t="s">
        <v>45</v>
      </c>
      <c r="LL6" s="28" t="s">
        <v>51</v>
      </c>
      <c r="LM6" s="28" t="s">
        <v>44</v>
      </c>
      <c r="LN6" s="28" t="s">
        <v>45</v>
      </c>
      <c r="LP6" s="28" t="s">
        <v>52</v>
      </c>
      <c r="LQ6" s="28" t="s">
        <v>44</v>
      </c>
      <c r="LR6" s="28" t="s">
        <v>45</v>
      </c>
      <c r="LT6" s="28" t="s">
        <v>53</v>
      </c>
      <c r="LU6" s="28" t="s">
        <v>44</v>
      </c>
      <c r="LV6" s="28" t="s">
        <v>45</v>
      </c>
      <c r="LX6" s="28" t="s">
        <v>54</v>
      </c>
      <c r="LY6" s="28" t="s">
        <v>44</v>
      </c>
      <c r="LZ6" s="28" t="s">
        <v>45</v>
      </c>
      <c r="MB6" s="26" t="s">
        <v>24</v>
      </c>
      <c r="MC6" s="28" t="s">
        <v>43</v>
      </c>
      <c r="MD6" s="28" t="s">
        <v>46</v>
      </c>
      <c r="ME6" s="28" t="s">
        <v>47</v>
      </c>
      <c r="MF6" s="28" t="s">
        <v>48</v>
      </c>
      <c r="MG6" s="28" t="s">
        <v>49</v>
      </c>
      <c r="MH6" s="28" t="s">
        <v>50</v>
      </c>
      <c r="MI6" s="28" t="s">
        <v>51</v>
      </c>
      <c r="MJ6" s="28" t="s">
        <v>52</v>
      </c>
      <c r="MK6" s="28" t="s">
        <v>53</v>
      </c>
      <c r="ML6" s="28" t="s">
        <v>54</v>
      </c>
      <c r="MM6" s="26" t="s">
        <v>26</v>
      </c>
      <c r="MN6" s="26" t="s">
        <v>27</v>
      </c>
      <c r="MO6" s="26" t="s">
        <v>28</v>
      </c>
      <c r="MY6" s="28" t="s">
        <v>43</v>
      </c>
      <c r="MZ6" s="28" t="s">
        <v>46</v>
      </c>
      <c r="NA6" s="28" t="s">
        <v>47</v>
      </c>
      <c r="NB6" s="28" t="s">
        <v>48</v>
      </c>
      <c r="NC6" s="28" t="s">
        <v>49</v>
      </c>
      <c r="ND6" s="28" t="s">
        <v>50</v>
      </c>
      <c r="NE6" s="28" t="s">
        <v>51</v>
      </c>
      <c r="NF6" s="28" t="s">
        <v>52</v>
      </c>
      <c r="NG6" s="28" t="s">
        <v>53</v>
      </c>
      <c r="NH6" s="28" t="s">
        <v>54</v>
      </c>
      <c r="NI6" s="28" t="s">
        <v>54</v>
      </c>
      <c r="NT6" s="26" t="s">
        <v>12</v>
      </c>
      <c r="NU6" s="26" t="s">
        <v>29</v>
      </c>
      <c r="NV6" s="26" t="s">
        <v>30</v>
      </c>
      <c r="NW6" s="26" t="s">
        <v>31</v>
      </c>
      <c r="NX6" s="26" t="s">
        <v>32</v>
      </c>
      <c r="NY6" s="26" t="s">
        <v>33</v>
      </c>
      <c r="NZ6" s="26" t="s">
        <v>34</v>
      </c>
      <c r="OA6" s="26" t="s">
        <v>35</v>
      </c>
      <c r="OB6" s="26" t="s">
        <v>36</v>
      </c>
      <c r="OC6" s="26" t="s">
        <v>37</v>
      </c>
      <c r="OD6" s="26" t="s">
        <v>38</v>
      </c>
      <c r="OE6" s="26" t="s">
        <v>39</v>
      </c>
      <c r="OF6" s="26" t="s">
        <v>40</v>
      </c>
      <c r="OG6" s="26" t="s">
        <v>55</v>
      </c>
      <c r="OS6" s="26" t="s">
        <v>12</v>
      </c>
      <c r="OT6" s="26" t="s">
        <v>29</v>
      </c>
      <c r="OU6" s="26" t="s">
        <v>30</v>
      </c>
      <c r="OV6" s="26" t="s">
        <v>31</v>
      </c>
      <c r="OW6" s="26" t="s">
        <v>32</v>
      </c>
      <c r="OX6" s="26" t="s">
        <v>33</v>
      </c>
      <c r="OY6" s="26" t="s">
        <v>34</v>
      </c>
      <c r="OZ6" s="26" t="s">
        <v>35</v>
      </c>
      <c r="PA6" s="26" t="s">
        <v>36</v>
      </c>
      <c r="PB6" s="26" t="s">
        <v>37</v>
      </c>
      <c r="PC6" s="26" t="s">
        <v>38</v>
      </c>
      <c r="PD6" s="26" t="s">
        <v>39</v>
      </c>
      <c r="PE6" s="26" t="s">
        <v>40</v>
      </c>
      <c r="PF6" s="26" t="s">
        <v>55</v>
      </c>
    </row>
    <row r="7" spans="2:424" s="30" customFormat="1" x14ac:dyDescent="0.25">
      <c r="B7" s="30" t="s">
        <v>56</v>
      </c>
      <c r="C7" s="30" t="s">
        <v>56</v>
      </c>
      <c r="I7" s="31"/>
      <c r="J7" s="31"/>
      <c r="K7" s="31"/>
      <c r="M7" s="31"/>
      <c r="N7" s="31"/>
      <c r="O7" s="31"/>
      <c r="Q7" s="31"/>
      <c r="R7" s="31"/>
      <c r="S7" s="31"/>
      <c r="U7" s="31"/>
      <c r="V7" s="31"/>
      <c r="W7" s="31"/>
      <c r="Y7" s="31"/>
      <c r="Z7" s="31"/>
      <c r="AA7" s="31"/>
      <c r="AC7" s="32">
        <v>0</v>
      </c>
      <c r="AD7" s="33">
        <v>0</v>
      </c>
      <c r="AE7" s="33">
        <v>0</v>
      </c>
      <c r="AF7" s="33">
        <v>0</v>
      </c>
      <c r="AG7" s="33">
        <v>0</v>
      </c>
      <c r="AH7" s="33">
        <v>0</v>
      </c>
      <c r="AI7" s="33">
        <v>0</v>
      </c>
      <c r="AJ7" s="35"/>
      <c r="AK7" s="35"/>
      <c r="AL7" s="35"/>
      <c r="BJ7" s="34"/>
      <c r="KC7" s="30">
        <v>5</v>
      </c>
      <c r="KN7" s="31"/>
      <c r="KO7" s="31"/>
      <c r="KP7" s="31"/>
      <c r="KR7" s="31"/>
      <c r="KS7" s="31"/>
      <c r="KT7" s="31"/>
      <c r="KV7" s="31"/>
      <c r="KW7" s="31"/>
      <c r="KX7" s="31"/>
      <c r="KZ7" s="31"/>
      <c r="LA7" s="31"/>
      <c r="LB7" s="31"/>
      <c r="LD7" s="31"/>
      <c r="LE7" s="31"/>
      <c r="LF7" s="31"/>
      <c r="LL7" s="31"/>
      <c r="LM7" s="31"/>
      <c r="LN7" s="31"/>
      <c r="LT7" s="31"/>
      <c r="LU7" s="31"/>
      <c r="LV7" s="31"/>
      <c r="MB7" s="32">
        <v>0</v>
      </c>
      <c r="MC7" s="33">
        <v>0</v>
      </c>
      <c r="MD7" s="33">
        <v>0</v>
      </c>
      <c r="ME7" s="33">
        <v>0</v>
      </c>
      <c r="MF7" s="33">
        <v>0</v>
      </c>
      <c r="MG7" s="33">
        <v>0</v>
      </c>
      <c r="MH7" s="33">
        <v>0</v>
      </c>
      <c r="MI7" s="33">
        <v>0</v>
      </c>
      <c r="MJ7" s="33">
        <v>0</v>
      </c>
      <c r="MK7" s="33">
        <v>0</v>
      </c>
      <c r="ML7" s="33">
        <v>0</v>
      </c>
      <c r="MM7" s="35"/>
      <c r="MN7" s="35"/>
      <c r="MO7" s="35"/>
    </row>
    <row r="8" spans="2:424" x14ac:dyDescent="0.25">
      <c r="B8" s="36"/>
      <c r="C8" s="37" t="s">
        <v>57</v>
      </c>
      <c r="D8" s="37" t="s">
        <v>58</v>
      </c>
      <c r="E8" s="36"/>
      <c r="F8" s="36"/>
      <c r="H8" s="36"/>
      <c r="I8" s="41">
        <v>42920</v>
      </c>
      <c r="J8" s="212">
        <v>41865866.715599999</v>
      </c>
      <c r="K8" s="212">
        <f>J8</f>
        <v>41865866.715599999</v>
      </c>
      <c r="M8" s="41">
        <v>43284</v>
      </c>
      <c r="N8" s="212">
        <v>18046255.8708</v>
      </c>
      <c r="O8" s="212">
        <f>N8</f>
        <v>18046255.8708</v>
      </c>
      <c r="Q8" s="41">
        <v>43648</v>
      </c>
      <c r="R8" s="212">
        <v>9874439.6219999995</v>
      </c>
      <c r="S8" s="212">
        <f>R8</f>
        <v>9874439.6219999995</v>
      </c>
      <c r="U8" s="41">
        <v>44019</v>
      </c>
      <c r="V8" s="212">
        <v>65778732.129599996</v>
      </c>
      <c r="W8" s="212">
        <f>V8</f>
        <v>65778732.129599996</v>
      </c>
      <c r="Y8" s="41">
        <v>44383</v>
      </c>
      <c r="Z8" s="212">
        <v>34282144.018799998</v>
      </c>
      <c r="AA8" s="212">
        <f>Z8</f>
        <v>34282144.018799998</v>
      </c>
      <c r="AC8" s="32">
        <v>1</v>
      </c>
      <c r="AD8" s="39">
        <f t="shared" ref="AD8:AD59" si="0">K8/1000000000</f>
        <v>4.1865866715599998E-2</v>
      </c>
      <c r="AE8" s="39">
        <f t="shared" ref="AE8:AE59" si="1">O8/1000000000</f>
        <v>1.8046255870799999E-2</v>
      </c>
      <c r="AF8" s="39">
        <f t="shared" ref="AF8:AF60" si="2">S8/1000000000</f>
        <v>9.8744396219999989E-3</v>
      </c>
      <c r="AG8" s="39">
        <f t="shared" ref="AG8:AG59" si="3">W8/1000000000</f>
        <v>6.577873212959999E-2</v>
      </c>
      <c r="AH8" s="39">
        <f t="shared" ref="AH8:AH59" si="4">AA8/1000000000</f>
        <v>3.4282144018799997E-2</v>
      </c>
      <c r="AI8" s="39">
        <f>AI7+$AI$63</f>
        <v>2.7823634831053413E-2</v>
      </c>
      <c r="AJ8" s="9"/>
      <c r="AK8" s="9"/>
      <c r="AL8" s="9"/>
      <c r="AN8" s="40" t="s">
        <v>239</v>
      </c>
      <c r="BD8" s="40" t="s">
        <v>240</v>
      </c>
      <c r="BM8" s="41">
        <f>$Y8</f>
        <v>44383</v>
      </c>
      <c r="BN8" s="9">
        <f t="shared" ref="BN8:BN59" si="5">AH8</f>
        <v>3.4282144018799997E-2</v>
      </c>
      <c r="BO8" s="9">
        <f t="shared" ref="BO8:BY8" si="6">BO2</f>
        <v>1.6032204874777817E-2</v>
      </c>
      <c r="BP8" s="9">
        <f t="shared" si="6"/>
        <v>1.8223138082807688E-2</v>
      </c>
      <c r="BQ8" s="9">
        <f t="shared" si="6"/>
        <v>1.9443728141978436E-2</v>
      </c>
      <c r="BR8" s="9">
        <f t="shared" si="6"/>
        <v>2.0199848897457344E-2</v>
      </c>
      <c r="BS8" s="9">
        <f t="shared" si="6"/>
        <v>2.1609953490484776E-2</v>
      </c>
      <c r="BT8" s="9">
        <f t="shared" si="6"/>
        <v>2.3469807538576672E-2</v>
      </c>
      <c r="BU8" s="9">
        <f t="shared" si="6"/>
        <v>2.5540580974329746E-2</v>
      </c>
      <c r="BV8" s="9">
        <f t="shared" si="6"/>
        <v>2.7720420236719803E-2</v>
      </c>
      <c r="BW8" s="9">
        <f t="shared" si="6"/>
        <v>2.9126260596895739E-2</v>
      </c>
      <c r="BX8" s="9">
        <f t="shared" si="6"/>
        <v>3.2006943607976859E-2</v>
      </c>
      <c r="BY8" s="9">
        <f t="shared" si="6"/>
        <v>3.9503586953510528E-2</v>
      </c>
      <c r="BZ8" s="32"/>
      <c r="CA8" s="32"/>
      <c r="CC8" s="40" t="s">
        <v>241</v>
      </c>
      <c r="CL8" s="41">
        <v>44747</v>
      </c>
      <c r="CM8" s="76">
        <v>3.834938886032449E-2</v>
      </c>
      <c r="CN8" s="9">
        <f t="shared" ref="CN8:CX8" si="7">CN2</f>
        <v>1.7840861952782641E-2</v>
      </c>
      <c r="CO8" s="9">
        <f t="shared" si="7"/>
        <v>2.031320330793044E-2</v>
      </c>
      <c r="CP8" s="9">
        <f t="shared" si="7"/>
        <v>2.2123388189543756E-2</v>
      </c>
      <c r="CQ8" s="9">
        <f t="shared" si="7"/>
        <v>2.30791995096538E-2</v>
      </c>
      <c r="CR8" s="9">
        <f t="shared" si="7"/>
        <v>2.5085393476016016E-2</v>
      </c>
      <c r="CS8" s="9">
        <f t="shared" si="7"/>
        <v>2.7849777595389986E-2</v>
      </c>
      <c r="CT8" s="9">
        <f t="shared" si="7"/>
        <v>3.0926849530240552E-2</v>
      </c>
      <c r="CU8" s="9">
        <f t="shared" si="7"/>
        <v>3.4283922167867346E-2</v>
      </c>
      <c r="CV8" s="9">
        <f t="shared" si="7"/>
        <v>3.653071055718194E-2</v>
      </c>
      <c r="CW8" s="9">
        <f t="shared" si="7"/>
        <v>4.1081429507014336E-2</v>
      </c>
      <c r="CX8" s="9">
        <f t="shared" si="7"/>
        <v>5.1005977807515715E-2</v>
      </c>
      <c r="CY8" s="32"/>
      <c r="CZ8" s="32"/>
      <c r="DA8" s="32">
        <f>DB8/1000000000</f>
        <v>3.834938886032449E-2</v>
      </c>
      <c r="DB8" s="32">
        <v>38349388.860324487</v>
      </c>
      <c r="DC8" s="32"/>
      <c r="DD8" s="41">
        <v>45111</v>
      </c>
      <c r="DE8" s="76">
        <v>2.1252583449249247E-2</v>
      </c>
      <c r="DF8" s="9">
        <f t="shared" ref="DF8:DP8" si="8">DF2</f>
        <v>1.768519326195234E-2</v>
      </c>
      <c r="DG8" s="9">
        <f t="shared" si="8"/>
        <v>1.9696927229476753E-2</v>
      </c>
      <c r="DH8" s="9">
        <f t="shared" si="8"/>
        <v>2.0936183632214975E-2</v>
      </c>
      <c r="DI8" s="9">
        <f t="shared" si="8"/>
        <v>2.1772897247750809E-2</v>
      </c>
      <c r="DJ8" s="9">
        <f t="shared" si="8"/>
        <v>2.3387803016937957E-2</v>
      </c>
      <c r="DK8" s="9">
        <f t="shared" si="8"/>
        <v>2.5528449206446042E-2</v>
      </c>
      <c r="DL8" s="9">
        <f t="shared" si="8"/>
        <v>2.8203244819970566E-2</v>
      </c>
      <c r="DM8" s="9">
        <f t="shared" si="8"/>
        <v>3.1091437817747088E-2</v>
      </c>
      <c r="DN8" s="9">
        <f t="shared" si="8"/>
        <v>3.2835693004700545E-2</v>
      </c>
      <c r="DO8" s="9">
        <f t="shared" si="8"/>
        <v>3.6698754505888817E-2</v>
      </c>
      <c r="DP8" s="9">
        <f t="shared" si="8"/>
        <v>4.5988189338231504E-2</v>
      </c>
      <c r="DQ8" s="32"/>
      <c r="DR8" s="32"/>
      <c r="DS8" s="32">
        <f>DT8/1000000000</f>
        <v>3.834938886032449E-2</v>
      </c>
      <c r="DT8" s="32">
        <v>38349388.860324487</v>
      </c>
      <c r="DU8" s="32"/>
      <c r="DW8" s="40" t="s">
        <v>241</v>
      </c>
      <c r="EF8" s="32"/>
      <c r="EG8" s="41">
        <v>45475</v>
      </c>
      <c r="EH8" s="76">
        <v>2.8443131540540536E-2</v>
      </c>
      <c r="EI8" s="9">
        <f t="shared" ref="EI8:ES8" si="9">EI2</f>
        <v>2.0290315534278788E-2</v>
      </c>
      <c r="EJ8" s="9">
        <f t="shared" si="9"/>
        <v>2.2020049249536877E-2</v>
      </c>
      <c r="EK8" s="9">
        <f t="shared" si="9"/>
        <v>2.3526137950388291E-2</v>
      </c>
      <c r="EL8" s="9">
        <f t="shared" si="9"/>
        <v>2.4509692149352801E-2</v>
      </c>
      <c r="EM8" s="9">
        <f t="shared" si="9"/>
        <v>2.6325675332730395E-2</v>
      </c>
      <c r="EN8" s="9">
        <f t="shared" si="9"/>
        <v>2.8842512504586828E-2</v>
      </c>
      <c r="EO8" s="9">
        <f t="shared" si="9"/>
        <v>3.1771684630234193E-2</v>
      </c>
      <c r="EP8" s="9">
        <f t="shared" si="9"/>
        <v>3.4902161066502985E-2</v>
      </c>
      <c r="EQ8" s="9">
        <f t="shared" si="9"/>
        <v>3.6777586101275933E-2</v>
      </c>
      <c r="ER8" s="9">
        <f t="shared" si="9"/>
        <v>4.08930951469966E-2</v>
      </c>
      <c r="ES8" s="9">
        <f t="shared" si="9"/>
        <v>4.9334846516055318E-2</v>
      </c>
      <c r="ET8" s="32"/>
      <c r="EU8" s="32"/>
      <c r="EV8" s="32">
        <f>EW8/1000000000</f>
        <v>3.834938886032449E-2</v>
      </c>
      <c r="EW8" s="32">
        <v>38349388.860324487</v>
      </c>
      <c r="EX8" s="32"/>
      <c r="EZ8" s="40" t="s">
        <v>241</v>
      </c>
      <c r="FG8" s="32"/>
      <c r="FH8" s="32"/>
      <c r="FI8" s="41">
        <v>45839</v>
      </c>
      <c r="FJ8" s="76">
        <v>3.5725300750300289E-2</v>
      </c>
      <c r="FK8" s="9">
        <f t="shared" ref="FK8:FU8" si="10">FK2</f>
        <v>2.0290315534278788E-2</v>
      </c>
      <c r="FL8" s="9">
        <f t="shared" si="10"/>
        <v>2.2020049249536877E-2</v>
      </c>
      <c r="FM8" s="9">
        <f t="shared" si="10"/>
        <v>2.3526137950388291E-2</v>
      </c>
      <c r="FN8" s="9">
        <f t="shared" si="10"/>
        <v>2.4509692149352801E-2</v>
      </c>
      <c r="FO8" s="9">
        <f t="shared" si="10"/>
        <v>2.6325675332730395E-2</v>
      </c>
      <c r="FP8" s="9">
        <f t="shared" si="10"/>
        <v>2.8842512504586828E-2</v>
      </c>
      <c r="FQ8" s="9">
        <f t="shared" si="10"/>
        <v>3.1771684630234193E-2</v>
      </c>
      <c r="FR8" s="9">
        <f t="shared" si="10"/>
        <v>3.4902161066502985E-2</v>
      </c>
      <c r="FS8" s="9">
        <f t="shared" si="10"/>
        <v>3.6777586101275933E-2</v>
      </c>
      <c r="FT8" s="9">
        <f t="shared" si="10"/>
        <v>4.08930951469966E-2</v>
      </c>
      <c r="FU8" s="9">
        <f t="shared" si="10"/>
        <v>4.9334846516055318E-2</v>
      </c>
      <c r="FV8" s="32"/>
      <c r="FW8" s="32"/>
      <c r="FX8" s="32">
        <f>FY8/1000000000</f>
        <v>3.834938886032449E-2</v>
      </c>
      <c r="FY8" s="32">
        <v>38349388.860324487</v>
      </c>
      <c r="FZ8" s="32"/>
      <c r="GB8" s="40"/>
      <c r="GI8" s="32"/>
      <c r="GJ8" s="41">
        <v>45475</v>
      </c>
      <c r="GK8" s="76">
        <v>2.8443131540540536E-2</v>
      </c>
      <c r="GL8" s="9">
        <f t="shared" ref="GL8:GV8" si="11">GL2</f>
        <v>1.6745963307897852E-2</v>
      </c>
      <c r="GM8" s="9">
        <f t="shared" si="11"/>
        <v>1.9279450770187237E-2</v>
      </c>
      <c r="GN8" s="9">
        <f t="shared" si="11"/>
        <v>2.0727722660439128E-2</v>
      </c>
      <c r="GO8" s="9">
        <f t="shared" si="11"/>
        <v>2.1545826390927298E-2</v>
      </c>
      <c r="GP8" s="9">
        <f t="shared" si="11"/>
        <v>2.3240220817402638E-2</v>
      </c>
      <c r="GQ8" s="9">
        <f t="shared" si="11"/>
        <v>2.6046443279611062E-2</v>
      </c>
      <c r="GR8" s="9">
        <f t="shared" si="11"/>
        <v>2.9690405696207352E-2</v>
      </c>
      <c r="GS8" s="9">
        <f t="shared" si="11"/>
        <v>3.3971288139103946E-2</v>
      </c>
      <c r="GT8" s="9">
        <f t="shared" si="11"/>
        <v>3.738668945575023E-2</v>
      </c>
      <c r="GU8" s="9">
        <f t="shared" si="11"/>
        <v>4.3863262424991216E-2</v>
      </c>
      <c r="GV8" s="9">
        <f t="shared" si="11"/>
        <v>5.7010409211483253E-2</v>
      </c>
      <c r="GW8" s="32"/>
      <c r="GX8" s="32"/>
      <c r="GY8" s="32">
        <f>GZ8/1000000000</f>
        <v>3.834938886032449E-2</v>
      </c>
      <c r="GZ8" s="32">
        <v>38349388.860324487</v>
      </c>
      <c r="HA8" s="32"/>
      <c r="HB8" s="229">
        <v>45839</v>
      </c>
      <c r="HC8" s="230">
        <v>3.5725300750300289E-2</v>
      </c>
      <c r="HD8" s="9">
        <f t="shared" ref="HD8:HN8" si="12">HD2</f>
        <v>1.8552144620110324E-2</v>
      </c>
      <c r="HE8" s="9">
        <f t="shared" si="12"/>
        <v>2.0920946201214735E-2</v>
      </c>
      <c r="HF8" s="9">
        <f t="shared" si="12"/>
        <v>2.2572897152483607E-2</v>
      </c>
      <c r="HG8" s="9">
        <f t="shared" si="12"/>
        <v>2.361679462879648E-2</v>
      </c>
      <c r="HH8" s="9">
        <f t="shared" si="12"/>
        <v>2.5887025129576319E-2</v>
      </c>
      <c r="HI8" s="9">
        <f t="shared" si="12"/>
        <v>2.9079679969067809E-2</v>
      </c>
      <c r="HJ8" s="9">
        <f t="shared" si="12"/>
        <v>3.3267652381548149E-2</v>
      </c>
      <c r="HK8" s="9">
        <f t="shared" si="12"/>
        <v>3.7989262251926656E-2</v>
      </c>
      <c r="HL8" s="9">
        <f t="shared" si="12"/>
        <v>4.0978168440206485E-2</v>
      </c>
      <c r="HM8" s="9">
        <f t="shared" si="12"/>
        <v>4.7632814663369771E-2</v>
      </c>
      <c r="HN8" s="9">
        <f t="shared" si="12"/>
        <v>6.1245539507311028E-2</v>
      </c>
      <c r="HO8" s="32"/>
      <c r="HP8" s="32"/>
      <c r="HQ8" s="32">
        <v>35725300.750300288</v>
      </c>
      <c r="HR8" s="32">
        <f>HQ8/1000000000</f>
        <v>3.5725300750300289E-2</v>
      </c>
      <c r="HT8" s="32"/>
      <c r="IC8" s="41">
        <v>44747</v>
      </c>
      <c r="ID8" s="9">
        <v>4.0891861260899998E-2</v>
      </c>
      <c r="IE8" s="9"/>
      <c r="IF8" s="9"/>
      <c r="IG8" s="9"/>
      <c r="IH8" s="9"/>
      <c r="II8" s="9"/>
      <c r="IJ8" s="9"/>
      <c r="IK8" s="9"/>
      <c r="IL8" s="9"/>
      <c r="IM8" s="9"/>
      <c r="IN8" s="9"/>
      <c r="IO8" s="9"/>
      <c r="IP8" s="32"/>
      <c r="IQ8" s="32"/>
      <c r="IS8" s="40" t="s">
        <v>241</v>
      </c>
      <c r="JB8" s="41">
        <f t="shared" ref="JB8:JB50" si="13">BM8</f>
        <v>44383</v>
      </c>
      <c r="JC8" s="9">
        <f t="shared" ref="JC8:JC50" si="14">BN8</f>
        <v>3.4282144018799997E-2</v>
      </c>
      <c r="JD8" s="9"/>
      <c r="JE8" s="9"/>
      <c r="JF8" s="9"/>
      <c r="JG8" s="9"/>
      <c r="JH8" s="9"/>
      <c r="JI8" s="9"/>
      <c r="JJ8" s="9"/>
      <c r="JK8" s="9"/>
      <c r="JL8" s="9"/>
      <c r="JM8" s="9"/>
      <c r="JN8" s="9"/>
      <c r="JO8" s="9"/>
      <c r="JZ8" s="41">
        <f t="shared" ref="JZ8:JZ39" si="15">BM8</f>
        <v>44383</v>
      </c>
      <c r="KA8" s="9">
        <f>$AH8</f>
        <v>3.4282144018799997E-2</v>
      </c>
      <c r="KB8" s="9"/>
      <c r="KC8" s="9"/>
      <c r="KN8" s="41">
        <v>42920</v>
      </c>
      <c r="KO8" s="212">
        <v>41865866.715599999</v>
      </c>
      <c r="KP8" s="212">
        <f>KO8</f>
        <v>41865866.715599999</v>
      </c>
      <c r="KR8" s="41">
        <v>43102</v>
      </c>
      <c r="KS8" s="212">
        <v>53613979.401599996</v>
      </c>
      <c r="KT8" s="212">
        <f>KS8</f>
        <v>53613979.401599996</v>
      </c>
      <c r="KV8" s="41">
        <v>43284</v>
      </c>
      <c r="KW8" s="212">
        <v>18046255.8708</v>
      </c>
      <c r="KX8" s="212">
        <f>KW8</f>
        <v>18046255.8708</v>
      </c>
      <c r="KZ8" s="41">
        <v>43466</v>
      </c>
      <c r="LA8" s="212">
        <v>8416352.2643999998</v>
      </c>
      <c r="LB8" s="212">
        <f>LA8</f>
        <v>8416352.2643999998</v>
      </c>
      <c r="LD8" s="41">
        <v>43648</v>
      </c>
      <c r="LE8" s="212">
        <v>9874439.6219999995</v>
      </c>
      <c r="LF8" s="212">
        <f>LE8</f>
        <v>9874439.6219999995</v>
      </c>
      <c r="LH8" s="41">
        <v>43837</v>
      </c>
      <c r="LI8" s="212">
        <v>14925236.5584</v>
      </c>
      <c r="LJ8" s="212">
        <f>LI8</f>
        <v>14925236.5584</v>
      </c>
      <c r="LL8" s="41">
        <v>44019</v>
      </c>
      <c r="LM8" s="212">
        <v>65778732.129599996</v>
      </c>
      <c r="LN8" s="212">
        <f>LM8</f>
        <v>65778732.129599996</v>
      </c>
      <c r="LP8" s="41">
        <v>44201</v>
      </c>
      <c r="LQ8" s="212">
        <v>12551123.033999998</v>
      </c>
      <c r="LR8" s="212">
        <f>LQ8</f>
        <v>12551123.033999998</v>
      </c>
      <c r="LT8" s="41">
        <v>44383</v>
      </c>
      <c r="LU8" s="212">
        <v>34282144.018799998</v>
      </c>
      <c r="LV8" s="212">
        <f>LU8</f>
        <v>34282144.018799998</v>
      </c>
      <c r="LX8" s="41">
        <v>44565</v>
      </c>
      <c r="LY8" s="212">
        <v>18391808.4912</v>
      </c>
      <c r="LZ8" s="212">
        <f>LY8</f>
        <v>18391808.4912</v>
      </c>
      <c r="MB8" s="32">
        <v>1</v>
      </c>
      <c r="MC8" s="42">
        <f>KP8/1000000000</f>
        <v>4.1865866715599998E-2</v>
      </c>
      <c r="MD8" s="42">
        <f>KT8/1000000000</f>
        <v>5.3613979401599995E-2</v>
      </c>
      <c r="ME8" s="42">
        <f>KX8/1000000000</f>
        <v>1.8046255870799999E-2</v>
      </c>
      <c r="MF8" s="42">
        <f>LB8/1000000000</f>
        <v>8.4163522644000004E-3</v>
      </c>
      <c r="MG8" s="42">
        <f>LF8/1000000000</f>
        <v>9.8744396219999989E-3</v>
      </c>
      <c r="MH8" s="42">
        <f>LJ8/1000000000</f>
        <v>1.49252365584E-2</v>
      </c>
      <c r="MI8" s="42">
        <f>LN8/1000000000</f>
        <v>6.577873212959999E-2</v>
      </c>
      <c r="MJ8" s="42">
        <f>LR8/1000000000</f>
        <v>1.2551123033999998E-2</v>
      </c>
      <c r="MK8" s="42">
        <f>LV8/1000000000</f>
        <v>3.4282144018799997E-2</v>
      </c>
      <c r="ML8" s="42">
        <f>LZ8/1000000000</f>
        <v>1.83918084912E-2</v>
      </c>
      <c r="MM8" s="9"/>
      <c r="MN8" s="9"/>
      <c r="MO8" s="9"/>
      <c r="MQ8" s="40" t="s">
        <v>242</v>
      </c>
      <c r="NK8" s="40" t="s">
        <v>243</v>
      </c>
      <c r="NT8" s="41">
        <v>44567</v>
      </c>
      <c r="NU8" s="9">
        <f t="shared" ref="NU8:NU24" si="16">ML8</f>
        <v>1.83918084912E-2</v>
      </c>
      <c r="NV8" s="9">
        <f t="shared" ref="NV8:OF8" si="17">NV2</f>
        <v>1.5433151487946153E-2</v>
      </c>
      <c r="NW8" s="9">
        <f t="shared" si="17"/>
        <v>1.6867674691430769E-2</v>
      </c>
      <c r="NX8" s="9">
        <f t="shared" si="17"/>
        <v>1.7917404360820382E-2</v>
      </c>
      <c r="NY8" s="9">
        <f t="shared" si="17"/>
        <v>1.8738886879453846E-2</v>
      </c>
      <c r="NZ8" s="9">
        <f t="shared" si="17"/>
        <v>2.0395517722730773E-2</v>
      </c>
      <c r="OA8" s="9">
        <f t="shared" si="17"/>
        <v>2.2526944401807695E-2</v>
      </c>
      <c r="OB8" s="9">
        <f t="shared" si="17"/>
        <v>2.5291991662338458E-2</v>
      </c>
      <c r="OC8" s="9">
        <f t="shared" si="17"/>
        <v>2.8508343538959226E-2</v>
      </c>
      <c r="OD8" s="9">
        <f t="shared" si="17"/>
        <v>3.0517649732723071E-2</v>
      </c>
      <c r="OE8" s="9">
        <f t="shared" si="17"/>
        <v>3.4534613209915382E-2</v>
      </c>
      <c r="OF8" s="9">
        <f t="shared" si="17"/>
        <v>4.264335589068461E-2</v>
      </c>
      <c r="OG8" s="9">
        <f ca="1">OG2</f>
        <v>2.196879204072941E-2</v>
      </c>
      <c r="OH8" s="32"/>
      <c r="OJ8" s="40" t="s">
        <v>244</v>
      </c>
      <c r="OS8" s="41">
        <f>NT8</f>
        <v>44567</v>
      </c>
      <c r="OT8" s="9">
        <f>NU8</f>
        <v>1.83918084912E-2</v>
      </c>
      <c r="OU8" s="9"/>
      <c r="OV8" s="9"/>
      <c r="OW8" s="9"/>
      <c r="OX8" s="9"/>
      <c r="OY8" s="9"/>
      <c r="OZ8" s="9"/>
      <c r="PA8" s="9"/>
      <c r="PB8" s="9"/>
      <c r="PC8" s="9"/>
      <c r="PD8" s="9"/>
      <c r="PE8" s="9"/>
      <c r="PF8" s="9"/>
    </row>
    <row r="9" spans="2:424" x14ac:dyDescent="0.25">
      <c r="B9" s="213" t="s">
        <v>59</v>
      </c>
      <c r="C9" s="113" t="s">
        <v>60</v>
      </c>
      <c r="D9" s="113" t="s">
        <v>60</v>
      </c>
      <c r="E9" s="113" t="s">
        <v>61</v>
      </c>
      <c r="F9" s="113" t="s">
        <v>62</v>
      </c>
      <c r="G9" s="113" t="s">
        <v>63</v>
      </c>
      <c r="H9" s="43"/>
      <c r="I9" s="41">
        <v>42927</v>
      </c>
      <c r="J9" s="212">
        <v>50602409.395199992</v>
      </c>
      <c r="K9" s="212">
        <f t="shared" ref="K9:K59" si="18">J9+K8</f>
        <v>92468276.110799998</v>
      </c>
      <c r="M9" s="41">
        <v>43291</v>
      </c>
      <c r="N9" s="212">
        <v>21110430.218399998</v>
      </c>
      <c r="O9" s="212">
        <f t="shared" ref="O9:O59" si="19">N9+O8</f>
        <v>39156686.089199997</v>
      </c>
      <c r="Q9" s="41">
        <v>43655</v>
      </c>
      <c r="R9" s="212">
        <v>12206261.123999998</v>
      </c>
      <c r="S9" s="212">
        <f t="shared" ref="S9:S60" si="20">R9+S8</f>
        <v>22080700.745999999</v>
      </c>
      <c r="U9" s="41">
        <v>44026</v>
      </c>
      <c r="V9" s="212">
        <v>13459106.015999999</v>
      </c>
      <c r="W9" s="212">
        <f t="shared" ref="W9:W59" si="21">V9+W8</f>
        <v>79237838.145599991</v>
      </c>
      <c r="Y9" s="41">
        <v>44390</v>
      </c>
      <c r="Z9" s="212">
        <v>11890604.2788</v>
      </c>
      <c r="AA9" s="212">
        <f t="shared" ref="AA9:AA43" si="22">Z9+AA8</f>
        <v>46172748.297600001</v>
      </c>
      <c r="AC9" s="32">
        <v>2</v>
      </c>
      <c r="AD9" s="39">
        <f t="shared" si="0"/>
        <v>9.2468276110799996E-2</v>
      </c>
      <c r="AE9" s="39">
        <f t="shared" si="1"/>
        <v>3.9156686089199998E-2</v>
      </c>
      <c r="AF9" s="39">
        <f t="shared" si="2"/>
        <v>2.2080700746E-2</v>
      </c>
      <c r="AG9" s="39">
        <f t="shared" si="3"/>
        <v>7.9237838145599995E-2</v>
      </c>
      <c r="AH9" s="39">
        <f t="shared" si="4"/>
        <v>4.61727482976E-2</v>
      </c>
      <c r="AI9" s="39">
        <f t="shared" ref="AI9:AI59" si="23">AI8+$AI$63</f>
        <v>5.5647269662106827E-2</v>
      </c>
      <c r="AJ9" s="9"/>
      <c r="AK9" s="9"/>
      <c r="AL9" s="9"/>
      <c r="AU9" s="44"/>
      <c r="AV9" s="45" t="s">
        <v>18</v>
      </c>
      <c r="AW9" s="45" t="s">
        <v>19</v>
      </c>
      <c r="AX9" s="45" t="s">
        <v>20</v>
      </c>
      <c r="AY9" s="45" t="s">
        <v>21</v>
      </c>
      <c r="AZ9" s="46" t="s">
        <v>22</v>
      </c>
      <c r="BA9" s="46" t="s">
        <v>25</v>
      </c>
      <c r="BB9" s="46" t="s">
        <v>64</v>
      </c>
      <c r="BM9" s="41">
        <f>BM8+7</f>
        <v>44390</v>
      </c>
      <c r="BN9" s="9">
        <f t="shared" si="5"/>
        <v>4.61727482976E-2</v>
      </c>
      <c r="BO9" s="9">
        <f t="shared" ref="BO9:BY24" si="24">BO8+BO$2</f>
        <v>3.2064409749555635E-2</v>
      </c>
      <c r="BP9" s="9">
        <f t="shared" si="24"/>
        <v>3.6446276165615375E-2</v>
      </c>
      <c r="BQ9" s="9">
        <f t="shared" si="24"/>
        <v>3.8887456283956873E-2</v>
      </c>
      <c r="BR9" s="9">
        <f t="shared" si="24"/>
        <v>4.0399697794914688E-2</v>
      </c>
      <c r="BS9" s="9">
        <f t="shared" si="24"/>
        <v>4.3219906980969551E-2</v>
      </c>
      <c r="BT9" s="9">
        <f t="shared" si="24"/>
        <v>4.6939615077153343E-2</v>
      </c>
      <c r="BU9" s="9">
        <f t="shared" si="24"/>
        <v>5.1081161948659491E-2</v>
      </c>
      <c r="BV9" s="9">
        <f t="shared" si="24"/>
        <v>5.5440840473439605E-2</v>
      </c>
      <c r="BW9" s="9">
        <f t="shared" si="24"/>
        <v>5.8252521193791477E-2</v>
      </c>
      <c r="BX9" s="9">
        <f t="shared" si="24"/>
        <v>6.4013887215953719E-2</v>
      </c>
      <c r="BY9" s="9">
        <f t="shared" si="24"/>
        <v>7.9007173907021055E-2</v>
      </c>
      <c r="BZ9" s="32"/>
      <c r="CA9" s="32"/>
      <c r="CL9" s="41">
        <f>CL8+7</f>
        <v>44754</v>
      </c>
      <c r="CM9" s="76">
        <v>5.123783242153393E-2</v>
      </c>
      <c r="CN9" s="9">
        <f t="shared" ref="CN9:CX24" si="25">CN8+CN$2</f>
        <v>3.5681723905565281E-2</v>
      </c>
      <c r="CO9" s="9">
        <f t="shared" si="25"/>
        <v>4.062640661586088E-2</v>
      </c>
      <c r="CP9" s="9">
        <f t="shared" si="25"/>
        <v>4.4246776379087513E-2</v>
      </c>
      <c r="CQ9" s="9">
        <f t="shared" si="25"/>
        <v>4.61583990193076E-2</v>
      </c>
      <c r="CR9" s="9">
        <f t="shared" si="25"/>
        <v>5.0170786952032032E-2</v>
      </c>
      <c r="CS9" s="9">
        <f t="shared" si="25"/>
        <v>5.5699555190779973E-2</v>
      </c>
      <c r="CT9" s="9">
        <f t="shared" si="25"/>
        <v>6.1853699060481104E-2</v>
      </c>
      <c r="CU9" s="9">
        <f t="shared" si="25"/>
        <v>6.8567844335734693E-2</v>
      </c>
      <c r="CV9" s="9">
        <f t="shared" si="25"/>
        <v>7.3061421114363881E-2</v>
      </c>
      <c r="CW9" s="9">
        <f t="shared" si="25"/>
        <v>8.2162859014028672E-2</v>
      </c>
      <c r="CX9" s="9">
        <f t="shared" si="25"/>
        <v>0.10201195561503143</v>
      </c>
      <c r="CY9" s="32"/>
      <c r="CZ9" s="32"/>
      <c r="DA9" s="32">
        <f t="shared" ref="DA9:DA60" si="26">DB9/1000000000</f>
        <v>5.123783242153393E-2</v>
      </c>
      <c r="DB9" s="32">
        <v>51237832.421533927</v>
      </c>
      <c r="DC9" s="32"/>
      <c r="DD9" s="41">
        <v>45118</v>
      </c>
      <c r="DE9" s="76">
        <v>5.1077981628828824E-2</v>
      </c>
      <c r="DF9" s="9">
        <f t="shared" ref="DF9:DP9" si="27">DF8+DF$2</f>
        <v>3.537038652390468E-2</v>
      </c>
      <c r="DG9" s="9">
        <f t="shared" si="27"/>
        <v>3.9393854458953506E-2</v>
      </c>
      <c r="DH9" s="9">
        <f t="shared" si="27"/>
        <v>4.1872367264429951E-2</v>
      </c>
      <c r="DI9" s="9">
        <f t="shared" si="27"/>
        <v>4.3545794495501618E-2</v>
      </c>
      <c r="DJ9" s="9">
        <f t="shared" si="27"/>
        <v>4.6775606033875913E-2</v>
      </c>
      <c r="DK9" s="9">
        <f t="shared" si="27"/>
        <v>5.1056898412892085E-2</v>
      </c>
      <c r="DL9" s="9">
        <f t="shared" si="27"/>
        <v>5.6406489639941132E-2</v>
      </c>
      <c r="DM9" s="9">
        <f t="shared" si="27"/>
        <v>6.2182875635494177E-2</v>
      </c>
      <c r="DN9" s="9">
        <f t="shared" si="27"/>
        <v>6.5671386009401089E-2</v>
      </c>
      <c r="DO9" s="9">
        <f t="shared" si="27"/>
        <v>7.3397509011777634E-2</v>
      </c>
      <c r="DP9" s="9">
        <f t="shared" si="27"/>
        <v>9.1976378676463008E-2</v>
      </c>
      <c r="DQ9" s="32"/>
      <c r="DR9" s="32"/>
      <c r="DS9" s="32">
        <f t="shared" ref="DS9:DS60" si="28">DT9/1000000000</f>
        <v>5.123783242153393E-2</v>
      </c>
      <c r="DT9" s="32">
        <v>51237832.421533927</v>
      </c>
      <c r="DU9" s="32"/>
      <c r="EF9" s="32"/>
      <c r="EG9" s="41">
        <v>45482</v>
      </c>
      <c r="EH9" s="76">
        <v>6.5589889606456439E-2</v>
      </c>
      <c r="EI9" s="9">
        <f t="shared" ref="EI9:ES9" si="29">EI8+EI$2</f>
        <v>4.0580631068557575E-2</v>
      </c>
      <c r="EJ9" s="9">
        <f t="shared" si="29"/>
        <v>4.4040098499073754E-2</v>
      </c>
      <c r="EK9" s="9">
        <f t="shared" si="29"/>
        <v>4.7052275900776583E-2</v>
      </c>
      <c r="EL9" s="9">
        <f t="shared" si="29"/>
        <v>4.9019384298705601E-2</v>
      </c>
      <c r="EM9" s="9">
        <f t="shared" si="29"/>
        <v>5.265135066546079E-2</v>
      </c>
      <c r="EN9" s="9">
        <f t="shared" si="29"/>
        <v>5.7685025009173656E-2</v>
      </c>
      <c r="EO9" s="9">
        <f t="shared" si="29"/>
        <v>6.3543369260468385E-2</v>
      </c>
      <c r="EP9" s="9">
        <f t="shared" si="29"/>
        <v>6.9804322133005969E-2</v>
      </c>
      <c r="EQ9" s="9">
        <f t="shared" si="29"/>
        <v>7.3555172202551866E-2</v>
      </c>
      <c r="ER9" s="9">
        <f t="shared" si="29"/>
        <v>8.17861902939932E-2</v>
      </c>
      <c r="ES9" s="9">
        <f t="shared" si="29"/>
        <v>9.8669693032110636E-2</v>
      </c>
      <c r="ET9" s="32"/>
      <c r="EU9" s="32"/>
      <c r="EV9" s="32">
        <f t="shared" ref="EV9:EV60" si="30">EW9/1000000000</f>
        <v>5.123783242153393E-2</v>
      </c>
      <c r="EW9" s="32">
        <v>51237832.421533927</v>
      </c>
      <c r="EX9" s="32"/>
      <c r="FG9" s="32"/>
      <c r="FH9" s="32"/>
      <c r="FI9" s="41">
        <v>45846</v>
      </c>
      <c r="FJ9" s="76">
        <v>5.026881004909909E-2</v>
      </c>
      <c r="FK9" s="9">
        <f t="shared" ref="FK9:FU9" si="31">FK8+FK$2</f>
        <v>4.0580631068557575E-2</v>
      </c>
      <c r="FL9" s="9">
        <f t="shared" si="31"/>
        <v>4.4040098499073754E-2</v>
      </c>
      <c r="FM9" s="9">
        <f t="shared" si="31"/>
        <v>4.7052275900776583E-2</v>
      </c>
      <c r="FN9" s="9">
        <f t="shared" si="31"/>
        <v>4.9019384298705601E-2</v>
      </c>
      <c r="FO9" s="9">
        <f t="shared" si="31"/>
        <v>5.265135066546079E-2</v>
      </c>
      <c r="FP9" s="9">
        <f t="shared" si="31"/>
        <v>5.7685025009173656E-2</v>
      </c>
      <c r="FQ9" s="9">
        <f t="shared" si="31"/>
        <v>6.3543369260468385E-2</v>
      </c>
      <c r="FR9" s="9">
        <f t="shared" si="31"/>
        <v>6.9804322133005969E-2</v>
      </c>
      <c r="FS9" s="9">
        <f t="shared" si="31"/>
        <v>7.3555172202551866E-2</v>
      </c>
      <c r="FT9" s="9">
        <f t="shared" si="31"/>
        <v>8.17861902939932E-2</v>
      </c>
      <c r="FU9" s="9">
        <f t="shared" si="31"/>
        <v>9.8669693032110636E-2</v>
      </c>
      <c r="FV9" s="32"/>
      <c r="FW9" s="32"/>
      <c r="FX9" s="32">
        <f t="shared" ref="FX9:FX60" si="32">FY9/1000000000</f>
        <v>5.123783242153393E-2</v>
      </c>
      <c r="FY9" s="32">
        <v>51237832.421533927</v>
      </c>
      <c r="FZ9" s="32"/>
      <c r="GI9" s="32"/>
      <c r="GJ9" s="41">
        <v>45482</v>
      </c>
      <c r="GK9" s="76">
        <v>6.5589889606456439E-2</v>
      </c>
      <c r="GL9" s="9">
        <f t="shared" ref="GL9:GV9" si="33">GL8+GL$2</f>
        <v>3.3491926615795704E-2</v>
      </c>
      <c r="GM9" s="9">
        <f t="shared" si="33"/>
        <v>3.8558901540374474E-2</v>
      </c>
      <c r="GN9" s="9">
        <f t="shared" si="33"/>
        <v>4.1455445320878255E-2</v>
      </c>
      <c r="GO9" s="9">
        <f t="shared" si="33"/>
        <v>4.3091652781854596E-2</v>
      </c>
      <c r="GP9" s="9">
        <f t="shared" si="33"/>
        <v>4.6480441634805275E-2</v>
      </c>
      <c r="GQ9" s="9">
        <f t="shared" si="33"/>
        <v>5.2092886559222125E-2</v>
      </c>
      <c r="GR9" s="9">
        <f t="shared" si="33"/>
        <v>5.9380811392414704E-2</v>
      </c>
      <c r="GS9" s="9">
        <f t="shared" si="33"/>
        <v>6.7942576278207892E-2</v>
      </c>
      <c r="GT9" s="9">
        <f t="shared" si="33"/>
        <v>7.477337891150046E-2</v>
      </c>
      <c r="GU9" s="9">
        <f t="shared" si="33"/>
        <v>8.7726524849982432E-2</v>
      </c>
      <c r="GV9" s="9">
        <f t="shared" si="33"/>
        <v>0.11402081842296651</v>
      </c>
      <c r="GW9" s="32"/>
      <c r="GX9" s="32"/>
      <c r="GY9" s="32">
        <f t="shared" ref="GY9:GY60" si="34">GZ9/1000000000</f>
        <v>5.123783242153393E-2</v>
      </c>
      <c r="GZ9" s="32">
        <v>51237832.421533927</v>
      </c>
      <c r="HA9" s="32"/>
      <c r="HB9" s="229">
        <v>45846</v>
      </c>
      <c r="HC9" s="230">
        <v>5.026881004909909E-2</v>
      </c>
      <c r="HD9" s="9">
        <f t="shared" ref="HD9:HN9" si="35">HD8+HD$2</f>
        <v>3.7104289240220648E-2</v>
      </c>
      <c r="HE9" s="9">
        <f t="shared" si="35"/>
        <v>4.184189240242947E-2</v>
      </c>
      <c r="HF9" s="9">
        <f t="shared" si="35"/>
        <v>4.5145794304967214E-2</v>
      </c>
      <c r="HG9" s="9">
        <f t="shared" si="35"/>
        <v>4.723358925759296E-2</v>
      </c>
      <c r="HH9" s="9">
        <f t="shared" si="35"/>
        <v>5.1774050259152639E-2</v>
      </c>
      <c r="HI9" s="9">
        <f t="shared" si="35"/>
        <v>5.8159359938135619E-2</v>
      </c>
      <c r="HJ9" s="9">
        <f t="shared" si="35"/>
        <v>6.6535304763096298E-2</v>
      </c>
      <c r="HK9" s="9">
        <f t="shared" si="35"/>
        <v>7.5978524503853312E-2</v>
      </c>
      <c r="HL9" s="9">
        <f t="shared" si="35"/>
        <v>8.1956336880412969E-2</v>
      </c>
      <c r="HM9" s="9">
        <f t="shared" si="35"/>
        <v>9.5265629326739543E-2</v>
      </c>
      <c r="HN9" s="9">
        <f t="shared" si="35"/>
        <v>0.12249107901462206</v>
      </c>
      <c r="HO9" s="32"/>
      <c r="HP9" s="32"/>
      <c r="HQ9" s="32">
        <v>50268810.049099088</v>
      </c>
      <c r="HR9" s="32">
        <f t="shared" ref="HR9:HR34" si="36">HQ9/1000000000</f>
        <v>5.026881004909909E-2</v>
      </c>
      <c r="HT9" s="32"/>
      <c r="IC9" s="41">
        <f>IC8+7</f>
        <v>44754</v>
      </c>
      <c r="ID9" s="9">
        <v>5.2768654214899999E-2</v>
      </c>
      <c r="IE9" s="9"/>
      <c r="IF9" s="9"/>
      <c r="IG9" s="9"/>
      <c r="IH9" s="9"/>
      <c r="II9" s="9"/>
      <c r="IJ9" s="9"/>
      <c r="IK9" s="9"/>
      <c r="IL9" s="9"/>
      <c r="IM9" s="9"/>
      <c r="IN9" s="9"/>
      <c r="IO9" s="9"/>
      <c r="IP9" s="32"/>
      <c r="IQ9" s="32"/>
      <c r="JB9" s="41">
        <f t="shared" si="13"/>
        <v>44390</v>
      </c>
      <c r="JC9" s="9">
        <f t="shared" si="14"/>
        <v>4.61727482976E-2</v>
      </c>
      <c r="JD9" s="9"/>
      <c r="JE9" s="9"/>
      <c r="JF9" s="9"/>
      <c r="JG9" s="9"/>
      <c r="JH9" s="9"/>
      <c r="JI9" s="9"/>
      <c r="JJ9" s="9"/>
      <c r="JK9" s="9"/>
      <c r="JL9" s="9"/>
      <c r="JM9" s="9"/>
      <c r="JN9" s="9"/>
      <c r="JO9" s="9"/>
      <c r="JQ9" s="40" t="s">
        <v>245</v>
      </c>
      <c r="JZ9" s="41">
        <f t="shared" si="15"/>
        <v>44390</v>
      </c>
      <c r="KA9" s="9">
        <f t="shared" ref="KA9:KA50" si="37">$AH9</f>
        <v>4.61727482976E-2</v>
      </c>
      <c r="KB9" s="9"/>
      <c r="KC9" s="9"/>
      <c r="KE9" s="47" t="s">
        <v>245</v>
      </c>
      <c r="KF9" s="3"/>
      <c r="KG9" s="3"/>
      <c r="KH9" s="3"/>
      <c r="KI9" s="3"/>
      <c r="KJ9" s="3"/>
      <c r="KK9" s="3"/>
      <c r="KL9" s="3"/>
      <c r="KN9" s="41">
        <v>42927</v>
      </c>
      <c r="KO9" s="212">
        <v>50602409.395199992</v>
      </c>
      <c r="KP9" s="212">
        <f t="shared" ref="KP9:KP33" si="38">KO9+KP8</f>
        <v>92468276.110799998</v>
      </c>
      <c r="KR9" s="41">
        <v>43109</v>
      </c>
      <c r="KS9" s="212">
        <v>9497993.371199999</v>
      </c>
      <c r="KT9" s="212">
        <f t="shared" ref="KT9:KT33" si="39">KS9+KT8</f>
        <v>63111972.772799999</v>
      </c>
      <c r="KV9" s="41">
        <v>43291</v>
      </c>
      <c r="KW9" s="212">
        <v>21110430.218399998</v>
      </c>
      <c r="KX9" s="212">
        <f t="shared" ref="KX9:KX33" si="40">KW9+KX8</f>
        <v>39156686.089199997</v>
      </c>
      <c r="KZ9" s="41">
        <v>43473</v>
      </c>
      <c r="LA9" s="212">
        <v>11195710.048799999</v>
      </c>
      <c r="LB9" s="212">
        <f t="shared" ref="LB9:LB33" si="41">LA9+LB8</f>
        <v>19612062.313199997</v>
      </c>
      <c r="LD9" s="41">
        <v>43655</v>
      </c>
      <c r="LE9" s="212">
        <v>12206261.123999998</v>
      </c>
      <c r="LF9" s="212">
        <f t="shared" ref="LF9:LF34" si="42">LE9+LF8</f>
        <v>22080700.745999999</v>
      </c>
      <c r="LH9" s="41">
        <v>43844</v>
      </c>
      <c r="LI9" s="212">
        <v>21438647.009999998</v>
      </c>
      <c r="LJ9" s="212">
        <f t="shared" ref="LJ9:LJ33" si="43">LI9+LJ8</f>
        <v>36363883.568399996</v>
      </c>
      <c r="LL9" s="41">
        <v>44026</v>
      </c>
      <c r="LM9" s="212">
        <v>13459106.015999999</v>
      </c>
      <c r="LN9" s="212">
        <f t="shared" ref="LN9:LN33" si="44">LM9+LN8</f>
        <v>79237838.145599991</v>
      </c>
      <c r="LP9" s="41">
        <v>44208</v>
      </c>
      <c r="LQ9" s="212">
        <v>16843688.8704</v>
      </c>
      <c r="LR9" s="212">
        <f t="shared" ref="LR9:LR33" si="45">LQ9+LR8</f>
        <v>29394811.904399998</v>
      </c>
      <c r="LT9" s="41">
        <v>44390</v>
      </c>
      <c r="LU9" s="212">
        <v>11890604.2788</v>
      </c>
      <c r="LV9" s="212">
        <f t="shared" ref="LV9:LV33" si="46">LU9+LV8</f>
        <v>46172748.297600001</v>
      </c>
      <c r="LX9" s="41">
        <v>44572</v>
      </c>
      <c r="LY9" s="212">
        <v>32928633.305999998</v>
      </c>
      <c r="LZ9" s="212">
        <f t="shared" ref="LZ9:LZ24" si="47">LY9+LZ8</f>
        <v>51320441.797199994</v>
      </c>
      <c r="MB9" s="32">
        <v>2</v>
      </c>
      <c r="MC9" s="42">
        <f t="shared" ref="MC9:MC33" si="48">KP9/1000000000</f>
        <v>9.2468276110799996E-2</v>
      </c>
      <c r="MD9" s="42">
        <f t="shared" ref="MD9:MD33" si="49">KT9/1000000000</f>
        <v>6.3111972772799993E-2</v>
      </c>
      <c r="ME9" s="42">
        <f t="shared" ref="ME9:ME33" si="50">KX9/1000000000</f>
        <v>3.9156686089199998E-2</v>
      </c>
      <c r="MF9" s="42">
        <f t="shared" ref="MF9:MF33" si="51">LB9/1000000000</f>
        <v>1.9612062313199997E-2</v>
      </c>
      <c r="MG9" s="42">
        <f t="shared" ref="MG9:MG33" si="52">LF9/1000000000</f>
        <v>2.2080700746E-2</v>
      </c>
      <c r="MH9" s="42">
        <f t="shared" ref="MH9:MH33" si="53">LJ9/1000000000</f>
        <v>3.6363883568399993E-2</v>
      </c>
      <c r="MI9" s="42">
        <f t="shared" ref="MI9:MI33" si="54">LN9/1000000000</f>
        <v>7.9237838145599995E-2</v>
      </c>
      <c r="MJ9" s="42">
        <f t="shared" ref="MJ9:MJ32" si="55">LR9/1000000000</f>
        <v>2.9394811904399999E-2</v>
      </c>
      <c r="MK9" s="42">
        <f t="shared" ref="MK9:MK33" si="56">LV9/1000000000</f>
        <v>4.61727482976E-2</v>
      </c>
      <c r="ML9" s="42">
        <f t="shared" ref="ML9:ML24" si="57">LZ9/1000000000</f>
        <v>5.1320441797199995E-2</v>
      </c>
      <c r="MM9" s="9"/>
      <c r="MN9" s="9"/>
      <c r="MO9" s="9"/>
      <c r="MX9" s="44"/>
      <c r="MY9" s="45" t="s">
        <v>43</v>
      </c>
      <c r="MZ9" s="45" t="s">
        <v>46</v>
      </c>
      <c r="NA9" s="45" t="s">
        <v>47</v>
      </c>
      <c r="NB9" s="45" t="s">
        <v>48</v>
      </c>
      <c r="NC9" s="45" t="s">
        <v>49</v>
      </c>
      <c r="ND9" s="45" t="s">
        <v>50</v>
      </c>
      <c r="NE9" s="45" t="s">
        <v>51</v>
      </c>
      <c r="NF9" s="45" t="s">
        <v>52</v>
      </c>
      <c r="NG9" s="45" t="s">
        <v>53</v>
      </c>
      <c r="NH9" s="46" t="s">
        <v>65</v>
      </c>
      <c r="NI9" s="46" t="s">
        <v>66</v>
      </c>
      <c r="NT9" s="41">
        <v>44574</v>
      </c>
      <c r="NU9" s="9">
        <f t="shared" si="16"/>
        <v>5.1320441797199995E-2</v>
      </c>
      <c r="NV9" s="9">
        <f t="shared" ref="NV9:OG24" si="58">NV8+NV$2</f>
        <v>3.0866302975892306E-2</v>
      </c>
      <c r="NW9" s="9">
        <f t="shared" si="58"/>
        <v>3.3735349382861539E-2</v>
      </c>
      <c r="NX9" s="9">
        <f t="shared" si="58"/>
        <v>3.5834808721640764E-2</v>
      </c>
      <c r="NY9" s="9">
        <f t="shared" si="58"/>
        <v>3.7477773758907693E-2</v>
      </c>
      <c r="NZ9" s="9">
        <f t="shared" si="58"/>
        <v>4.0791035445461546E-2</v>
      </c>
      <c r="OA9" s="9">
        <f t="shared" si="58"/>
        <v>4.505388880361539E-2</v>
      </c>
      <c r="OB9" s="9">
        <f t="shared" si="58"/>
        <v>5.0583983324676916E-2</v>
      </c>
      <c r="OC9" s="9">
        <f t="shared" si="58"/>
        <v>5.7016687077918453E-2</v>
      </c>
      <c r="OD9" s="9">
        <f t="shared" si="58"/>
        <v>6.1035299465446141E-2</v>
      </c>
      <c r="OE9" s="9">
        <f t="shared" si="58"/>
        <v>6.9069226419830765E-2</v>
      </c>
      <c r="OF9" s="9">
        <f t="shared" si="58"/>
        <v>8.528671178136922E-2</v>
      </c>
      <c r="OG9" s="9">
        <f ca="1">OG8+OG$2</f>
        <v>4.3937584081458821E-2</v>
      </c>
      <c r="OH9" s="32"/>
      <c r="OS9" s="41">
        <f t="shared" ref="OS9:OT33" si="59">NT9</f>
        <v>44574</v>
      </c>
      <c r="OT9" s="9">
        <f t="shared" si="59"/>
        <v>5.1320441797199995E-2</v>
      </c>
      <c r="OU9" s="9"/>
      <c r="OV9" s="9"/>
      <c r="OW9" s="9"/>
      <c r="OX9" s="9"/>
      <c r="OY9" s="9"/>
      <c r="OZ9" s="9"/>
      <c r="PA9" s="9"/>
      <c r="PB9" s="9"/>
      <c r="PC9" s="9"/>
      <c r="PD9" s="9"/>
      <c r="PE9" s="9"/>
      <c r="PF9" s="9"/>
      <c r="PH9" s="40" t="s">
        <v>246</v>
      </c>
    </row>
    <row r="10" spans="2:424" x14ac:dyDescent="0.25">
      <c r="B10" s="48">
        <v>42759</v>
      </c>
      <c r="C10" s="214">
        <v>25379711.827199999</v>
      </c>
      <c r="D10" s="214">
        <v>19350192</v>
      </c>
      <c r="E10" s="215">
        <v>3000000</v>
      </c>
      <c r="F10" s="215"/>
      <c r="G10" s="215"/>
      <c r="H10" s="215"/>
      <c r="I10" s="41">
        <v>42934</v>
      </c>
      <c r="J10" s="212">
        <v>78033348.201599985</v>
      </c>
      <c r="K10" s="212">
        <f t="shared" si="18"/>
        <v>170501624.31239998</v>
      </c>
      <c r="M10" s="41">
        <v>43298</v>
      </c>
      <c r="N10" s="212">
        <v>33832921.363199994</v>
      </c>
      <c r="O10" s="212">
        <f t="shared" si="19"/>
        <v>72989607.452399999</v>
      </c>
      <c r="Q10" s="41">
        <v>43662</v>
      </c>
      <c r="R10" s="212">
        <v>18648752.446799997</v>
      </c>
      <c r="S10" s="212">
        <f t="shared" si="20"/>
        <v>40729453.1928</v>
      </c>
      <c r="U10" s="41">
        <v>44033</v>
      </c>
      <c r="V10" s="212">
        <v>15976815.580799999</v>
      </c>
      <c r="W10" s="212">
        <f t="shared" si="21"/>
        <v>95214653.726399988</v>
      </c>
      <c r="Y10" s="41">
        <v>44397</v>
      </c>
      <c r="Z10" s="212">
        <v>14572176.847199999</v>
      </c>
      <c r="AA10" s="212">
        <f t="shared" si="22"/>
        <v>60744925.1448</v>
      </c>
      <c r="AC10" s="32">
        <v>3</v>
      </c>
      <c r="AD10" s="39">
        <f t="shared" si="0"/>
        <v>0.17050162431239999</v>
      </c>
      <c r="AE10" s="39">
        <f t="shared" si="1"/>
        <v>7.2989607452400004E-2</v>
      </c>
      <c r="AF10" s="39">
        <f t="shared" si="2"/>
        <v>4.0729453192799997E-2</v>
      </c>
      <c r="AG10" s="39">
        <f t="shared" si="3"/>
        <v>9.5214653726399992E-2</v>
      </c>
      <c r="AH10" s="39">
        <f t="shared" si="4"/>
        <v>6.0744925144799997E-2</v>
      </c>
      <c r="AI10" s="39">
        <f t="shared" si="23"/>
        <v>8.3470904493160247E-2</v>
      </c>
      <c r="AJ10" s="9"/>
      <c r="AK10" s="9"/>
      <c r="AL10" s="9"/>
      <c r="AT10" s="51" t="s">
        <v>67</v>
      </c>
      <c r="AU10" s="52"/>
      <c r="BM10" s="41">
        <f t="shared" ref="BM10:BM59" si="60">BM9+7</f>
        <v>44397</v>
      </c>
      <c r="BN10" s="9">
        <f t="shared" si="5"/>
        <v>6.0744925144799997E-2</v>
      </c>
      <c r="BO10" s="9">
        <f t="shared" si="24"/>
        <v>4.8096614624333456E-2</v>
      </c>
      <c r="BP10" s="9">
        <f t="shared" si="24"/>
        <v>5.4669414248423059E-2</v>
      </c>
      <c r="BQ10" s="9">
        <f t="shared" si="24"/>
        <v>5.8331184425935309E-2</v>
      </c>
      <c r="BR10" s="9">
        <f t="shared" si="24"/>
        <v>6.0599546692372032E-2</v>
      </c>
      <c r="BS10" s="9">
        <f t="shared" si="24"/>
        <v>6.4829860471454323E-2</v>
      </c>
      <c r="BT10" s="9">
        <f t="shared" si="24"/>
        <v>7.0409422615730022E-2</v>
      </c>
      <c r="BU10" s="9">
        <f t="shared" si="24"/>
        <v>7.6621742922989233E-2</v>
      </c>
      <c r="BV10" s="9">
        <f t="shared" si="24"/>
        <v>8.3161260710159404E-2</v>
      </c>
      <c r="BW10" s="9">
        <f t="shared" si="24"/>
        <v>8.7378781790687213E-2</v>
      </c>
      <c r="BX10" s="9">
        <f t="shared" si="24"/>
        <v>9.6020830823930578E-2</v>
      </c>
      <c r="BY10" s="9">
        <f t="shared" si="24"/>
        <v>0.11851076086053158</v>
      </c>
      <c r="BZ10" s="32"/>
      <c r="CA10" s="32"/>
      <c r="CL10" s="41">
        <f t="shared" ref="CL10:CL59" si="61">CL9+7</f>
        <v>44761</v>
      </c>
      <c r="CM10" s="76">
        <v>7.4018441192920351E-2</v>
      </c>
      <c r="CN10" s="9">
        <f t="shared" si="25"/>
        <v>5.3522585858347918E-2</v>
      </c>
      <c r="CO10" s="9">
        <f t="shared" si="25"/>
        <v>6.093960992379132E-2</v>
      </c>
      <c r="CP10" s="9">
        <f t="shared" si="25"/>
        <v>6.6370164568631262E-2</v>
      </c>
      <c r="CQ10" s="9">
        <f t="shared" si="25"/>
        <v>6.92375985289614E-2</v>
      </c>
      <c r="CR10" s="9">
        <f t="shared" si="25"/>
        <v>7.5256180428048047E-2</v>
      </c>
      <c r="CS10" s="9">
        <f t="shared" si="25"/>
        <v>8.3549332786169966E-2</v>
      </c>
      <c r="CT10" s="9">
        <f t="shared" si="25"/>
        <v>9.2780548590721656E-2</v>
      </c>
      <c r="CU10" s="9">
        <f t="shared" si="25"/>
        <v>0.10285176650360203</v>
      </c>
      <c r="CV10" s="9">
        <f t="shared" si="25"/>
        <v>0.10959213167154583</v>
      </c>
      <c r="CW10" s="9">
        <f t="shared" si="25"/>
        <v>0.12324428852104301</v>
      </c>
      <c r="CX10" s="9">
        <f t="shared" si="25"/>
        <v>0.15301793342254716</v>
      </c>
      <c r="CY10" s="32"/>
      <c r="CZ10" s="32"/>
      <c r="DA10" s="32">
        <f t="shared" si="26"/>
        <v>7.4018441192920351E-2</v>
      </c>
      <c r="DB10" s="32">
        <v>74018441.192920357</v>
      </c>
      <c r="DC10" s="32"/>
      <c r="DD10" s="41">
        <v>45125</v>
      </c>
      <c r="DE10" s="76">
        <v>6.3328245339639627E-2</v>
      </c>
      <c r="DF10" s="9">
        <f t="shared" ref="DF10:DP10" si="62">DF9+DF$2</f>
        <v>5.3055579785857024E-2</v>
      </c>
      <c r="DG10" s="9">
        <f t="shared" si="62"/>
        <v>5.9090781688430259E-2</v>
      </c>
      <c r="DH10" s="9">
        <f t="shared" si="62"/>
        <v>6.280855089664493E-2</v>
      </c>
      <c r="DI10" s="9">
        <f t="shared" si="62"/>
        <v>6.531869174325243E-2</v>
      </c>
      <c r="DJ10" s="9">
        <f t="shared" si="62"/>
        <v>7.0163409050813863E-2</v>
      </c>
      <c r="DK10" s="9">
        <f t="shared" si="62"/>
        <v>7.6585347619338134E-2</v>
      </c>
      <c r="DL10" s="9">
        <f t="shared" si="62"/>
        <v>8.4609734459911698E-2</v>
      </c>
      <c r="DM10" s="9">
        <f t="shared" si="62"/>
        <v>9.3274313453241262E-2</v>
      </c>
      <c r="DN10" s="9">
        <f t="shared" si="62"/>
        <v>9.8507079014101634E-2</v>
      </c>
      <c r="DO10" s="9">
        <f t="shared" si="62"/>
        <v>0.11009626351766645</v>
      </c>
      <c r="DP10" s="9">
        <f t="shared" si="62"/>
        <v>0.13796456801469451</v>
      </c>
      <c r="DQ10" s="32"/>
      <c r="DR10" s="32"/>
      <c r="DS10" s="32">
        <f t="shared" si="28"/>
        <v>7.4018441192920351E-2</v>
      </c>
      <c r="DT10" s="32">
        <v>74018441.192920357</v>
      </c>
      <c r="DU10" s="32"/>
      <c r="EF10" s="32"/>
      <c r="EG10" s="41">
        <v>45489</v>
      </c>
      <c r="EH10" s="76">
        <v>0.11292922684849846</v>
      </c>
      <c r="EI10" s="9">
        <f t="shared" ref="EI10:ES10" si="63">EI9+EI$2</f>
        <v>6.0870946602836359E-2</v>
      </c>
      <c r="EJ10" s="9">
        <f t="shared" si="63"/>
        <v>6.6060147748610631E-2</v>
      </c>
      <c r="EK10" s="9">
        <f t="shared" si="63"/>
        <v>7.0578413851164867E-2</v>
      </c>
      <c r="EL10" s="9">
        <f t="shared" si="63"/>
        <v>7.3529076448058395E-2</v>
      </c>
      <c r="EM10" s="9">
        <f t="shared" si="63"/>
        <v>7.8977025998191189E-2</v>
      </c>
      <c r="EN10" s="9">
        <f t="shared" si="63"/>
        <v>8.652753751376048E-2</v>
      </c>
      <c r="EO10" s="9">
        <f t="shared" si="63"/>
        <v>9.5315053890702578E-2</v>
      </c>
      <c r="EP10" s="9">
        <f t="shared" si="63"/>
        <v>0.10470648319950895</v>
      </c>
      <c r="EQ10" s="9">
        <f t="shared" si="63"/>
        <v>0.1103327583038278</v>
      </c>
      <c r="ER10" s="9">
        <f t="shared" si="63"/>
        <v>0.1226792854409898</v>
      </c>
      <c r="ES10" s="9">
        <f t="shared" si="63"/>
        <v>0.14800453954816595</v>
      </c>
      <c r="ET10" s="32"/>
      <c r="EU10" s="32"/>
      <c r="EV10" s="32">
        <f t="shared" si="30"/>
        <v>7.4018441192920351E-2</v>
      </c>
      <c r="EW10" s="32">
        <v>74018441.192920357</v>
      </c>
      <c r="EX10" s="32"/>
      <c r="FG10" s="32"/>
      <c r="FH10" s="32"/>
      <c r="FI10" s="41">
        <v>45853</v>
      </c>
      <c r="FJ10" s="76">
        <v>6.9238359791141124E-2</v>
      </c>
      <c r="FK10" s="9">
        <f t="shared" ref="FK10:FU10" si="64">FK9+FK$2</f>
        <v>6.0870946602836359E-2</v>
      </c>
      <c r="FL10" s="9">
        <f t="shared" si="64"/>
        <v>6.6060147748610631E-2</v>
      </c>
      <c r="FM10" s="9">
        <f t="shared" si="64"/>
        <v>7.0578413851164867E-2</v>
      </c>
      <c r="FN10" s="9">
        <f t="shared" si="64"/>
        <v>7.3529076448058395E-2</v>
      </c>
      <c r="FO10" s="9">
        <f t="shared" si="64"/>
        <v>7.8977025998191189E-2</v>
      </c>
      <c r="FP10" s="9">
        <f t="shared" si="64"/>
        <v>8.652753751376048E-2</v>
      </c>
      <c r="FQ10" s="9">
        <f t="shared" si="64"/>
        <v>9.5315053890702578E-2</v>
      </c>
      <c r="FR10" s="9">
        <f t="shared" si="64"/>
        <v>0.10470648319950895</v>
      </c>
      <c r="FS10" s="9">
        <f t="shared" si="64"/>
        <v>0.1103327583038278</v>
      </c>
      <c r="FT10" s="9">
        <f t="shared" si="64"/>
        <v>0.1226792854409898</v>
      </c>
      <c r="FU10" s="9">
        <f t="shared" si="64"/>
        <v>0.14800453954816595</v>
      </c>
      <c r="FV10" s="32"/>
      <c r="FW10" s="32"/>
      <c r="FX10" s="32">
        <f t="shared" si="32"/>
        <v>7.4018441192920351E-2</v>
      </c>
      <c r="FY10" s="32">
        <v>74018441.192920357</v>
      </c>
      <c r="FZ10" s="32"/>
      <c r="GI10" s="32"/>
      <c r="GJ10" s="41">
        <v>45489</v>
      </c>
      <c r="GK10" s="76">
        <v>0.11292922684849846</v>
      </c>
      <c r="GL10" s="9">
        <f t="shared" ref="GL10:GV10" si="65">GL9+GL$2</f>
        <v>5.023788992369356E-2</v>
      </c>
      <c r="GM10" s="9">
        <f t="shared" si="65"/>
        <v>5.7838352310561711E-2</v>
      </c>
      <c r="GN10" s="9">
        <f t="shared" si="65"/>
        <v>6.2183167981317386E-2</v>
      </c>
      <c r="GO10" s="9">
        <f t="shared" si="65"/>
        <v>6.4637479172781898E-2</v>
      </c>
      <c r="GP10" s="9">
        <f t="shared" si="65"/>
        <v>6.9720662452207913E-2</v>
      </c>
      <c r="GQ10" s="9">
        <f t="shared" si="65"/>
        <v>7.8139329838833191E-2</v>
      </c>
      <c r="GR10" s="9">
        <f t="shared" si="65"/>
        <v>8.9071217088622062E-2</v>
      </c>
      <c r="GS10" s="9">
        <f t="shared" si="65"/>
        <v>0.10191386441731184</v>
      </c>
      <c r="GT10" s="9">
        <f t="shared" si="65"/>
        <v>0.11216006836725069</v>
      </c>
      <c r="GU10" s="9">
        <f t="shared" si="65"/>
        <v>0.13158978727497364</v>
      </c>
      <c r="GV10" s="9">
        <f t="shared" si="65"/>
        <v>0.17103122763444975</v>
      </c>
      <c r="GW10" s="32"/>
      <c r="GX10" s="32"/>
      <c r="GY10" s="32">
        <f t="shared" si="34"/>
        <v>7.4018441192920351E-2</v>
      </c>
      <c r="GZ10" s="32">
        <v>74018441.192920357</v>
      </c>
      <c r="HA10" s="32"/>
      <c r="HB10" s="229">
        <v>45853</v>
      </c>
      <c r="HC10" s="230">
        <v>6.9238359791141124E-2</v>
      </c>
      <c r="HD10" s="9">
        <f t="shared" ref="HD10:HN10" si="66">HD9+HD$2</f>
        <v>5.5656433860330971E-2</v>
      </c>
      <c r="HE10" s="9">
        <f t="shared" si="66"/>
        <v>6.2762838603644205E-2</v>
      </c>
      <c r="HF10" s="9">
        <f t="shared" si="66"/>
        <v>6.7718691457450825E-2</v>
      </c>
      <c r="HG10" s="9">
        <f t="shared" si="66"/>
        <v>7.0850383886389437E-2</v>
      </c>
      <c r="HH10" s="9">
        <f t="shared" si="66"/>
        <v>7.7661075388728962E-2</v>
      </c>
      <c r="HI10" s="9">
        <f t="shared" si="66"/>
        <v>8.7239039907203428E-2</v>
      </c>
      <c r="HJ10" s="9">
        <f t="shared" si="66"/>
        <v>9.9802957144644447E-2</v>
      </c>
      <c r="HK10" s="9">
        <f t="shared" si="66"/>
        <v>0.11396778675577997</v>
      </c>
      <c r="HL10" s="9">
        <f t="shared" si="66"/>
        <v>0.12293450532061945</v>
      </c>
      <c r="HM10" s="9">
        <f t="shared" si="66"/>
        <v>0.14289844399010931</v>
      </c>
      <c r="HN10" s="9">
        <f t="shared" si="66"/>
        <v>0.18373661852193307</v>
      </c>
      <c r="HO10" s="32"/>
      <c r="HP10" s="32"/>
      <c r="HQ10" s="32">
        <v>69238359.791141123</v>
      </c>
      <c r="HR10" s="32">
        <f t="shared" si="36"/>
        <v>6.9238359791141124E-2</v>
      </c>
      <c r="HT10" s="32"/>
      <c r="IC10" s="41">
        <f t="shared" ref="IC10:IC59" si="67">IC9+7</f>
        <v>44761</v>
      </c>
      <c r="ID10" s="9">
        <v>7.5923615550899992E-2</v>
      </c>
      <c r="IE10" s="9"/>
      <c r="IF10" s="9"/>
      <c r="IG10" s="9"/>
      <c r="IH10" s="9"/>
      <c r="II10" s="9"/>
      <c r="IJ10" s="9"/>
      <c r="IK10" s="9"/>
      <c r="IL10" s="9"/>
      <c r="IM10" s="9"/>
      <c r="IN10" s="9"/>
      <c r="IO10" s="9"/>
      <c r="IP10" s="32"/>
      <c r="IQ10" s="32"/>
      <c r="JB10" s="41">
        <f t="shared" si="13"/>
        <v>44397</v>
      </c>
      <c r="JC10" s="9">
        <f t="shared" si="14"/>
        <v>6.0744925144799997E-2</v>
      </c>
      <c r="JD10" s="9"/>
      <c r="JE10" s="9"/>
      <c r="JF10" s="9"/>
      <c r="JG10" s="9"/>
      <c r="JH10" s="9"/>
      <c r="JI10" s="9"/>
      <c r="JJ10" s="9"/>
      <c r="JK10" s="9"/>
      <c r="JL10" s="9"/>
      <c r="JM10" s="9"/>
      <c r="JN10" s="9"/>
      <c r="JO10" s="9"/>
      <c r="JZ10" s="41">
        <f t="shared" si="15"/>
        <v>44397</v>
      </c>
      <c r="KA10" s="9">
        <f t="shared" si="37"/>
        <v>6.0744925144799997E-2</v>
      </c>
      <c r="KB10" s="9"/>
      <c r="KC10" s="9"/>
      <c r="KN10" s="41">
        <v>42934</v>
      </c>
      <c r="KO10" s="212">
        <v>78033348.201599985</v>
      </c>
      <c r="KP10" s="212">
        <f t="shared" si="38"/>
        <v>170501624.31239998</v>
      </c>
      <c r="KR10" s="41">
        <v>43116</v>
      </c>
      <c r="KS10" s="212">
        <v>11157939.9036</v>
      </c>
      <c r="KT10" s="212">
        <f t="shared" si="39"/>
        <v>74269912.676400006</v>
      </c>
      <c r="KV10" s="41">
        <v>43298</v>
      </c>
      <c r="KW10" s="212">
        <v>33832921.363199994</v>
      </c>
      <c r="KX10" s="212">
        <f t="shared" si="40"/>
        <v>72989607.452399999</v>
      </c>
      <c r="KZ10" s="41">
        <v>43480</v>
      </c>
      <c r="LA10" s="212">
        <v>15659890.171199998</v>
      </c>
      <c r="LB10" s="212">
        <f t="shared" si="41"/>
        <v>35271952.484399997</v>
      </c>
      <c r="LD10" s="41">
        <v>43662</v>
      </c>
      <c r="LE10" s="212">
        <v>18648752.446799997</v>
      </c>
      <c r="LF10" s="212">
        <f t="shared" si="42"/>
        <v>40729453.1928</v>
      </c>
      <c r="LH10" s="41">
        <v>43851</v>
      </c>
      <c r="LI10" s="212">
        <v>10596627.770399999</v>
      </c>
      <c r="LJ10" s="212">
        <f t="shared" si="43"/>
        <v>46960511.338799998</v>
      </c>
      <c r="LL10" s="41">
        <v>44033</v>
      </c>
      <c r="LM10" s="212">
        <v>15976815.580799999</v>
      </c>
      <c r="LN10" s="212">
        <f t="shared" si="44"/>
        <v>95214653.726399988</v>
      </c>
      <c r="LP10" s="41">
        <v>44215</v>
      </c>
      <c r="LQ10" s="212">
        <v>23683328.337599996</v>
      </c>
      <c r="LR10" s="212">
        <f t="shared" si="45"/>
        <v>53078140.241999999</v>
      </c>
      <c r="LT10" s="41">
        <v>44397</v>
      </c>
      <c r="LU10" s="212">
        <v>14572176.847199999</v>
      </c>
      <c r="LV10" s="212">
        <f t="shared" si="46"/>
        <v>60744925.1448</v>
      </c>
      <c r="LX10" s="41">
        <v>44579</v>
      </c>
      <c r="LY10" s="212">
        <v>41949159.228</v>
      </c>
      <c r="LZ10" s="212">
        <f t="shared" si="47"/>
        <v>93269601.025199994</v>
      </c>
      <c r="MB10" s="32">
        <v>3</v>
      </c>
      <c r="MC10" s="42">
        <f t="shared" si="48"/>
        <v>0.17050162431239999</v>
      </c>
      <c r="MD10" s="42">
        <f t="shared" si="49"/>
        <v>7.4269912676399999E-2</v>
      </c>
      <c r="ME10" s="42">
        <f t="shared" si="50"/>
        <v>7.2989607452400004E-2</v>
      </c>
      <c r="MF10" s="42">
        <f t="shared" si="51"/>
        <v>3.5271952484399995E-2</v>
      </c>
      <c r="MG10" s="42">
        <f t="shared" si="52"/>
        <v>4.0729453192799997E-2</v>
      </c>
      <c r="MH10" s="42">
        <f t="shared" si="53"/>
        <v>4.6960511338799998E-2</v>
      </c>
      <c r="MI10" s="42">
        <f t="shared" si="54"/>
        <v>9.5214653726399992E-2</v>
      </c>
      <c r="MJ10" s="42">
        <f t="shared" si="55"/>
        <v>5.3078140241999999E-2</v>
      </c>
      <c r="MK10" s="42">
        <f t="shared" si="56"/>
        <v>6.0744925144799997E-2</v>
      </c>
      <c r="ML10" s="42">
        <f t="shared" si="57"/>
        <v>9.3269601025199989E-2</v>
      </c>
      <c r="MM10" s="9"/>
      <c r="MN10" s="9"/>
      <c r="MO10" s="9"/>
      <c r="MW10" s="51" t="s">
        <v>67</v>
      </c>
      <c r="MX10" s="52"/>
      <c r="NH10" s="53"/>
      <c r="NI10" s="53"/>
      <c r="NT10" s="41">
        <v>44581</v>
      </c>
      <c r="NU10" s="9">
        <f t="shared" si="16"/>
        <v>9.3269601025199989E-2</v>
      </c>
      <c r="NV10" s="9">
        <f t="shared" si="58"/>
        <v>4.6299454463838458E-2</v>
      </c>
      <c r="NW10" s="9">
        <f t="shared" si="58"/>
        <v>5.0603024074292305E-2</v>
      </c>
      <c r="NX10" s="9">
        <f t="shared" si="58"/>
        <v>5.3752213082461142E-2</v>
      </c>
      <c r="NY10" s="9">
        <f t="shared" si="58"/>
        <v>5.6216660638361539E-2</v>
      </c>
      <c r="NZ10" s="9">
        <f t="shared" si="58"/>
        <v>6.1186553168192319E-2</v>
      </c>
      <c r="OA10" s="9">
        <f t="shared" si="58"/>
        <v>6.7580833205423088E-2</v>
      </c>
      <c r="OB10" s="9">
        <f t="shared" si="58"/>
        <v>7.5875974987015371E-2</v>
      </c>
      <c r="OC10" s="9">
        <f t="shared" si="58"/>
        <v>8.5525030616877676E-2</v>
      </c>
      <c r="OD10" s="9">
        <f t="shared" si="58"/>
        <v>9.1552949198169212E-2</v>
      </c>
      <c r="OE10" s="9">
        <f t="shared" si="58"/>
        <v>0.10360383962974615</v>
      </c>
      <c r="OF10" s="9">
        <f t="shared" si="58"/>
        <v>0.12793006767205384</v>
      </c>
      <c r="OG10" s="9">
        <f t="shared" ca="1" si="58"/>
        <v>6.5906376122188234E-2</v>
      </c>
      <c r="OH10" s="32"/>
      <c r="OS10" s="41">
        <f t="shared" si="59"/>
        <v>44581</v>
      </c>
      <c r="OT10" s="9">
        <f t="shared" si="59"/>
        <v>9.3269601025199989E-2</v>
      </c>
      <c r="OU10" s="9"/>
      <c r="OV10" s="9"/>
      <c r="OW10" s="9"/>
      <c r="OX10" s="9"/>
      <c r="OY10" s="9"/>
      <c r="OZ10" s="9"/>
      <c r="PA10" s="9"/>
      <c r="PB10" s="9"/>
      <c r="PC10" s="9"/>
      <c r="PD10" s="9"/>
      <c r="PE10" s="9"/>
      <c r="PF10" s="9"/>
    </row>
    <row r="11" spans="2:424" x14ac:dyDescent="0.25">
      <c r="B11" s="48">
        <v>42766</v>
      </c>
      <c r="C11" s="214">
        <v>30953033.373599999</v>
      </c>
      <c r="D11" s="214">
        <v>23599446</v>
      </c>
      <c r="E11" s="215">
        <v>6000000</v>
      </c>
      <c r="F11" s="215"/>
      <c r="G11" s="215"/>
      <c r="H11" s="215"/>
      <c r="I11" s="41">
        <v>42941</v>
      </c>
      <c r="J11" s="212">
        <v>11683983.315599998</v>
      </c>
      <c r="K11" s="212">
        <f t="shared" si="18"/>
        <v>182185607.62799999</v>
      </c>
      <c r="M11" s="41">
        <v>43305</v>
      </c>
      <c r="N11" s="212">
        <v>40820968.771199994</v>
      </c>
      <c r="O11" s="212">
        <f t="shared" si="19"/>
        <v>113810576.2236</v>
      </c>
      <c r="Q11" s="41">
        <v>43669</v>
      </c>
      <c r="R11" s="212">
        <v>27456727.485599998</v>
      </c>
      <c r="S11" s="212">
        <f t="shared" si="20"/>
        <v>68186180.678399995</v>
      </c>
      <c r="U11" s="41">
        <v>44040</v>
      </c>
      <c r="V11" s="212">
        <v>27002273.867999997</v>
      </c>
      <c r="W11" s="212">
        <f t="shared" si="21"/>
        <v>122216927.59439999</v>
      </c>
      <c r="Y11" s="41">
        <v>44404</v>
      </c>
      <c r="Z11" s="212">
        <v>19142146.742399998</v>
      </c>
      <c r="AA11" s="212">
        <f t="shared" si="22"/>
        <v>79887071.887199998</v>
      </c>
      <c r="AC11" s="32">
        <v>4</v>
      </c>
      <c r="AD11" s="39">
        <f t="shared" si="0"/>
        <v>0.18218560762799998</v>
      </c>
      <c r="AE11" s="39">
        <f t="shared" si="1"/>
        <v>0.1138105762236</v>
      </c>
      <c r="AF11" s="39">
        <f t="shared" si="2"/>
        <v>6.8186180678400002E-2</v>
      </c>
      <c r="AG11" s="39">
        <f t="shared" si="3"/>
        <v>0.12221692759439999</v>
      </c>
      <c r="AH11" s="39">
        <f t="shared" si="4"/>
        <v>7.9887071887199998E-2</v>
      </c>
      <c r="AI11" s="39">
        <f t="shared" si="23"/>
        <v>0.11129453932421365</v>
      </c>
      <c r="AJ11" s="9"/>
      <c r="AK11" s="9"/>
      <c r="AL11" s="9"/>
      <c r="AT11" s="52"/>
      <c r="AU11" s="54" t="s">
        <v>68</v>
      </c>
      <c r="AV11" s="55">
        <f>K62</f>
        <v>52</v>
      </c>
      <c r="AW11" s="55">
        <f>O62</f>
        <v>52</v>
      </c>
      <c r="AX11" s="55">
        <f>S62</f>
        <v>53</v>
      </c>
      <c r="AY11" s="55">
        <f>W62</f>
        <v>52</v>
      </c>
      <c r="AZ11" s="55">
        <f>AA62</f>
        <v>52</v>
      </c>
      <c r="BA11" s="55"/>
      <c r="BB11" s="55"/>
      <c r="BM11" s="41">
        <f t="shared" si="60"/>
        <v>44404</v>
      </c>
      <c r="BN11" s="9">
        <f t="shared" si="5"/>
        <v>7.9887071887199998E-2</v>
      </c>
      <c r="BO11" s="9">
        <f t="shared" si="24"/>
        <v>6.412881949911127E-2</v>
      </c>
      <c r="BP11" s="9">
        <f t="shared" si="24"/>
        <v>7.2892552331230751E-2</v>
      </c>
      <c r="BQ11" s="9">
        <f t="shared" si="24"/>
        <v>7.7774912567913745E-2</v>
      </c>
      <c r="BR11" s="9">
        <f t="shared" si="24"/>
        <v>8.0799395589829376E-2</v>
      </c>
      <c r="BS11" s="9">
        <f t="shared" si="24"/>
        <v>8.6439813961939102E-2</v>
      </c>
      <c r="BT11" s="9">
        <f t="shared" si="24"/>
        <v>9.3879230154306686E-2</v>
      </c>
      <c r="BU11" s="9">
        <f t="shared" si="24"/>
        <v>0.10216232389731898</v>
      </c>
      <c r="BV11" s="9">
        <f t="shared" si="24"/>
        <v>0.11088168094687921</v>
      </c>
      <c r="BW11" s="9">
        <f t="shared" si="24"/>
        <v>0.11650504238758295</v>
      </c>
      <c r="BX11" s="9">
        <f t="shared" si="24"/>
        <v>0.12802777443190744</v>
      </c>
      <c r="BY11" s="9">
        <f t="shared" si="24"/>
        <v>0.15801434781404211</v>
      </c>
      <c r="BZ11" s="32"/>
      <c r="CA11" s="32"/>
      <c r="CL11" s="41">
        <f t="shared" si="61"/>
        <v>44768</v>
      </c>
      <c r="CM11" s="76">
        <v>9.6187263530825975E-2</v>
      </c>
      <c r="CN11" s="9">
        <f t="shared" si="25"/>
        <v>7.1363447811130562E-2</v>
      </c>
      <c r="CO11" s="9">
        <f t="shared" si="25"/>
        <v>8.125281323172176E-2</v>
      </c>
      <c r="CP11" s="9">
        <f t="shared" si="25"/>
        <v>8.8493552758175026E-2</v>
      </c>
      <c r="CQ11" s="9">
        <f t="shared" si="25"/>
        <v>9.23167980386152E-2</v>
      </c>
      <c r="CR11" s="9">
        <f t="shared" si="25"/>
        <v>0.10034157390406406</v>
      </c>
      <c r="CS11" s="9">
        <f t="shared" si="25"/>
        <v>0.11139911038155995</v>
      </c>
      <c r="CT11" s="9">
        <f t="shared" si="25"/>
        <v>0.12370739812096221</v>
      </c>
      <c r="CU11" s="9">
        <f t="shared" si="25"/>
        <v>0.13713568867146939</v>
      </c>
      <c r="CV11" s="9">
        <f t="shared" si="25"/>
        <v>0.14612284222872776</v>
      </c>
      <c r="CW11" s="9">
        <f t="shared" si="25"/>
        <v>0.16432571802805734</v>
      </c>
      <c r="CX11" s="9">
        <f t="shared" si="25"/>
        <v>0.20402391123006286</v>
      </c>
      <c r="CY11" s="32"/>
      <c r="CZ11" s="32"/>
      <c r="DA11" s="32">
        <f t="shared" si="26"/>
        <v>9.6187263530825975E-2</v>
      </c>
      <c r="DB11" s="32">
        <v>96187263.530825973</v>
      </c>
      <c r="DC11" s="32"/>
      <c r="DD11" s="41">
        <v>45132</v>
      </c>
      <c r="DE11" s="76">
        <v>7.6910586020420418E-2</v>
      </c>
      <c r="DF11" s="9">
        <f t="shared" ref="DF11:DP11" si="68">DF10+DF$2</f>
        <v>7.074077304780936E-2</v>
      </c>
      <c r="DG11" s="9">
        <f t="shared" si="68"/>
        <v>7.8787708917907012E-2</v>
      </c>
      <c r="DH11" s="9">
        <f t="shared" si="68"/>
        <v>8.3744734528859902E-2</v>
      </c>
      <c r="DI11" s="9">
        <f t="shared" si="68"/>
        <v>8.7091588991003235E-2</v>
      </c>
      <c r="DJ11" s="9">
        <f t="shared" si="68"/>
        <v>9.3551212067751827E-2</v>
      </c>
      <c r="DK11" s="9">
        <f t="shared" si="68"/>
        <v>0.10211379682578417</v>
      </c>
      <c r="DL11" s="9">
        <f t="shared" si="68"/>
        <v>0.11281297927988226</v>
      </c>
      <c r="DM11" s="9">
        <f t="shared" si="68"/>
        <v>0.12436575127098835</v>
      </c>
      <c r="DN11" s="9">
        <f t="shared" si="68"/>
        <v>0.13134277201880218</v>
      </c>
      <c r="DO11" s="9">
        <f t="shared" si="68"/>
        <v>0.14679501802355527</v>
      </c>
      <c r="DP11" s="9">
        <f t="shared" si="68"/>
        <v>0.18395275735292602</v>
      </c>
      <c r="DQ11" s="32"/>
      <c r="DR11" s="32"/>
      <c r="DS11" s="32">
        <f t="shared" si="28"/>
        <v>9.6187263530825975E-2</v>
      </c>
      <c r="DT11" s="32">
        <v>96187263.530825973</v>
      </c>
      <c r="DU11" s="32"/>
      <c r="EF11" s="32"/>
      <c r="EG11" s="41">
        <v>45496</v>
      </c>
      <c r="EH11" s="76">
        <v>0.12611776127477473</v>
      </c>
      <c r="EI11" s="9">
        <f t="shared" ref="EI11:ES11" si="69">EI10+EI$2</f>
        <v>8.116126213711515E-2</v>
      </c>
      <c r="EJ11" s="9">
        <f t="shared" si="69"/>
        <v>8.8080196998147509E-2</v>
      </c>
      <c r="EK11" s="9">
        <f t="shared" si="69"/>
        <v>9.4104551801553166E-2</v>
      </c>
      <c r="EL11" s="9">
        <f t="shared" si="69"/>
        <v>9.8038768597411202E-2</v>
      </c>
      <c r="EM11" s="9">
        <f t="shared" si="69"/>
        <v>0.10530270133092158</v>
      </c>
      <c r="EN11" s="9">
        <f t="shared" si="69"/>
        <v>0.11537005001834731</v>
      </c>
      <c r="EO11" s="9">
        <f t="shared" si="69"/>
        <v>0.12708673852093677</v>
      </c>
      <c r="EP11" s="9">
        <f t="shared" si="69"/>
        <v>0.13960864426601194</v>
      </c>
      <c r="EQ11" s="9">
        <f t="shared" si="69"/>
        <v>0.14711034440510373</v>
      </c>
      <c r="ER11" s="9">
        <f t="shared" si="69"/>
        <v>0.1635723805879864</v>
      </c>
      <c r="ES11" s="9">
        <f t="shared" si="69"/>
        <v>0.19733938606422127</v>
      </c>
      <c r="ET11" s="32"/>
      <c r="EU11" s="32"/>
      <c r="EV11" s="32">
        <f t="shared" si="30"/>
        <v>9.6187263530825975E-2</v>
      </c>
      <c r="EW11" s="32">
        <v>96187263.530825973</v>
      </c>
      <c r="EX11" s="32"/>
      <c r="FG11" s="32"/>
      <c r="FH11" s="32"/>
      <c r="FI11" s="41">
        <v>45860</v>
      </c>
      <c r="FJ11" s="76">
        <v>9.4097844214264245E-2</v>
      </c>
      <c r="FK11" s="9">
        <f t="shared" ref="FK11:FU11" si="70">FK10+FK$2</f>
        <v>8.116126213711515E-2</v>
      </c>
      <c r="FL11" s="9">
        <f t="shared" si="70"/>
        <v>8.8080196998147509E-2</v>
      </c>
      <c r="FM11" s="9">
        <f t="shared" si="70"/>
        <v>9.4104551801553166E-2</v>
      </c>
      <c r="FN11" s="9">
        <f t="shared" si="70"/>
        <v>9.8038768597411202E-2</v>
      </c>
      <c r="FO11" s="9">
        <f t="shared" si="70"/>
        <v>0.10530270133092158</v>
      </c>
      <c r="FP11" s="9">
        <f t="shared" si="70"/>
        <v>0.11537005001834731</v>
      </c>
      <c r="FQ11" s="9">
        <f t="shared" si="70"/>
        <v>0.12708673852093677</v>
      </c>
      <c r="FR11" s="9">
        <f t="shared" si="70"/>
        <v>0.13960864426601194</v>
      </c>
      <c r="FS11" s="9">
        <f t="shared" si="70"/>
        <v>0.14711034440510373</v>
      </c>
      <c r="FT11" s="9">
        <f t="shared" si="70"/>
        <v>0.1635723805879864</v>
      </c>
      <c r="FU11" s="9">
        <f t="shared" si="70"/>
        <v>0.19733938606422127</v>
      </c>
      <c r="FV11" s="32"/>
      <c r="FW11" s="32"/>
      <c r="FX11" s="32">
        <f t="shared" si="32"/>
        <v>9.6187263530825975E-2</v>
      </c>
      <c r="FY11" s="32">
        <v>96187263.530825973</v>
      </c>
      <c r="FZ11" s="32"/>
      <c r="GI11" s="32"/>
      <c r="GJ11" s="41">
        <v>45496</v>
      </c>
      <c r="GK11" s="76">
        <v>0.12611776127477473</v>
      </c>
      <c r="GL11" s="9">
        <f t="shared" ref="GL11:GV11" si="71">GL10+GL$2</f>
        <v>6.6983853231591409E-2</v>
      </c>
      <c r="GM11" s="9">
        <f t="shared" si="71"/>
        <v>7.7117803080748948E-2</v>
      </c>
      <c r="GN11" s="9">
        <f t="shared" si="71"/>
        <v>8.291089064175651E-2</v>
      </c>
      <c r="GO11" s="9">
        <f t="shared" si="71"/>
        <v>8.6183305563709192E-2</v>
      </c>
      <c r="GP11" s="9">
        <f t="shared" si="71"/>
        <v>9.296088326961055E-2</v>
      </c>
      <c r="GQ11" s="9">
        <f t="shared" si="71"/>
        <v>0.10418577311844425</v>
      </c>
      <c r="GR11" s="9">
        <f t="shared" si="71"/>
        <v>0.11876162278482941</v>
      </c>
      <c r="GS11" s="9">
        <f t="shared" si="71"/>
        <v>0.13588515255641578</v>
      </c>
      <c r="GT11" s="9">
        <f t="shared" si="71"/>
        <v>0.14954675782300092</v>
      </c>
      <c r="GU11" s="9">
        <f t="shared" si="71"/>
        <v>0.17545304969996486</v>
      </c>
      <c r="GV11" s="9">
        <f t="shared" si="71"/>
        <v>0.22804163684593301</v>
      </c>
      <c r="GW11" s="32"/>
      <c r="GX11" s="32"/>
      <c r="GY11" s="32">
        <f t="shared" si="34"/>
        <v>9.6187263530825975E-2</v>
      </c>
      <c r="GZ11" s="32">
        <v>96187263.530825973</v>
      </c>
      <c r="HA11" s="32"/>
      <c r="HB11" s="229">
        <v>45860</v>
      </c>
      <c r="HC11" s="230">
        <v>9.4097844214264245E-2</v>
      </c>
      <c r="HD11" s="9">
        <f t="shared" ref="HD11:HN11" si="72">HD10+HD$2</f>
        <v>7.4208578480441295E-2</v>
      </c>
      <c r="HE11" s="9">
        <f t="shared" si="72"/>
        <v>8.3683784804858941E-2</v>
      </c>
      <c r="HF11" s="9">
        <f t="shared" si="72"/>
        <v>9.0291588609934428E-2</v>
      </c>
      <c r="HG11" s="9">
        <f t="shared" si="72"/>
        <v>9.4467178515185921E-2</v>
      </c>
      <c r="HH11" s="9">
        <f t="shared" si="72"/>
        <v>0.10354810051830528</v>
      </c>
      <c r="HI11" s="9">
        <f t="shared" si="72"/>
        <v>0.11631871987627124</v>
      </c>
      <c r="HJ11" s="9">
        <f t="shared" si="72"/>
        <v>0.1330706095261926</v>
      </c>
      <c r="HK11" s="9">
        <f t="shared" si="72"/>
        <v>0.15195704900770662</v>
      </c>
      <c r="HL11" s="9">
        <f t="shared" si="72"/>
        <v>0.16391267376082594</v>
      </c>
      <c r="HM11" s="9">
        <f t="shared" si="72"/>
        <v>0.19053125865347909</v>
      </c>
      <c r="HN11" s="9">
        <f t="shared" si="72"/>
        <v>0.24498215802924411</v>
      </c>
      <c r="HO11" s="32"/>
      <c r="HP11" s="32"/>
      <c r="HQ11" s="32">
        <v>94097844.214264244</v>
      </c>
      <c r="HR11" s="32">
        <f t="shared" si="36"/>
        <v>9.4097844214264245E-2</v>
      </c>
      <c r="HT11" s="32"/>
      <c r="IC11" s="41">
        <f t="shared" si="67"/>
        <v>44768</v>
      </c>
      <c r="ID11" s="9">
        <v>0.10011812714280001</v>
      </c>
      <c r="IE11" s="9"/>
      <c r="IF11" s="9"/>
      <c r="IG11" s="9"/>
      <c r="IH11" s="9"/>
      <c r="II11" s="9"/>
      <c r="IJ11" s="9"/>
      <c r="IK11" s="9"/>
      <c r="IL11" s="9"/>
      <c r="IM11" s="9"/>
      <c r="IN11" s="9"/>
      <c r="IO11" s="9"/>
      <c r="IP11" s="32"/>
      <c r="IQ11" s="32"/>
      <c r="JB11" s="41">
        <f t="shared" si="13"/>
        <v>44404</v>
      </c>
      <c r="JC11" s="9">
        <f t="shared" si="14"/>
        <v>7.9887071887199998E-2</v>
      </c>
      <c r="JD11" s="9"/>
      <c r="JE11" s="9"/>
      <c r="JF11" s="9"/>
      <c r="JG11" s="9"/>
      <c r="JH11" s="9"/>
      <c r="JI11" s="9"/>
      <c r="JJ11" s="9"/>
      <c r="JK11" s="9"/>
      <c r="JL11" s="9"/>
      <c r="JM11" s="9"/>
      <c r="JN11" s="9"/>
      <c r="JO11" s="9"/>
      <c r="JZ11" s="41">
        <f t="shared" si="15"/>
        <v>44404</v>
      </c>
      <c r="KA11" s="9">
        <f t="shared" si="37"/>
        <v>7.9887071887199998E-2</v>
      </c>
      <c r="KB11" s="9"/>
      <c r="KC11" s="9"/>
      <c r="KN11" s="41">
        <v>42941</v>
      </c>
      <c r="KO11" s="212">
        <v>11683983.315599998</v>
      </c>
      <c r="KP11" s="212">
        <f t="shared" si="38"/>
        <v>182185607.62799999</v>
      </c>
      <c r="KR11" s="41">
        <v>43123</v>
      </c>
      <c r="KS11" s="212">
        <v>14017402.346399998</v>
      </c>
      <c r="KT11" s="212">
        <f t="shared" si="39"/>
        <v>88287315.022799999</v>
      </c>
      <c r="KV11" s="41">
        <v>43305</v>
      </c>
      <c r="KW11" s="212">
        <v>40820968.771199994</v>
      </c>
      <c r="KX11" s="212">
        <f t="shared" si="40"/>
        <v>113810576.2236</v>
      </c>
      <c r="KZ11" s="41">
        <v>43487</v>
      </c>
      <c r="LA11" s="212">
        <v>26925092.722799998</v>
      </c>
      <c r="LB11" s="212">
        <f t="shared" si="41"/>
        <v>62197045.207199991</v>
      </c>
      <c r="LD11" s="41">
        <v>43669</v>
      </c>
      <c r="LE11" s="212">
        <v>27456727.485599998</v>
      </c>
      <c r="LF11" s="212">
        <f t="shared" si="42"/>
        <v>68186180.678399995</v>
      </c>
      <c r="LH11" s="41">
        <v>43858</v>
      </c>
      <c r="LI11" s="212">
        <v>12495849.498</v>
      </c>
      <c r="LJ11" s="212">
        <f t="shared" si="43"/>
        <v>59456360.836799994</v>
      </c>
      <c r="LL11" s="41">
        <v>44040</v>
      </c>
      <c r="LM11" s="212">
        <v>27002273.867999997</v>
      </c>
      <c r="LN11" s="212">
        <f t="shared" si="44"/>
        <v>122216927.59439999</v>
      </c>
      <c r="LP11" s="41">
        <v>44222</v>
      </c>
      <c r="LQ11" s="212">
        <v>34214549.090399995</v>
      </c>
      <c r="LR11" s="212">
        <f t="shared" si="45"/>
        <v>87292689.332399994</v>
      </c>
      <c r="LT11" s="41">
        <v>44404</v>
      </c>
      <c r="LU11" s="212">
        <v>19142146.742399998</v>
      </c>
      <c r="LV11" s="212">
        <f t="shared" si="46"/>
        <v>79887071.887199998</v>
      </c>
      <c r="LX11" s="41">
        <v>44586</v>
      </c>
      <c r="LY11" s="212">
        <v>63666937.594799995</v>
      </c>
      <c r="LZ11" s="212">
        <f t="shared" si="47"/>
        <v>156936538.62</v>
      </c>
      <c r="MB11" s="32">
        <v>4</v>
      </c>
      <c r="MC11" s="42">
        <f t="shared" si="48"/>
        <v>0.18218560762799998</v>
      </c>
      <c r="MD11" s="42">
        <f t="shared" si="49"/>
        <v>8.8287315022800003E-2</v>
      </c>
      <c r="ME11" s="42">
        <f t="shared" si="50"/>
        <v>0.1138105762236</v>
      </c>
      <c r="MF11" s="42">
        <f t="shared" si="51"/>
        <v>6.2197045207199993E-2</v>
      </c>
      <c r="MG11" s="42">
        <f t="shared" si="52"/>
        <v>6.8186180678400002E-2</v>
      </c>
      <c r="MH11" s="42">
        <f t="shared" si="53"/>
        <v>5.9456360836799997E-2</v>
      </c>
      <c r="MI11" s="42">
        <f t="shared" si="54"/>
        <v>0.12221692759439999</v>
      </c>
      <c r="MJ11" s="42">
        <f t="shared" si="55"/>
        <v>8.7292689332399989E-2</v>
      </c>
      <c r="MK11" s="42">
        <f t="shared" si="56"/>
        <v>7.9887071887199998E-2</v>
      </c>
      <c r="ML11" s="42">
        <f t="shared" si="57"/>
        <v>0.15693653862000001</v>
      </c>
      <c r="MM11" s="9"/>
      <c r="MN11" s="9"/>
      <c r="MO11" s="9"/>
      <c r="MW11" s="52"/>
      <c r="MX11" s="54" t="s">
        <v>68</v>
      </c>
      <c r="MY11" s="55">
        <f>KP36</f>
        <v>26</v>
      </c>
      <c r="MZ11" s="55">
        <f>KT36</f>
        <v>26</v>
      </c>
      <c r="NA11" s="55">
        <f>KX36</f>
        <v>26</v>
      </c>
      <c r="NB11" s="55">
        <f>LB36</f>
        <v>26</v>
      </c>
      <c r="NC11" s="55">
        <f>LF36</f>
        <v>27</v>
      </c>
      <c r="ND11" s="55">
        <f>LJ36</f>
        <v>26</v>
      </c>
      <c r="NE11" s="55">
        <f>LN36</f>
        <v>26</v>
      </c>
      <c r="NF11" s="55">
        <f>LR36</f>
        <v>26</v>
      </c>
      <c r="NG11" s="55">
        <f>LV36</f>
        <v>26</v>
      </c>
      <c r="NH11" s="55">
        <f>LZ36</f>
        <v>17</v>
      </c>
      <c r="NI11" s="6"/>
      <c r="NT11" s="41">
        <v>44588</v>
      </c>
      <c r="NU11" s="9">
        <f t="shared" si="16"/>
        <v>0.15693653862000001</v>
      </c>
      <c r="NV11" s="9">
        <f t="shared" si="58"/>
        <v>6.1732605951784612E-2</v>
      </c>
      <c r="NW11" s="9">
        <f t="shared" si="58"/>
        <v>6.7470698765723078E-2</v>
      </c>
      <c r="NX11" s="9">
        <f t="shared" si="58"/>
        <v>7.1669617443281528E-2</v>
      </c>
      <c r="NY11" s="9">
        <f t="shared" si="58"/>
        <v>7.4955547517815385E-2</v>
      </c>
      <c r="NZ11" s="9">
        <f t="shared" si="58"/>
        <v>8.1582070890923092E-2</v>
      </c>
      <c r="OA11" s="9">
        <f t="shared" si="58"/>
        <v>9.010777760723078E-2</v>
      </c>
      <c r="OB11" s="9">
        <f t="shared" si="58"/>
        <v>0.10116796664935383</v>
      </c>
      <c r="OC11" s="9">
        <f t="shared" si="58"/>
        <v>0.11403337415583691</v>
      </c>
      <c r="OD11" s="9">
        <f t="shared" si="58"/>
        <v>0.12207059893089228</v>
      </c>
      <c r="OE11" s="9">
        <f t="shared" si="58"/>
        <v>0.13813845283966153</v>
      </c>
      <c r="OF11" s="9">
        <f t="shared" si="58"/>
        <v>0.17057342356273844</v>
      </c>
      <c r="OG11" s="9">
        <f t="shared" ca="1" si="58"/>
        <v>8.7875168162917641E-2</v>
      </c>
      <c r="OH11" s="32"/>
      <c r="OS11" s="41">
        <f t="shared" si="59"/>
        <v>44588</v>
      </c>
      <c r="OT11" s="9">
        <f t="shared" si="59"/>
        <v>0.15693653862000001</v>
      </c>
      <c r="OU11" s="9"/>
      <c r="OV11" s="9"/>
      <c r="OW11" s="9"/>
      <c r="OX11" s="9"/>
      <c r="OY11" s="9"/>
      <c r="OZ11" s="9"/>
      <c r="PA11" s="9"/>
      <c r="PB11" s="9"/>
      <c r="PC11" s="9"/>
      <c r="PD11" s="9"/>
      <c r="PE11" s="9"/>
      <c r="PF11" s="9"/>
    </row>
    <row r="12" spans="2:424" x14ac:dyDescent="0.25">
      <c r="B12" s="48">
        <v>42773</v>
      </c>
      <c r="C12" s="214">
        <v>39462726.963599995</v>
      </c>
      <c r="D12" s="214">
        <v>30087471</v>
      </c>
      <c r="E12" s="215">
        <v>30000000</v>
      </c>
      <c r="F12" s="215"/>
      <c r="G12" s="215"/>
      <c r="H12" s="215"/>
      <c r="I12" s="41">
        <v>42948</v>
      </c>
      <c r="J12" s="212">
        <v>14036458.582799999</v>
      </c>
      <c r="K12" s="212">
        <f t="shared" si="18"/>
        <v>196222066.21079999</v>
      </c>
      <c r="M12" s="41">
        <v>43312</v>
      </c>
      <c r="N12" s="212">
        <v>51108141.369599998</v>
      </c>
      <c r="O12" s="212">
        <f t="shared" si="19"/>
        <v>164918717.5932</v>
      </c>
      <c r="Q12" s="41">
        <v>43676</v>
      </c>
      <c r="R12" s="212">
        <v>37094846.954399996</v>
      </c>
      <c r="S12" s="212">
        <f t="shared" si="20"/>
        <v>105281027.63279998</v>
      </c>
      <c r="U12" s="41">
        <v>44047</v>
      </c>
      <c r="V12" s="212">
        <v>12145553.463599999</v>
      </c>
      <c r="W12" s="212">
        <f t="shared" si="21"/>
        <v>134362481.058</v>
      </c>
      <c r="Y12" s="41">
        <v>44411</v>
      </c>
      <c r="Z12" s="212">
        <v>10704526.318799999</v>
      </c>
      <c r="AA12" s="212">
        <f t="shared" si="22"/>
        <v>90591598.206</v>
      </c>
      <c r="AC12" s="32">
        <v>5</v>
      </c>
      <c r="AD12" s="39">
        <f t="shared" si="0"/>
        <v>0.19622206621079999</v>
      </c>
      <c r="AE12" s="39">
        <f t="shared" si="1"/>
        <v>0.16491871759320001</v>
      </c>
      <c r="AF12" s="39">
        <f t="shared" si="2"/>
        <v>0.10528102763279998</v>
      </c>
      <c r="AG12" s="39">
        <f t="shared" si="3"/>
        <v>0.134362481058</v>
      </c>
      <c r="AH12" s="39">
        <f t="shared" si="4"/>
        <v>9.0591598206000004E-2</v>
      </c>
      <c r="AI12" s="39">
        <f t="shared" si="23"/>
        <v>0.13911817415526706</v>
      </c>
      <c r="AJ12" s="9"/>
      <c r="AK12" s="9"/>
      <c r="AL12" s="9"/>
      <c r="AT12" s="52"/>
      <c r="AU12" s="54" t="s">
        <v>29</v>
      </c>
      <c r="AV12" s="56">
        <f ca="1">K63/1000000000</f>
        <v>1.1195470419479998</v>
      </c>
      <c r="AW12" s="56">
        <f ca="1">O63/1000000000</f>
        <v>1.3802681923667999</v>
      </c>
      <c r="AX12" s="56">
        <f ca="1">S63/1000000000</f>
        <v>1.0467730088028</v>
      </c>
      <c r="AY12" s="56">
        <f ca="1">W63/1000000000</f>
        <v>1.1024372392524002</v>
      </c>
      <c r="AZ12" s="56">
        <f ca="1">AA63/1000000000</f>
        <v>1.1194431701510998</v>
      </c>
      <c r="BA12" s="56"/>
      <c r="BB12" s="56">
        <f ca="1">AZ12</f>
        <v>1.1194431701510998</v>
      </c>
      <c r="BM12" s="41">
        <f t="shared" si="60"/>
        <v>44411</v>
      </c>
      <c r="BN12" s="9">
        <f t="shared" si="5"/>
        <v>9.0591598206000004E-2</v>
      </c>
      <c r="BO12" s="9">
        <f t="shared" si="24"/>
        <v>8.0161024373889084E-2</v>
      </c>
      <c r="BP12" s="9">
        <f t="shared" si="24"/>
        <v>9.1115690414038442E-2</v>
      </c>
      <c r="BQ12" s="9">
        <f t="shared" si="24"/>
        <v>9.7218640709892182E-2</v>
      </c>
      <c r="BR12" s="9">
        <f t="shared" si="24"/>
        <v>0.10099924448728673</v>
      </c>
      <c r="BS12" s="9">
        <f t="shared" si="24"/>
        <v>0.10804976745242388</v>
      </c>
      <c r="BT12" s="9">
        <f t="shared" si="24"/>
        <v>0.11734903769288335</v>
      </c>
      <c r="BU12" s="9">
        <f t="shared" si="24"/>
        <v>0.12770290487164873</v>
      </c>
      <c r="BV12" s="9">
        <f t="shared" si="24"/>
        <v>0.138602101183599</v>
      </c>
      <c r="BW12" s="9">
        <f t="shared" si="24"/>
        <v>0.14563130298447868</v>
      </c>
      <c r="BX12" s="9">
        <f t="shared" si="24"/>
        <v>0.16003471803988428</v>
      </c>
      <c r="BY12" s="9">
        <f t="shared" si="24"/>
        <v>0.19751793476755264</v>
      </c>
      <c r="BZ12" s="32"/>
      <c r="CA12" s="32"/>
      <c r="CL12" s="41">
        <f t="shared" si="61"/>
        <v>44775</v>
      </c>
      <c r="CM12" s="76">
        <v>0.1279486352824484</v>
      </c>
      <c r="CN12" s="9">
        <f t="shared" si="25"/>
        <v>8.9204309763913206E-2</v>
      </c>
      <c r="CO12" s="9">
        <f t="shared" si="25"/>
        <v>0.10156601653965219</v>
      </c>
      <c r="CP12" s="9">
        <f t="shared" si="25"/>
        <v>0.11061694094771879</v>
      </c>
      <c r="CQ12" s="9">
        <f t="shared" si="25"/>
        <v>0.115395997548269</v>
      </c>
      <c r="CR12" s="9">
        <f t="shared" si="25"/>
        <v>0.12542696738008008</v>
      </c>
      <c r="CS12" s="9">
        <f t="shared" si="25"/>
        <v>0.13924888797694993</v>
      </c>
      <c r="CT12" s="9">
        <f t="shared" si="25"/>
        <v>0.15463424765120276</v>
      </c>
      <c r="CU12" s="9">
        <f t="shared" si="25"/>
        <v>0.17141961083933674</v>
      </c>
      <c r="CV12" s="9">
        <f t="shared" si="25"/>
        <v>0.1826535527859097</v>
      </c>
      <c r="CW12" s="9">
        <f t="shared" si="25"/>
        <v>0.20540714753507167</v>
      </c>
      <c r="CX12" s="9">
        <f t="shared" si="25"/>
        <v>0.25502988903757856</v>
      </c>
      <c r="CY12" s="32"/>
      <c r="CZ12" s="32"/>
      <c r="DA12" s="32">
        <f t="shared" si="26"/>
        <v>0.1279486352824484</v>
      </c>
      <c r="DB12" s="32">
        <v>127948635.2824484</v>
      </c>
      <c r="DC12" s="32"/>
      <c r="DD12" s="41">
        <v>45139</v>
      </c>
      <c r="DE12" s="76">
        <v>9.5471237972972953E-2</v>
      </c>
      <c r="DF12" s="9">
        <f t="shared" ref="DF12:DP12" si="73">DF11+DF$2</f>
        <v>8.8425966309761697E-2</v>
      </c>
      <c r="DG12" s="9">
        <f t="shared" si="73"/>
        <v>9.8484636147383758E-2</v>
      </c>
      <c r="DH12" s="9">
        <f t="shared" si="73"/>
        <v>0.10468091816107487</v>
      </c>
      <c r="DI12" s="9">
        <f t="shared" si="73"/>
        <v>0.10886448623875404</v>
      </c>
      <c r="DJ12" s="9">
        <f t="shared" si="73"/>
        <v>0.11693901508468979</v>
      </c>
      <c r="DK12" s="9">
        <f t="shared" si="73"/>
        <v>0.12764224603223021</v>
      </c>
      <c r="DL12" s="9">
        <f t="shared" si="73"/>
        <v>0.14101622409985282</v>
      </c>
      <c r="DM12" s="9">
        <f t="shared" si="73"/>
        <v>0.15545718908873543</v>
      </c>
      <c r="DN12" s="9">
        <f t="shared" si="73"/>
        <v>0.16417846502350272</v>
      </c>
      <c r="DO12" s="9">
        <f t="shared" si="73"/>
        <v>0.1834937725294441</v>
      </c>
      <c r="DP12" s="9">
        <f t="shared" si="73"/>
        <v>0.22994094669115753</v>
      </c>
      <c r="DQ12" s="32"/>
      <c r="DR12" s="32"/>
      <c r="DS12" s="32">
        <f t="shared" si="28"/>
        <v>0.1279486352824484</v>
      </c>
      <c r="DT12" s="32">
        <v>127948635.2824484</v>
      </c>
      <c r="DU12" s="32"/>
      <c r="EF12" s="32"/>
      <c r="EG12" s="41">
        <v>45503</v>
      </c>
      <c r="EH12" s="76">
        <v>0.14516817179002073</v>
      </c>
      <c r="EI12" s="9">
        <f t="shared" ref="EI12:ES12" si="74">EI11+EI$2</f>
        <v>0.10145157767139394</v>
      </c>
      <c r="EJ12" s="9">
        <f t="shared" si="74"/>
        <v>0.11010024624768439</v>
      </c>
      <c r="EK12" s="9">
        <f t="shared" si="74"/>
        <v>0.11763068975194146</v>
      </c>
      <c r="EL12" s="9">
        <f t="shared" si="74"/>
        <v>0.12254846074676401</v>
      </c>
      <c r="EM12" s="9">
        <f t="shared" si="74"/>
        <v>0.13162837666365199</v>
      </c>
      <c r="EN12" s="9">
        <f t="shared" si="74"/>
        <v>0.14421256252293413</v>
      </c>
      <c r="EO12" s="9">
        <f t="shared" si="74"/>
        <v>0.15885842315117096</v>
      </c>
      <c r="EP12" s="9">
        <f t="shared" si="74"/>
        <v>0.17451080533251492</v>
      </c>
      <c r="EQ12" s="9">
        <f t="shared" si="74"/>
        <v>0.18388793050637967</v>
      </c>
      <c r="ER12" s="9">
        <f t="shared" si="74"/>
        <v>0.204465475734983</v>
      </c>
      <c r="ES12" s="9">
        <f t="shared" si="74"/>
        <v>0.2466742325802766</v>
      </c>
      <c r="ET12" s="32"/>
      <c r="EU12" s="32"/>
      <c r="EV12" s="32">
        <f t="shared" si="30"/>
        <v>0.1279486352824484</v>
      </c>
      <c r="EW12" s="32">
        <v>127948635.2824484</v>
      </c>
      <c r="EX12" s="32"/>
      <c r="FG12" s="32"/>
      <c r="FH12" s="32"/>
      <c r="FI12" s="41">
        <v>45867</v>
      </c>
      <c r="FJ12" s="76">
        <v>0.12644394336951947</v>
      </c>
      <c r="FK12" s="9">
        <f t="shared" ref="FK12:FU12" si="75">FK11+FK$2</f>
        <v>0.10145157767139394</v>
      </c>
      <c r="FL12" s="9">
        <f t="shared" si="75"/>
        <v>0.11010024624768439</v>
      </c>
      <c r="FM12" s="9">
        <f t="shared" si="75"/>
        <v>0.11763068975194146</v>
      </c>
      <c r="FN12" s="9">
        <f t="shared" si="75"/>
        <v>0.12254846074676401</v>
      </c>
      <c r="FO12" s="9">
        <f t="shared" si="75"/>
        <v>0.13162837666365199</v>
      </c>
      <c r="FP12" s="9">
        <f t="shared" si="75"/>
        <v>0.14421256252293413</v>
      </c>
      <c r="FQ12" s="9">
        <f t="shared" si="75"/>
        <v>0.15885842315117096</v>
      </c>
      <c r="FR12" s="9">
        <f t="shared" si="75"/>
        <v>0.17451080533251492</v>
      </c>
      <c r="FS12" s="9">
        <f t="shared" si="75"/>
        <v>0.18388793050637967</v>
      </c>
      <c r="FT12" s="9">
        <f t="shared" si="75"/>
        <v>0.204465475734983</v>
      </c>
      <c r="FU12" s="9">
        <f t="shared" si="75"/>
        <v>0.2466742325802766</v>
      </c>
      <c r="FV12" s="32"/>
      <c r="FW12" s="32"/>
      <c r="FX12" s="32">
        <f t="shared" si="32"/>
        <v>0.1279486352824484</v>
      </c>
      <c r="FY12" s="32">
        <v>127948635.2824484</v>
      </c>
      <c r="FZ12" s="32"/>
      <c r="GI12" s="32"/>
      <c r="GJ12" s="41">
        <v>45503</v>
      </c>
      <c r="GK12" s="76">
        <v>0.14516817179002073</v>
      </c>
      <c r="GL12" s="9">
        <f t="shared" ref="GL12:GV12" si="76">GL11+GL$2</f>
        <v>8.3729816539489257E-2</v>
      </c>
      <c r="GM12" s="9">
        <f t="shared" si="76"/>
        <v>9.6397253850936185E-2</v>
      </c>
      <c r="GN12" s="9">
        <f t="shared" si="76"/>
        <v>0.10363861330219563</v>
      </c>
      <c r="GO12" s="9">
        <f t="shared" si="76"/>
        <v>0.10772913195463649</v>
      </c>
      <c r="GP12" s="9">
        <f t="shared" si="76"/>
        <v>0.11620110408701319</v>
      </c>
      <c r="GQ12" s="9">
        <f t="shared" si="76"/>
        <v>0.13023221639805532</v>
      </c>
      <c r="GR12" s="9">
        <f t="shared" si="76"/>
        <v>0.14845202848103675</v>
      </c>
      <c r="GS12" s="9">
        <f t="shared" si="76"/>
        <v>0.16985644069551972</v>
      </c>
      <c r="GT12" s="9">
        <f t="shared" si="76"/>
        <v>0.18693344727875116</v>
      </c>
      <c r="GU12" s="9">
        <f t="shared" si="76"/>
        <v>0.21931631212495609</v>
      </c>
      <c r="GV12" s="9">
        <f t="shared" si="76"/>
        <v>0.28505204605741624</v>
      </c>
      <c r="GW12" s="32"/>
      <c r="GX12" s="32"/>
      <c r="GY12" s="32">
        <f t="shared" si="34"/>
        <v>0.1279486352824484</v>
      </c>
      <c r="GZ12" s="32">
        <v>127948635.2824484</v>
      </c>
      <c r="HA12" s="32"/>
      <c r="HB12" s="229">
        <v>45867</v>
      </c>
      <c r="HC12" s="230">
        <v>0.12644394336951947</v>
      </c>
      <c r="HD12" s="9">
        <f t="shared" ref="HD12:HN12" si="77">HD11+HD$2</f>
        <v>9.2760723100551612E-2</v>
      </c>
      <c r="HE12" s="9">
        <f t="shared" si="77"/>
        <v>0.10460473100607368</v>
      </c>
      <c r="HF12" s="9">
        <f t="shared" si="77"/>
        <v>0.11286448576241803</v>
      </c>
      <c r="HG12" s="9">
        <f t="shared" si="77"/>
        <v>0.1180839731439824</v>
      </c>
      <c r="HH12" s="9">
        <f t="shared" si="77"/>
        <v>0.12943512564788159</v>
      </c>
      <c r="HI12" s="9">
        <f t="shared" si="77"/>
        <v>0.14539839984533903</v>
      </c>
      <c r="HJ12" s="9">
        <f t="shared" si="77"/>
        <v>0.16633826190774076</v>
      </c>
      <c r="HK12" s="9">
        <f t="shared" si="77"/>
        <v>0.18994631125963329</v>
      </c>
      <c r="HL12" s="9">
        <f t="shared" si="77"/>
        <v>0.20489084220103243</v>
      </c>
      <c r="HM12" s="9">
        <f t="shared" si="77"/>
        <v>0.23816407331684886</v>
      </c>
      <c r="HN12" s="9">
        <f t="shared" si="77"/>
        <v>0.30622769753655515</v>
      </c>
      <c r="HO12" s="32"/>
      <c r="HP12" s="32"/>
      <c r="HQ12" s="32">
        <v>126443943.36951949</v>
      </c>
      <c r="HR12" s="32">
        <f t="shared" si="36"/>
        <v>0.12644394336951947</v>
      </c>
      <c r="HT12" s="32"/>
      <c r="IC12" s="41">
        <f t="shared" si="67"/>
        <v>44775</v>
      </c>
      <c r="ID12" s="9">
        <v>0.13203998605850001</v>
      </c>
      <c r="IE12" s="9"/>
      <c r="IF12" s="9"/>
      <c r="IG12" s="9"/>
      <c r="IH12" s="9"/>
      <c r="II12" s="9"/>
      <c r="IJ12" s="9"/>
      <c r="IK12" s="9"/>
      <c r="IL12" s="9"/>
      <c r="IM12" s="9"/>
      <c r="IN12" s="9"/>
      <c r="IO12" s="9"/>
      <c r="IP12" s="32"/>
      <c r="IQ12" s="32"/>
      <c r="JB12" s="41">
        <f t="shared" si="13"/>
        <v>44411</v>
      </c>
      <c r="JC12" s="9">
        <f t="shared" si="14"/>
        <v>9.0591598206000004E-2</v>
      </c>
      <c r="JD12" s="9"/>
      <c r="JE12" s="9"/>
      <c r="JF12" s="9"/>
      <c r="JG12" s="9"/>
      <c r="JH12" s="9"/>
      <c r="JI12" s="9"/>
      <c r="JJ12" s="9"/>
      <c r="JK12" s="9"/>
      <c r="JL12" s="9"/>
      <c r="JM12" s="9"/>
      <c r="JN12" s="9"/>
      <c r="JO12" s="9"/>
      <c r="JZ12" s="41">
        <f t="shared" si="15"/>
        <v>44411</v>
      </c>
      <c r="KA12" s="9">
        <f t="shared" si="37"/>
        <v>9.0591598206000004E-2</v>
      </c>
      <c r="KB12" s="9"/>
      <c r="KC12" s="9"/>
      <c r="KN12" s="41">
        <v>42948</v>
      </c>
      <c r="KO12" s="212">
        <v>14036458.582799999</v>
      </c>
      <c r="KP12" s="212">
        <f t="shared" si="38"/>
        <v>196222066.21079999</v>
      </c>
      <c r="KR12" s="41">
        <v>43130</v>
      </c>
      <c r="KS12" s="212">
        <v>21733010.013599999</v>
      </c>
      <c r="KT12" s="212">
        <f t="shared" si="39"/>
        <v>110020325.03639999</v>
      </c>
      <c r="KV12" s="41">
        <v>43312</v>
      </c>
      <c r="KW12" s="212">
        <v>51108141.369599998</v>
      </c>
      <c r="KX12" s="212">
        <f t="shared" si="40"/>
        <v>164918717.5932</v>
      </c>
      <c r="KZ12" s="41">
        <v>43494</v>
      </c>
      <c r="LA12" s="212">
        <v>30702677.788799997</v>
      </c>
      <c r="LB12" s="212">
        <f t="shared" si="41"/>
        <v>92899722.995999992</v>
      </c>
      <c r="LD12" s="41">
        <v>43676</v>
      </c>
      <c r="LE12" s="212">
        <v>37094846.954399996</v>
      </c>
      <c r="LF12" s="212">
        <f t="shared" si="42"/>
        <v>105281027.63279998</v>
      </c>
      <c r="LH12" s="41">
        <v>43865</v>
      </c>
      <c r="LI12" s="212">
        <v>20349528.044399999</v>
      </c>
      <c r="LJ12" s="212">
        <f t="shared" si="43"/>
        <v>79805888.881199986</v>
      </c>
      <c r="LL12" s="41">
        <v>44047</v>
      </c>
      <c r="LM12" s="212">
        <v>12145553.463599999</v>
      </c>
      <c r="LN12" s="212">
        <f t="shared" si="44"/>
        <v>134362481.058</v>
      </c>
      <c r="LP12" s="41">
        <v>44229</v>
      </c>
      <c r="LQ12" s="212">
        <v>42505579.490399994</v>
      </c>
      <c r="LR12" s="212">
        <f t="shared" si="45"/>
        <v>129798268.82279998</v>
      </c>
      <c r="LT12" s="41">
        <v>44411</v>
      </c>
      <c r="LU12" s="212">
        <v>10704526.318799999</v>
      </c>
      <c r="LV12" s="212">
        <f t="shared" si="46"/>
        <v>90591598.206</v>
      </c>
      <c r="LX12" s="41">
        <v>44593</v>
      </c>
      <c r="LY12" s="212">
        <v>12281203.9332</v>
      </c>
      <c r="LZ12" s="212">
        <f t="shared" si="47"/>
        <v>169217742.55320001</v>
      </c>
      <c r="MB12" s="32">
        <v>5</v>
      </c>
      <c r="MC12" s="42">
        <f t="shared" si="48"/>
        <v>0.19622206621079999</v>
      </c>
      <c r="MD12" s="42">
        <f t="shared" si="49"/>
        <v>0.1100203250364</v>
      </c>
      <c r="ME12" s="42">
        <f t="shared" si="50"/>
        <v>0.16491871759320001</v>
      </c>
      <c r="MF12" s="42">
        <f t="shared" si="51"/>
        <v>9.2899722995999995E-2</v>
      </c>
      <c r="MG12" s="42">
        <f t="shared" si="52"/>
        <v>0.10528102763279998</v>
      </c>
      <c r="MH12" s="42">
        <f t="shared" si="53"/>
        <v>7.9805888881199979E-2</v>
      </c>
      <c r="MI12" s="42">
        <f t="shared" si="54"/>
        <v>0.134362481058</v>
      </c>
      <c r="MJ12" s="42">
        <f t="shared" si="55"/>
        <v>0.12979826882279999</v>
      </c>
      <c r="MK12" s="42">
        <f t="shared" si="56"/>
        <v>9.0591598206000004E-2</v>
      </c>
      <c r="ML12" s="42">
        <f t="shared" si="57"/>
        <v>0.16921774255320002</v>
      </c>
      <c r="MM12" s="9"/>
      <c r="MN12" s="9"/>
      <c r="MO12" s="9"/>
      <c r="MW12" s="52"/>
      <c r="MX12" s="54" t="s">
        <v>29</v>
      </c>
      <c r="MY12" s="53">
        <f ca="1">KP37/1000000000</f>
        <v>0.6607169155871998</v>
      </c>
      <c r="MZ12" s="53">
        <f ca="1">(KT37)/1000000000</f>
        <v>0.45883012636079995</v>
      </c>
      <c r="NA12" s="53">
        <f ca="1">(KX37)/1000000000</f>
        <v>0.56990379342239983</v>
      </c>
      <c r="NB12" s="53">
        <f ca="1">(LB37)/1000000000</f>
        <v>0.8103643989443996</v>
      </c>
      <c r="NC12" s="53">
        <f ca="1">(LF37)/1000000000</f>
        <v>0.57956100921719977</v>
      </c>
      <c r="ND12" s="53">
        <f ca="1">(LJ37)/1000000000</f>
        <v>0.46721199958559995</v>
      </c>
      <c r="NE12" s="53">
        <f ca="1">(LN37)/1000000000</f>
        <v>0.55445528819520007</v>
      </c>
      <c r="NF12" s="53">
        <f ca="1">(LR37)/1000000000</f>
        <v>0.54798195105719982</v>
      </c>
      <c r="NG12" s="53">
        <f ca="1">(LV37)/1000000000</f>
        <v>0.60953824564919989</v>
      </c>
      <c r="NH12" s="53">
        <f ca="1">(LZ37)/1000000000</f>
        <v>0.3734694646924</v>
      </c>
      <c r="NI12" s="53">
        <f ca="1">NH12</f>
        <v>0.3734694646924</v>
      </c>
      <c r="NT12" s="41">
        <v>44595</v>
      </c>
      <c r="NU12" s="9">
        <f t="shared" si="16"/>
        <v>0.16921774255320002</v>
      </c>
      <c r="NV12" s="9">
        <f t="shared" si="58"/>
        <v>7.7165757439730767E-2</v>
      </c>
      <c r="NW12" s="9">
        <f t="shared" si="58"/>
        <v>8.4338373457153851E-2</v>
      </c>
      <c r="NX12" s="9">
        <f t="shared" si="58"/>
        <v>8.9587021804101913E-2</v>
      </c>
      <c r="NY12" s="9">
        <f t="shared" si="58"/>
        <v>9.3694434397269238E-2</v>
      </c>
      <c r="NZ12" s="9">
        <f t="shared" si="58"/>
        <v>0.10197758861365386</v>
      </c>
      <c r="OA12" s="9">
        <f t="shared" si="58"/>
        <v>0.11263472200903847</v>
      </c>
      <c r="OB12" s="9">
        <f t="shared" si="58"/>
        <v>0.12645995831169229</v>
      </c>
      <c r="OC12" s="9">
        <f t="shared" si="58"/>
        <v>0.14254171769479612</v>
      </c>
      <c r="OD12" s="9">
        <f t="shared" si="58"/>
        <v>0.15258824866361537</v>
      </c>
      <c r="OE12" s="9">
        <f t="shared" si="58"/>
        <v>0.17267306604957691</v>
      </c>
      <c r="OF12" s="9">
        <f t="shared" si="58"/>
        <v>0.21321677945342304</v>
      </c>
      <c r="OG12" s="9">
        <f t="shared" ca="1" si="58"/>
        <v>0.10984396020364705</v>
      </c>
      <c r="OH12" s="32"/>
      <c r="OS12" s="41">
        <f t="shared" si="59"/>
        <v>44595</v>
      </c>
      <c r="OT12" s="9">
        <f t="shared" si="59"/>
        <v>0.16921774255320002</v>
      </c>
      <c r="OU12" s="9"/>
      <c r="OV12" s="9"/>
      <c r="OW12" s="9"/>
      <c r="OX12" s="9"/>
      <c r="OY12" s="9"/>
      <c r="OZ12" s="9"/>
      <c r="PA12" s="9"/>
      <c r="PB12" s="9"/>
      <c r="PC12" s="9"/>
      <c r="PD12" s="9"/>
      <c r="PE12" s="9"/>
      <c r="PF12" s="9"/>
    </row>
    <row r="13" spans="2:424" x14ac:dyDescent="0.25">
      <c r="B13" s="48">
        <v>42780</v>
      </c>
      <c r="C13" s="214">
        <v>10371385.187999999</v>
      </c>
      <c r="D13" s="214">
        <v>7907430</v>
      </c>
      <c r="E13" s="215">
        <v>2000000</v>
      </c>
      <c r="F13" s="215"/>
      <c r="G13" s="215"/>
      <c r="H13" s="215"/>
      <c r="I13" s="41">
        <v>42955</v>
      </c>
      <c r="J13" s="212">
        <v>10483326.313199999</v>
      </c>
      <c r="K13" s="212">
        <f t="shared" si="18"/>
        <v>206705392.52399999</v>
      </c>
      <c r="M13" s="41">
        <v>43319</v>
      </c>
      <c r="N13" s="212">
        <v>84648943.180799991</v>
      </c>
      <c r="O13" s="212">
        <f t="shared" si="19"/>
        <v>249567660.77399999</v>
      </c>
      <c r="Q13" s="41">
        <v>43683</v>
      </c>
      <c r="R13" s="212">
        <v>45872354.836799994</v>
      </c>
      <c r="S13" s="212">
        <f t="shared" si="20"/>
        <v>151153382.46959996</v>
      </c>
      <c r="U13" s="41">
        <v>44054</v>
      </c>
      <c r="V13" s="212">
        <v>18666564.0264</v>
      </c>
      <c r="W13" s="212">
        <f t="shared" si="21"/>
        <v>153029045.0844</v>
      </c>
      <c r="Y13" s="41">
        <v>44418</v>
      </c>
      <c r="Z13" s="212">
        <v>14124346.052399999</v>
      </c>
      <c r="AA13" s="212">
        <f t="shared" si="22"/>
        <v>104715944.25839999</v>
      </c>
      <c r="AC13" s="32">
        <v>6</v>
      </c>
      <c r="AD13" s="39">
        <f t="shared" si="0"/>
        <v>0.206705392524</v>
      </c>
      <c r="AE13" s="39">
        <f t="shared" si="1"/>
        <v>0.249567660774</v>
      </c>
      <c r="AF13" s="39">
        <f t="shared" si="2"/>
        <v>0.15115338246959997</v>
      </c>
      <c r="AG13" s="39">
        <f t="shared" si="3"/>
        <v>0.15302904508439999</v>
      </c>
      <c r="AH13" s="39">
        <f t="shared" si="4"/>
        <v>0.10471594425839999</v>
      </c>
      <c r="AI13" s="39">
        <f t="shared" si="23"/>
        <v>0.16694180898632047</v>
      </c>
      <c r="AJ13" s="9"/>
      <c r="AK13" s="9"/>
      <c r="AL13" s="9"/>
      <c r="AT13" s="52"/>
      <c r="AU13" s="54" t="s">
        <v>69</v>
      </c>
      <c r="AV13" s="56"/>
      <c r="AW13" s="56"/>
      <c r="AX13" s="56"/>
      <c r="AY13" s="56"/>
      <c r="AZ13" s="56">
        <f ca="1">AA64/1000000000</f>
        <v>1.1194431701510998</v>
      </c>
      <c r="BA13" s="56"/>
      <c r="BB13" s="56"/>
      <c r="BM13" s="41">
        <f t="shared" si="60"/>
        <v>44418</v>
      </c>
      <c r="BN13" s="9">
        <f t="shared" si="5"/>
        <v>0.10471594425839999</v>
      </c>
      <c r="BO13" s="9">
        <f t="shared" si="24"/>
        <v>9.6193229248666898E-2</v>
      </c>
      <c r="BP13" s="9">
        <f t="shared" si="24"/>
        <v>0.10933882849684613</v>
      </c>
      <c r="BQ13" s="9">
        <f t="shared" si="24"/>
        <v>0.11666236885187062</v>
      </c>
      <c r="BR13" s="9">
        <f t="shared" si="24"/>
        <v>0.12119909338474408</v>
      </c>
      <c r="BS13" s="9">
        <f t="shared" si="24"/>
        <v>0.12965972094290865</v>
      </c>
      <c r="BT13" s="9">
        <f t="shared" si="24"/>
        <v>0.14081884523146002</v>
      </c>
      <c r="BU13" s="9">
        <f t="shared" si="24"/>
        <v>0.15324348584597847</v>
      </c>
      <c r="BV13" s="9">
        <f t="shared" si="24"/>
        <v>0.16632252142031881</v>
      </c>
      <c r="BW13" s="9">
        <f t="shared" si="24"/>
        <v>0.17475756358137443</v>
      </c>
      <c r="BX13" s="9">
        <f t="shared" si="24"/>
        <v>0.19204166164786113</v>
      </c>
      <c r="BY13" s="9">
        <f t="shared" si="24"/>
        <v>0.23702152172106317</v>
      </c>
      <c r="BZ13" s="32"/>
      <c r="CA13" s="32"/>
      <c r="CL13" s="41">
        <f t="shared" si="61"/>
        <v>44782</v>
      </c>
      <c r="CM13" s="76">
        <v>0.14008847339439529</v>
      </c>
      <c r="CN13" s="9">
        <f t="shared" si="25"/>
        <v>0.10704517171669585</v>
      </c>
      <c r="CO13" s="9">
        <f t="shared" si="25"/>
        <v>0.12187921984758263</v>
      </c>
      <c r="CP13" s="9">
        <f t="shared" si="25"/>
        <v>0.13274032913726255</v>
      </c>
      <c r="CQ13" s="9">
        <f t="shared" si="25"/>
        <v>0.1384751970579228</v>
      </c>
      <c r="CR13" s="9">
        <f t="shared" si="25"/>
        <v>0.15051236085609609</v>
      </c>
      <c r="CS13" s="9">
        <f t="shared" si="25"/>
        <v>0.16709866557233991</v>
      </c>
      <c r="CT13" s="9">
        <f t="shared" si="25"/>
        <v>0.18556109718144331</v>
      </c>
      <c r="CU13" s="9">
        <f t="shared" si="25"/>
        <v>0.20570353300720409</v>
      </c>
      <c r="CV13" s="9">
        <f t="shared" si="25"/>
        <v>0.21918426334309163</v>
      </c>
      <c r="CW13" s="9">
        <f t="shared" si="25"/>
        <v>0.24648857704208599</v>
      </c>
      <c r="CX13" s="9">
        <f t="shared" si="25"/>
        <v>0.30603586684509426</v>
      </c>
      <c r="CY13" s="32"/>
      <c r="CZ13" s="32"/>
      <c r="DA13" s="32">
        <f t="shared" si="26"/>
        <v>0.14008847339439529</v>
      </c>
      <c r="DB13" s="32">
        <v>140088473.39439529</v>
      </c>
      <c r="DC13" s="32"/>
      <c r="DD13" s="41">
        <v>45146</v>
      </c>
      <c r="DE13" s="76">
        <v>0.12801229734744743</v>
      </c>
      <c r="DF13" s="9">
        <f t="shared" ref="DF13:DP13" si="78">DF12+DF$2</f>
        <v>0.10611115957171403</v>
      </c>
      <c r="DG13" s="9">
        <f t="shared" si="78"/>
        <v>0.1181815633768605</v>
      </c>
      <c r="DH13" s="9">
        <f t="shared" si="78"/>
        <v>0.12561710179328986</v>
      </c>
      <c r="DI13" s="9">
        <f t="shared" si="78"/>
        <v>0.13063738348650486</v>
      </c>
      <c r="DJ13" s="9">
        <f t="shared" si="78"/>
        <v>0.14032681810162775</v>
      </c>
      <c r="DK13" s="9">
        <f t="shared" si="78"/>
        <v>0.15317069523867624</v>
      </c>
      <c r="DL13" s="9">
        <f t="shared" si="78"/>
        <v>0.16921946891982337</v>
      </c>
      <c r="DM13" s="9">
        <f t="shared" si="78"/>
        <v>0.18654862690648252</v>
      </c>
      <c r="DN13" s="9">
        <f t="shared" si="78"/>
        <v>0.19701415802820327</v>
      </c>
      <c r="DO13" s="9">
        <f t="shared" si="78"/>
        <v>0.22019252703533293</v>
      </c>
      <c r="DP13" s="9">
        <f t="shared" si="78"/>
        <v>0.27592913602938901</v>
      </c>
      <c r="DQ13" s="32"/>
      <c r="DR13" s="32"/>
      <c r="DS13" s="32">
        <f t="shared" si="28"/>
        <v>0.14008847339439529</v>
      </c>
      <c r="DT13" s="32">
        <v>140088473.39439529</v>
      </c>
      <c r="DU13" s="32"/>
      <c r="EF13" s="32"/>
      <c r="EG13" s="41">
        <v>45510</v>
      </c>
      <c r="EH13" s="76">
        <v>0.15797250768206278</v>
      </c>
      <c r="EI13" s="9">
        <f t="shared" ref="EI13:ES13" si="79">EI12+EI$2</f>
        <v>0.12174189320567273</v>
      </c>
      <c r="EJ13" s="9">
        <f t="shared" si="79"/>
        <v>0.13212029549722126</v>
      </c>
      <c r="EK13" s="9">
        <f t="shared" si="79"/>
        <v>0.14115682770232976</v>
      </c>
      <c r="EL13" s="9">
        <f t="shared" si="79"/>
        <v>0.14705815289611682</v>
      </c>
      <c r="EM13" s="9">
        <f t="shared" si="79"/>
        <v>0.15795405199638238</v>
      </c>
      <c r="EN13" s="9">
        <f t="shared" si="79"/>
        <v>0.17305507502752096</v>
      </c>
      <c r="EO13" s="9">
        <f t="shared" si="79"/>
        <v>0.19063010778140516</v>
      </c>
      <c r="EP13" s="9">
        <f t="shared" si="79"/>
        <v>0.20941296639901791</v>
      </c>
      <c r="EQ13" s="9">
        <f t="shared" si="79"/>
        <v>0.2206655166076556</v>
      </c>
      <c r="ER13" s="9">
        <f t="shared" si="79"/>
        <v>0.2453585708819796</v>
      </c>
      <c r="ES13" s="9">
        <f t="shared" si="79"/>
        <v>0.2960090790963319</v>
      </c>
      <c r="ET13" s="32"/>
      <c r="EU13" s="32"/>
      <c r="EV13" s="32">
        <f t="shared" si="30"/>
        <v>0.14008847339439529</v>
      </c>
      <c r="EW13" s="32">
        <v>140088473.39439529</v>
      </c>
      <c r="EX13" s="32"/>
      <c r="FG13" s="32"/>
      <c r="FH13" s="32"/>
      <c r="FI13" s="41">
        <v>45874</v>
      </c>
      <c r="FJ13" s="76">
        <v>0.16768150125450448</v>
      </c>
      <c r="FK13" s="9">
        <f t="shared" ref="FK13:FU13" si="80">FK12+FK$2</f>
        <v>0.12174189320567273</v>
      </c>
      <c r="FL13" s="9">
        <f t="shared" si="80"/>
        <v>0.13212029549722126</v>
      </c>
      <c r="FM13" s="9">
        <f t="shared" si="80"/>
        <v>0.14115682770232976</v>
      </c>
      <c r="FN13" s="9">
        <f t="shared" si="80"/>
        <v>0.14705815289611682</v>
      </c>
      <c r="FO13" s="9">
        <f t="shared" si="80"/>
        <v>0.15795405199638238</v>
      </c>
      <c r="FP13" s="9">
        <f t="shared" si="80"/>
        <v>0.17305507502752096</v>
      </c>
      <c r="FQ13" s="9">
        <f t="shared" si="80"/>
        <v>0.19063010778140516</v>
      </c>
      <c r="FR13" s="9">
        <f t="shared" si="80"/>
        <v>0.20941296639901791</v>
      </c>
      <c r="FS13" s="9">
        <f t="shared" si="80"/>
        <v>0.2206655166076556</v>
      </c>
      <c r="FT13" s="9">
        <f t="shared" si="80"/>
        <v>0.2453585708819796</v>
      </c>
      <c r="FU13" s="9">
        <f t="shared" si="80"/>
        <v>0.2960090790963319</v>
      </c>
      <c r="FV13" s="32"/>
      <c r="FW13" s="32"/>
      <c r="FX13" s="32">
        <f t="shared" si="32"/>
        <v>0.14008847339439529</v>
      </c>
      <c r="FY13" s="32">
        <v>140088473.39439529</v>
      </c>
      <c r="FZ13" s="32"/>
      <c r="GI13" s="32"/>
      <c r="GJ13" s="41">
        <v>45510</v>
      </c>
      <c r="GK13" s="76">
        <v>0.15797250768206278</v>
      </c>
      <c r="GL13" s="9">
        <f t="shared" ref="GL13:GV13" si="81">GL12+GL$2</f>
        <v>0.10047577984738711</v>
      </c>
      <c r="GM13" s="9">
        <f t="shared" si="81"/>
        <v>0.11567670462112342</v>
      </c>
      <c r="GN13" s="9">
        <f t="shared" si="81"/>
        <v>0.12436633596263476</v>
      </c>
      <c r="GO13" s="9">
        <f t="shared" si="81"/>
        <v>0.1292749583455638</v>
      </c>
      <c r="GP13" s="9">
        <f t="shared" si="81"/>
        <v>0.13944132490441583</v>
      </c>
      <c r="GQ13" s="9">
        <f t="shared" si="81"/>
        <v>0.15627865967766638</v>
      </c>
      <c r="GR13" s="9">
        <f t="shared" si="81"/>
        <v>0.1781424341772441</v>
      </c>
      <c r="GS13" s="9">
        <f t="shared" si="81"/>
        <v>0.20382772883462366</v>
      </c>
      <c r="GT13" s="9">
        <f t="shared" si="81"/>
        <v>0.22432013673450141</v>
      </c>
      <c r="GU13" s="9">
        <f t="shared" si="81"/>
        <v>0.26317957454994728</v>
      </c>
      <c r="GV13" s="9">
        <f t="shared" si="81"/>
        <v>0.3420624552688995</v>
      </c>
      <c r="GW13" s="32"/>
      <c r="GX13" s="32"/>
      <c r="GY13" s="32">
        <f t="shared" si="34"/>
        <v>0.14008847339439529</v>
      </c>
      <c r="GZ13" s="32">
        <v>140088473.39439529</v>
      </c>
      <c r="HA13" s="32"/>
      <c r="HB13" s="229">
        <v>45874</v>
      </c>
      <c r="HC13" s="230">
        <v>0.16768150125450448</v>
      </c>
      <c r="HD13" s="9">
        <f t="shared" ref="HD13:HN13" si="82">HD12+HD$2</f>
        <v>0.11131286772066193</v>
      </c>
      <c r="HE13" s="9">
        <f t="shared" si="82"/>
        <v>0.12552567720728841</v>
      </c>
      <c r="HF13" s="9">
        <f t="shared" si="82"/>
        <v>0.13543738291490165</v>
      </c>
      <c r="HG13" s="9">
        <f t="shared" si="82"/>
        <v>0.14170076777277887</v>
      </c>
      <c r="HH13" s="9">
        <f t="shared" si="82"/>
        <v>0.15532215077745792</v>
      </c>
      <c r="HI13" s="9">
        <f t="shared" si="82"/>
        <v>0.17447807981440683</v>
      </c>
      <c r="HJ13" s="9">
        <f t="shared" si="82"/>
        <v>0.19960591428928892</v>
      </c>
      <c r="HK13" s="9">
        <f t="shared" si="82"/>
        <v>0.22793557351155996</v>
      </c>
      <c r="HL13" s="9">
        <f t="shared" si="82"/>
        <v>0.24586901064123892</v>
      </c>
      <c r="HM13" s="9">
        <f t="shared" si="82"/>
        <v>0.28579688798021863</v>
      </c>
      <c r="HN13" s="9">
        <f t="shared" si="82"/>
        <v>0.3674732370438662</v>
      </c>
      <c r="HO13" s="32"/>
      <c r="HP13" s="32"/>
      <c r="HQ13" s="32">
        <v>167681501.25450447</v>
      </c>
      <c r="HR13" s="32">
        <f t="shared" si="36"/>
        <v>0.16768150125450448</v>
      </c>
      <c r="HT13" s="32"/>
      <c r="IC13" s="41">
        <f t="shared" si="67"/>
        <v>44782</v>
      </c>
      <c r="ID13" s="9">
        <v>0.14289596122620002</v>
      </c>
      <c r="IE13" s="9"/>
      <c r="IF13" s="9"/>
      <c r="IG13" s="9"/>
      <c r="IH13" s="9"/>
      <c r="II13" s="9"/>
      <c r="IJ13" s="9"/>
      <c r="IK13" s="9"/>
      <c r="IL13" s="9"/>
      <c r="IM13" s="9"/>
      <c r="IN13" s="9"/>
      <c r="IO13" s="9"/>
      <c r="IP13" s="32"/>
      <c r="IQ13" s="32"/>
      <c r="JB13" s="41">
        <f t="shared" si="13"/>
        <v>44418</v>
      </c>
      <c r="JC13" s="9">
        <f t="shared" si="14"/>
        <v>0.10471594425839999</v>
      </c>
      <c r="JD13" s="9"/>
      <c r="JE13" s="9"/>
      <c r="JF13" s="9"/>
      <c r="JG13" s="9"/>
      <c r="JH13" s="9"/>
      <c r="JI13" s="9"/>
      <c r="JJ13" s="9"/>
      <c r="JK13" s="9"/>
      <c r="JL13" s="9"/>
      <c r="JM13" s="9"/>
      <c r="JN13" s="9"/>
      <c r="JO13" s="9"/>
      <c r="JZ13" s="41">
        <f t="shared" si="15"/>
        <v>44418</v>
      </c>
      <c r="KA13" s="9">
        <f t="shared" si="37"/>
        <v>0.10471594425839999</v>
      </c>
      <c r="KB13" s="9"/>
      <c r="KC13" s="9"/>
      <c r="KN13" s="41">
        <v>42955</v>
      </c>
      <c r="KO13" s="212">
        <v>10483326.313199999</v>
      </c>
      <c r="KP13" s="212">
        <f t="shared" si="38"/>
        <v>206705392.52399999</v>
      </c>
      <c r="KR13" s="41">
        <v>43137</v>
      </c>
      <c r="KS13" s="212">
        <v>9985924.3103999998</v>
      </c>
      <c r="KT13" s="212">
        <f t="shared" si="39"/>
        <v>120006249.34679998</v>
      </c>
      <c r="KV13" s="41">
        <v>43319</v>
      </c>
      <c r="KW13" s="212">
        <v>84648943.180799991</v>
      </c>
      <c r="KX13" s="212">
        <f t="shared" si="40"/>
        <v>249567660.77399999</v>
      </c>
      <c r="KZ13" s="41">
        <v>43501</v>
      </c>
      <c r="LA13" s="212">
        <v>11134433.408399999</v>
      </c>
      <c r="LB13" s="212">
        <f t="shared" si="41"/>
        <v>104034156.40439999</v>
      </c>
      <c r="LD13" s="41">
        <v>43683</v>
      </c>
      <c r="LE13" s="212">
        <v>45872354.836799994</v>
      </c>
      <c r="LF13" s="212">
        <f t="shared" si="42"/>
        <v>151153382.46959996</v>
      </c>
      <c r="LH13" s="41">
        <v>43872</v>
      </c>
      <c r="LI13" s="212">
        <v>12212687.779199999</v>
      </c>
      <c r="LJ13" s="212">
        <f t="shared" si="43"/>
        <v>92018576.660399988</v>
      </c>
      <c r="LL13" s="41">
        <v>44054</v>
      </c>
      <c r="LM13" s="212">
        <v>18666564.0264</v>
      </c>
      <c r="LN13" s="212">
        <f t="shared" si="44"/>
        <v>153029045.0844</v>
      </c>
      <c r="LP13" s="41">
        <v>44236</v>
      </c>
      <c r="LQ13" s="212">
        <v>12332907.719999999</v>
      </c>
      <c r="LR13" s="212">
        <f t="shared" si="45"/>
        <v>142131176.54279998</v>
      </c>
      <c r="LT13" s="41">
        <v>44418</v>
      </c>
      <c r="LU13" s="212">
        <v>14124346.052399999</v>
      </c>
      <c r="LV13" s="212">
        <f t="shared" si="46"/>
        <v>104715944.25839999</v>
      </c>
      <c r="LX13" s="41">
        <v>44600</v>
      </c>
      <c r="LY13" s="212">
        <v>14661996.343199998</v>
      </c>
      <c r="LZ13" s="212">
        <f t="shared" si="47"/>
        <v>183879738.8964</v>
      </c>
      <c r="MB13" s="32">
        <v>6</v>
      </c>
      <c r="MC13" s="42">
        <f t="shared" si="48"/>
        <v>0.206705392524</v>
      </c>
      <c r="MD13" s="42">
        <f t="shared" si="49"/>
        <v>0.12000624934679999</v>
      </c>
      <c r="ME13" s="42">
        <f t="shared" si="50"/>
        <v>0.249567660774</v>
      </c>
      <c r="MF13" s="42">
        <f t="shared" si="51"/>
        <v>0.10403415640439999</v>
      </c>
      <c r="MG13" s="42">
        <f t="shared" si="52"/>
        <v>0.15115338246959997</v>
      </c>
      <c r="MH13" s="42">
        <f t="shared" si="53"/>
        <v>9.2018576660399989E-2</v>
      </c>
      <c r="MI13" s="42">
        <f t="shared" si="54"/>
        <v>0.15302904508439999</v>
      </c>
      <c r="MJ13" s="42">
        <f t="shared" si="55"/>
        <v>0.14213117654279997</v>
      </c>
      <c r="MK13" s="42">
        <f t="shared" si="56"/>
        <v>0.10471594425839999</v>
      </c>
      <c r="ML13" s="42">
        <f t="shared" si="57"/>
        <v>0.1838797388964</v>
      </c>
      <c r="MM13" s="9"/>
      <c r="MN13" s="9"/>
      <c r="MO13" s="9"/>
      <c r="MW13" s="52"/>
      <c r="MX13" s="54" t="s">
        <v>70</v>
      </c>
      <c r="MY13" s="53"/>
      <c r="MZ13" s="53"/>
      <c r="NA13" s="53"/>
      <c r="NB13" s="53"/>
      <c r="NC13" s="53"/>
      <c r="ND13" s="53"/>
      <c r="NE13" s="53"/>
      <c r="NF13" s="53"/>
      <c r="NG13" s="53"/>
      <c r="NH13" s="53">
        <f ca="1">(LZ38)/1000000000</f>
        <v>0.57118859305896474</v>
      </c>
      <c r="NI13" s="53"/>
      <c r="NT13" s="41">
        <v>44602</v>
      </c>
      <c r="NU13" s="9">
        <f t="shared" si="16"/>
        <v>0.1838797388964</v>
      </c>
      <c r="NV13" s="9">
        <f t="shared" si="58"/>
        <v>9.2598908927676915E-2</v>
      </c>
      <c r="NW13" s="9">
        <f t="shared" si="58"/>
        <v>0.10120604814858462</v>
      </c>
      <c r="NX13" s="9">
        <f t="shared" si="58"/>
        <v>0.1075044261649223</v>
      </c>
      <c r="NY13" s="9">
        <f t="shared" si="58"/>
        <v>0.11243332127672309</v>
      </c>
      <c r="NZ13" s="9">
        <f t="shared" si="58"/>
        <v>0.12237310633638462</v>
      </c>
      <c r="OA13" s="9">
        <f t="shared" si="58"/>
        <v>0.13516166641084618</v>
      </c>
      <c r="OB13" s="9">
        <f t="shared" si="58"/>
        <v>0.15175194997403074</v>
      </c>
      <c r="OC13" s="9">
        <f t="shared" si="58"/>
        <v>0.17105006123375535</v>
      </c>
      <c r="OD13" s="9">
        <f t="shared" si="58"/>
        <v>0.18310589839633845</v>
      </c>
      <c r="OE13" s="9">
        <f t="shared" si="58"/>
        <v>0.20720767925949229</v>
      </c>
      <c r="OF13" s="9">
        <f t="shared" si="58"/>
        <v>0.25586013534410768</v>
      </c>
      <c r="OG13" s="9">
        <f t="shared" ca="1" si="58"/>
        <v>0.13181275224437647</v>
      </c>
      <c r="OH13" s="32"/>
      <c r="OS13" s="41">
        <f t="shared" si="59"/>
        <v>44602</v>
      </c>
      <c r="OT13" s="9">
        <f t="shared" si="59"/>
        <v>0.1838797388964</v>
      </c>
      <c r="OU13" s="9"/>
      <c r="OV13" s="9"/>
      <c r="OW13" s="9"/>
      <c r="OX13" s="9"/>
      <c r="OY13" s="9"/>
      <c r="OZ13" s="9"/>
      <c r="PA13" s="9"/>
      <c r="PB13" s="9"/>
      <c r="PC13" s="9"/>
      <c r="PD13" s="9"/>
      <c r="PE13" s="9"/>
      <c r="PF13" s="9"/>
    </row>
    <row r="14" spans="2:424" x14ac:dyDescent="0.25">
      <c r="B14" s="48">
        <v>42787</v>
      </c>
      <c r="C14" s="214">
        <v>13731330.581999999</v>
      </c>
      <c r="D14" s="214">
        <v>10469145</v>
      </c>
      <c r="E14" s="215">
        <v>5000000</v>
      </c>
      <c r="F14" s="215"/>
      <c r="G14" s="215"/>
      <c r="H14" s="215"/>
      <c r="I14" s="41">
        <v>42962</v>
      </c>
      <c r="J14" s="212">
        <v>15806862.820799999</v>
      </c>
      <c r="K14" s="212">
        <f t="shared" si="18"/>
        <v>222512255.3448</v>
      </c>
      <c r="M14" s="41">
        <v>43326</v>
      </c>
      <c r="N14" s="212">
        <v>11145387.8916</v>
      </c>
      <c r="O14" s="212">
        <f t="shared" si="19"/>
        <v>260713048.6656</v>
      </c>
      <c r="Q14" s="41">
        <v>43690</v>
      </c>
      <c r="R14" s="212">
        <v>12702065.597999999</v>
      </c>
      <c r="S14" s="212">
        <f t="shared" si="20"/>
        <v>163855448.06759995</v>
      </c>
      <c r="U14" s="41">
        <v>44061</v>
      </c>
      <c r="V14" s="212">
        <v>29966317.235999998</v>
      </c>
      <c r="W14" s="212">
        <f t="shared" si="21"/>
        <v>182995362.3204</v>
      </c>
      <c r="Y14" s="41">
        <v>44425</v>
      </c>
      <c r="Z14" s="212">
        <v>25525318.924799997</v>
      </c>
      <c r="AA14" s="212">
        <f t="shared" si="22"/>
        <v>130241263.18319999</v>
      </c>
      <c r="AC14" s="32">
        <v>7</v>
      </c>
      <c r="AD14" s="39">
        <f t="shared" si="0"/>
        <v>0.22251225534479999</v>
      </c>
      <c r="AE14" s="39">
        <f t="shared" si="1"/>
        <v>0.26071304866560002</v>
      </c>
      <c r="AF14" s="39">
        <f t="shared" si="2"/>
        <v>0.16385544806759994</v>
      </c>
      <c r="AG14" s="39">
        <f t="shared" si="3"/>
        <v>0.18299536232040001</v>
      </c>
      <c r="AH14" s="39">
        <f t="shared" si="4"/>
        <v>0.13024126318319998</v>
      </c>
      <c r="AI14" s="39">
        <f t="shared" si="23"/>
        <v>0.19476544381737387</v>
      </c>
      <c r="AJ14" s="9"/>
      <c r="AK14" s="9"/>
      <c r="AL14" s="9"/>
      <c r="AT14" s="52"/>
      <c r="AU14" s="54" t="s">
        <v>71</v>
      </c>
      <c r="AZ14" s="57">
        <f ca="1">AZ12+JC69</f>
        <v>1.2951044059712997</v>
      </c>
      <c r="BB14" s="57"/>
      <c r="BM14" s="41">
        <f t="shared" si="60"/>
        <v>44425</v>
      </c>
      <c r="BN14" s="9">
        <f t="shared" si="5"/>
        <v>0.13024126318319998</v>
      </c>
      <c r="BO14" s="9">
        <f t="shared" si="24"/>
        <v>0.11222543412344471</v>
      </c>
      <c r="BP14" s="9">
        <f t="shared" si="24"/>
        <v>0.12756196657965382</v>
      </c>
      <c r="BQ14" s="9">
        <f t="shared" si="24"/>
        <v>0.13610609699384907</v>
      </c>
      <c r="BR14" s="9">
        <f t="shared" si="24"/>
        <v>0.14139894228220143</v>
      </c>
      <c r="BS14" s="9">
        <f t="shared" si="24"/>
        <v>0.15126967443339343</v>
      </c>
      <c r="BT14" s="9">
        <f t="shared" si="24"/>
        <v>0.16428865277003668</v>
      </c>
      <c r="BU14" s="9">
        <f t="shared" si="24"/>
        <v>0.1787840668203082</v>
      </c>
      <c r="BV14" s="9">
        <f t="shared" si="24"/>
        <v>0.19404294165703861</v>
      </c>
      <c r="BW14" s="9">
        <f t="shared" si="24"/>
        <v>0.20388382417827017</v>
      </c>
      <c r="BX14" s="9">
        <f t="shared" si="24"/>
        <v>0.22404860525583797</v>
      </c>
      <c r="BY14" s="9">
        <f t="shared" si="24"/>
        <v>0.27652510867457369</v>
      </c>
      <c r="BZ14" s="32"/>
      <c r="CA14" s="32"/>
      <c r="CL14" s="41">
        <f t="shared" si="61"/>
        <v>44789</v>
      </c>
      <c r="CM14" s="76">
        <v>0.15550996784351032</v>
      </c>
      <c r="CN14" s="9">
        <f t="shared" si="25"/>
        <v>0.12488603366947849</v>
      </c>
      <c r="CO14" s="9">
        <f t="shared" si="25"/>
        <v>0.14219242315551306</v>
      </c>
      <c r="CP14" s="9">
        <f t="shared" si="25"/>
        <v>0.15486371732680632</v>
      </c>
      <c r="CQ14" s="9">
        <f t="shared" si="25"/>
        <v>0.16155439656757659</v>
      </c>
      <c r="CR14" s="9">
        <f t="shared" si="25"/>
        <v>0.17559775433211211</v>
      </c>
      <c r="CS14" s="9">
        <f t="shared" si="25"/>
        <v>0.19494844316772988</v>
      </c>
      <c r="CT14" s="9">
        <f t="shared" si="25"/>
        <v>0.21648794671168387</v>
      </c>
      <c r="CU14" s="9">
        <f t="shared" si="25"/>
        <v>0.23998745517507145</v>
      </c>
      <c r="CV14" s="9">
        <f t="shared" si="25"/>
        <v>0.25571497390027359</v>
      </c>
      <c r="CW14" s="9">
        <f t="shared" si="25"/>
        <v>0.28757000654910031</v>
      </c>
      <c r="CX14" s="9">
        <f t="shared" si="25"/>
        <v>0.35704184465260996</v>
      </c>
      <c r="CY14" s="32"/>
      <c r="CZ14" s="32"/>
      <c r="DA14" s="32">
        <f t="shared" si="26"/>
        <v>0.15550996784351032</v>
      </c>
      <c r="DB14" s="32">
        <v>155509967.84351033</v>
      </c>
      <c r="DC14" s="32"/>
      <c r="DD14" s="41">
        <v>45153</v>
      </c>
      <c r="DE14" s="76">
        <v>0.17062540275675672</v>
      </c>
      <c r="DF14" s="9">
        <f t="shared" ref="DF14:DP14" si="83">DF13+DF$2</f>
        <v>0.12379635283366637</v>
      </c>
      <c r="DG14" s="9">
        <f t="shared" si="83"/>
        <v>0.13787849060633725</v>
      </c>
      <c r="DH14" s="9">
        <f t="shared" si="83"/>
        <v>0.14655328542550483</v>
      </c>
      <c r="DI14" s="9">
        <f t="shared" si="83"/>
        <v>0.15241028073425567</v>
      </c>
      <c r="DJ14" s="9">
        <f t="shared" si="83"/>
        <v>0.16371462111856572</v>
      </c>
      <c r="DK14" s="9">
        <f t="shared" si="83"/>
        <v>0.17869914444512228</v>
      </c>
      <c r="DL14" s="9">
        <f t="shared" si="83"/>
        <v>0.19742271373979392</v>
      </c>
      <c r="DM14" s="9">
        <f t="shared" si="83"/>
        <v>0.21764006472422961</v>
      </c>
      <c r="DN14" s="9">
        <f t="shared" si="83"/>
        <v>0.22984985103290381</v>
      </c>
      <c r="DO14" s="9">
        <f t="shared" si="83"/>
        <v>0.25689128154122176</v>
      </c>
      <c r="DP14" s="9">
        <f t="shared" si="83"/>
        <v>0.32191732536762052</v>
      </c>
      <c r="DQ14" s="32"/>
      <c r="DR14" s="32"/>
      <c r="DS14" s="32">
        <f t="shared" si="28"/>
        <v>0.15550996784351032</v>
      </c>
      <c r="DT14" s="32">
        <v>155509967.84351033</v>
      </c>
      <c r="DU14" s="32"/>
      <c r="EF14" s="32"/>
      <c r="EG14" s="41">
        <v>45517</v>
      </c>
      <c r="EH14" s="76">
        <v>0.17478621813671744</v>
      </c>
      <c r="EI14" s="9">
        <f t="shared" ref="EI14:ES14" si="84">EI13+EI$2</f>
        <v>0.14203220873995151</v>
      </c>
      <c r="EJ14" s="9">
        <f t="shared" si="84"/>
        <v>0.15414034474675814</v>
      </c>
      <c r="EK14" s="9">
        <f t="shared" si="84"/>
        <v>0.16468296565271806</v>
      </c>
      <c r="EL14" s="9">
        <f t="shared" si="84"/>
        <v>0.17156784504546962</v>
      </c>
      <c r="EM14" s="9">
        <f t="shared" si="84"/>
        <v>0.18427972732911277</v>
      </c>
      <c r="EN14" s="9">
        <f t="shared" si="84"/>
        <v>0.20189758753210779</v>
      </c>
      <c r="EO14" s="9">
        <f t="shared" si="84"/>
        <v>0.22240179241163935</v>
      </c>
      <c r="EP14" s="9">
        <f t="shared" si="84"/>
        <v>0.24431512746552089</v>
      </c>
      <c r="EQ14" s="9">
        <f t="shared" si="84"/>
        <v>0.25744310270893156</v>
      </c>
      <c r="ER14" s="9">
        <f t="shared" si="84"/>
        <v>0.28625166602897623</v>
      </c>
      <c r="ES14" s="9">
        <f t="shared" si="84"/>
        <v>0.34534392561238719</v>
      </c>
      <c r="ET14" s="32"/>
      <c r="EU14" s="32"/>
      <c r="EV14" s="32">
        <f t="shared" si="30"/>
        <v>0.15550996784351032</v>
      </c>
      <c r="EW14" s="32">
        <v>155509967.84351033</v>
      </c>
      <c r="EX14" s="32"/>
      <c r="FG14" s="32"/>
      <c r="FH14" s="32"/>
      <c r="FI14" s="41">
        <v>45881</v>
      </c>
      <c r="FJ14" s="76">
        <v>0.18212702829744742</v>
      </c>
      <c r="FK14" s="9">
        <f t="shared" ref="FK14:FU14" si="85">FK13+FK$2</f>
        <v>0.14203220873995151</v>
      </c>
      <c r="FL14" s="9">
        <f t="shared" si="85"/>
        <v>0.15414034474675814</v>
      </c>
      <c r="FM14" s="9">
        <f t="shared" si="85"/>
        <v>0.16468296565271806</v>
      </c>
      <c r="FN14" s="9">
        <f t="shared" si="85"/>
        <v>0.17156784504546962</v>
      </c>
      <c r="FO14" s="9">
        <f t="shared" si="85"/>
        <v>0.18427972732911277</v>
      </c>
      <c r="FP14" s="9">
        <f t="shared" si="85"/>
        <v>0.20189758753210779</v>
      </c>
      <c r="FQ14" s="9">
        <f t="shared" si="85"/>
        <v>0.22240179241163935</v>
      </c>
      <c r="FR14" s="9">
        <f t="shared" si="85"/>
        <v>0.24431512746552089</v>
      </c>
      <c r="FS14" s="9">
        <f t="shared" si="85"/>
        <v>0.25744310270893156</v>
      </c>
      <c r="FT14" s="9">
        <f t="shared" si="85"/>
        <v>0.28625166602897623</v>
      </c>
      <c r="FU14" s="9">
        <f t="shared" si="85"/>
        <v>0.34534392561238719</v>
      </c>
      <c r="FV14" s="32"/>
      <c r="FW14" s="32"/>
      <c r="FX14" s="32">
        <f t="shared" si="32"/>
        <v>0.15550996784351032</v>
      </c>
      <c r="FY14" s="32">
        <v>155509967.84351033</v>
      </c>
      <c r="FZ14" s="32"/>
      <c r="GI14" s="32"/>
      <c r="GJ14" s="41">
        <v>45517</v>
      </c>
      <c r="GK14" s="76">
        <v>0.17478621813671744</v>
      </c>
      <c r="GL14" s="9">
        <f t="shared" ref="GL14:GV14" si="86">GL13+GL$2</f>
        <v>0.11722174315528495</v>
      </c>
      <c r="GM14" s="9">
        <f t="shared" si="86"/>
        <v>0.13495615539131067</v>
      </c>
      <c r="GN14" s="9">
        <f t="shared" si="86"/>
        <v>0.1450940586230739</v>
      </c>
      <c r="GO14" s="9">
        <f t="shared" si="86"/>
        <v>0.1508207847364911</v>
      </c>
      <c r="GP14" s="9">
        <f t="shared" si="86"/>
        <v>0.16268154572181848</v>
      </c>
      <c r="GQ14" s="9">
        <f t="shared" si="86"/>
        <v>0.18232510295727744</v>
      </c>
      <c r="GR14" s="9">
        <f t="shared" si="86"/>
        <v>0.20783283987345144</v>
      </c>
      <c r="GS14" s="9">
        <f t="shared" si="86"/>
        <v>0.2377990169737276</v>
      </c>
      <c r="GT14" s="9">
        <f t="shared" si="86"/>
        <v>0.26170682619025165</v>
      </c>
      <c r="GU14" s="9">
        <f t="shared" si="86"/>
        <v>0.3070428369749385</v>
      </c>
      <c r="GV14" s="9">
        <f t="shared" si="86"/>
        <v>0.39907286448038276</v>
      </c>
      <c r="GW14" s="32"/>
      <c r="GX14" s="32"/>
      <c r="GY14" s="32">
        <f t="shared" si="34"/>
        <v>0.15550996784351032</v>
      </c>
      <c r="GZ14" s="32">
        <v>155509967.84351033</v>
      </c>
      <c r="HA14" s="32"/>
      <c r="HB14" s="229">
        <v>45881</v>
      </c>
      <c r="HC14" s="230">
        <v>0.18212702829744742</v>
      </c>
      <c r="HD14" s="9">
        <f t="shared" ref="HD14:HN14" si="87">HD13+HD$2</f>
        <v>0.12986501234077225</v>
      </c>
      <c r="HE14" s="9">
        <f t="shared" si="87"/>
        <v>0.14644662340850315</v>
      </c>
      <c r="HF14" s="9">
        <f t="shared" si="87"/>
        <v>0.15801028006738527</v>
      </c>
      <c r="HG14" s="9">
        <f t="shared" si="87"/>
        <v>0.16531756240157536</v>
      </c>
      <c r="HH14" s="9">
        <f t="shared" si="87"/>
        <v>0.18120917590703425</v>
      </c>
      <c r="HI14" s="9">
        <f t="shared" si="87"/>
        <v>0.20355775978347462</v>
      </c>
      <c r="HJ14" s="9">
        <f t="shared" si="87"/>
        <v>0.23287356667083708</v>
      </c>
      <c r="HK14" s="9">
        <f t="shared" si="87"/>
        <v>0.26592483576348663</v>
      </c>
      <c r="HL14" s="9">
        <f t="shared" si="87"/>
        <v>0.28684717908144541</v>
      </c>
      <c r="HM14" s="9">
        <f t="shared" si="87"/>
        <v>0.3334297026435884</v>
      </c>
      <c r="HN14" s="9">
        <f t="shared" si="87"/>
        <v>0.42871877655117724</v>
      </c>
      <c r="HO14" s="32"/>
      <c r="HP14" s="32"/>
      <c r="HQ14" s="32">
        <v>182127028.29744741</v>
      </c>
      <c r="HR14" s="32">
        <f t="shared" si="36"/>
        <v>0.18212702829744742</v>
      </c>
      <c r="HT14" s="32"/>
      <c r="IC14" s="41">
        <f t="shared" si="67"/>
        <v>44789</v>
      </c>
      <c r="ID14" s="9">
        <v>0.15624946326470002</v>
      </c>
      <c r="IE14" s="9"/>
      <c r="IF14" s="9"/>
      <c r="IG14" s="9"/>
      <c r="IH14" s="9"/>
      <c r="II14" s="9"/>
      <c r="IJ14" s="9"/>
      <c r="IK14" s="9"/>
      <c r="IL14" s="9"/>
      <c r="IM14" s="9"/>
      <c r="IN14" s="9"/>
      <c r="IO14" s="9"/>
      <c r="IP14" s="32"/>
      <c r="IQ14" s="32"/>
      <c r="JB14" s="41">
        <f t="shared" si="13"/>
        <v>44425</v>
      </c>
      <c r="JC14" s="9">
        <f t="shared" si="14"/>
        <v>0.13024126318319998</v>
      </c>
      <c r="JD14" s="9"/>
      <c r="JE14" s="9"/>
      <c r="JF14" s="9"/>
      <c r="JG14" s="9"/>
      <c r="JH14" s="9"/>
      <c r="JI14" s="9"/>
      <c r="JJ14" s="9"/>
      <c r="JK14" s="9"/>
      <c r="JL14" s="9"/>
      <c r="JM14" s="9"/>
      <c r="JN14" s="9"/>
      <c r="JO14" s="9"/>
      <c r="JZ14" s="41">
        <f t="shared" si="15"/>
        <v>44425</v>
      </c>
      <c r="KA14" s="9">
        <f t="shared" si="37"/>
        <v>0.13024126318319998</v>
      </c>
      <c r="KB14" s="9"/>
      <c r="KC14" s="9"/>
      <c r="KN14" s="41">
        <v>42962</v>
      </c>
      <c r="KO14" s="212">
        <v>15806862.820799999</v>
      </c>
      <c r="KP14" s="212">
        <f t="shared" si="38"/>
        <v>222512255.3448</v>
      </c>
      <c r="KR14" s="41">
        <v>43144</v>
      </c>
      <c r="KS14" s="212">
        <v>12615000.278399998</v>
      </c>
      <c r="KT14" s="212">
        <f t="shared" si="39"/>
        <v>132621249.62519999</v>
      </c>
      <c r="KV14" s="41">
        <v>43326</v>
      </c>
      <c r="KW14" s="212">
        <v>11145387.8916</v>
      </c>
      <c r="KX14" s="212">
        <f t="shared" si="40"/>
        <v>260713048.6656</v>
      </c>
      <c r="KZ14" s="41">
        <v>43508</v>
      </c>
      <c r="LA14" s="212">
        <v>13438526.374799998</v>
      </c>
      <c r="LB14" s="212">
        <f t="shared" si="41"/>
        <v>117472682.77919999</v>
      </c>
      <c r="LD14" s="41">
        <v>43690</v>
      </c>
      <c r="LE14" s="212">
        <v>12702065.597999999</v>
      </c>
      <c r="LF14" s="212">
        <f t="shared" si="42"/>
        <v>163855448.06759995</v>
      </c>
      <c r="LH14" s="41">
        <v>43879</v>
      </c>
      <c r="LI14" s="212">
        <v>13876536.365999999</v>
      </c>
      <c r="LJ14" s="212">
        <f t="shared" si="43"/>
        <v>105895113.02639998</v>
      </c>
      <c r="LL14" s="41">
        <v>44061</v>
      </c>
      <c r="LM14" s="212">
        <v>29966317.235999998</v>
      </c>
      <c r="LN14" s="212">
        <f t="shared" si="44"/>
        <v>182995362.3204</v>
      </c>
      <c r="LP14" s="41">
        <v>44243</v>
      </c>
      <c r="LQ14" s="212">
        <v>14137358.363999998</v>
      </c>
      <c r="LR14" s="212">
        <f t="shared" si="45"/>
        <v>156268534.90679997</v>
      </c>
      <c r="LT14" s="41">
        <v>44425</v>
      </c>
      <c r="LU14" s="212">
        <v>25525318.924799997</v>
      </c>
      <c r="LV14" s="212">
        <f t="shared" si="46"/>
        <v>130241263.18319999</v>
      </c>
      <c r="LX14" s="41">
        <v>44607</v>
      </c>
      <c r="LY14" s="212">
        <v>19117158.498</v>
      </c>
      <c r="LZ14" s="212">
        <f t="shared" si="47"/>
        <v>202996897.3944</v>
      </c>
      <c r="MB14" s="32">
        <v>7</v>
      </c>
      <c r="MC14" s="42">
        <f t="shared" si="48"/>
        <v>0.22251225534479999</v>
      </c>
      <c r="MD14" s="42">
        <f t="shared" si="49"/>
        <v>0.1326212496252</v>
      </c>
      <c r="ME14" s="42">
        <f t="shared" si="50"/>
        <v>0.26071304866560002</v>
      </c>
      <c r="MF14" s="42">
        <f t="shared" si="51"/>
        <v>0.11747268277919999</v>
      </c>
      <c r="MG14" s="42">
        <f t="shared" si="52"/>
        <v>0.16385544806759994</v>
      </c>
      <c r="MH14" s="42">
        <f t="shared" si="53"/>
        <v>0.10589511302639998</v>
      </c>
      <c r="MI14" s="42">
        <f t="shared" si="54"/>
        <v>0.18299536232040001</v>
      </c>
      <c r="MJ14" s="42">
        <f t="shared" si="55"/>
        <v>0.15626853490679998</v>
      </c>
      <c r="MK14" s="42">
        <f t="shared" si="56"/>
        <v>0.13024126318319998</v>
      </c>
      <c r="ML14" s="42">
        <f t="shared" si="57"/>
        <v>0.20299689739439999</v>
      </c>
      <c r="MM14" s="9"/>
      <c r="MN14" s="9"/>
      <c r="MO14" s="9"/>
      <c r="MW14" s="52"/>
      <c r="MX14" s="54" t="s">
        <v>72</v>
      </c>
      <c r="MY14" s="53"/>
      <c r="MZ14" s="53"/>
      <c r="NA14" s="53"/>
      <c r="NB14" s="53"/>
      <c r="NC14" s="53"/>
      <c r="ND14" s="53"/>
      <c r="NE14" s="53"/>
      <c r="NF14" s="53"/>
      <c r="NG14" s="53"/>
      <c r="NH14" s="53">
        <f ca="1">NH12+OT43</f>
        <v>0.54913070051259993</v>
      </c>
      <c r="NI14" s="53"/>
      <c r="NT14" s="41">
        <v>44609</v>
      </c>
      <c r="NU14" s="9">
        <f t="shared" si="16"/>
        <v>0.20299689739439999</v>
      </c>
      <c r="NV14" s="9">
        <f t="shared" si="58"/>
        <v>0.10803206041562306</v>
      </c>
      <c r="NW14" s="9">
        <f t="shared" si="58"/>
        <v>0.1180737228400154</v>
      </c>
      <c r="NX14" s="9">
        <f t="shared" si="58"/>
        <v>0.12542183052574268</v>
      </c>
      <c r="NY14" s="9">
        <f t="shared" si="58"/>
        <v>0.13117220815617694</v>
      </c>
      <c r="NZ14" s="9">
        <f t="shared" si="58"/>
        <v>0.14276862405911539</v>
      </c>
      <c r="OA14" s="9">
        <f t="shared" si="58"/>
        <v>0.15768861081265387</v>
      </c>
      <c r="OB14" s="9">
        <f t="shared" si="58"/>
        <v>0.17704394163636919</v>
      </c>
      <c r="OC14" s="9">
        <f t="shared" si="58"/>
        <v>0.19955840477271458</v>
      </c>
      <c r="OD14" s="9">
        <f t="shared" si="58"/>
        <v>0.21362354812906154</v>
      </c>
      <c r="OE14" s="9">
        <f t="shared" si="58"/>
        <v>0.24174229246940768</v>
      </c>
      <c r="OF14" s="9">
        <f t="shared" si="58"/>
        <v>0.29850349123479231</v>
      </c>
      <c r="OG14" s="9">
        <f t="shared" ca="1" si="58"/>
        <v>0.15378154428510588</v>
      </c>
      <c r="OH14" s="32"/>
      <c r="OS14" s="41">
        <f t="shared" si="59"/>
        <v>44609</v>
      </c>
      <c r="OT14" s="9">
        <f t="shared" si="59"/>
        <v>0.20299689739439999</v>
      </c>
      <c r="OU14" s="9"/>
      <c r="OV14" s="9"/>
      <c r="OW14" s="9"/>
      <c r="OX14" s="9"/>
      <c r="OY14" s="9"/>
      <c r="OZ14" s="9"/>
      <c r="PA14" s="9"/>
      <c r="PB14" s="9"/>
      <c r="PC14" s="9"/>
      <c r="PD14" s="9"/>
      <c r="PE14" s="9"/>
      <c r="PF14" s="9"/>
    </row>
    <row r="15" spans="2:424" x14ac:dyDescent="0.25">
      <c r="B15" s="48">
        <v>42794</v>
      </c>
      <c r="C15" s="214">
        <v>19080085.222799998</v>
      </c>
      <c r="D15" s="214">
        <v>14547183</v>
      </c>
      <c r="E15" s="215">
        <v>10000000</v>
      </c>
      <c r="F15" s="215"/>
      <c r="G15" s="215"/>
      <c r="H15" s="215"/>
      <c r="I15" s="41">
        <v>42969</v>
      </c>
      <c r="J15" s="212">
        <v>19461209.950799998</v>
      </c>
      <c r="K15" s="212">
        <f t="shared" si="18"/>
        <v>241973465.2956</v>
      </c>
      <c r="M15" s="41">
        <v>43333</v>
      </c>
      <c r="N15" s="212">
        <v>15965018.171999998</v>
      </c>
      <c r="O15" s="212">
        <f t="shared" si="19"/>
        <v>276678066.83759999</v>
      </c>
      <c r="Q15" s="41">
        <v>43697</v>
      </c>
      <c r="R15" s="212">
        <v>13156790.759999998</v>
      </c>
      <c r="S15" s="212">
        <f t="shared" si="20"/>
        <v>177012238.82759994</v>
      </c>
      <c r="U15" s="41">
        <v>44068</v>
      </c>
      <c r="V15" s="212">
        <v>13859493.692399999</v>
      </c>
      <c r="W15" s="212">
        <f t="shared" si="21"/>
        <v>196854856.01280001</v>
      </c>
      <c r="Y15" s="41">
        <v>44432</v>
      </c>
      <c r="Z15" s="212">
        <v>12753677.512799999</v>
      </c>
      <c r="AA15" s="212">
        <f t="shared" si="22"/>
        <v>142994940.69599998</v>
      </c>
      <c r="AC15" s="32">
        <v>8</v>
      </c>
      <c r="AD15" s="39">
        <f t="shared" si="0"/>
        <v>0.24197346529559999</v>
      </c>
      <c r="AE15" s="39">
        <f t="shared" si="1"/>
        <v>0.27667806683759999</v>
      </c>
      <c r="AF15" s="39">
        <f t="shared" si="2"/>
        <v>0.17701223882759995</v>
      </c>
      <c r="AG15" s="39">
        <f t="shared" si="3"/>
        <v>0.19685485601280001</v>
      </c>
      <c r="AH15" s="39">
        <f t="shared" si="4"/>
        <v>0.14299494069599997</v>
      </c>
      <c r="AI15" s="39">
        <f t="shared" si="23"/>
        <v>0.22258907864842728</v>
      </c>
      <c r="AJ15" s="9"/>
      <c r="AK15" s="9"/>
      <c r="AL15" s="9"/>
      <c r="AT15" s="52"/>
      <c r="AU15" s="54" t="s">
        <v>73</v>
      </c>
      <c r="AZ15" s="57"/>
      <c r="BA15" s="58">
        <v>1.4468290112147775</v>
      </c>
      <c r="BB15" s="57"/>
      <c r="BM15" s="41">
        <f t="shared" si="60"/>
        <v>44432</v>
      </c>
      <c r="BN15" s="9">
        <f t="shared" si="5"/>
        <v>0.14299494069599997</v>
      </c>
      <c r="BO15" s="9">
        <f t="shared" si="24"/>
        <v>0.12825763899822254</v>
      </c>
      <c r="BP15" s="9">
        <f t="shared" si="24"/>
        <v>0.1457851046624615</v>
      </c>
      <c r="BQ15" s="9">
        <f t="shared" si="24"/>
        <v>0.15554982513582749</v>
      </c>
      <c r="BR15" s="9">
        <f t="shared" si="24"/>
        <v>0.16159879117965878</v>
      </c>
      <c r="BS15" s="9">
        <f t="shared" si="24"/>
        <v>0.1728796279238782</v>
      </c>
      <c r="BT15" s="9">
        <f t="shared" si="24"/>
        <v>0.18775846030861335</v>
      </c>
      <c r="BU15" s="9">
        <f t="shared" si="24"/>
        <v>0.20432464779463794</v>
      </c>
      <c r="BV15" s="9">
        <f t="shared" si="24"/>
        <v>0.22176336189375842</v>
      </c>
      <c r="BW15" s="9">
        <f t="shared" si="24"/>
        <v>0.23301008477516591</v>
      </c>
      <c r="BX15" s="9">
        <f t="shared" si="24"/>
        <v>0.25605554886381482</v>
      </c>
      <c r="BY15" s="9">
        <f t="shared" si="24"/>
        <v>0.31602869562808422</v>
      </c>
      <c r="BZ15" s="32"/>
      <c r="CA15" s="32"/>
      <c r="CL15" s="41">
        <f t="shared" si="61"/>
        <v>44796</v>
      </c>
      <c r="CM15" s="76">
        <v>0.1781636657277286</v>
      </c>
      <c r="CN15" s="9">
        <f t="shared" si="25"/>
        <v>0.14272689562226112</v>
      </c>
      <c r="CO15" s="9">
        <f t="shared" si="25"/>
        <v>0.16250562646344349</v>
      </c>
      <c r="CP15" s="9">
        <f t="shared" si="25"/>
        <v>0.17698710551635008</v>
      </c>
      <c r="CQ15" s="9">
        <f t="shared" si="25"/>
        <v>0.1846335960772304</v>
      </c>
      <c r="CR15" s="9">
        <f t="shared" si="25"/>
        <v>0.20068314780812813</v>
      </c>
      <c r="CS15" s="9">
        <f t="shared" si="25"/>
        <v>0.22279822076311986</v>
      </c>
      <c r="CT15" s="9">
        <f t="shared" si="25"/>
        <v>0.24741479624192442</v>
      </c>
      <c r="CU15" s="9">
        <f t="shared" si="25"/>
        <v>0.27427137734293877</v>
      </c>
      <c r="CV15" s="9">
        <f t="shared" si="25"/>
        <v>0.29224568445745552</v>
      </c>
      <c r="CW15" s="9">
        <f t="shared" si="25"/>
        <v>0.32865143605611463</v>
      </c>
      <c r="CX15" s="9">
        <f t="shared" si="25"/>
        <v>0.40804782246012566</v>
      </c>
      <c r="CY15" s="32"/>
      <c r="CZ15" s="32"/>
      <c r="DA15" s="32">
        <f t="shared" si="26"/>
        <v>0.1781636657277286</v>
      </c>
      <c r="DB15" s="32">
        <v>178163665.72772861</v>
      </c>
      <c r="DC15" s="32"/>
      <c r="DD15" s="41">
        <v>45160</v>
      </c>
      <c r="DE15" s="76">
        <v>0.18329784904354351</v>
      </c>
      <c r="DF15" s="9">
        <f t="shared" ref="DF15:DP15" si="88">DF14+DF$2</f>
        <v>0.14148154609561872</v>
      </c>
      <c r="DG15" s="9">
        <f t="shared" si="88"/>
        <v>0.157575417835814</v>
      </c>
      <c r="DH15" s="9">
        <f t="shared" si="88"/>
        <v>0.1674894690577198</v>
      </c>
      <c r="DI15" s="9">
        <f t="shared" si="88"/>
        <v>0.17418317798200647</v>
      </c>
      <c r="DJ15" s="9">
        <f t="shared" si="88"/>
        <v>0.18710242413550368</v>
      </c>
      <c r="DK15" s="9">
        <f t="shared" si="88"/>
        <v>0.20422759365156831</v>
      </c>
      <c r="DL15" s="9">
        <f t="shared" si="88"/>
        <v>0.22562595855976447</v>
      </c>
      <c r="DM15" s="9">
        <f t="shared" si="88"/>
        <v>0.24873150254197671</v>
      </c>
      <c r="DN15" s="9">
        <f t="shared" si="88"/>
        <v>0.26268554403760436</v>
      </c>
      <c r="DO15" s="9">
        <f t="shared" si="88"/>
        <v>0.29359003604711059</v>
      </c>
      <c r="DP15" s="9">
        <f t="shared" si="88"/>
        <v>0.36790551470585203</v>
      </c>
      <c r="DQ15" s="32"/>
      <c r="DR15" s="32"/>
      <c r="DS15" s="32">
        <f t="shared" si="28"/>
        <v>0.1781636657277286</v>
      </c>
      <c r="DT15" s="32">
        <v>178163665.72772861</v>
      </c>
      <c r="DU15" s="32"/>
      <c r="EF15" s="32"/>
      <c r="EG15" s="41">
        <v>45524</v>
      </c>
      <c r="EH15" s="76">
        <v>0.19634093343851924</v>
      </c>
      <c r="EI15" s="9">
        <f t="shared" ref="EI15:ES15" si="89">EI14+EI$2</f>
        <v>0.1623225242742303</v>
      </c>
      <c r="EJ15" s="9">
        <f t="shared" si="89"/>
        <v>0.17616039399629502</v>
      </c>
      <c r="EK15" s="9">
        <f t="shared" si="89"/>
        <v>0.18820910360310636</v>
      </c>
      <c r="EL15" s="9">
        <f t="shared" si="89"/>
        <v>0.19607753719482243</v>
      </c>
      <c r="EM15" s="9">
        <f t="shared" si="89"/>
        <v>0.21060540266184316</v>
      </c>
      <c r="EN15" s="9">
        <f t="shared" si="89"/>
        <v>0.23074010003669462</v>
      </c>
      <c r="EO15" s="9">
        <f t="shared" si="89"/>
        <v>0.25417347704187354</v>
      </c>
      <c r="EP15" s="9">
        <f t="shared" si="89"/>
        <v>0.27921728853202388</v>
      </c>
      <c r="EQ15" s="9">
        <f t="shared" si="89"/>
        <v>0.29422068881020746</v>
      </c>
      <c r="ER15" s="9">
        <f t="shared" si="89"/>
        <v>0.3271447611759728</v>
      </c>
      <c r="ES15" s="9">
        <f t="shared" si="89"/>
        <v>0.39467877212844249</v>
      </c>
      <c r="ET15" s="32"/>
      <c r="EU15" s="32"/>
      <c r="EV15" s="32">
        <f t="shared" si="30"/>
        <v>0.1781636657277286</v>
      </c>
      <c r="EW15" s="32">
        <v>178163665.72772861</v>
      </c>
      <c r="EX15" s="32"/>
      <c r="FG15" s="32"/>
      <c r="FH15" s="32"/>
      <c r="FI15" s="41">
        <v>45888</v>
      </c>
      <c r="FJ15" s="76">
        <v>0.20305269005177867</v>
      </c>
      <c r="FK15" s="9">
        <f t="shared" ref="FK15:FU15" si="90">FK14+FK$2</f>
        <v>0.1623225242742303</v>
      </c>
      <c r="FL15" s="9">
        <f t="shared" si="90"/>
        <v>0.17616039399629502</v>
      </c>
      <c r="FM15" s="9">
        <f t="shared" si="90"/>
        <v>0.18820910360310636</v>
      </c>
      <c r="FN15" s="9">
        <f t="shared" si="90"/>
        <v>0.19607753719482243</v>
      </c>
      <c r="FO15" s="9">
        <f t="shared" si="90"/>
        <v>0.21060540266184316</v>
      </c>
      <c r="FP15" s="9">
        <f t="shared" si="90"/>
        <v>0.23074010003669462</v>
      </c>
      <c r="FQ15" s="9">
        <f t="shared" si="90"/>
        <v>0.25417347704187354</v>
      </c>
      <c r="FR15" s="9">
        <f t="shared" si="90"/>
        <v>0.27921728853202388</v>
      </c>
      <c r="FS15" s="9">
        <f t="shared" si="90"/>
        <v>0.29422068881020746</v>
      </c>
      <c r="FT15" s="9">
        <f t="shared" si="90"/>
        <v>0.3271447611759728</v>
      </c>
      <c r="FU15" s="9">
        <f t="shared" si="90"/>
        <v>0.39467877212844249</v>
      </c>
      <c r="FV15" s="32"/>
      <c r="FW15" s="32"/>
      <c r="FX15" s="32">
        <f t="shared" si="32"/>
        <v>0.1781636657277286</v>
      </c>
      <c r="FY15" s="32">
        <v>178163665.72772861</v>
      </c>
      <c r="FZ15" s="32"/>
      <c r="GI15" s="32"/>
      <c r="GJ15" s="41">
        <v>45524</v>
      </c>
      <c r="GK15" s="76">
        <v>0.19634093343851924</v>
      </c>
      <c r="GL15" s="9">
        <f t="shared" ref="GL15:GV15" si="91">GL14+GL$2</f>
        <v>0.13396770646318282</v>
      </c>
      <c r="GM15" s="9">
        <f t="shared" si="91"/>
        <v>0.1542356061614979</v>
      </c>
      <c r="GN15" s="9">
        <f t="shared" si="91"/>
        <v>0.16582178128351302</v>
      </c>
      <c r="GO15" s="9">
        <f t="shared" si="91"/>
        <v>0.17236661112741841</v>
      </c>
      <c r="GP15" s="9">
        <f t="shared" si="91"/>
        <v>0.1859217665392211</v>
      </c>
      <c r="GQ15" s="9">
        <f t="shared" si="91"/>
        <v>0.2083715462368885</v>
      </c>
      <c r="GR15" s="9">
        <f t="shared" si="91"/>
        <v>0.23752324556965879</v>
      </c>
      <c r="GS15" s="9">
        <f t="shared" si="91"/>
        <v>0.27177030511283157</v>
      </c>
      <c r="GT15" s="9">
        <f t="shared" si="91"/>
        <v>0.2990935156460019</v>
      </c>
      <c r="GU15" s="9">
        <f t="shared" si="91"/>
        <v>0.35090609939992973</v>
      </c>
      <c r="GV15" s="9">
        <f t="shared" si="91"/>
        <v>0.45608327369186602</v>
      </c>
      <c r="GW15" s="32"/>
      <c r="GX15" s="32"/>
      <c r="GY15" s="32">
        <f t="shared" si="34"/>
        <v>0.1781636657277286</v>
      </c>
      <c r="GZ15" s="32">
        <v>178163665.72772861</v>
      </c>
      <c r="HA15" s="32"/>
      <c r="HB15" s="229">
        <v>45888</v>
      </c>
      <c r="HC15" s="230">
        <v>0.20305269005177867</v>
      </c>
      <c r="HD15" s="9">
        <f t="shared" ref="HD15:HN15" si="92">HD14+HD$2</f>
        <v>0.14841715696088256</v>
      </c>
      <c r="HE15" s="9">
        <f t="shared" si="92"/>
        <v>0.16736756960971788</v>
      </c>
      <c r="HF15" s="9">
        <f t="shared" si="92"/>
        <v>0.18058317721986888</v>
      </c>
      <c r="HG15" s="9">
        <f t="shared" si="92"/>
        <v>0.18893435703037184</v>
      </c>
      <c r="HH15" s="9">
        <f t="shared" si="92"/>
        <v>0.20709620103661058</v>
      </c>
      <c r="HI15" s="9">
        <f t="shared" si="92"/>
        <v>0.23263743975254242</v>
      </c>
      <c r="HJ15" s="9">
        <f t="shared" si="92"/>
        <v>0.26614121905238525</v>
      </c>
      <c r="HK15" s="9">
        <f t="shared" si="92"/>
        <v>0.3039140980154133</v>
      </c>
      <c r="HL15" s="9">
        <f t="shared" si="92"/>
        <v>0.32782534752165188</v>
      </c>
      <c r="HM15" s="9">
        <f t="shared" si="92"/>
        <v>0.38106251730695817</v>
      </c>
      <c r="HN15" s="9">
        <f t="shared" si="92"/>
        <v>0.48996431605848828</v>
      </c>
      <c r="HO15" s="32"/>
      <c r="HP15" s="32"/>
      <c r="HQ15" s="32">
        <v>203052690.05177867</v>
      </c>
      <c r="HR15" s="32">
        <f t="shared" si="36"/>
        <v>0.20305269005177867</v>
      </c>
      <c r="HT15" s="32"/>
      <c r="IC15" s="41">
        <f t="shared" si="67"/>
        <v>44796</v>
      </c>
      <c r="ID15" s="9">
        <v>0.18200498005430002</v>
      </c>
      <c r="IE15" s="9"/>
      <c r="IF15" s="9"/>
      <c r="IG15" s="9"/>
      <c r="IH15" s="9"/>
      <c r="II15" s="9"/>
      <c r="IJ15" s="9"/>
      <c r="IK15" s="9"/>
      <c r="IL15" s="9"/>
      <c r="IM15" s="9"/>
      <c r="IN15" s="9"/>
      <c r="IO15" s="9"/>
      <c r="IP15" s="32"/>
      <c r="IQ15" s="32"/>
      <c r="JB15" s="41">
        <f t="shared" si="13"/>
        <v>44432</v>
      </c>
      <c r="JC15" s="9">
        <f t="shared" si="14"/>
        <v>0.14299494069599997</v>
      </c>
      <c r="JD15" s="9"/>
      <c r="JE15" s="9"/>
      <c r="JF15" s="9"/>
      <c r="JG15" s="9"/>
      <c r="JH15" s="9"/>
      <c r="JI15" s="9"/>
      <c r="JJ15" s="9"/>
      <c r="JK15" s="9"/>
      <c r="JL15" s="9"/>
      <c r="JM15" s="9"/>
      <c r="JN15" s="9"/>
      <c r="JO15" s="9"/>
      <c r="JZ15" s="41">
        <f t="shared" si="15"/>
        <v>44432</v>
      </c>
      <c r="KA15" s="9">
        <f t="shared" si="37"/>
        <v>0.14299494069599997</v>
      </c>
      <c r="KB15" s="9"/>
      <c r="KC15" s="9"/>
      <c r="KN15" s="41">
        <v>42969</v>
      </c>
      <c r="KO15" s="212">
        <v>19461209.950799998</v>
      </c>
      <c r="KP15" s="212">
        <f t="shared" si="38"/>
        <v>241973465.2956</v>
      </c>
      <c r="KR15" s="41">
        <v>43151</v>
      </c>
      <c r="KS15" s="212">
        <v>24491599.923599999</v>
      </c>
      <c r="KT15" s="212">
        <f t="shared" si="39"/>
        <v>157112849.54879999</v>
      </c>
      <c r="KV15" s="41">
        <v>43333</v>
      </c>
      <c r="KW15" s="212">
        <v>15965018.171999998</v>
      </c>
      <c r="KX15" s="212">
        <f t="shared" si="40"/>
        <v>276678066.83759999</v>
      </c>
      <c r="KZ15" s="41">
        <v>43515</v>
      </c>
      <c r="LA15" s="212">
        <v>15193639.979999999</v>
      </c>
      <c r="LB15" s="212">
        <f t="shared" si="41"/>
        <v>132666322.75919999</v>
      </c>
      <c r="LD15" s="41">
        <v>43697</v>
      </c>
      <c r="LE15" s="212">
        <v>13156790.759999998</v>
      </c>
      <c r="LF15" s="212">
        <f t="shared" si="42"/>
        <v>177012238.82759994</v>
      </c>
      <c r="LH15" s="41">
        <v>43886</v>
      </c>
      <c r="LI15" s="212">
        <v>9221237.9495999999</v>
      </c>
      <c r="LJ15" s="212">
        <f t="shared" si="43"/>
        <v>115116350.97599998</v>
      </c>
      <c r="LL15" s="41">
        <v>44068</v>
      </c>
      <c r="LM15" s="212">
        <v>13859493.692399999</v>
      </c>
      <c r="LN15" s="212">
        <f t="shared" si="44"/>
        <v>196854856.01280001</v>
      </c>
      <c r="LP15" s="41">
        <v>44250</v>
      </c>
      <c r="LQ15" s="212">
        <v>25465324.107599996</v>
      </c>
      <c r="LR15" s="212">
        <f t="shared" si="45"/>
        <v>181733859.01439998</v>
      </c>
      <c r="LT15" s="41">
        <v>44432</v>
      </c>
      <c r="LU15" s="212">
        <v>12753677.512799999</v>
      </c>
      <c r="LV15" s="212">
        <f t="shared" si="46"/>
        <v>142994940.69599998</v>
      </c>
      <c r="LX15" s="41">
        <v>44614</v>
      </c>
      <c r="LY15" s="212">
        <v>10870922.692799998</v>
      </c>
      <c r="LZ15" s="212">
        <f t="shared" si="47"/>
        <v>213867820.08719999</v>
      </c>
      <c r="MB15" s="32">
        <v>8</v>
      </c>
      <c r="MC15" s="42">
        <f t="shared" si="48"/>
        <v>0.24197346529559999</v>
      </c>
      <c r="MD15" s="42">
        <f t="shared" si="49"/>
        <v>0.1571128495488</v>
      </c>
      <c r="ME15" s="42">
        <f t="shared" si="50"/>
        <v>0.27667806683759999</v>
      </c>
      <c r="MF15" s="42">
        <f t="shared" si="51"/>
        <v>0.13266632275919998</v>
      </c>
      <c r="MG15" s="42">
        <f t="shared" si="52"/>
        <v>0.17701223882759995</v>
      </c>
      <c r="MH15" s="42">
        <f t="shared" si="53"/>
        <v>0.11511635097599998</v>
      </c>
      <c r="MI15" s="42">
        <f t="shared" si="54"/>
        <v>0.19685485601280001</v>
      </c>
      <c r="MJ15" s="42">
        <f t="shared" si="55"/>
        <v>0.18173385901439998</v>
      </c>
      <c r="MK15" s="42">
        <f t="shared" si="56"/>
        <v>0.14299494069599997</v>
      </c>
      <c r="ML15" s="42">
        <f t="shared" si="57"/>
        <v>0.21386782008719998</v>
      </c>
      <c r="MM15" s="9"/>
      <c r="MN15" s="9"/>
      <c r="MO15" s="9"/>
      <c r="NT15" s="41">
        <v>44616</v>
      </c>
      <c r="NU15" s="9">
        <f t="shared" si="16"/>
        <v>0.21386782008719998</v>
      </c>
      <c r="NV15" s="9">
        <f t="shared" si="58"/>
        <v>0.12346521190356921</v>
      </c>
      <c r="NW15" s="9">
        <f t="shared" si="58"/>
        <v>0.13494139753144616</v>
      </c>
      <c r="NX15" s="9">
        <f t="shared" si="58"/>
        <v>0.14333923488656306</v>
      </c>
      <c r="NY15" s="9">
        <f t="shared" si="58"/>
        <v>0.1499110950356308</v>
      </c>
      <c r="NZ15" s="9">
        <f t="shared" si="58"/>
        <v>0.16316414178184616</v>
      </c>
      <c r="OA15" s="9">
        <f t="shared" si="58"/>
        <v>0.18021555521446156</v>
      </c>
      <c r="OB15" s="9">
        <f t="shared" si="58"/>
        <v>0.20233593329870764</v>
      </c>
      <c r="OC15" s="9">
        <f t="shared" si="58"/>
        <v>0.22806674831167381</v>
      </c>
      <c r="OD15" s="9">
        <f t="shared" si="58"/>
        <v>0.24414119786178462</v>
      </c>
      <c r="OE15" s="9">
        <f t="shared" si="58"/>
        <v>0.27627690567932306</v>
      </c>
      <c r="OF15" s="9">
        <f t="shared" si="58"/>
        <v>0.34114684712547694</v>
      </c>
      <c r="OG15" s="9">
        <f t="shared" ca="1" si="58"/>
        <v>0.17575033632583528</v>
      </c>
      <c r="OH15" s="32"/>
      <c r="OS15" s="41">
        <f t="shared" si="59"/>
        <v>44616</v>
      </c>
      <c r="OT15" s="9">
        <f t="shared" si="59"/>
        <v>0.21386782008719998</v>
      </c>
      <c r="OU15" s="9"/>
      <c r="OV15" s="9"/>
      <c r="OW15" s="9"/>
      <c r="OX15" s="9"/>
      <c r="OY15" s="9"/>
      <c r="OZ15" s="9"/>
      <c r="PA15" s="9"/>
      <c r="PB15" s="9"/>
      <c r="PC15" s="9"/>
      <c r="PD15" s="9"/>
      <c r="PE15" s="9"/>
      <c r="PF15" s="9"/>
    </row>
    <row r="16" spans="2:424" x14ac:dyDescent="0.25">
      <c r="B16" s="48">
        <v>42801</v>
      </c>
      <c r="C16" s="214">
        <v>10476251.5428</v>
      </c>
      <c r="D16" s="214">
        <v>7987383</v>
      </c>
      <c r="E16" s="215">
        <v>2000000</v>
      </c>
      <c r="F16" s="215"/>
      <c r="G16" s="215"/>
      <c r="H16" s="215"/>
      <c r="I16" s="41">
        <v>42976</v>
      </c>
      <c r="J16" s="212">
        <v>23568570.604799997</v>
      </c>
      <c r="K16" s="212">
        <f t="shared" si="18"/>
        <v>265542035.90039998</v>
      </c>
      <c r="M16" s="41">
        <v>43340</v>
      </c>
      <c r="N16" s="212">
        <v>23331337.577999998</v>
      </c>
      <c r="O16" s="212">
        <f t="shared" si="19"/>
        <v>300009404.4156</v>
      </c>
      <c r="Q16" s="41">
        <v>43704</v>
      </c>
      <c r="R16" s="212">
        <v>18165842.312399998</v>
      </c>
      <c r="S16" s="212">
        <f t="shared" si="20"/>
        <v>195178081.13999993</v>
      </c>
      <c r="U16" s="41">
        <v>44075</v>
      </c>
      <c r="V16" s="212">
        <v>14869847.869199999</v>
      </c>
      <c r="W16" s="212">
        <f t="shared" si="21"/>
        <v>211724703.882</v>
      </c>
      <c r="Y16" s="41">
        <v>44439</v>
      </c>
      <c r="Z16" s="212">
        <v>14127800.648399999</v>
      </c>
      <c r="AA16" s="212">
        <f t="shared" si="22"/>
        <v>157122741.34439999</v>
      </c>
      <c r="AC16" s="32">
        <v>9</v>
      </c>
      <c r="AD16" s="39">
        <f t="shared" si="0"/>
        <v>0.26554203590039999</v>
      </c>
      <c r="AE16" s="39">
        <f t="shared" si="1"/>
        <v>0.30000940441559998</v>
      </c>
      <c r="AF16" s="39">
        <f t="shared" si="2"/>
        <v>0.19517808113999993</v>
      </c>
      <c r="AG16" s="39">
        <f t="shared" si="3"/>
        <v>0.21172470388199999</v>
      </c>
      <c r="AH16" s="39">
        <f t="shared" si="4"/>
        <v>0.15712274134439999</v>
      </c>
      <c r="AI16" s="39">
        <f t="shared" si="23"/>
        <v>0.25041271347948069</v>
      </c>
      <c r="AJ16" s="9"/>
      <c r="AK16" s="9"/>
      <c r="AL16" s="9"/>
      <c r="BM16" s="41">
        <f t="shared" si="60"/>
        <v>44439</v>
      </c>
      <c r="BN16" s="9">
        <f t="shared" si="5"/>
        <v>0.15712274134439999</v>
      </c>
      <c r="BO16" s="9">
        <f t="shared" si="24"/>
        <v>0.14428984387300037</v>
      </c>
      <c r="BP16" s="9">
        <f t="shared" si="24"/>
        <v>0.16400824274526918</v>
      </c>
      <c r="BQ16" s="9">
        <f t="shared" si="24"/>
        <v>0.17499355327780591</v>
      </c>
      <c r="BR16" s="9">
        <f t="shared" si="24"/>
        <v>0.18179864007711613</v>
      </c>
      <c r="BS16" s="9">
        <f t="shared" si="24"/>
        <v>0.19448958141436298</v>
      </c>
      <c r="BT16" s="9">
        <f t="shared" si="24"/>
        <v>0.21122826784719001</v>
      </c>
      <c r="BU16" s="9">
        <f t="shared" si="24"/>
        <v>0.22986522876896767</v>
      </c>
      <c r="BV16" s="9">
        <f t="shared" si="24"/>
        <v>0.24948378213047823</v>
      </c>
      <c r="BW16" s="9">
        <f t="shared" si="24"/>
        <v>0.26213634537206165</v>
      </c>
      <c r="BX16" s="9">
        <f t="shared" si="24"/>
        <v>0.28806249247179166</v>
      </c>
      <c r="BY16" s="9">
        <f t="shared" si="24"/>
        <v>0.35553228258159475</v>
      </c>
      <c r="BZ16" s="32"/>
      <c r="CA16" s="32"/>
      <c r="CL16" s="41">
        <f t="shared" si="61"/>
        <v>44803</v>
      </c>
      <c r="CM16" s="76">
        <v>0.18979947318539822</v>
      </c>
      <c r="CN16" s="9">
        <f t="shared" si="25"/>
        <v>0.16056775757504377</v>
      </c>
      <c r="CO16" s="9">
        <f t="shared" si="25"/>
        <v>0.18281882977137393</v>
      </c>
      <c r="CP16" s="9">
        <f t="shared" si="25"/>
        <v>0.19911049370589384</v>
      </c>
      <c r="CQ16" s="9">
        <f t="shared" si="25"/>
        <v>0.20771279558688421</v>
      </c>
      <c r="CR16" s="9">
        <f t="shared" si="25"/>
        <v>0.22576854128414414</v>
      </c>
      <c r="CS16" s="9">
        <f t="shared" si="25"/>
        <v>0.25064799835850987</v>
      </c>
      <c r="CT16" s="9">
        <f t="shared" si="25"/>
        <v>0.27834164577216497</v>
      </c>
      <c r="CU16" s="9">
        <f t="shared" si="25"/>
        <v>0.30855529951080612</v>
      </c>
      <c r="CV16" s="9">
        <f t="shared" si="25"/>
        <v>0.32877639501463746</v>
      </c>
      <c r="CW16" s="9">
        <f t="shared" si="25"/>
        <v>0.36973286556312895</v>
      </c>
      <c r="CX16" s="9">
        <f t="shared" si="25"/>
        <v>0.45905380026764137</v>
      </c>
      <c r="CY16" s="32"/>
      <c r="CZ16" s="32"/>
      <c r="DA16" s="32">
        <f t="shared" si="26"/>
        <v>0.18979947318539822</v>
      </c>
      <c r="DB16" s="32">
        <v>189799473.18539822</v>
      </c>
      <c r="DC16" s="32"/>
      <c r="DD16" s="41">
        <v>45167</v>
      </c>
      <c r="DE16" s="76">
        <v>0.19686480260090089</v>
      </c>
      <c r="DF16" s="9">
        <f t="shared" ref="DF16:DP16" si="93">DF15+DF$2</f>
        <v>0.15916673935757106</v>
      </c>
      <c r="DG16" s="9">
        <f t="shared" si="93"/>
        <v>0.17727234506529074</v>
      </c>
      <c r="DH16" s="9">
        <f t="shared" si="93"/>
        <v>0.18842565268993478</v>
      </c>
      <c r="DI16" s="9">
        <f t="shared" si="93"/>
        <v>0.19595607522975728</v>
      </c>
      <c r="DJ16" s="9">
        <f t="shared" si="93"/>
        <v>0.21049022715244164</v>
      </c>
      <c r="DK16" s="9">
        <f t="shared" si="93"/>
        <v>0.22975604285801435</v>
      </c>
      <c r="DL16" s="9">
        <f t="shared" si="93"/>
        <v>0.25382920337973502</v>
      </c>
      <c r="DM16" s="9">
        <f t="shared" si="93"/>
        <v>0.27982294035972377</v>
      </c>
      <c r="DN16" s="9">
        <f t="shared" si="93"/>
        <v>0.29552123704230493</v>
      </c>
      <c r="DO16" s="9">
        <f t="shared" si="93"/>
        <v>0.33028879055299942</v>
      </c>
      <c r="DP16" s="9">
        <f t="shared" si="93"/>
        <v>0.41389370404408354</v>
      </c>
      <c r="DQ16" s="32"/>
      <c r="DR16" s="32"/>
      <c r="DS16" s="32">
        <f t="shared" si="28"/>
        <v>0.18979947318539822</v>
      </c>
      <c r="DT16" s="32">
        <v>189799473.18539822</v>
      </c>
      <c r="DU16" s="32"/>
      <c r="EF16" s="32"/>
      <c r="EG16" s="41">
        <v>45531</v>
      </c>
      <c r="EH16" s="76">
        <v>0.229293375872303</v>
      </c>
      <c r="EI16" s="9">
        <f t="shared" ref="EI16:ES16" si="94">EI15+EI$2</f>
        <v>0.18261283980850909</v>
      </c>
      <c r="EJ16" s="9">
        <f t="shared" si="94"/>
        <v>0.19818044324583189</v>
      </c>
      <c r="EK16" s="9">
        <f t="shared" si="94"/>
        <v>0.21173524155349466</v>
      </c>
      <c r="EL16" s="9">
        <f t="shared" si="94"/>
        <v>0.22058722934417524</v>
      </c>
      <c r="EM16" s="9">
        <f t="shared" si="94"/>
        <v>0.23693107799457355</v>
      </c>
      <c r="EN16" s="9">
        <f t="shared" si="94"/>
        <v>0.25958261254128145</v>
      </c>
      <c r="EO16" s="9">
        <f t="shared" si="94"/>
        <v>0.28594516167210771</v>
      </c>
      <c r="EP16" s="9">
        <f t="shared" si="94"/>
        <v>0.31411944959852689</v>
      </c>
      <c r="EQ16" s="9">
        <f t="shared" si="94"/>
        <v>0.33099827491148337</v>
      </c>
      <c r="ER16" s="9">
        <f t="shared" si="94"/>
        <v>0.36803785632296937</v>
      </c>
      <c r="ES16" s="9">
        <f t="shared" si="94"/>
        <v>0.44401361864449779</v>
      </c>
      <c r="ET16" s="32"/>
      <c r="EU16" s="32"/>
      <c r="EV16" s="32">
        <f t="shared" si="30"/>
        <v>0.18979947318539822</v>
      </c>
      <c r="EW16" s="32">
        <v>189799473.18539822</v>
      </c>
      <c r="EX16" s="32"/>
      <c r="FG16" s="32"/>
      <c r="FH16" s="32"/>
      <c r="FI16" s="41">
        <v>45895</v>
      </c>
      <c r="FJ16" s="76">
        <v>0.22748216614021713</v>
      </c>
      <c r="FK16" s="9">
        <f t="shared" ref="FK16:FU16" si="95">FK15+FK$2</f>
        <v>0.18261283980850909</v>
      </c>
      <c r="FL16" s="9">
        <f t="shared" si="95"/>
        <v>0.19818044324583189</v>
      </c>
      <c r="FM16" s="9">
        <f t="shared" si="95"/>
        <v>0.21173524155349466</v>
      </c>
      <c r="FN16" s="9">
        <f t="shared" si="95"/>
        <v>0.22058722934417524</v>
      </c>
      <c r="FO16" s="9">
        <f t="shared" si="95"/>
        <v>0.23693107799457355</v>
      </c>
      <c r="FP16" s="9">
        <f t="shared" si="95"/>
        <v>0.25958261254128145</v>
      </c>
      <c r="FQ16" s="9">
        <f t="shared" si="95"/>
        <v>0.28594516167210771</v>
      </c>
      <c r="FR16" s="9">
        <f t="shared" si="95"/>
        <v>0.31411944959852689</v>
      </c>
      <c r="FS16" s="9">
        <f t="shared" si="95"/>
        <v>0.33099827491148337</v>
      </c>
      <c r="FT16" s="9">
        <f t="shared" si="95"/>
        <v>0.36803785632296937</v>
      </c>
      <c r="FU16" s="9">
        <f t="shared" si="95"/>
        <v>0.44401361864449779</v>
      </c>
      <c r="FV16" s="32"/>
      <c r="FW16" s="32"/>
      <c r="FX16" s="32">
        <f t="shared" si="32"/>
        <v>0.18979947318539822</v>
      </c>
      <c r="FY16" s="32">
        <v>189799473.18539822</v>
      </c>
      <c r="FZ16" s="32"/>
      <c r="GI16" s="32"/>
      <c r="GJ16" s="41">
        <v>45531</v>
      </c>
      <c r="GK16" s="76">
        <v>0.229293375872303</v>
      </c>
      <c r="GL16" s="9">
        <f t="shared" ref="GL16:GV16" si="96">GL15+GL$2</f>
        <v>0.15071366977108067</v>
      </c>
      <c r="GM16" s="9">
        <f t="shared" si="96"/>
        <v>0.17351505693168512</v>
      </c>
      <c r="GN16" s="9">
        <f t="shared" si="96"/>
        <v>0.18654950394395214</v>
      </c>
      <c r="GO16" s="9">
        <f t="shared" si="96"/>
        <v>0.19391243751834572</v>
      </c>
      <c r="GP16" s="9">
        <f t="shared" si="96"/>
        <v>0.20916198735662372</v>
      </c>
      <c r="GQ16" s="9">
        <f t="shared" si="96"/>
        <v>0.23441798951649956</v>
      </c>
      <c r="GR16" s="9">
        <f t="shared" si="96"/>
        <v>0.26721365126586616</v>
      </c>
      <c r="GS16" s="9">
        <f t="shared" si="96"/>
        <v>0.30574159325193551</v>
      </c>
      <c r="GT16" s="9">
        <f t="shared" si="96"/>
        <v>0.33648020510175214</v>
      </c>
      <c r="GU16" s="9">
        <f t="shared" si="96"/>
        <v>0.39476936182492095</v>
      </c>
      <c r="GV16" s="9">
        <f t="shared" si="96"/>
        <v>0.51309368290334922</v>
      </c>
      <c r="GW16" s="32"/>
      <c r="GX16" s="32"/>
      <c r="GY16" s="32">
        <f t="shared" si="34"/>
        <v>0.18979947318539822</v>
      </c>
      <c r="GZ16" s="32">
        <v>189799473.18539822</v>
      </c>
      <c r="HA16" s="32"/>
      <c r="HB16" s="229">
        <v>45895</v>
      </c>
      <c r="HC16" s="230">
        <v>0.22748216614021713</v>
      </c>
      <c r="HD16" s="9">
        <f t="shared" ref="HD16:HN16" si="97">HD15+HD$2</f>
        <v>0.16696930158099288</v>
      </c>
      <c r="HE16" s="9">
        <f t="shared" si="97"/>
        <v>0.18828851581093262</v>
      </c>
      <c r="HF16" s="9">
        <f t="shared" si="97"/>
        <v>0.2031560743723525</v>
      </c>
      <c r="HG16" s="9">
        <f t="shared" si="97"/>
        <v>0.21255115165916832</v>
      </c>
      <c r="HH16" s="9">
        <f t="shared" si="97"/>
        <v>0.23298322616618691</v>
      </c>
      <c r="HI16" s="9">
        <f t="shared" si="97"/>
        <v>0.26171711972161021</v>
      </c>
      <c r="HJ16" s="9">
        <f t="shared" si="97"/>
        <v>0.29940887143393341</v>
      </c>
      <c r="HK16" s="9">
        <f t="shared" si="97"/>
        <v>0.34190336026733997</v>
      </c>
      <c r="HL16" s="9">
        <f t="shared" si="97"/>
        <v>0.36880351596185834</v>
      </c>
      <c r="HM16" s="9">
        <f t="shared" si="97"/>
        <v>0.42869533197032794</v>
      </c>
      <c r="HN16" s="9">
        <f t="shared" si="97"/>
        <v>0.55120985556579927</v>
      </c>
      <c r="HO16" s="32"/>
      <c r="HP16" s="32"/>
      <c r="HQ16" s="32">
        <v>227482166.14021713</v>
      </c>
      <c r="HR16" s="32">
        <f t="shared" si="36"/>
        <v>0.22748216614021713</v>
      </c>
      <c r="HT16" s="32"/>
      <c r="IC16" s="41">
        <f t="shared" si="67"/>
        <v>44803</v>
      </c>
      <c r="ID16" s="9">
        <v>0.19445759283470002</v>
      </c>
      <c r="IE16" s="9"/>
      <c r="IF16" s="9"/>
      <c r="IG16" s="9"/>
      <c r="IH16" s="9"/>
      <c r="II16" s="9"/>
      <c r="IJ16" s="9"/>
      <c r="IK16" s="9"/>
      <c r="IL16" s="9"/>
      <c r="IM16" s="9"/>
      <c r="IN16" s="9"/>
      <c r="IO16" s="9"/>
      <c r="IP16" s="32"/>
      <c r="IQ16" s="32"/>
      <c r="JB16" s="41">
        <f t="shared" si="13"/>
        <v>44439</v>
      </c>
      <c r="JC16" s="9">
        <f t="shared" si="14"/>
        <v>0.15712274134439999</v>
      </c>
      <c r="JD16" s="9"/>
      <c r="JE16" s="9"/>
      <c r="JF16" s="9"/>
      <c r="JG16" s="9"/>
      <c r="JH16" s="9"/>
      <c r="JI16" s="9"/>
      <c r="JJ16" s="9"/>
      <c r="JK16" s="9"/>
      <c r="JL16" s="9"/>
      <c r="JM16" s="9"/>
      <c r="JN16" s="9"/>
      <c r="JO16" s="9"/>
      <c r="JZ16" s="41">
        <f t="shared" si="15"/>
        <v>44439</v>
      </c>
      <c r="KA16" s="9">
        <f t="shared" si="37"/>
        <v>0.15712274134439999</v>
      </c>
      <c r="KB16" s="9"/>
      <c r="KC16" s="9"/>
      <c r="KN16" s="41">
        <v>42976</v>
      </c>
      <c r="KO16" s="212">
        <v>23568570.604799997</v>
      </c>
      <c r="KP16" s="212">
        <f t="shared" si="38"/>
        <v>265542035.90039998</v>
      </c>
      <c r="KR16" s="41">
        <v>43158</v>
      </c>
      <c r="KS16" s="212">
        <v>23928471.021599997</v>
      </c>
      <c r="KT16" s="212">
        <f t="shared" si="39"/>
        <v>181041320.5704</v>
      </c>
      <c r="KV16" s="41">
        <v>43340</v>
      </c>
      <c r="KW16" s="212">
        <v>23331337.577999998</v>
      </c>
      <c r="KX16" s="212">
        <f t="shared" si="40"/>
        <v>300009404.4156</v>
      </c>
      <c r="KZ16" s="41">
        <v>43522</v>
      </c>
      <c r="LA16" s="212">
        <v>19297577.357999999</v>
      </c>
      <c r="LB16" s="212">
        <f t="shared" si="41"/>
        <v>151963900.11719999</v>
      </c>
      <c r="LD16" s="41">
        <v>43704</v>
      </c>
      <c r="LE16" s="212">
        <v>18165842.312399998</v>
      </c>
      <c r="LF16" s="212">
        <f t="shared" si="42"/>
        <v>195178081.13999993</v>
      </c>
      <c r="LH16" s="41">
        <v>43893</v>
      </c>
      <c r="LI16" s="212">
        <v>14172595.243199999</v>
      </c>
      <c r="LJ16" s="212">
        <f t="shared" si="43"/>
        <v>129288946.21919999</v>
      </c>
      <c r="LL16" s="41">
        <v>44075</v>
      </c>
      <c r="LM16" s="212">
        <v>14869847.869199999</v>
      </c>
      <c r="LN16" s="212">
        <f t="shared" si="44"/>
        <v>211724703.882</v>
      </c>
      <c r="LP16" s="41">
        <v>44257</v>
      </c>
      <c r="LQ16" s="212">
        <v>31767658.743599996</v>
      </c>
      <c r="LR16" s="212">
        <f t="shared" si="45"/>
        <v>213501517.75799996</v>
      </c>
      <c r="LT16" s="41">
        <v>44439</v>
      </c>
      <c r="LU16" s="212">
        <v>14127800.648399999</v>
      </c>
      <c r="LV16" s="212">
        <f t="shared" si="46"/>
        <v>157122741.34439999</v>
      </c>
      <c r="LX16" s="41">
        <v>44621</v>
      </c>
      <c r="LY16" s="212">
        <v>16658637.677999999</v>
      </c>
      <c r="LZ16" s="212">
        <f t="shared" si="47"/>
        <v>230526457.76519999</v>
      </c>
      <c r="MB16" s="32">
        <v>9</v>
      </c>
      <c r="MC16" s="42">
        <f t="shared" si="48"/>
        <v>0.26554203590039999</v>
      </c>
      <c r="MD16" s="42">
        <f t="shared" si="49"/>
        <v>0.18104132057040001</v>
      </c>
      <c r="ME16" s="42">
        <f t="shared" si="50"/>
        <v>0.30000940441559998</v>
      </c>
      <c r="MF16" s="42">
        <f t="shared" si="51"/>
        <v>0.15196390011719998</v>
      </c>
      <c r="MG16" s="42">
        <f t="shared" si="52"/>
        <v>0.19517808113999993</v>
      </c>
      <c r="MH16" s="42">
        <f t="shared" si="53"/>
        <v>0.12928894621919998</v>
      </c>
      <c r="MI16" s="42">
        <f t="shared" si="54"/>
        <v>0.21172470388199999</v>
      </c>
      <c r="MJ16" s="42">
        <f t="shared" si="55"/>
        <v>0.21350151775799997</v>
      </c>
      <c r="MK16" s="42">
        <f t="shared" si="56"/>
        <v>0.15712274134439999</v>
      </c>
      <c r="ML16" s="42">
        <f t="shared" si="57"/>
        <v>0.23052645776519998</v>
      </c>
      <c r="MM16" s="9"/>
      <c r="MN16" s="9"/>
      <c r="MO16" s="9"/>
      <c r="MW16" s="59" t="s">
        <v>74</v>
      </c>
      <c r="MX16" s="60" t="s">
        <v>75</v>
      </c>
      <c r="MY16" s="61">
        <v>30</v>
      </c>
      <c r="MZ16" s="61">
        <v>40</v>
      </c>
      <c r="NA16" s="61">
        <v>10</v>
      </c>
      <c r="NB16" s="61">
        <v>2</v>
      </c>
      <c r="NC16" s="61">
        <v>2</v>
      </c>
      <c r="ND16" s="61">
        <v>5</v>
      </c>
      <c r="NE16" s="61">
        <v>50</v>
      </c>
      <c r="NF16" s="61">
        <v>2</v>
      </c>
      <c r="NG16" s="61">
        <v>20</v>
      </c>
      <c r="NH16" s="61">
        <v>10</v>
      </c>
      <c r="NI16" s="61">
        <v>10</v>
      </c>
      <c r="NT16" s="41">
        <v>44623</v>
      </c>
      <c r="NU16" s="9">
        <f t="shared" si="16"/>
        <v>0.23052645776519998</v>
      </c>
      <c r="NV16" s="9">
        <f t="shared" si="58"/>
        <v>0.13889836339151537</v>
      </c>
      <c r="NW16" s="9">
        <f t="shared" si="58"/>
        <v>0.15180907222287693</v>
      </c>
      <c r="NX16" s="9">
        <f t="shared" si="58"/>
        <v>0.16125663924738343</v>
      </c>
      <c r="NY16" s="9">
        <f t="shared" si="58"/>
        <v>0.16864998191508465</v>
      </c>
      <c r="NZ16" s="9">
        <f t="shared" si="58"/>
        <v>0.18355965950457692</v>
      </c>
      <c r="OA16" s="9">
        <f t="shared" si="58"/>
        <v>0.20274249961626925</v>
      </c>
      <c r="OB16" s="9">
        <f t="shared" si="58"/>
        <v>0.22762792496104609</v>
      </c>
      <c r="OC16" s="9">
        <f t="shared" si="58"/>
        <v>0.25657509185063304</v>
      </c>
      <c r="OD16" s="9">
        <f t="shared" si="58"/>
        <v>0.2746588475945077</v>
      </c>
      <c r="OE16" s="9">
        <f t="shared" si="58"/>
        <v>0.31081151888923841</v>
      </c>
      <c r="OF16" s="9">
        <f t="shared" si="58"/>
        <v>0.38379020301616157</v>
      </c>
      <c r="OG16" s="9">
        <f t="shared" ca="1" si="58"/>
        <v>0.19771912836656469</v>
      </c>
      <c r="OH16" s="32"/>
      <c r="OS16" s="41">
        <f t="shared" si="59"/>
        <v>44623</v>
      </c>
      <c r="OT16" s="9">
        <f t="shared" si="59"/>
        <v>0.23052645776519998</v>
      </c>
      <c r="OU16" s="9"/>
      <c r="OV16" s="9"/>
      <c r="OW16" s="9"/>
      <c r="OX16" s="9"/>
      <c r="OY16" s="9"/>
      <c r="OZ16" s="9"/>
      <c r="PA16" s="9"/>
      <c r="PB16" s="9"/>
      <c r="PC16" s="9"/>
      <c r="PD16" s="9"/>
      <c r="PE16" s="9"/>
      <c r="PF16" s="9"/>
    </row>
    <row r="17" spans="2:424" x14ac:dyDescent="0.25">
      <c r="B17" s="48">
        <v>42808</v>
      </c>
      <c r="C17" s="214">
        <v>13256408.091599999</v>
      </c>
      <c r="D17" s="214">
        <v>10107051</v>
      </c>
      <c r="E17" s="215">
        <v>5000000</v>
      </c>
      <c r="F17" s="215"/>
      <c r="G17" s="215"/>
      <c r="H17" s="215"/>
      <c r="I17" s="41">
        <v>42983</v>
      </c>
      <c r="J17" s="212">
        <v>40061686.154399998</v>
      </c>
      <c r="K17" s="212">
        <f t="shared" si="18"/>
        <v>305603722.05479997</v>
      </c>
      <c r="M17" s="41">
        <v>43347</v>
      </c>
      <c r="N17" s="212">
        <v>23557958.449199997</v>
      </c>
      <c r="O17" s="212">
        <f t="shared" si="19"/>
        <v>323567362.86479998</v>
      </c>
      <c r="Q17" s="41">
        <v>43711</v>
      </c>
      <c r="R17" s="212">
        <v>11068706.509199999</v>
      </c>
      <c r="S17" s="212">
        <f t="shared" si="20"/>
        <v>206246787.64919993</v>
      </c>
      <c r="U17" s="41">
        <v>44082</v>
      </c>
      <c r="V17" s="212">
        <v>22745290.370399997</v>
      </c>
      <c r="W17" s="212">
        <f t="shared" si="21"/>
        <v>234469994.25239998</v>
      </c>
      <c r="Y17" s="41">
        <v>44446</v>
      </c>
      <c r="Z17" s="212">
        <v>24996650.5836</v>
      </c>
      <c r="AA17" s="212">
        <f t="shared" si="22"/>
        <v>182119391.92799997</v>
      </c>
      <c r="AC17" s="32">
        <v>10</v>
      </c>
      <c r="AD17" s="39">
        <f t="shared" si="0"/>
        <v>0.30560372205479996</v>
      </c>
      <c r="AE17" s="39">
        <f t="shared" si="1"/>
        <v>0.32356736286479998</v>
      </c>
      <c r="AF17" s="39">
        <f t="shared" si="2"/>
        <v>0.20624678764919993</v>
      </c>
      <c r="AG17" s="39">
        <f t="shared" si="3"/>
        <v>0.23446999425239998</v>
      </c>
      <c r="AH17" s="39">
        <f t="shared" si="4"/>
        <v>0.18211939192799997</v>
      </c>
      <c r="AI17" s="39">
        <f t="shared" si="23"/>
        <v>0.27823634831053412</v>
      </c>
      <c r="AJ17" s="9"/>
      <c r="AK17" s="9"/>
      <c r="AL17" s="9"/>
      <c r="AT17" s="59" t="s">
        <v>74</v>
      </c>
      <c r="AU17" s="60" t="s">
        <v>75</v>
      </c>
      <c r="AV17" s="61">
        <v>30</v>
      </c>
      <c r="AW17" s="61">
        <v>10</v>
      </c>
      <c r="AX17" s="61">
        <v>2</v>
      </c>
      <c r="AY17" s="61">
        <v>50</v>
      </c>
      <c r="AZ17" s="61">
        <v>20</v>
      </c>
      <c r="BA17" s="61"/>
      <c r="BB17" s="61">
        <v>20</v>
      </c>
      <c r="BM17" s="41">
        <f t="shared" si="60"/>
        <v>44446</v>
      </c>
      <c r="BN17" s="9">
        <f t="shared" si="5"/>
        <v>0.18211939192799997</v>
      </c>
      <c r="BO17" s="9">
        <f t="shared" si="24"/>
        <v>0.1603220487477782</v>
      </c>
      <c r="BP17" s="9">
        <f t="shared" si="24"/>
        <v>0.18223138082807686</v>
      </c>
      <c r="BQ17" s="9">
        <f t="shared" si="24"/>
        <v>0.19443728141978434</v>
      </c>
      <c r="BR17" s="9">
        <f t="shared" si="24"/>
        <v>0.20199848897457348</v>
      </c>
      <c r="BS17" s="9">
        <f t="shared" si="24"/>
        <v>0.21609953490484776</v>
      </c>
      <c r="BT17" s="9">
        <f t="shared" si="24"/>
        <v>0.23469807538576667</v>
      </c>
      <c r="BU17" s="9">
        <f t="shared" si="24"/>
        <v>0.25540580974329741</v>
      </c>
      <c r="BV17" s="9">
        <f t="shared" si="24"/>
        <v>0.277204202367198</v>
      </c>
      <c r="BW17" s="9">
        <f t="shared" si="24"/>
        <v>0.29126260596895737</v>
      </c>
      <c r="BX17" s="9">
        <f t="shared" si="24"/>
        <v>0.32006943607976851</v>
      </c>
      <c r="BY17" s="9">
        <f t="shared" si="24"/>
        <v>0.39503586953510528</v>
      </c>
      <c r="BZ17" s="32"/>
      <c r="CA17" s="32"/>
      <c r="CL17" s="41">
        <f t="shared" si="61"/>
        <v>44810</v>
      </c>
      <c r="CM17" s="76">
        <v>0.20316795796430678</v>
      </c>
      <c r="CN17" s="9">
        <f t="shared" si="25"/>
        <v>0.17840861952782641</v>
      </c>
      <c r="CO17" s="9">
        <f t="shared" si="25"/>
        <v>0.20313203307930436</v>
      </c>
      <c r="CP17" s="9">
        <f t="shared" si="25"/>
        <v>0.22123388189543761</v>
      </c>
      <c r="CQ17" s="9">
        <f t="shared" si="25"/>
        <v>0.23079199509653803</v>
      </c>
      <c r="CR17" s="9">
        <f t="shared" si="25"/>
        <v>0.25085393476016016</v>
      </c>
      <c r="CS17" s="9">
        <f t="shared" si="25"/>
        <v>0.27849777595389985</v>
      </c>
      <c r="CT17" s="9">
        <f t="shared" si="25"/>
        <v>0.30926849530240552</v>
      </c>
      <c r="CU17" s="9">
        <f t="shared" si="25"/>
        <v>0.34283922167867348</v>
      </c>
      <c r="CV17" s="9">
        <f t="shared" si="25"/>
        <v>0.36530710557181939</v>
      </c>
      <c r="CW17" s="9">
        <f t="shared" si="25"/>
        <v>0.41081429507014328</v>
      </c>
      <c r="CX17" s="9">
        <f t="shared" si="25"/>
        <v>0.51005977807515712</v>
      </c>
      <c r="CY17" s="32"/>
      <c r="CZ17" s="32"/>
      <c r="DA17" s="32">
        <f t="shared" si="26"/>
        <v>0.20316795796430678</v>
      </c>
      <c r="DB17" s="32">
        <v>203167957.96430677</v>
      </c>
      <c r="DC17" s="32"/>
      <c r="DD17" s="41">
        <v>45174</v>
      </c>
      <c r="DE17" s="76">
        <v>0.21825718909579578</v>
      </c>
      <c r="DF17" s="9">
        <f t="shared" ref="DF17:DP17" si="98">DF16+DF$2</f>
        <v>0.17685193261952339</v>
      </c>
      <c r="DG17" s="9">
        <f t="shared" si="98"/>
        <v>0.19696927229476749</v>
      </c>
      <c r="DH17" s="9">
        <f t="shared" si="98"/>
        <v>0.20936183632214975</v>
      </c>
      <c r="DI17" s="9">
        <f t="shared" si="98"/>
        <v>0.21772897247750808</v>
      </c>
      <c r="DJ17" s="9">
        <f t="shared" si="98"/>
        <v>0.23387803016937961</v>
      </c>
      <c r="DK17" s="9">
        <f t="shared" si="98"/>
        <v>0.25528449206446041</v>
      </c>
      <c r="DL17" s="9">
        <f t="shared" si="98"/>
        <v>0.28203244819970558</v>
      </c>
      <c r="DM17" s="9">
        <f t="shared" si="98"/>
        <v>0.31091437817747086</v>
      </c>
      <c r="DN17" s="9">
        <f t="shared" si="98"/>
        <v>0.3283569300470055</v>
      </c>
      <c r="DO17" s="9">
        <f t="shared" si="98"/>
        <v>0.36698754505888825</v>
      </c>
      <c r="DP17" s="9">
        <f t="shared" si="98"/>
        <v>0.45988189338231505</v>
      </c>
      <c r="DQ17" s="32"/>
      <c r="DR17" s="32"/>
      <c r="DS17" s="32">
        <f t="shared" si="28"/>
        <v>0.20316795796430678</v>
      </c>
      <c r="DT17" s="32">
        <v>203167957.96430677</v>
      </c>
      <c r="DU17" s="32"/>
      <c r="EF17" s="32"/>
      <c r="EG17" s="41">
        <v>45538</v>
      </c>
      <c r="EH17" s="76">
        <v>0.27071314624032106</v>
      </c>
      <c r="EI17" s="9">
        <f t="shared" ref="EI17:ES17" si="99">EI16+EI$2</f>
        <v>0.20290315534278788</v>
      </c>
      <c r="EJ17" s="9">
        <f t="shared" si="99"/>
        <v>0.22020049249536877</v>
      </c>
      <c r="EK17" s="9">
        <f t="shared" si="99"/>
        <v>0.23526137950388296</v>
      </c>
      <c r="EL17" s="9">
        <f t="shared" si="99"/>
        <v>0.24509692149352805</v>
      </c>
      <c r="EM17" s="9">
        <f t="shared" si="99"/>
        <v>0.26325675332730397</v>
      </c>
      <c r="EN17" s="9">
        <f t="shared" si="99"/>
        <v>0.28842512504586826</v>
      </c>
      <c r="EO17" s="9">
        <f t="shared" si="99"/>
        <v>0.31771684630234187</v>
      </c>
      <c r="EP17" s="9">
        <f t="shared" si="99"/>
        <v>0.3490216106650299</v>
      </c>
      <c r="EQ17" s="9">
        <f t="shared" si="99"/>
        <v>0.36777586101275928</v>
      </c>
      <c r="ER17" s="9">
        <f t="shared" si="99"/>
        <v>0.40893095146996594</v>
      </c>
      <c r="ES17" s="9">
        <f t="shared" si="99"/>
        <v>0.49334846516055308</v>
      </c>
      <c r="ET17" s="32"/>
      <c r="EU17" s="32"/>
      <c r="EV17" s="32">
        <f t="shared" si="30"/>
        <v>0.20316795796430678</v>
      </c>
      <c r="EW17" s="32">
        <v>203167957.96430677</v>
      </c>
      <c r="EX17" s="32"/>
      <c r="FG17" s="32"/>
      <c r="FH17" s="32"/>
      <c r="FI17" s="41">
        <v>45902</v>
      </c>
      <c r="FJ17" s="76">
        <v>0.24061374069126817</v>
      </c>
      <c r="FK17" s="9">
        <f t="shared" ref="FK17:FU17" si="100">FK16+FK$2</f>
        <v>0.20290315534278788</v>
      </c>
      <c r="FL17" s="9">
        <f t="shared" si="100"/>
        <v>0.22020049249536877</v>
      </c>
      <c r="FM17" s="9">
        <f t="shared" si="100"/>
        <v>0.23526137950388296</v>
      </c>
      <c r="FN17" s="9">
        <f t="shared" si="100"/>
        <v>0.24509692149352805</v>
      </c>
      <c r="FO17" s="9">
        <f t="shared" si="100"/>
        <v>0.26325675332730397</v>
      </c>
      <c r="FP17" s="9">
        <f t="shared" si="100"/>
        <v>0.28842512504586826</v>
      </c>
      <c r="FQ17" s="9">
        <f t="shared" si="100"/>
        <v>0.31771684630234187</v>
      </c>
      <c r="FR17" s="9">
        <f t="shared" si="100"/>
        <v>0.3490216106650299</v>
      </c>
      <c r="FS17" s="9">
        <f t="shared" si="100"/>
        <v>0.36777586101275928</v>
      </c>
      <c r="FT17" s="9">
        <f t="shared" si="100"/>
        <v>0.40893095146996594</v>
      </c>
      <c r="FU17" s="9">
        <f t="shared" si="100"/>
        <v>0.49334846516055308</v>
      </c>
      <c r="FV17" s="32"/>
      <c r="FW17" s="32"/>
      <c r="FX17" s="32">
        <f t="shared" si="32"/>
        <v>0.20316795796430678</v>
      </c>
      <c r="FY17" s="32">
        <v>203167957.96430677</v>
      </c>
      <c r="FZ17" s="32"/>
      <c r="GI17" s="32"/>
      <c r="GJ17" s="41">
        <v>45538</v>
      </c>
      <c r="GK17" s="76">
        <v>0.27071314624032106</v>
      </c>
      <c r="GL17" s="9">
        <f t="shared" ref="GL17:GV17" si="101">GL16+GL$2</f>
        <v>0.16745963307897851</v>
      </c>
      <c r="GM17" s="9">
        <f t="shared" si="101"/>
        <v>0.19279450770187234</v>
      </c>
      <c r="GN17" s="9">
        <f t="shared" si="101"/>
        <v>0.20727722660439127</v>
      </c>
      <c r="GO17" s="9">
        <f t="shared" si="101"/>
        <v>0.21545826390927303</v>
      </c>
      <c r="GP17" s="9">
        <f t="shared" si="101"/>
        <v>0.23240220817402635</v>
      </c>
      <c r="GQ17" s="9">
        <f t="shared" si="101"/>
        <v>0.26046443279611065</v>
      </c>
      <c r="GR17" s="9">
        <f t="shared" si="101"/>
        <v>0.2969040569620735</v>
      </c>
      <c r="GS17" s="9">
        <f t="shared" si="101"/>
        <v>0.33971288139103945</v>
      </c>
      <c r="GT17" s="9">
        <f t="shared" si="101"/>
        <v>0.37386689455750238</v>
      </c>
      <c r="GU17" s="9">
        <f t="shared" si="101"/>
        <v>0.43863262424991217</v>
      </c>
      <c r="GV17" s="9">
        <f t="shared" si="101"/>
        <v>0.57010409211483248</v>
      </c>
      <c r="GW17" s="32"/>
      <c r="GX17" s="32"/>
      <c r="GY17" s="32">
        <f t="shared" si="34"/>
        <v>0.20316795796430678</v>
      </c>
      <c r="GZ17" s="32">
        <v>203167957.96430677</v>
      </c>
      <c r="HA17" s="32"/>
      <c r="HB17" s="229">
        <v>45902</v>
      </c>
      <c r="HC17" s="230">
        <v>0.24061374069126817</v>
      </c>
      <c r="HD17" s="9">
        <f t="shared" ref="HD17:HN17" si="102">HD16+HD$2</f>
        <v>0.1855214462011032</v>
      </c>
      <c r="HE17" s="9">
        <f t="shared" si="102"/>
        <v>0.20920946201214735</v>
      </c>
      <c r="HF17" s="9">
        <f t="shared" si="102"/>
        <v>0.22572897152483612</v>
      </c>
      <c r="HG17" s="9">
        <f t="shared" si="102"/>
        <v>0.23616794628796481</v>
      </c>
      <c r="HH17" s="9">
        <f t="shared" si="102"/>
        <v>0.25887025129576324</v>
      </c>
      <c r="HI17" s="9">
        <f t="shared" si="102"/>
        <v>0.29079679969067801</v>
      </c>
      <c r="HJ17" s="9">
        <f t="shared" si="102"/>
        <v>0.33267652381548157</v>
      </c>
      <c r="HK17" s="9">
        <f t="shared" si="102"/>
        <v>0.37989262251926664</v>
      </c>
      <c r="HL17" s="9">
        <f t="shared" si="102"/>
        <v>0.40978168440206481</v>
      </c>
      <c r="HM17" s="9">
        <f t="shared" si="102"/>
        <v>0.47632814663369771</v>
      </c>
      <c r="HN17" s="9">
        <f t="shared" si="102"/>
        <v>0.61245539507311031</v>
      </c>
      <c r="HO17" s="32"/>
      <c r="HP17" s="32"/>
      <c r="HQ17" s="32">
        <v>240613740.69126818</v>
      </c>
      <c r="HR17" s="32">
        <f t="shared" si="36"/>
        <v>0.24061374069126817</v>
      </c>
      <c r="HT17" s="32"/>
      <c r="IC17" s="41">
        <f t="shared" si="67"/>
        <v>44810</v>
      </c>
      <c r="ID17" s="9">
        <v>0.20866505115040002</v>
      </c>
      <c r="IE17" s="9"/>
      <c r="IF17" s="9"/>
      <c r="IG17" s="9"/>
      <c r="IH17" s="9"/>
      <c r="II17" s="9"/>
      <c r="IJ17" s="9"/>
      <c r="IK17" s="9"/>
      <c r="IL17" s="9"/>
      <c r="IM17" s="9"/>
      <c r="IN17" s="9"/>
      <c r="IO17" s="9"/>
      <c r="IP17" s="32"/>
      <c r="IQ17" s="32"/>
      <c r="JB17" s="41">
        <f t="shared" si="13"/>
        <v>44446</v>
      </c>
      <c r="JC17" s="9">
        <f t="shared" si="14"/>
        <v>0.18211939192799997</v>
      </c>
      <c r="JD17" s="9"/>
      <c r="JE17" s="9"/>
      <c r="JF17" s="9"/>
      <c r="JG17" s="9"/>
      <c r="JH17" s="9"/>
      <c r="JI17" s="9"/>
      <c r="JJ17" s="9"/>
      <c r="JK17" s="9"/>
      <c r="JL17" s="9"/>
      <c r="JM17" s="9"/>
      <c r="JN17" s="9"/>
      <c r="JO17" s="9"/>
      <c r="JZ17" s="41">
        <f t="shared" si="15"/>
        <v>44446</v>
      </c>
      <c r="KA17" s="9">
        <f t="shared" si="37"/>
        <v>0.18211939192799997</v>
      </c>
      <c r="KB17" s="9"/>
      <c r="KC17" s="9"/>
      <c r="KN17" s="41">
        <v>42983</v>
      </c>
      <c r="KO17" s="212">
        <v>40061686.154399998</v>
      </c>
      <c r="KP17" s="212">
        <f t="shared" si="38"/>
        <v>305603722.05479997</v>
      </c>
      <c r="KR17" s="41">
        <v>43165</v>
      </c>
      <c r="KS17" s="212">
        <v>37686617.265599996</v>
      </c>
      <c r="KT17" s="212">
        <f t="shared" si="39"/>
        <v>218727937.836</v>
      </c>
      <c r="KV17" s="41">
        <v>43347</v>
      </c>
      <c r="KW17" s="212">
        <v>23557958.449199997</v>
      </c>
      <c r="KX17" s="212">
        <f t="shared" si="40"/>
        <v>323567362.86479998</v>
      </c>
      <c r="KZ17" s="41">
        <v>43529</v>
      </c>
      <c r="LA17" s="212">
        <v>30415921.369199999</v>
      </c>
      <c r="LB17" s="212">
        <f t="shared" si="41"/>
        <v>182379821.48639998</v>
      </c>
      <c r="LD17" s="41">
        <v>43711</v>
      </c>
      <c r="LE17" s="212">
        <v>11068706.509199999</v>
      </c>
      <c r="LF17" s="212">
        <f t="shared" si="42"/>
        <v>206246787.64919993</v>
      </c>
      <c r="LH17" s="41">
        <v>43900</v>
      </c>
      <c r="LI17" s="212">
        <v>15937548.339599999</v>
      </c>
      <c r="LJ17" s="212">
        <f t="shared" si="43"/>
        <v>145226494.55879998</v>
      </c>
      <c r="LL17" s="41">
        <v>44082</v>
      </c>
      <c r="LM17" s="212">
        <v>22745290.370399997</v>
      </c>
      <c r="LN17" s="212">
        <f t="shared" si="44"/>
        <v>234469994.25239998</v>
      </c>
      <c r="LP17" s="41">
        <v>44264</v>
      </c>
      <c r="LQ17" s="212">
        <v>40929477.641999997</v>
      </c>
      <c r="LR17" s="212">
        <f t="shared" si="45"/>
        <v>254430995.39999995</v>
      </c>
      <c r="LT17" s="41">
        <v>44446</v>
      </c>
      <c r="LU17" s="212">
        <v>24996650.5836</v>
      </c>
      <c r="LV17" s="212">
        <f t="shared" si="46"/>
        <v>182119391.92799997</v>
      </c>
      <c r="LX17" s="41">
        <v>44628</v>
      </c>
      <c r="LY17" s="212">
        <v>24274640.019599997</v>
      </c>
      <c r="LZ17" s="212">
        <f t="shared" si="47"/>
        <v>254801097.78479999</v>
      </c>
      <c r="MB17" s="32">
        <v>10</v>
      </c>
      <c r="MC17" s="42">
        <f t="shared" si="48"/>
        <v>0.30560372205479996</v>
      </c>
      <c r="MD17" s="42">
        <f t="shared" si="49"/>
        <v>0.218727937836</v>
      </c>
      <c r="ME17" s="42">
        <f t="shared" si="50"/>
        <v>0.32356736286479998</v>
      </c>
      <c r="MF17" s="42">
        <f t="shared" si="51"/>
        <v>0.18237982148639997</v>
      </c>
      <c r="MG17" s="42">
        <f t="shared" si="52"/>
        <v>0.20624678764919993</v>
      </c>
      <c r="MH17" s="42">
        <f t="shared" si="53"/>
        <v>0.14522649455879999</v>
      </c>
      <c r="MI17" s="42">
        <f t="shared" si="54"/>
        <v>0.23446999425239998</v>
      </c>
      <c r="MJ17" s="42">
        <f t="shared" si="55"/>
        <v>0.25443099539999997</v>
      </c>
      <c r="MK17" s="42">
        <f t="shared" si="56"/>
        <v>0.18211939192799997</v>
      </c>
      <c r="ML17" s="42">
        <f t="shared" si="57"/>
        <v>0.25480109778479998</v>
      </c>
      <c r="MM17" s="8"/>
      <c r="MN17" s="8"/>
      <c r="MO17" s="8"/>
      <c r="MW17" s="59"/>
      <c r="MX17" s="60" t="s">
        <v>76</v>
      </c>
      <c r="MY17" s="61">
        <v>40</v>
      </c>
      <c r="MZ17" s="61">
        <v>40</v>
      </c>
      <c r="NA17" s="61">
        <v>15</v>
      </c>
      <c r="NB17" s="61">
        <v>10</v>
      </c>
      <c r="NC17" s="61">
        <v>80</v>
      </c>
      <c r="ND17" s="61">
        <v>20</v>
      </c>
      <c r="NE17" s="61">
        <v>2</v>
      </c>
      <c r="NF17" s="61">
        <v>10</v>
      </c>
      <c r="NG17" s="61">
        <v>10</v>
      </c>
      <c r="NH17" s="61">
        <v>2</v>
      </c>
      <c r="NI17" s="61">
        <v>2</v>
      </c>
      <c r="NT17" s="41">
        <v>44630</v>
      </c>
      <c r="NU17" s="9">
        <f t="shared" si="16"/>
        <v>0.25480109778479998</v>
      </c>
      <c r="NV17" s="9">
        <f t="shared" si="58"/>
        <v>0.15433151487946153</v>
      </c>
      <c r="NW17" s="9">
        <f t="shared" si="58"/>
        <v>0.1686767469143077</v>
      </c>
      <c r="NX17" s="9">
        <f t="shared" si="58"/>
        <v>0.1791740436082038</v>
      </c>
      <c r="NY17" s="9">
        <f t="shared" si="58"/>
        <v>0.1873888687945385</v>
      </c>
      <c r="NZ17" s="9">
        <f t="shared" si="58"/>
        <v>0.20395517722730769</v>
      </c>
      <c r="OA17" s="9">
        <f t="shared" si="58"/>
        <v>0.22526944401807694</v>
      </c>
      <c r="OB17" s="9">
        <f t="shared" si="58"/>
        <v>0.25291991662338453</v>
      </c>
      <c r="OC17" s="9">
        <f t="shared" si="58"/>
        <v>0.28508343538959224</v>
      </c>
      <c r="OD17" s="9">
        <f t="shared" si="58"/>
        <v>0.30517649732723079</v>
      </c>
      <c r="OE17" s="9">
        <f t="shared" si="58"/>
        <v>0.34534613209915377</v>
      </c>
      <c r="OF17" s="9">
        <f t="shared" si="58"/>
        <v>0.4264335589068462</v>
      </c>
      <c r="OG17" s="9">
        <f t="shared" ca="1" si="58"/>
        <v>0.2196879204072941</v>
      </c>
      <c r="OH17" s="32"/>
      <c r="OS17" s="41">
        <f t="shared" si="59"/>
        <v>44630</v>
      </c>
      <c r="OT17" s="9">
        <f t="shared" si="59"/>
        <v>0.25480109778479998</v>
      </c>
      <c r="OU17" s="9"/>
      <c r="OV17" s="9"/>
      <c r="OW17" s="9"/>
      <c r="OX17" s="9"/>
      <c r="OY17" s="9"/>
      <c r="OZ17" s="9"/>
      <c r="PA17" s="9"/>
      <c r="PB17" s="9"/>
      <c r="PC17" s="9"/>
      <c r="PD17" s="9"/>
      <c r="PE17" s="9"/>
      <c r="PF17" s="9"/>
    </row>
    <row r="18" spans="2:424" x14ac:dyDescent="0.25">
      <c r="B18" s="48">
        <v>42815</v>
      </c>
      <c r="C18" s="214">
        <v>17443645.185599998</v>
      </c>
      <c r="D18" s="214">
        <v>13299516</v>
      </c>
      <c r="E18" s="215">
        <v>10000000</v>
      </c>
      <c r="F18" s="215"/>
      <c r="G18" s="215"/>
      <c r="H18" s="215"/>
      <c r="I18" s="41">
        <v>42990</v>
      </c>
      <c r="J18" s="212">
        <v>9142429.1039999984</v>
      </c>
      <c r="K18" s="212">
        <f t="shared" si="18"/>
        <v>314746151.15879995</v>
      </c>
      <c r="M18" s="41">
        <v>43354</v>
      </c>
      <c r="N18" s="212">
        <v>37424622.542399995</v>
      </c>
      <c r="O18" s="212">
        <f t="shared" si="19"/>
        <v>360991985.40719998</v>
      </c>
      <c r="Q18" s="41">
        <v>43718</v>
      </c>
      <c r="R18" s="212">
        <v>13091177.969999999</v>
      </c>
      <c r="S18" s="212">
        <f t="shared" si="20"/>
        <v>219337965.61919993</v>
      </c>
      <c r="U18" s="41">
        <v>44089</v>
      </c>
      <c r="V18" s="212">
        <v>29568462.929999996</v>
      </c>
      <c r="W18" s="212">
        <f t="shared" si="21"/>
        <v>264038457.18239999</v>
      </c>
      <c r="Y18" s="41">
        <v>44453</v>
      </c>
      <c r="Z18" s="212">
        <v>33505896.297599997</v>
      </c>
      <c r="AA18" s="212">
        <f t="shared" si="22"/>
        <v>215625288.22559997</v>
      </c>
      <c r="AC18" s="32">
        <v>11</v>
      </c>
      <c r="AD18" s="39">
        <f t="shared" si="0"/>
        <v>0.31474615115879995</v>
      </c>
      <c r="AE18" s="39">
        <f t="shared" si="1"/>
        <v>0.36099198540719996</v>
      </c>
      <c r="AF18" s="39">
        <f t="shared" si="2"/>
        <v>0.21933796561919994</v>
      </c>
      <c r="AG18" s="39">
        <f t="shared" si="3"/>
        <v>0.26403845718239999</v>
      </c>
      <c r="AH18" s="39">
        <f t="shared" si="4"/>
        <v>0.21562528822559998</v>
      </c>
      <c r="AI18" s="39">
        <f t="shared" si="23"/>
        <v>0.30605998314158755</v>
      </c>
      <c r="AJ18" s="9"/>
      <c r="AK18" s="9"/>
      <c r="AL18" s="9"/>
      <c r="AT18" s="59"/>
      <c r="AU18" s="60" t="s">
        <v>76</v>
      </c>
      <c r="AV18" s="61">
        <v>40</v>
      </c>
      <c r="AW18" s="61">
        <v>15</v>
      </c>
      <c r="AX18" s="61">
        <v>80</v>
      </c>
      <c r="AY18" s="61">
        <v>2</v>
      </c>
      <c r="AZ18" s="61">
        <v>10</v>
      </c>
      <c r="BA18" s="61"/>
      <c r="BB18" s="61">
        <v>10</v>
      </c>
      <c r="BM18" s="41">
        <f t="shared" si="60"/>
        <v>44453</v>
      </c>
      <c r="BN18" s="9">
        <f t="shared" si="5"/>
        <v>0.21562528822559998</v>
      </c>
      <c r="BO18" s="9">
        <f t="shared" si="24"/>
        <v>0.17635425362255602</v>
      </c>
      <c r="BP18" s="9">
        <f t="shared" si="24"/>
        <v>0.20045451891088453</v>
      </c>
      <c r="BQ18" s="9">
        <f t="shared" si="24"/>
        <v>0.21388100956176276</v>
      </c>
      <c r="BR18" s="9">
        <f t="shared" si="24"/>
        <v>0.22219833787203083</v>
      </c>
      <c r="BS18" s="9">
        <f t="shared" si="24"/>
        <v>0.23770948839533254</v>
      </c>
      <c r="BT18" s="9">
        <f t="shared" si="24"/>
        <v>0.25816788292434334</v>
      </c>
      <c r="BU18" s="9">
        <f t="shared" si="24"/>
        <v>0.28094639071762717</v>
      </c>
      <c r="BV18" s="9">
        <f t="shared" si="24"/>
        <v>0.30492462260391778</v>
      </c>
      <c r="BW18" s="9">
        <f t="shared" si="24"/>
        <v>0.32038886656585308</v>
      </c>
      <c r="BX18" s="9">
        <f t="shared" si="24"/>
        <v>0.35207637968774536</v>
      </c>
      <c r="BY18" s="9">
        <f t="shared" si="24"/>
        <v>0.43453945648861581</v>
      </c>
      <c r="BZ18" s="32"/>
      <c r="CA18" s="32"/>
      <c r="CL18" s="41">
        <f t="shared" si="61"/>
        <v>44817</v>
      </c>
      <c r="CM18" s="76">
        <v>0.22458342495752212</v>
      </c>
      <c r="CN18" s="9">
        <f t="shared" si="25"/>
        <v>0.19624948148060906</v>
      </c>
      <c r="CO18" s="9">
        <f t="shared" si="25"/>
        <v>0.22344523638723479</v>
      </c>
      <c r="CP18" s="9">
        <f t="shared" si="25"/>
        <v>0.24335727008498137</v>
      </c>
      <c r="CQ18" s="9">
        <f t="shared" si="25"/>
        <v>0.25387119460619184</v>
      </c>
      <c r="CR18" s="9">
        <f t="shared" si="25"/>
        <v>0.27593932823617617</v>
      </c>
      <c r="CS18" s="9">
        <f t="shared" si="25"/>
        <v>0.30634755354928983</v>
      </c>
      <c r="CT18" s="9">
        <f t="shared" si="25"/>
        <v>0.34019534483264607</v>
      </c>
      <c r="CU18" s="9">
        <f t="shared" si="25"/>
        <v>0.37712314384654083</v>
      </c>
      <c r="CV18" s="9">
        <f t="shared" si="25"/>
        <v>0.40183781612900132</v>
      </c>
      <c r="CW18" s="9">
        <f t="shared" si="25"/>
        <v>0.4518957245771576</v>
      </c>
      <c r="CX18" s="9">
        <f t="shared" si="25"/>
        <v>0.56106575588267282</v>
      </c>
      <c r="CY18" s="32"/>
      <c r="CZ18" s="32"/>
      <c r="DA18" s="32">
        <f t="shared" si="26"/>
        <v>0.22458342495752212</v>
      </c>
      <c r="DB18" s="32">
        <v>224583424.95752212</v>
      </c>
      <c r="DC18" s="32"/>
      <c r="DD18" s="41">
        <v>45181</v>
      </c>
      <c r="DE18" s="76">
        <v>0.2304048080773273</v>
      </c>
      <c r="DF18" s="9">
        <f t="shared" ref="DF18:DP18" si="103">DF17+DF$2</f>
        <v>0.19453712588147573</v>
      </c>
      <c r="DG18" s="9">
        <f t="shared" si="103"/>
        <v>0.21666619952424424</v>
      </c>
      <c r="DH18" s="9">
        <f t="shared" si="103"/>
        <v>0.23029801995436472</v>
      </c>
      <c r="DI18" s="9">
        <f t="shared" si="103"/>
        <v>0.23950186972525889</v>
      </c>
      <c r="DJ18" s="9">
        <f t="shared" si="103"/>
        <v>0.25726583318631757</v>
      </c>
      <c r="DK18" s="9">
        <f t="shared" si="103"/>
        <v>0.28081294127090645</v>
      </c>
      <c r="DL18" s="9">
        <f t="shared" si="103"/>
        <v>0.31023569301967613</v>
      </c>
      <c r="DM18" s="9">
        <f t="shared" si="103"/>
        <v>0.34200581599521795</v>
      </c>
      <c r="DN18" s="9">
        <f t="shared" si="103"/>
        <v>0.36119262305170607</v>
      </c>
      <c r="DO18" s="9">
        <f t="shared" si="103"/>
        <v>0.40368629956477708</v>
      </c>
      <c r="DP18" s="9">
        <f t="shared" si="103"/>
        <v>0.50587008272054657</v>
      </c>
      <c r="DQ18" s="32"/>
      <c r="DR18" s="32"/>
      <c r="DS18" s="32">
        <f t="shared" si="28"/>
        <v>0.22458342495752212</v>
      </c>
      <c r="DT18" s="32">
        <v>224583424.95752212</v>
      </c>
      <c r="DU18" s="32"/>
      <c r="EF18" s="32"/>
      <c r="EG18" s="41">
        <v>45545</v>
      </c>
      <c r="EH18" s="76">
        <v>0.28397804753311384</v>
      </c>
      <c r="EI18" s="9">
        <f t="shared" ref="EI18:ES18" si="104">EI17+EI$2</f>
        <v>0.22319347087706667</v>
      </c>
      <c r="EJ18" s="9">
        <f t="shared" si="104"/>
        <v>0.24222054174490565</v>
      </c>
      <c r="EK18" s="9">
        <f t="shared" si="104"/>
        <v>0.25878751745427125</v>
      </c>
      <c r="EL18" s="9">
        <f t="shared" si="104"/>
        <v>0.26960661364288085</v>
      </c>
      <c r="EM18" s="9">
        <f t="shared" si="104"/>
        <v>0.28958242866003436</v>
      </c>
      <c r="EN18" s="9">
        <f t="shared" si="104"/>
        <v>0.31726763755045506</v>
      </c>
      <c r="EO18" s="9">
        <f t="shared" si="104"/>
        <v>0.34948853093257604</v>
      </c>
      <c r="EP18" s="9">
        <f t="shared" si="104"/>
        <v>0.38392377173153291</v>
      </c>
      <c r="EQ18" s="9">
        <f t="shared" si="104"/>
        <v>0.40455344711403518</v>
      </c>
      <c r="ER18" s="9">
        <f t="shared" si="104"/>
        <v>0.44982404661696251</v>
      </c>
      <c r="ES18" s="9">
        <f t="shared" si="104"/>
        <v>0.54268331167660844</v>
      </c>
      <c r="ET18" s="32"/>
      <c r="EU18" s="32"/>
      <c r="EV18" s="32">
        <f t="shared" si="30"/>
        <v>0.22458342495752212</v>
      </c>
      <c r="EW18" s="32">
        <v>224583424.95752212</v>
      </c>
      <c r="EX18" s="32"/>
      <c r="FG18" s="32"/>
      <c r="FH18" s="32"/>
      <c r="FI18" s="41">
        <v>45909</v>
      </c>
      <c r="FJ18" s="76">
        <v>0.26072523271168863</v>
      </c>
      <c r="FK18" s="9">
        <f t="shared" ref="FK18:FU18" si="105">FK17+FK$2</f>
        <v>0.22319347087706667</v>
      </c>
      <c r="FL18" s="9">
        <f t="shared" si="105"/>
        <v>0.24222054174490565</v>
      </c>
      <c r="FM18" s="9">
        <f t="shared" si="105"/>
        <v>0.25878751745427125</v>
      </c>
      <c r="FN18" s="9">
        <f t="shared" si="105"/>
        <v>0.26960661364288085</v>
      </c>
      <c r="FO18" s="9">
        <f t="shared" si="105"/>
        <v>0.28958242866003436</v>
      </c>
      <c r="FP18" s="9">
        <f t="shared" si="105"/>
        <v>0.31726763755045506</v>
      </c>
      <c r="FQ18" s="9">
        <f t="shared" si="105"/>
        <v>0.34948853093257604</v>
      </c>
      <c r="FR18" s="9">
        <f t="shared" si="105"/>
        <v>0.38392377173153291</v>
      </c>
      <c r="FS18" s="9">
        <f t="shared" si="105"/>
        <v>0.40455344711403518</v>
      </c>
      <c r="FT18" s="9">
        <f t="shared" si="105"/>
        <v>0.44982404661696251</v>
      </c>
      <c r="FU18" s="9">
        <f t="shared" si="105"/>
        <v>0.54268331167660844</v>
      </c>
      <c r="FV18" s="32"/>
      <c r="FW18" s="32"/>
      <c r="FX18" s="32">
        <f t="shared" si="32"/>
        <v>0.22458342495752212</v>
      </c>
      <c r="FY18" s="32">
        <v>224583424.95752212</v>
      </c>
      <c r="FZ18" s="32"/>
      <c r="GI18" s="32"/>
      <c r="GJ18" s="41">
        <v>45545</v>
      </c>
      <c r="GK18" s="76">
        <v>0.28397804753311384</v>
      </c>
      <c r="GL18" s="9">
        <f t="shared" ref="GL18:GV18" si="106">GL17+GL$2</f>
        <v>0.18420559638687636</v>
      </c>
      <c r="GM18" s="9">
        <f t="shared" si="106"/>
        <v>0.21207395847205956</v>
      </c>
      <c r="GN18" s="9">
        <f t="shared" si="106"/>
        <v>0.22800494926483039</v>
      </c>
      <c r="GO18" s="9">
        <f t="shared" si="106"/>
        <v>0.23700409030020034</v>
      </c>
      <c r="GP18" s="9">
        <f t="shared" si="106"/>
        <v>0.25564242899142897</v>
      </c>
      <c r="GQ18" s="9">
        <f t="shared" si="106"/>
        <v>0.28651087607572173</v>
      </c>
      <c r="GR18" s="9">
        <f t="shared" si="106"/>
        <v>0.32659446265828085</v>
      </c>
      <c r="GS18" s="9">
        <f t="shared" si="106"/>
        <v>0.37368416953014338</v>
      </c>
      <c r="GT18" s="9">
        <f t="shared" si="106"/>
        <v>0.41125358401325263</v>
      </c>
      <c r="GU18" s="9">
        <f t="shared" si="106"/>
        <v>0.4824958866749034</v>
      </c>
      <c r="GV18" s="9">
        <f t="shared" si="106"/>
        <v>0.62711450132631574</v>
      </c>
      <c r="GW18" s="32"/>
      <c r="GX18" s="32"/>
      <c r="GY18" s="32">
        <f t="shared" si="34"/>
        <v>0.22458342495752212</v>
      </c>
      <c r="GZ18" s="32">
        <v>224583424.95752212</v>
      </c>
      <c r="HA18" s="32"/>
      <c r="HB18" s="229">
        <v>45909</v>
      </c>
      <c r="HC18" s="230">
        <v>0.26072523271168863</v>
      </c>
      <c r="HD18" s="9">
        <f t="shared" ref="HD18:HN18" si="107">HD17+HD$2</f>
        <v>0.20407359082121351</v>
      </c>
      <c r="HE18" s="9">
        <f t="shared" si="107"/>
        <v>0.23013040821336209</v>
      </c>
      <c r="HF18" s="9">
        <f t="shared" si="107"/>
        <v>0.24830186867731974</v>
      </c>
      <c r="HG18" s="9">
        <f t="shared" si="107"/>
        <v>0.25978474091676129</v>
      </c>
      <c r="HH18" s="9">
        <f t="shared" si="107"/>
        <v>0.28475727642533954</v>
      </c>
      <c r="HI18" s="9">
        <f t="shared" si="107"/>
        <v>0.3198764796597458</v>
      </c>
      <c r="HJ18" s="9">
        <f t="shared" si="107"/>
        <v>0.36594417619702974</v>
      </c>
      <c r="HK18" s="9">
        <f t="shared" si="107"/>
        <v>0.41788188477119331</v>
      </c>
      <c r="HL18" s="9">
        <f t="shared" si="107"/>
        <v>0.45075985284227127</v>
      </c>
      <c r="HM18" s="9">
        <f t="shared" si="107"/>
        <v>0.52396096129706748</v>
      </c>
      <c r="HN18" s="9">
        <f t="shared" si="107"/>
        <v>0.67370093458042135</v>
      </c>
      <c r="HO18" s="32"/>
      <c r="HP18" s="32"/>
      <c r="HQ18" s="32">
        <v>260725232.71168861</v>
      </c>
      <c r="HR18" s="32">
        <f t="shared" si="36"/>
        <v>0.26072523271168863</v>
      </c>
      <c r="HT18" s="32"/>
      <c r="IC18" s="41">
        <f t="shared" si="67"/>
        <v>44817</v>
      </c>
      <c r="ID18" s="9">
        <v>0.23181665285870001</v>
      </c>
      <c r="IE18" s="9"/>
      <c r="IF18" s="9"/>
      <c r="IG18" s="9"/>
      <c r="IH18" s="9"/>
      <c r="II18" s="9"/>
      <c r="IJ18" s="9"/>
      <c r="IK18" s="9"/>
      <c r="IL18" s="9"/>
      <c r="IM18" s="9"/>
      <c r="IN18" s="9"/>
      <c r="IO18" s="9"/>
      <c r="IP18" s="32"/>
      <c r="IQ18" s="32"/>
      <c r="JB18" s="41">
        <f t="shared" si="13"/>
        <v>44453</v>
      </c>
      <c r="JC18" s="9">
        <f t="shared" si="14"/>
        <v>0.21562528822559998</v>
      </c>
      <c r="JD18" s="9"/>
      <c r="JE18" s="9"/>
      <c r="JF18" s="9"/>
      <c r="JG18" s="9"/>
      <c r="JH18" s="9"/>
      <c r="JI18" s="9"/>
      <c r="JJ18" s="9"/>
      <c r="JK18" s="9"/>
      <c r="JL18" s="9"/>
      <c r="JM18" s="9"/>
      <c r="JN18" s="9"/>
      <c r="JO18" s="9"/>
      <c r="JZ18" s="41">
        <f t="shared" si="15"/>
        <v>44453</v>
      </c>
      <c r="KA18" s="9">
        <f t="shared" si="37"/>
        <v>0.21562528822559998</v>
      </c>
      <c r="KB18" s="9"/>
      <c r="KC18" s="9"/>
      <c r="KN18" s="41">
        <v>42990</v>
      </c>
      <c r="KO18" s="212">
        <v>9142429.1039999984</v>
      </c>
      <c r="KP18" s="212">
        <f t="shared" si="38"/>
        <v>314746151.15879995</v>
      </c>
      <c r="KR18" s="41">
        <v>43172</v>
      </c>
      <c r="KS18" s="212">
        <v>10682675.0856</v>
      </c>
      <c r="KT18" s="212">
        <f t="shared" si="39"/>
        <v>229410612.92159998</v>
      </c>
      <c r="KV18" s="41">
        <v>43354</v>
      </c>
      <c r="KW18" s="212">
        <v>37424622.542399995</v>
      </c>
      <c r="KX18" s="212">
        <f t="shared" si="40"/>
        <v>360991985.40719998</v>
      </c>
      <c r="KZ18" s="41">
        <v>43536</v>
      </c>
      <c r="LA18" s="212">
        <v>42990412.881599993</v>
      </c>
      <c r="LB18" s="212">
        <f t="shared" si="41"/>
        <v>225370234.36799997</v>
      </c>
      <c r="LD18" s="41">
        <v>43718</v>
      </c>
      <c r="LE18" s="212">
        <v>13091177.969999999</v>
      </c>
      <c r="LF18" s="212">
        <f t="shared" si="42"/>
        <v>219337965.61919993</v>
      </c>
      <c r="LH18" s="41">
        <v>43907</v>
      </c>
      <c r="LI18" s="212">
        <v>20962143.068399999</v>
      </c>
      <c r="LJ18" s="212">
        <f t="shared" si="43"/>
        <v>166188637.62719998</v>
      </c>
      <c r="LL18" s="41">
        <v>44089</v>
      </c>
      <c r="LM18" s="212">
        <v>29568462.929999996</v>
      </c>
      <c r="LN18" s="212">
        <f t="shared" si="44"/>
        <v>264038457.18239999</v>
      </c>
      <c r="LP18" s="41">
        <v>44271</v>
      </c>
      <c r="LQ18" s="212">
        <v>11947144.499999998</v>
      </c>
      <c r="LR18" s="212">
        <f t="shared" si="45"/>
        <v>266378139.89999995</v>
      </c>
      <c r="LT18" s="41">
        <v>44453</v>
      </c>
      <c r="LU18" s="212">
        <v>33505896.297599997</v>
      </c>
      <c r="LV18" s="212">
        <f t="shared" si="46"/>
        <v>215625288.22559997</v>
      </c>
      <c r="LX18" s="41">
        <v>44635</v>
      </c>
      <c r="LY18" s="212">
        <v>11446458.386399999</v>
      </c>
      <c r="LZ18" s="212">
        <f t="shared" si="47"/>
        <v>266247556.17119998</v>
      </c>
      <c r="MB18" s="32">
        <v>11</v>
      </c>
      <c r="MC18" s="42">
        <f t="shared" si="48"/>
        <v>0.31474615115879995</v>
      </c>
      <c r="MD18" s="42">
        <f t="shared" si="49"/>
        <v>0.22941061292159998</v>
      </c>
      <c r="ME18" s="42">
        <f t="shared" si="50"/>
        <v>0.36099198540719996</v>
      </c>
      <c r="MF18" s="42">
        <f t="shared" si="51"/>
        <v>0.22537023436799997</v>
      </c>
      <c r="MG18" s="42">
        <f t="shared" si="52"/>
        <v>0.21933796561919994</v>
      </c>
      <c r="MH18" s="42">
        <f t="shared" si="53"/>
        <v>0.16618863762719999</v>
      </c>
      <c r="MI18" s="42">
        <f t="shared" si="54"/>
        <v>0.26403845718239999</v>
      </c>
      <c r="MJ18" s="42">
        <f t="shared" si="55"/>
        <v>0.26637813989999992</v>
      </c>
      <c r="MK18" s="42">
        <f t="shared" si="56"/>
        <v>0.21562528822559998</v>
      </c>
      <c r="ML18" s="42">
        <f t="shared" si="57"/>
        <v>0.26624755617119999</v>
      </c>
      <c r="MM18" s="8"/>
      <c r="MN18" s="8"/>
      <c r="MO18" s="8"/>
      <c r="NT18" s="41">
        <f t="shared" ref="NT18:NT33" si="108">NT17+7</f>
        <v>44637</v>
      </c>
      <c r="NU18" s="9">
        <f t="shared" si="16"/>
        <v>0.26624755617119999</v>
      </c>
      <c r="NV18" s="9">
        <f t="shared" si="58"/>
        <v>0.1697646663674077</v>
      </c>
      <c r="NW18" s="9">
        <f t="shared" si="58"/>
        <v>0.18554442160573847</v>
      </c>
      <c r="NX18" s="9">
        <f t="shared" si="58"/>
        <v>0.19709144796902417</v>
      </c>
      <c r="NY18" s="9">
        <f t="shared" si="58"/>
        <v>0.20612775567399236</v>
      </c>
      <c r="NZ18" s="9">
        <f t="shared" si="58"/>
        <v>0.22435069495003845</v>
      </c>
      <c r="OA18" s="9">
        <f t="shared" si="58"/>
        <v>0.24779638841988463</v>
      </c>
      <c r="OB18" s="9">
        <f t="shared" si="58"/>
        <v>0.27821190828572301</v>
      </c>
      <c r="OC18" s="9">
        <f t="shared" si="58"/>
        <v>0.31359177892855145</v>
      </c>
      <c r="OD18" s="9">
        <f t="shared" si="58"/>
        <v>0.33569414705995387</v>
      </c>
      <c r="OE18" s="9">
        <f t="shared" si="58"/>
        <v>0.37988074530906912</v>
      </c>
      <c r="OF18" s="9">
        <f t="shared" si="58"/>
        <v>0.46907691479753083</v>
      </c>
      <c r="OG18" s="9">
        <f t="shared" ca="1" si="58"/>
        <v>0.2416567124480235</v>
      </c>
      <c r="OH18" s="32"/>
      <c r="OS18" s="41">
        <f t="shared" si="59"/>
        <v>44637</v>
      </c>
      <c r="OT18" s="9">
        <f t="shared" si="59"/>
        <v>0.26624755617119999</v>
      </c>
      <c r="OU18" s="9"/>
      <c r="OV18" s="9"/>
      <c r="OW18" s="9"/>
      <c r="OX18" s="9"/>
      <c r="OY18" s="9"/>
      <c r="OZ18" s="9"/>
      <c r="PA18" s="9"/>
      <c r="PB18" s="9"/>
      <c r="PC18" s="9"/>
      <c r="PD18" s="9"/>
      <c r="PE18" s="9"/>
      <c r="PF18" s="9"/>
    </row>
    <row r="19" spans="2:424" x14ac:dyDescent="0.25">
      <c r="B19" s="48">
        <v>42822</v>
      </c>
      <c r="C19" s="214">
        <v>19429829.920799997</v>
      </c>
      <c r="D19" s="214">
        <v>14813838</v>
      </c>
      <c r="E19" s="215">
        <v>15000000</v>
      </c>
      <c r="F19" s="215"/>
      <c r="G19" s="215"/>
      <c r="H19" s="215"/>
      <c r="I19" s="41">
        <v>42997</v>
      </c>
      <c r="J19" s="212">
        <v>11116860.591599999</v>
      </c>
      <c r="K19" s="212">
        <f t="shared" si="18"/>
        <v>325863011.75039995</v>
      </c>
      <c r="M19" s="41">
        <v>43361</v>
      </c>
      <c r="N19" s="212">
        <v>9436830.8399999999</v>
      </c>
      <c r="O19" s="212">
        <f t="shared" si="19"/>
        <v>370428816.24719995</v>
      </c>
      <c r="Q19" s="41">
        <v>43725</v>
      </c>
      <c r="R19" s="212">
        <v>16404110.373599999</v>
      </c>
      <c r="S19" s="212">
        <f t="shared" si="20"/>
        <v>235742075.99279994</v>
      </c>
      <c r="U19" s="41">
        <v>44096</v>
      </c>
      <c r="V19" s="212">
        <v>12552159.412799999</v>
      </c>
      <c r="W19" s="212">
        <f t="shared" si="21"/>
        <v>276590616.5952</v>
      </c>
      <c r="Y19" s="41">
        <v>44460</v>
      </c>
      <c r="Z19" s="212">
        <v>47502767.757599995</v>
      </c>
      <c r="AA19" s="212">
        <f t="shared" si="22"/>
        <v>263128055.98319995</v>
      </c>
      <c r="AC19" s="32">
        <v>12</v>
      </c>
      <c r="AD19" s="39">
        <f t="shared" si="0"/>
        <v>0.32586301175039994</v>
      </c>
      <c r="AE19" s="39">
        <f t="shared" si="1"/>
        <v>0.37042881624719998</v>
      </c>
      <c r="AF19" s="39">
        <f t="shared" si="2"/>
        <v>0.23574207599279995</v>
      </c>
      <c r="AG19" s="39">
        <f t="shared" si="3"/>
        <v>0.27659061659520001</v>
      </c>
      <c r="AH19" s="39">
        <f t="shared" si="4"/>
        <v>0.26312805598319994</v>
      </c>
      <c r="AI19" s="39">
        <f t="shared" si="23"/>
        <v>0.33388361797264099</v>
      </c>
      <c r="AJ19" s="9"/>
      <c r="AK19" s="9"/>
      <c r="AL19" s="9"/>
      <c r="BM19" s="41">
        <f t="shared" si="60"/>
        <v>44460</v>
      </c>
      <c r="BN19" s="9">
        <f t="shared" si="5"/>
        <v>0.26312805598319994</v>
      </c>
      <c r="BO19" s="9">
        <f t="shared" si="24"/>
        <v>0.19238645849733385</v>
      </c>
      <c r="BP19" s="9">
        <f t="shared" si="24"/>
        <v>0.21867765699369221</v>
      </c>
      <c r="BQ19" s="9">
        <f t="shared" si="24"/>
        <v>0.23332473770374118</v>
      </c>
      <c r="BR19" s="9">
        <f t="shared" si="24"/>
        <v>0.24239818676948818</v>
      </c>
      <c r="BS19" s="9">
        <f t="shared" si="24"/>
        <v>0.25931944188581729</v>
      </c>
      <c r="BT19" s="9">
        <f t="shared" si="24"/>
        <v>0.28163769046292003</v>
      </c>
      <c r="BU19" s="9">
        <f t="shared" si="24"/>
        <v>0.30648697169195693</v>
      </c>
      <c r="BV19" s="9">
        <f t="shared" si="24"/>
        <v>0.33264504284063756</v>
      </c>
      <c r="BW19" s="9">
        <f t="shared" si="24"/>
        <v>0.3495151271627488</v>
      </c>
      <c r="BX19" s="9">
        <f t="shared" si="24"/>
        <v>0.3840833232957222</v>
      </c>
      <c r="BY19" s="9">
        <f t="shared" si="24"/>
        <v>0.47404304344212633</v>
      </c>
      <c r="BZ19" s="32"/>
      <c r="CA19" s="32"/>
      <c r="CL19" s="41">
        <f t="shared" si="61"/>
        <v>44824</v>
      </c>
      <c r="CM19" s="76">
        <v>0.25580603961283188</v>
      </c>
      <c r="CN19" s="9">
        <f t="shared" si="25"/>
        <v>0.2140903434333917</v>
      </c>
      <c r="CO19" s="9">
        <f t="shared" si="25"/>
        <v>0.24375843969516522</v>
      </c>
      <c r="CP19" s="9">
        <f t="shared" si="25"/>
        <v>0.26548065827452511</v>
      </c>
      <c r="CQ19" s="9">
        <f t="shared" si="25"/>
        <v>0.27695039411584566</v>
      </c>
      <c r="CR19" s="9">
        <f t="shared" si="25"/>
        <v>0.30102472171219219</v>
      </c>
      <c r="CS19" s="9">
        <f t="shared" si="25"/>
        <v>0.33419733114467981</v>
      </c>
      <c r="CT19" s="9">
        <f t="shared" si="25"/>
        <v>0.37112219436288663</v>
      </c>
      <c r="CU19" s="9">
        <f t="shared" si="25"/>
        <v>0.41140706601440818</v>
      </c>
      <c r="CV19" s="9">
        <f t="shared" si="25"/>
        <v>0.43836852668618326</v>
      </c>
      <c r="CW19" s="9">
        <f t="shared" si="25"/>
        <v>0.49297715408417192</v>
      </c>
      <c r="CX19" s="9">
        <f t="shared" si="25"/>
        <v>0.61207173369018852</v>
      </c>
      <c r="CY19" s="32"/>
      <c r="CZ19" s="32"/>
      <c r="DA19" s="32">
        <f t="shared" si="26"/>
        <v>0.25580603961283188</v>
      </c>
      <c r="DB19" s="32">
        <v>255806039.61283186</v>
      </c>
      <c r="DC19" s="32"/>
      <c r="DD19" s="41">
        <v>45188</v>
      </c>
      <c r="DE19" s="76">
        <v>0.24384785258003003</v>
      </c>
      <c r="DF19" s="9">
        <f t="shared" ref="DF19:DP19" si="109">DF18+DF$2</f>
        <v>0.21222231914342807</v>
      </c>
      <c r="DG19" s="9">
        <f t="shared" si="109"/>
        <v>0.23636312675372098</v>
      </c>
      <c r="DH19" s="9">
        <f t="shared" si="109"/>
        <v>0.25123420358657972</v>
      </c>
      <c r="DI19" s="9">
        <f t="shared" si="109"/>
        <v>0.26127476697300972</v>
      </c>
      <c r="DJ19" s="9">
        <f t="shared" si="109"/>
        <v>0.28065363620325551</v>
      </c>
      <c r="DK19" s="9">
        <f t="shared" si="109"/>
        <v>0.30634139047735248</v>
      </c>
      <c r="DL19" s="9">
        <f t="shared" si="109"/>
        <v>0.33843893783964668</v>
      </c>
      <c r="DM19" s="9">
        <f t="shared" si="109"/>
        <v>0.37309725381296505</v>
      </c>
      <c r="DN19" s="9">
        <f t="shared" si="109"/>
        <v>0.39402831605640665</v>
      </c>
      <c r="DO19" s="9">
        <f t="shared" si="109"/>
        <v>0.44038505407066592</v>
      </c>
      <c r="DP19" s="9">
        <f t="shared" si="109"/>
        <v>0.55185827205877802</v>
      </c>
      <c r="DQ19" s="32"/>
      <c r="DR19" s="32"/>
      <c r="DS19" s="32">
        <f t="shared" si="28"/>
        <v>0.25580603961283188</v>
      </c>
      <c r="DT19" s="32">
        <v>255806039.61283186</v>
      </c>
      <c r="DU19" s="32"/>
      <c r="EF19" s="32"/>
      <c r="EG19" s="41">
        <v>45552</v>
      </c>
      <c r="EH19" s="76">
        <v>0.301753048854285</v>
      </c>
      <c r="EI19" s="9">
        <f t="shared" ref="EI19:ES19" si="110">EI18+EI$2</f>
        <v>0.24348378641134547</v>
      </c>
      <c r="EJ19" s="9">
        <f t="shared" si="110"/>
        <v>0.26424059099444253</v>
      </c>
      <c r="EK19" s="9">
        <f t="shared" si="110"/>
        <v>0.28231365540465952</v>
      </c>
      <c r="EL19" s="9">
        <f t="shared" si="110"/>
        <v>0.29411630579223363</v>
      </c>
      <c r="EM19" s="9">
        <f t="shared" si="110"/>
        <v>0.31590810399276475</v>
      </c>
      <c r="EN19" s="9">
        <f t="shared" si="110"/>
        <v>0.34611015005504187</v>
      </c>
      <c r="EO19" s="9">
        <f t="shared" si="110"/>
        <v>0.3812602155628102</v>
      </c>
      <c r="EP19" s="9">
        <f t="shared" si="110"/>
        <v>0.41882593279803593</v>
      </c>
      <c r="EQ19" s="9">
        <f t="shared" si="110"/>
        <v>0.44133103321531109</v>
      </c>
      <c r="ER19" s="9">
        <f t="shared" si="110"/>
        <v>0.49071714176395909</v>
      </c>
      <c r="ES19" s="9">
        <f t="shared" si="110"/>
        <v>0.59201815819266379</v>
      </c>
      <c r="ET19" s="32"/>
      <c r="EU19" s="32"/>
      <c r="EV19" s="32">
        <f t="shared" si="30"/>
        <v>0.25580603961283188</v>
      </c>
      <c r="EW19" s="32">
        <v>255806039.61283186</v>
      </c>
      <c r="EX19" s="32"/>
      <c r="FG19" s="32"/>
      <c r="FH19" s="32"/>
      <c r="FI19" s="41">
        <v>45916</v>
      </c>
      <c r="FJ19" s="76">
        <v>0.28809985656258952</v>
      </c>
      <c r="FK19" s="9">
        <f t="shared" ref="FK19:FU19" si="111">FK18+FK$2</f>
        <v>0.24348378641134547</v>
      </c>
      <c r="FL19" s="9">
        <f t="shared" si="111"/>
        <v>0.26424059099444253</v>
      </c>
      <c r="FM19" s="9">
        <f t="shared" si="111"/>
        <v>0.28231365540465952</v>
      </c>
      <c r="FN19" s="9">
        <f t="shared" si="111"/>
        <v>0.29411630579223363</v>
      </c>
      <c r="FO19" s="9">
        <f t="shared" si="111"/>
        <v>0.31590810399276475</v>
      </c>
      <c r="FP19" s="9">
        <f t="shared" si="111"/>
        <v>0.34611015005504187</v>
      </c>
      <c r="FQ19" s="9">
        <f t="shared" si="111"/>
        <v>0.3812602155628102</v>
      </c>
      <c r="FR19" s="9">
        <f t="shared" si="111"/>
        <v>0.41882593279803593</v>
      </c>
      <c r="FS19" s="9">
        <f t="shared" si="111"/>
        <v>0.44133103321531109</v>
      </c>
      <c r="FT19" s="9">
        <f t="shared" si="111"/>
        <v>0.49071714176395909</v>
      </c>
      <c r="FU19" s="9">
        <f t="shared" si="111"/>
        <v>0.59201815819266379</v>
      </c>
      <c r="FV19" s="32"/>
      <c r="FW19" s="32"/>
      <c r="FX19" s="32">
        <f t="shared" si="32"/>
        <v>0.25580603961283188</v>
      </c>
      <c r="FY19" s="32">
        <v>255806039.61283186</v>
      </c>
      <c r="FZ19" s="32"/>
      <c r="GI19" s="32"/>
      <c r="GJ19" s="41">
        <v>45552</v>
      </c>
      <c r="GK19" s="76">
        <v>0.301753048854285</v>
      </c>
      <c r="GL19" s="9">
        <f t="shared" ref="GL19:GV19" si="112">GL18+GL$2</f>
        <v>0.20095155969477421</v>
      </c>
      <c r="GM19" s="9">
        <f t="shared" si="112"/>
        <v>0.23135340924224679</v>
      </c>
      <c r="GN19" s="9">
        <f t="shared" si="112"/>
        <v>0.24873267192526952</v>
      </c>
      <c r="GO19" s="9">
        <f t="shared" si="112"/>
        <v>0.25854991669112765</v>
      </c>
      <c r="GP19" s="9">
        <f t="shared" si="112"/>
        <v>0.2788826498088316</v>
      </c>
      <c r="GQ19" s="9">
        <f t="shared" si="112"/>
        <v>0.31255731935533282</v>
      </c>
      <c r="GR19" s="9">
        <f t="shared" si="112"/>
        <v>0.35628486835448819</v>
      </c>
      <c r="GS19" s="9">
        <f t="shared" si="112"/>
        <v>0.40765545766924732</v>
      </c>
      <c r="GT19" s="9">
        <f t="shared" si="112"/>
        <v>0.44864027346900287</v>
      </c>
      <c r="GU19" s="9">
        <f t="shared" si="112"/>
        <v>0.52635914909989456</v>
      </c>
      <c r="GV19" s="9">
        <f t="shared" si="112"/>
        <v>0.684124910537799</v>
      </c>
      <c r="GW19" s="32"/>
      <c r="GX19" s="32"/>
      <c r="GY19" s="32">
        <f t="shared" si="34"/>
        <v>0.25580603961283188</v>
      </c>
      <c r="GZ19" s="32">
        <v>255806039.61283186</v>
      </c>
      <c r="HA19" s="32"/>
      <c r="HB19" s="229">
        <v>45916</v>
      </c>
      <c r="HC19" s="230">
        <v>0.28809985656258952</v>
      </c>
      <c r="HD19" s="9">
        <f t="shared" ref="HD19:HN19" si="113">HD18+HD$2</f>
        <v>0.22262573544132383</v>
      </c>
      <c r="HE19" s="9">
        <f t="shared" si="113"/>
        <v>0.25105135441457682</v>
      </c>
      <c r="HF19" s="9">
        <f t="shared" si="113"/>
        <v>0.27087476582980335</v>
      </c>
      <c r="HG19" s="9">
        <f t="shared" si="113"/>
        <v>0.28340153554555775</v>
      </c>
      <c r="HH19" s="9">
        <f t="shared" si="113"/>
        <v>0.31064430155491585</v>
      </c>
      <c r="HI19" s="9">
        <f t="shared" si="113"/>
        <v>0.3489561596288136</v>
      </c>
      <c r="HJ19" s="9">
        <f t="shared" si="113"/>
        <v>0.3992118285785779</v>
      </c>
      <c r="HK19" s="9">
        <f t="shared" si="113"/>
        <v>0.45587114702311998</v>
      </c>
      <c r="HL19" s="9">
        <f t="shared" si="113"/>
        <v>0.49173802128247773</v>
      </c>
      <c r="HM19" s="9">
        <f t="shared" si="113"/>
        <v>0.57159377596043726</v>
      </c>
      <c r="HN19" s="9">
        <f t="shared" si="113"/>
        <v>0.73494647408773239</v>
      </c>
      <c r="HO19" s="32"/>
      <c r="HP19" s="32"/>
      <c r="HQ19" s="32">
        <v>288099856.56258953</v>
      </c>
      <c r="HR19" s="32">
        <f t="shared" si="36"/>
        <v>0.28809985656258952</v>
      </c>
      <c r="HT19" s="32"/>
      <c r="IC19" s="41">
        <f t="shared" si="67"/>
        <v>44824</v>
      </c>
      <c r="ID19" s="9">
        <v>0.26524902074970003</v>
      </c>
      <c r="IE19" s="9"/>
      <c r="IF19" s="9"/>
      <c r="IG19" s="9"/>
      <c r="IH19" s="9"/>
      <c r="II19" s="9"/>
      <c r="IJ19" s="9"/>
      <c r="IK19" s="9"/>
      <c r="IL19" s="9"/>
      <c r="IM19" s="9"/>
      <c r="IN19" s="9"/>
      <c r="IO19" s="9"/>
      <c r="IP19" s="32"/>
      <c r="IQ19" s="32"/>
      <c r="JB19" s="41">
        <f t="shared" si="13"/>
        <v>44460</v>
      </c>
      <c r="JC19" s="9">
        <f t="shared" si="14"/>
        <v>0.26312805598319994</v>
      </c>
      <c r="JD19" s="9"/>
      <c r="JE19" s="9"/>
      <c r="JF19" s="9"/>
      <c r="JG19" s="9"/>
      <c r="JH19" s="9"/>
      <c r="JI19" s="9"/>
      <c r="JJ19" s="9"/>
      <c r="JK19" s="9"/>
      <c r="JL19" s="9"/>
      <c r="JM19" s="9"/>
      <c r="JN19" s="9"/>
      <c r="JO19" s="9"/>
      <c r="JZ19" s="41">
        <f t="shared" si="15"/>
        <v>44460</v>
      </c>
      <c r="KA19" s="9">
        <f t="shared" si="37"/>
        <v>0.26312805598319994</v>
      </c>
      <c r="KB19" s="9"/>
      <c r="KC19" s="9"/>
      <c r="KN19" s="41">
        <v>42997</v>
      </c>
      <c r="KO19" s="212">
        <v>11116860.591599999</v>
      </c>
      <c r="KP19" s="212">
        <f t="shared" si="38"/>
        <v>325863011.75039995</v>
      </c>
      <c r="KR19" s="41">
        <v>43179</v>
      </c>
      <c r="KS19" s="212">
        <v>12896279.4564</v>
      </c>
      <c r="KT19" s="212">
        <f t="shared" si="39"/>
        <v>242306892.37799999</v>
      </c>
      <c r="KV19" s="41">
        <v>43361</v>
      </c>
      <c r="KW19" s="212">
        <v>9436830.8399999999</v>
      </c>
      <c r="KX19" s="212">
        <f t="shared" si="40"/>
        <v>370428816.24719995</v>
      </c>
      <c r="KZ19" s="41">
        <v>43543</v>
      </c>
      <c r="LA19" s="212">
        <v>56829006.111599997</v>
      </c>
      <c r="LB19" s="212">
        <f t="shared" si="41"/>
        <v>282199240.47959995</v>
      </c>
      <c r="LD19" s="41">
        <v>43725</v>
      </c>
      <c r="LE19" s="212">
        <v>16404110.373599999</v>
      </c>
      <c r="LF19" s="212">
        <f t="shared" si="42"/>
        <v>235742075.99279994</v>
      </c>
      <c r="LH19" s="41">
        <v>43914</v>
      </c>
      <c r="LI19" s="212">
        <v>11302632.0396</v>
      </c>
      <c r="LJ19" s="212">
        <f t="shared" si="43"/>
        <v>177491269.66679996</v>
      </c>
      <c r="LL19" s="41">
        <v>44096</v>
      </c>
      <c r="LM19" s="212">
        <v>12552159.412799999</v>
      </c>
      <c r="LN19" s="212">
        <f t="shared" si="44"/>
        <v>276590616.5952</v>
      </c>
      <c r="LP19" s="41">
        <v>44278</v>
      </c>
      <c r="LQ19" s="212">
        <v>15634119.657599999</v>
      </c>
      <c r="LR19" s="212">
        <f t="shared" si="45"/>
        <v>282012259.55759996</v>
      </c>
      <c r="LT19" s="41">
        <v>44460</v>
      </c>
      <c r="LU19" s="212">
        <v>47502767.757599995</v>
      </c>
      <c r="LV19" s="212">
        <f t="shared" si="46"/>
        <v>263128055.98319995</v>
      </c>
      <c r="LX19" s="41">
        <v>44642</v>
      </c>
      <c r="LY19" s="212">
        <v>19871642.264399998</v>
      </c>
      <c r="LZ19" s="212">
        <f t="shared" si="47"/>
        <v>286119198.43559998</v>
      </c>
      <c r="MB19" s="32">
        <v>12</v>
      </c>
      <c r="MC19" s="42">
        <f t="shared" si="48"/>
        <v>0.32586301175039994</v>
      </c>
      <c r="MD19" s="42">
        <f t="shared" si="49"/>
        <v>0.24230689237799999</v>
      </c>
      <c r="ME19" s="42">
        <f t="shared" si="50"/>
        <v>0.37042881624719998</v>
      </c>
      <c r="MF19" s="42">
        <f t="shared" si="51"/>
        <v>0.28219924047959993</v>
      </c>
      <c r="MG19" s="42">
        <f t="shared" si="52"/>
        <v>0.23574207599279995</v>
      </c>
      <c r="MH19" s="42">
        <f t="shared" si="53"/>
        <v>0.17749126966679996</v>
      </c>
      <c r="MI19" s="42">
        <f t="shared" si="54"/>
        <v>0.27659061659520001</v>
      </c>
      <c r="MJ19" s="42">
        <f t="shared" si="55"/>
        <v>0.28201225955759995</v>
      </c>
      <c r="MK19" s="42">
        <f t="shared" si="56"/>
        <v>0.26312805598319994</v>
      </c>
      <c r="ML19" s="42">
        <f t="shared" si="57"/>
        <v>0.28611919843559996</v>
      </c>
      <c r="MM19" s="8"/>
      <c r="MN19" s="8"/>
      <c r="MO19" s="8"/>
      <c r="MW19" s="59" t="s">
        <v>77</v>
      </c>
      <c r="MX19" s="62" t="s">
        <v>78</v>
      </c>
      <c r="NC19" s="63"/>
      <c r="ND19" s="61"/>
      <c r="NE19" s="61"/>
      <c r="NF19" s="61"/>
      <c r="NG19" s="61"/>
      <c r="NH19" s="63">
        <f>NI26</f>
        <v>0.37930101433799995</v>
      </c>
      <c r="NI19" s="53"/>
      <c r="NT19" s="41">
        <f t="shared" si="108"/>
        <v>44644</v>
      </c>
      <c r="NU19" s="9">
        <f t="shared" si="16"/>
        <v>0.28611919843559996</v>
      </c>
      <c r="NV19" s="9">
        <f t="shared" si="58"/>
        <v>0.18519781785535386</v>
      </c>
      <c r="NW19" s="9">
        <f t="shared" si="58"/>
        <v>0.20241209629716925</v>
      </c>
      <c r="NX19" s="9">
        <f t="shared" si="58"/>
        <v>0.21500885232984454</v>
      </c>
      <c r="NY19" s="9">
        <f t="shared" si="58"/>
        <v>0.22486664255344621</v>
      </c>
      <c r="NZ19" s="9">
        <f t="shared" si="58"/>
        <v>0.24474621267276922</v>
      </c>
      <c r="OA19" s="9">
        <f t="shared" si="58"/>
        <v>0.27032333282169235</v>
      </c>
      <c r="OB19" s="9">
        <f t="shared" si="58"/>
        <v>0.30350389994806148</v>
      </c>
      <c r="OC19" s="9">
        <f t="shared" si="58"/>
        <v>0.34210012246751065</v>
      </c>
      <c r="OD19" s="9">
        <f t="shared" si="58"/>
        <v>0.36621179679267696</v>
      </c>
      <c r="OE19" s="9">
        <f t="shared" si="58"/>
        <v>0.41441535851898448</v>
      </c>
      <c r="OF19" s="9">
        <f t="shared" si="58"/>
        <v>0.51172027068821546</v>
      </c>
      <c r="OG19" s="9">
        <f t="shared" ca="1" si="58"/>
        <v>0.26362550448875294</v>
      </c>
      <c r="OH19" s="32"/>
      <c r="OS19" s="41">
        <f t="shared" si="59"/>
        <v>44644</v>
      </c>
      <c r="OT19" s="9">
        <f t="shared" si="59"/>
        <v>0.28611919843559996</v>
      </c>
      <c r="OU19" s="9"/>
      <c r="OV19" s="9"/>
      <c r="OW19" s="9"/>
      <c r="OX19" s="9"/>
      <c r="OY19" s="9"/>
      <c r="OZ19" s="9"/>
      <c r="PA19" s="9"/>
      <c r="PB19" s="9"/>
      <c r="PC19" s="9"/>
      <c r="PD19" s="9"/>
      <c r="PE19" s="9"/>
      <c r="PF19" s="9"/>
    </row>
    <row r="20" spans="2:424" x14ac:dyDescent="0.25">
      <c r="B20" s="48">
        <v>42829</v>
      </c>
      <c r="C20" s="214">
        <v>10053134.629199998</v>
      </c>
      <c r="D20" s="214">
        <v>7664787</v>
      </c>
      <c r="E20" s="215">
        <v>2000000</v>
      </c>
      <c r="F20" s="215"/>
      <c r="G20" s="215"/>
      <c r="H20" s="215"/>
      <c r="I20" s="41">
        <v>43004</v>
      </c>
      <c r="J20" s="212">
        <v>19387038.970799997</v>
      </c>
      <c r="K20" s="212">
        <f t="shared" si="18"/>
        <v>345250050.72119993</v>
      </c>
      <c r="M20" s="41">
        <v>43368</v>
      </c>
      <c r="N20" s="212">
        <v>14429564.776799999</v>
      </c>
      <c r="O20" s="212">
        <f t="shared" si="19"/>
        <v>384858381.02399993</v>
      </c>
      <c r="Q20" s="41">
        <v>43732</v>
      </c>
      <c r="R20" s="212">
        <v>27622870.480799999</v>
      </c>
      <c r="S20" s="212">
        <f t="shared" si="20"/>
        <v>263364946.47359994</v>
      </c>
      <c r="U20" s="41">
        <v>44103</v>
      </c>
      <c r="V20" s="212">
        <v>19894327.444799997</v>
      </c>
      <c r="W20" s="212">
        <f t="shared" si="21"/>
        <v>296484944.04000002</v>
      </c>
      <c r="Y20" s="41">
        <v>44467</v>
      </c>
      <c r="Z20" s="212">
        <v>12466139.972399998</v>
      </c>
      <c r="AA20" s="212">
        <f t="shared" si="22"/>
        <v>275594195.95559996</v>
      </c>
      <c r="AC20" s="32">
        <v>13</v>
      </c>
      <c r="AD20" s="39">
        <f t="shared" si="0"/>
        <v>0.34525005072119991</v>
      </c>
      <c r="AE20" s="39">
        <f t="shared" si="1"/>
        <v>0.38485838102399994</v>
      </c>
      <c r="AF20" s="39">
        <f t="shared" si="2"/>
        <v>0.26336494647359993</v>
      </c>
      <c r="AG20" s="39">
        <f t="shared" si="3"/>
        <v>0.29648494404000003</v>
      </c>
      <c r="AH20" s="39">
        <f t="shared" si="4"/>
        <v>0.27559419595559997</v>
      </c>
      <c r="AI20" s="39">
        <f t="shared" si="23"/>
        <v>0.36170725280369442</v>
      </c>
      <c r="AJ20" s="9"/>
      <c r="AK20" s="9"/>
      <c r="AL20" s="9"/>
      <c r="AT20" s="59" t="s">
        <v>79</v>
      </c>
      <c r="AU20" s="62" t="s">
        <v>80</v>
      </c>
      <c r="AZ20" s="63">
        <f>BB27</f>
        <v>0.99168636911903985</v>
      </c>
      <c r="BA20" s="63"/>
      <c r="BB20" s="63"/>
      <c r="BM20" s="41">
        <f t="shared" si="60"/>
        <v>44467</v>
      </c>
      <c r="BN20" s="9">
        <f t="shared" si="5"/>
        <v>0.27559419595559997</v>
      </c>
      <c r="BO20" s="9">
        <f t="shared" si="24"/>
        <v>0.20841866337211168</v>
      </c>
      <c r="BP20" s="9">
        <f t="shared" si="24"/>
        <v>0.23690079507649989</v>
      </c>
      <c r="BQ20" s="9">
        <f t="shared" si="24"/>
        <v>0.2527684658457196</v>
      </c>
      <c r="BR20" s="9">
        <f t="shared" si="24"/>
        <v>0.26259803566694551</v>
      </c>
      <c r="BS20" s="9">
        <f t="shared" si="24"/>
        <v>0.28092939537630207</v>
      </c>
      <c r="BT20" s="9">
        <f t="shared" si="24"/>
        <v>0.30510749800149672</v>
      </c>
      <c r="BU20" s="9">
        <f t="shared" si="24"/>
        <v>0.3320275526662867</v>
      </c>
      <c r="BV20" s="9">
        <f t="shared" si="24"/>
        <v>0.36036546307735734</v>
      </c>
      <c r="BW20" s="9">
        <f t="shared" si="24"/>
        <v>0.37864138775964451</v>
      </c>
      <c r="BX20" s="9">
        <f t="shared" si="24"/>
        <v>0.41609026690369905</v>
      </c>
      <c r="BY20" s="9">
        <f t="shared" si="24"/>
        <v>0.51354663039563686</v>
      </c>
      <c r="BZ20" s="32"/>
      <c r="CA20" s="32"/>
      <c r="CL20" s="41">
        <f t="shared" si="61"/>
        <v>44831</v>
      </c>
      <c r="CM20" s="76">
        <v>0.29377769196961651</v>
      </c>
      <c r="CN20" s="9">
        <f t="shared" si="25"/>
        <v>0.23193120538617434</v>
      </c>
      <c r="CO20" s="9">
        <f t="shared" si="25"/>
        <v>0.26407164300309566</v>
      </c>
      <c r="CP20" s="9">
        <f t="shared" si="25"/>
        <v>0.28760404646406884</v>
      </c>
      <c r="CQ20" s="9">
        <f t="shared" si="25"/>
        <v>0.30002959362549947</v>
      </c>
      <c r="CR20" s="9">
        <f t="shared" si="25"/>
        <v>0.3261101151882082</v>
      </c>
      <c r="CS20" s="9">
        <f t="shared" si="25"/>
        <v>0.36204710874006979</v>
      </c>
      <c r="CT20" s="9">
        <f t="shared" si="25"/>
        <v>0.40204904389312718</v>
      </c>
      <c r="CU20" s="9">
        <f t="shared" si="25"/>
        <v>0.44569098818227554</v>
      </c>
      <c r="CV20" s="9">
        <f t="shared" si="25"/>
        <v>0.47489923724336519</v>
      </c>
      <c r="CW20" s="9">
        <f t="shared" si="25"/>
        <v>0.5340585835911863</v>
      </c>
      <c r="CX20" s="9">
        <f t="shared" si="25"/>
        <v>0.66307771149770423</v>
      </c>
      <c r="CY20" s="32"/>
      <c r="CZ20" s="32"/>
      <c r="DA20" s="32">
        <f t="shared" si="26"/>
        <v>0.29377769196961651</v>
      </c>
      <c r="DB20" s="32">
        <v>293777691.96961653</v>
      </c>
      <c r="DC20" s="32"/>
      <c r="DD20" s="41">
        <v>45195</v>
      </c>
      <c r="DE20" s="76">
        <v>0.261592246924024</v>
      </c>
      <c r="DF20" s="9">
        <f t="shared" ref="DF20:DP20" si="114">DF19+DF$2</f>
        <v>0.2299075124053804</v>
      </c>
      <c r="DG20" s="9">
        <f t="shared" si="114"/>
        <v>0.25606005398319776</v>
      </c>
      <c r="DH20" s="9">
        <f t="shared" si="114"/>
        <v>0.27217038721879472</v>
      </c>
      <c r="DI20" s="9">
        <f t="shared" si="114"/>
        <v>0.28304766422076055</v>
      </c>
      <c r="DJ20" s="9">
        <f t="shared" si="114"/>
        <v>0.30404143922019344</v>
      </c>
      <c r="DK20" s="9">
        <f t="shared" si="114"/>
        <v>0.33186983968379852</v>
      </c>
      <c r="DL20" s="9">
        <f t="shared" si="114"/>
        <v>0.36664218265961723</v>
      </c>
      <c r="DM20" s="9">
        <f t="shared" si="114"/>
        <v>0.40418869163071214</v>
      </c>
      <c r="DN20" s="9">
        <f t="shared" si="114"/>
        <v>0.42686400906110722</v>
      </c>
      <c r="DO20" s="9">
        <f t="shared" si="114"/>
        <v>0.47708380857655475</v>
      </c>
      <c r="DP20" s="9">
        <f t="shared" si="114"/>
        <v>0.59784646139700948</v>
      </c>
      <c r="DQ20" s="32"/>
      <c r="DR20" s="32"/>
      <c r="DS20" s="32">
        <f t="shared" si="28"/>
        <v>0.29377769196961651</v>
      </c>
      <c r="DT20" s="32">
        <v>293777691.96961653</v>
      </c>
      <c r="DU20" s="32"/>
      <c r="EF20" s="32"/>
      <c r="EG20" s="41">
        <v>45559</v>
      </c>
      <c r="EH20" s="76">
        <v>0.32928236410038109</v>
      </c>
      <c r="EI20" s="9">
        <f t="shared" ref="EI20:ES20" si="115">EI19+EI$2</f>
        <v>0.26377410194562423</v>
      </c>
      <c r="EJ20" s="9">
        <f t="shared" si="115"/>
        <v>0.2862606402439794</v>
      </c>
      <c r="EK20" s="9">
        <f t="shared" si="115"/>
        <v>0.3058397933550478</v>
      </c>
      <c r="EL20" s="9">
        <f t="shared" si="115"/>
        <v>0.31862599794158641</v>
      </c>
      <c r="EM20" s="9">
        <f t="shared" si="115"/>
        <v>0.34223377932549515</v>
      </c>
      <c r="EN20" s="9">
        <f t="shared" si="115"/>
        <v>0.37495266255962867</v>
      </c>
      <c r="EO20" s="9">
        <f t="shared" si="115"/>
        <v>0.41303190019304437</v>
      </c>
      <c r="EP20" s="9">
        <f t="shared" si="115"/>
        <v>0.45372809386453894</v>
      </c>
      <c r="EQ20" s="9">
        <f t="shared" si="115"/>
        <v>0.47810861931658699</v>
      </c>
      <c r="ER20" s="9">
        <f t="shared" si="115"/>
        <v>0.53161023691095566</v>
      </c>
      <c r="ES20" s="9">
        <f t="shared" si="115"/>
        <v>0.64135300470871914</v>
      </c>
      <c r="ET20" s="32"/>
      <c r="EU20" s="32"/>
      <c r="EV20" s="32">
        <f t="shared" si="30"/>
        <v>0.29377769196961651</v>
      </c>
      <c r="EW20" s="32">
        <v>293777691.96961653</v>
      </c>
      <c r="EX20" s="32"/>
      <c r="FG20" s="32"/>
      <c r="FH20" s="32"/>
      <c r="FI20" s="41">
        <v>45923</v>
      </c>
      <c r="FJ20" s="76">
        <v>0.30169140129066757</v>
      </c>
      <c r="FK20" s="9">
        <f t="shared" ref="FK20:FU20" si="116">FK19+FK$2</f>
        <v>0.26377410194562423</v>
      </c>
      <c r="FL20" s="9">
        <f t="shared" si="116"/>
        <v>0.2862606402439794</v>
      </c>
      <c r="FM20" s="9">
        <f t="shared" si="116"/>
        <v>0.3058397933550478</v>
      </c>
      <c r="FN20" s="9">
        <f t="shared" si="116"/>
        <v>0.31862599794158641</v>
      </c>
      <c r="FO20" s="9">
        <f t="shared" si="116"/>
        <v>0.34223377932549515</v>
      </c>
      <c r="FP20" s="9">
        <f t="shared" si="116"/>
        <v>0.37495266255962867</v>
      </c>
      <c r="FQ20" s="9">
        <f t="shared" si="116"/>
        <v>0.41303190019304437</v>
      </c>
      <c r="FR20" s="9">
        <f t="shared" si="116"/>
        <v>0.45372809386453894</v>
      </c>
      <c r="FS20" s="9">
        <f t="shared" si="116"/>
        <v>0.47810861931658699</v>
      </c>
      <c r="FT20" s="9">
        <f t="shared" si="116"/>
        <v>0.53161023691095566</v>
      </c>
      <c r="FU20" s="9">
        <f t="shared" si="116"/>
        <v>0.64135300470871914</v>
      </c>
      <c r="FV20" s="32"/>
      <c r="FW20" s="32"/>
      <c r="FX20" s="32">
        <f t="shared" si="32"/>
        <v>0.29377769196961651</v>
      </c>
      <c r="FY20" s="32">
        <v>293777691.96961653</v>
      </c>
      <c r="FZ20" s="32"/>
      <c r="GI20" s="32"/>
      <c r="GJ20" s="41">
        <v>45559</v>
      </c>
      <c r="GK20" s="76">
        <v>0.32928236410038109</v>
      </c>
      <c r="GL20" s="9">
        <f t="shared" ref="GL20:GV20" si="117">GL19+GL$2</f>
        <v>0.21769752300267206</v>
      </c>
      <c r="GM20" s="9">
        <f t="shared" si="117"/>
        <v>0.25063286001243401</v>
      </c>
      <c r="GN20" s="9">
        <f t="shared" si="117"/>
        <v>0.26946039458570864</v>
      </c>
      <c r="GO20" s="9">
        <f t="shared" si="117"/>
        <v>0.28009574308205493</v>
      </c>
      <c r="GP20" s="9">
        <f t="shared" si="117"/>
        <v>0.30212287062623422</v>
      </c>
      <c r="GQ20" s="9">
        <f t="shared" si="117"/>
        <v>0.33860376263494391</v>
      </c>
      <c r="GR20" s="9">
        <f t="shared" si="117"/>
        <v>0.38597527405069554</v>
      </c>
      <c r="GS20" s="9">
        <f t="shared" si="117"/>
        <v>0.44162674580835126</v>
      </c>
      <c r="GT20" s="9">
        <f t="shared" si="117"/>
        <v>0.48602696292475311</v>
      </c>
      <c r="GU20" s="9">
        <f t="shared" si="117"/>
        <v>0.57022241152488573</v>
      </c>
      <c r="GV20" s="9">
        <f t="shared" si="117"/>
        <v>0.74113531974928226</v>
      </c>
      <c r="GW20" s="32"/>
      <c r="GX20" s="32"/>
      <c r="GY20" s="32">
        <f t="shared" si="34"/>
        <v>0.29377769196961651</v>
      </c>
      <c r="GZ20" s="32">
        <v>293777691.96961653</v>
      </c>
      <c r="HA20" s="32"/>
      <c r="HB20" s="229">
        <v>45923</v>
      </c>
      <c r="HC20" s="230">
        <v>0.30169140129066757</v>
      </c>
      <c r="HD20" s="9">
        <f t="shared" ref="HD20:HN20" si="118">HD19+HD$2</f>
        <v>0.24117788006143415</v>
      </c>
      <c r="HE20" s="9">
        <f t="shared" si="118"/>
        <v>0.27197230061579158</v>
      </c>
      <c r="HF20" s="9">
        <f t="shared" si="118"/>
        <v>0.29344766298228697</v>
      </c>
      <c r="HG20" s="9">
        <f t="shared" si="118"/>
        <v>0.3070183301743542</v>
      </c>
      <c r="HH20" s="9">
        <f t="shared" si="118"/>
        <v>0.33653132668449215</v>
      </c>
      <c r="HI20" s="9">
        <f t="shared" si="118"/>
        <v>0.3780358395978814</v>
      </c>
      <c r="HJ20" s="9">
        <f t="shared" si="118"/>
        <v>0.43247948096012606</v>
      </c>
      <c r="HK20" s="9">
        <f t="shared" si="118"/>
        <v>0.49386040927504665</v>
      </c>
      <c r="HL20" s="9">
        <f t="shared" si="118"/>
        <v>0.5327161897226842</v>
      </c>
      <c r="HM20" s="9">
        <f t="shared" si="118"/>
        <v>0.61922659062380703</v>
      </c>
      <c r="HN20" s="9">
        <f t="shared" si="118"/>
        <v>0.79619201359504344</v>
      </c>
      <c r="HO20" s="32"/>
      <c r="HP20" s="32"/>
      <c r="HQ20" s="32">
        <v>301691401.29066759</v>
      </c>
      <c r="HR20" s="32">
        <f t="shared" si="36"/>
        <v>0.30169140129066757</v>
      </c>
      <c r="HT20" s="32"/>
      <c r="IC20" s="41">
        <f t="shared" si="67"/>
        <v>44831</v>
      </c>
      <c r="ID20" s="9">
        <v>0.30399703231039998</v>
      </c>
      <c r="IE20" s="9"/>
      <c r="IF20" s="9"/>
      <c r="IG20" s="9"/>
      <c r="IH20" s="9"/>
      <c r="II20" s="9"/>
      <c r="IJ20" s="9"/>
      <c r="IK20" s="9"/>
      <c r="IL20" s="9"/>
      <c r="IM20" s="9"/>
      <c r="IN20" s="9"/>
      <c r="IO20" s="9"/>
      <c r="IP20" s="32"/>
      <c r="IQ20" s="32"/>
      <c r="JB20" s="41">
        <f t="shared" si="13"/>
        <v>44467</v>
      </c>
      <c r="JC20" s="9">
        <f t="shared" si="14"/>
        <v>0.27559419595559997</v>
      </c>
      <c r="JD20" s="9"/>
      <c r="JE20" s="9"/>
      <c r="JF20" s="9"/>
      <c r="JG20" s="9"/>
      <c r="JH20" s="9"/>
      <c r="JI20" s="9"/>
      <c r="JJ20" s="9"/>
      <c r="JK20" s="9"/>
      <c r="JL20" s="9"/>
      <c r="JM20" s="9"/>
      <c r="JN20" s="9"/>
      <c r="JO20" s="9"/>
      <c r="JZ20" s="41">
        <f t="shared" si="15"/>
        <v>44467</v>
      </c>
      <c r="KA20" s="9">
        <f t="shared" si="37"/>
        <v>0.27559419595559997</v>
      </c>
      <c r="KB20" s="9"/>
      <c r="KC20" s="9"/>
      <c r="KN20" s="41">
        <v>43004</v>
      </c>
      <c r="KO20" s="212">
        <v>19387038.970799997</v>
      </c>
      <c r="KP20" s="212">
        <f t="shared" si="38"/>
        <v>345250050.72119993</v>
      </c>
      <c r="KR20" s="41">
        <v>43186</v>
      </c>
      <c r="KS20" s="212">
        <v>20278117.713599999</v>
      </c>
      <c r="KT20" s="212">
        <f t="shared" si="39"/>
        <v>262585010.0916</v>
      </c>
      <c r="KV20" s="41">
        <v>43368</v>
      </c>
      <c r="KW20" s="212">
        <v>14429564.776799999</v>
      </c>
      <c r="KX20" s="212">
        <f t="shared" si="40"/>
        <v>384858381.02399993</v>
      </c>
      <c r="KZ20" s="41">
        <v>43550</v>
      </c>
      <c r="LA20" s="212">
        <v>81933942.985199988</v>
      </c>
      <c r="LB20" s="212">
        <f t="shared" si="41"/>
        <v>364133183.46479994</v>
      </c>
      <c r="LD20" s="41">
        <v>43732</v>
      </c>
      <c r="LE20" s="212">
        <v>27622870.480799999</v>
      </c>
      <c r="LF20" s="212">
        <f t="shared" si="42"/>
        <v>263364946.47359994</v>
      </c>
      <c r="LH20" s="41">
        <v>43921</v>
      </c>
      <c r="LI20" s="212">
        <v>13280618.555999998</v>
      </c>
      <c r="LJ20" s="212">
        <f t="shared" si="43"/>
        <v>190771888.22279996</v>
      </c>
      <c r="LL20" s="41">
        <v>44103</v>
      </c>
      <c r="LM20" s="212">
        <v>19894327.444799997</v>
      </c>
      <c r="LN20" s="212">
        <f t="shared" si="44"/>
        <v>296484944.04000002</v>
      </c>
      <c r="LP20" s="41">
        <v>44285</v>
      </c>
      <c r="LQ20" s="212">
        <v>25531076.584799998</v>
      </c>
      <c r="LR20" s="212">
        <f t="shared" si="45"/>
        <v>307543336.14239997</v>
      </c>
      <c r="LT20" s="41">
        <v>44467</v>
      </c>
      <c r="LU20" s="212">
        <v>12466139.972399998</v>
      </c>
      <c r="LV20" s="212">
        <f t="shared" si="46"/>
        <v>275594195.95559996</v>
      </c>
      <c r="LX20" s="41">
        <v>44649</v>
      </c>
      <c r="LY20" s="212">
        <v>12808375.282799998</v>
      </c>
      <c r="LZ20" s="212">
        <f t="shared" si="47"/>
        <v>298927573.7184</v>
      </c>
      <c r="MB20" s="32">
        <v>13</v>
      </c>
      <c r="MC20" s="42">
        <f t="shared" si="48"/>
        <v>0.34525005072119991</v>
      </c>
      <c r="MD20" s="42">
        <f t="shared" si="49"/>
        <v>0.26258501009160001</v>
      </c>
      <c r="ME20" s="42">
        <f t="shared" si="50"/>
        <v>0.38485838102399994</v>
      </c>
      <c r="MF20" s="42">
        <f t="shared" si="51"/>
        <v>0.36413318346479995</v>
      </c>
      <c r="MG20" s="42">
        <f t="shared" si="52"/>
        <v>0.26336494647359993</v>
      </c>
      <c r="MH20" s="42">
        <f t="shared" si="53"/>
        <v>0.19077188822279995</v>
      </c>
      <c r="MI20" s="42">
        <f t="shared" si="54"/>
        <v>0.29648494404000003</v>
      </c>
      <c r="MJ20" s="42">
        <f t="shared" si="55"/>
        <v>0.30754333614239998</v>
      </c>
      <c r="MK20" s="42">
        <f t="shared" si="56"/>
        <v>0.27559419595559997</v>
      </c>
      <c r="ML20" s="42">
        <f t="shared" si="57"/>
        <v>0.29892757371840001</v>
      </c>
      <c r="MM20" s="8"/>
      <c r="MN20" s="8"/>
      <c r="MO20" s="8"/>
      <c r="NT20" s="41">
        <f t="shared" si="108"/>
        <v>44651</v>
      </c>
      <c r="NU20" s="9">
        <f t="shared" si="16"/>
        <v>0.29892757371840001</v>
      </c>
      <c r="NV20" s="9">
        <f t="shared" si="58"/>
        <v>0.20063096934330002</v>
      </c>
      <c r="NW20" s="9">
        <f t="shared" si="58"/>
        <v>0.21927977098860002</v>
      </c>
      <c r="NX20" s="9">
        <f t="shared" si="58"/>
        <v>0.23292625669066491</v>
      </c>
      <c r="NY20" s="9">
        <f t="shared" si="58"/>
        <v>0.24360552943290006</v>
      </c>
      <c r="NZ20" s="9">
        <f t="shared" si="58"/>
        <v>0.26514173039549999</v>
      </c>
      <c r="OA20" s="9">
        <f t="shared" si="58"/>
        <v>0.29285027722350004</v>
      </c>
      <c r="OB20" s="9">
        <f t="shared" si="58"/>
        <v>0.32879589161039996</v>
      </c>
      <c r="OC20" s="9">
        <f t="shared" si="58"/>
        <v>0.37060846600646985</v>
      </c>
      <c r="OD20" s="9">
        <f t="shared" si="58"/>
        <v>0.39672944652540004</v>
      </c>
      <c r="OE20" s="9">
        <f t="shared" si="58"/>
        <v>0.44894997172889983</v>
      </c>
      <c r="OF20" s="9">
        <f t="shared" si="58"/>
        <v>0.55436362657890004</v>
      </c>
      <c r="OG20" s="9">
        <f t="shared" ca="1" si="58"/>
        <v>0.28559429652948237</v>
      </c>
      <c r="OH20" s="32"/>
      <c r="OS20" s="41">
        <f t="shared" si="59"/>
        <v>44651</v>
      </c>
      <c r="OT20" s="9">
        <f t="shared" si="59"/>
        <v>0.29892757371840001</v>
      </c>
      <c r="OU20" s="9"/>
      <c r="OV20" s="9"/>
      <c r="OW20" s="9"/>
      <c r="OX20" s="9"/>
      <c r="OY20" s="9"/>
      <c r="OZ20" s="9"/>
      <c r="PA20" s="9"/>
      <c r="PB20" s="9"/>
      <c r="PC20" s="9"/>
      <c r="PD20" s="9"/>
      <c r="PE20" s="9"/>
      <c r="PF20" s="9"/>
    </row>
    <row r="21" spans="2:424" x14ac:dyDescent="0.25">
      <c r="B21" s="48">
        <v>42836</v>
      </c>
      <c r="C21" s="214">
        <v>12399676.217999998</v>
      </c>
      <c r="D21" s="214">
        <v>9453855</v>
      </c>
      <c r="E21" s="215">
        <v>5000000</v>
      </c>
      <c r="F21" s="215"/>
      <c r="G21" s="215"/>
      <c r="H21" s="215"/>
      <c r="I21" s="41">
        <v>43011</v>
      </c>
      <c r="J21" s="212">
        <v>22935492.763199996</v>
      </c>
      <c r="K21" s="212">
        <f t="shared" si="18"/>
        <v>368185543.48439991</v>
      </c>
      <c r="M21" s="41">
        <v>43375</v>
      </c>
      <c r="N21" s="212">
        <v>19796120.452799998</v>
      </c>
      <c r="O21" s="212">
        <f t="shared" si="19"/>
        <v>404654501.47679991</v>
      </c>
      <c r="Q21" s="41">
        <v>43739</v>
      </c>
      <c r="R21" s="212">
        <v>40679595.197999999</v>
      </c>
      <c r="S21" s="212">
        <f t="shared" si="20"/>
        <v>304044541.67159992</v>
      </c>
      <c r="U21" s="41">
        <v>44110</v>
      </c>
      <c r="V21" s="212">
        <v>24595456.834799998</v>
      </c>
      <c r="W21" s="212">
        <f t="shared" si="21"/>
        <v>321080400.87480003</v>
      </c>
      <c r="Y21" s="41">
        <v>44474</v>
      </c>
      <c r="Z21" s="212">
        <v>17788751.182799999</v>
      </c>
      <c r="AA21" s="212">
        <f t="shared" si="22"/>
        <v>293382947.13839996</v>
      </c>
      <c r="AC21" s="32">
        <v>14</v>
      </c>
      <c r="AD21" s="39">
        <f t="shared" si="0"/>
        <v>0.36818554348439991</v>
      </c>
      <c r="AE21" s="39">
        <f t="shared" si="1"/>
        <v>0.40465450147679993</v>
      </c>
      <c r="AF21" s="39">
        <f t="shared" si="2"/>
        <v>0.30404454167159994</v>
      </c>
      <c r="AG21" s="39">
        <f t="shared" si="3"/>
        <v>0.32108040087480005</v>
      </c>
      <c r="AH21" s="39">
        <f t="shared" si="4"/>
        <v>0.29338294713839996</v>
      </c>
      <c r="AI21" s="39">
        <f t="shared" si="23"/>
        <v>0.38953088763474786</v>
      </c>
      <c r="AJ21" s="9"/>
      <c r="AK21" s="9"/>
      <c r="AL21" s="9"/>
      <c r="BM21" s="41">
        <f t="shared" si="60"/>
        <v>44474</v>
      </c>
      <c r="BN21" s="9">
        <f t="shared" si="5"/>
        <v>0.29338294713839996</v>
      </c>
      <c r="BO21" s="9">
        <f t="shared" si="24"/>
        <v>0.22445086824688951</v>
      </c>
      <c r="BP21" s="9">
        <f t="shared" si="24"/>
        <v>0.25512393315930759</v>
      </c>
      <c r="BQ21" s="9">
        <f t="shared" si="24"/>
        <v>0.27221219398769803</v>
      </c>
      <c r="BR21" s="9">
        <f t="shared" si="24"/>
        <v>0.28279788456440286</v>
      </c>
      <c r="BS21" s="9">
        <f t="shared" si="24"/>
        <v>0.30253934886678685</v>
      </c>
      <c r="BT21" s="9">
        <f t="shared" si="24"/>
        <v>0.32857730554007342</v>
      </c>
      <c r="BU21" s="9">
        <f t="shared" si="24"/>
        <v>0.35756813364061646</v>
      </c>
      <c r="BV21" s="9">
        <f t="shared" si="24"/>
        <v>0.38808588331407712</v>
      </c>
      <c r="BW21" s="9">
        <f t="shared" si="24"/>
        <v>0.40776764835654022</v>
      </c>
      <c r="BX21" s="9">
        <f t="shared" si="24"/>
        <v>0.44809721051167589</v>
      </c>
      <c r="BY21" s="9">
        <f t="shared" si="24"/>
        <v>0.55305021734914739</v>
      </c>
      <c r="BZ21" s="32"/>
      <c r="CA21" s="32"/>
      <c r="CL21" s="41">
        <f t="shared" si="61"/>
        <v>44838</v>
      </c>
      <c r="CM21" s="76">
        <v>0.35323363217492626</v>
      </c>
      <c r="CN21" s="9">
        <f t="shared" si="25"/>
        <v>0.24977206733895699</v>
      </c>
      <c r="CO21" s="9">
        <f t="shared" si="25"/>
        <v>0.28438484631102612</v>
      </c>
      <c r="CP21" s="9">
        <f t="shared" si="25"/>
        <v>0.30972743465361258</v>
      </c>
      <c r="CQ21" s="9">
        <f t="shared" si="25"/>
        <v>0.32310879313515328</v>
      </c>
      <c r="CR21" s="9">
        <f t="shared" si="25"/>
        <v>0.35119550866422422</v>
      </c>
      <c r="CS21" s="9">
        <f t="shared" si="25"/>
        <v>0.38989688633545977</v>
      </c>
      <c r="CT21" s="9">
        <f t="shared" si="25"/>
        <v>0.43297589342336773</v>
      </c>
      <c r="CU21" s="9">
        <f t="shared" si="25"/>
        <v>0.47997491035014289</v>
      </c>
      <c r="CV21" s="9">
        <f t="shared" si="25"/>
        <v>0.51142994780054718</v>
      </c>
      <c r="CW21" s="9">
        <f t="shared" si="25"/>
        <v>0.57514001309820062</v>
      </c>
      <c r="CX21" s="9">
        <f t="shared" si="25"/>
        <v>0.71408368930521993</v>
      </c>
      <c r="CY21" s="32"/>
      <c r="CZ21" s="32"/>
      <c r="DA21" s="32">
        <f t="shared" si="26"/>
        <v>0.35323363217492626</v>
      </c>
      <c r="DB21" s="32">
        <v>353233632.17492628</v>
      </c>
      <c r="DC21" s="32"/>
      <c r="DD21" s="41">
        <v>45202</v>
      </c>
      <c r="DE21" s="76">
        <v>0.28232834682312308</v>
      </c>
      <c r="DF21" s="9">
        <f t="shared" ref="DF21:DP21" si="119">DF20+DF$2</f>
        <v>0.24759270566733274</v>
      </c>
      <c r="DG21" s="9">
        <f t="shared" si="119"/>
        <v>0.2757569812126745</v>
      </c>
      <c r="DH21" s="9">
        <f t="shared" si="119"/>
        <v>0.29310657085100972</v>
      </c>
      <c r="DI21" s="9">
        <f t="shared" si="119"/>
        <v>0.30482056146851139</v>
      </c>
      <c r="DJ21" s="9">
        <f t="shared" si="119"/>
        <v>0.32742924223713138</v>
      </c>
      <c r="DK21" s="9">
        <f t="shared" si="119"/>
        <v>0.35739828889024455</v>
      </c>
      <c r="DL21" s="9">
        <f t="shared" si="119"/>
        <v>0.39484542747958778</v>
      </c>
      <c r="DM21" s="9">
        <f t="shared" si="119"/>
        <v>0.43528012944845923</v>
      </c>
      <c r="DN21" s="9">
        <f t="shared" si="119"/>
        <v>0.45969970206580779</v>
      </c>
      <c r="DO21" s="9">
        <f t="shared" si="119"/>
        <v>0.51378256308244352</v>
      </c>
      <c r="DP21" s="9">
        <f t="shared" si="119"/>
        <v>0.64383465073524093</v>
      </c>
      <c r="DQ21" s="32"/>
      <c r="DR21" s="32"/>
      <c r="DS21" s="32">
        <f t="shared" si="28"/>
        <v>0.35323363217492626</v>
      </c>
      <c r="DT21" s="32">
        <v>353233632.17492628</v>
      </c>
      <c r="DU21" s="32"/>
      <c r="EF21" s="32"/>
      <c r="EG21" s="41">
        <v>45566</v>
      </c>
      <c r="EH21" s="76">
        <v>0.34233770617395465</v>
      </c>
      <c r="EI21" s="9">
        <f t="shared" ref="EI21:ES21" si="120">EI20+EI$2</f>
        <v>0.28406441747990302</v>
      </c>
      <c r="EJ21" s="9">
        <f t="shared" si="120"/>
        <v>0.30828068949351628</v>
      </c>
      <c r="EK21" s="9">
        <f t="shared" si="120"/>
        <v>0.32936593130543607</v>
      </c>
      <c r="EL21" s="9">
        <f t="shared" si="120"/>
        <v>0.34313569009093919</v>
      </c>
      <c r="EM21" s="9">
        <f t="shared" si="120"/>
        <v>0.36855945465822554</v>
      </c>
      <c r="EN21" s="9">
        <f t="shared" si="120"/>
        <v>0.40379517506421547</v>
      </c>
      <c r="EO21" s="9">
        <f t="shared" si="120"/>
        <v>0.44480358482327853</v>
      </c>
      <c r="EP21" s="9">
        <f t="shared" si="120"/>
        <v>0.48863025493104195</v>
      </c>
      <c r="EQ21" s="9">
        <f t="shared" si="120"/>
        <v>0.5148862054178629</v>
      </c>
      <c r="ER21" s="9">
        <f t="shared" si="120"/>
        <v>0.57250333205795223</v>
      </c>
      <c r="ES21" s="9">
        <f t="shared" si="120"/>
        <v>0.6906878512247745</v>
      </c>
      <c r="ET21" s="32"/>
      <c r="EU21" s="32"/>
      <c r="EV21" s="32">
        <f t="shared" si="30"/>
        <v>0.35323363217492626</v>
      </c>
      <c r="EW21" s="32">
        <v>353233632.17492628</v>
      </c>
      <c r="EX21" s="32"/>
      <c r="FG21" s="32"/>
      <c r="FH21" s="32"/>
      <c r="FI21" s="41">
        <v>45930</v>
      </c>
      <c r="FJ21" s="76">
        <v>0.31924742688586277</v>
      </c>
      <c r="FK21" s="9">
        <f t="shared" ref="FK21:FU21" si="121">FK20+FK$2</f>
        <v>0.28406441747990302</v>
      </c>
      <c r="FL21" s="9">
        <f t="shared" si="121"/>
        <v>0.30828068949351628</v>
      </c>
      <c r="FM21" s="9">
        <f t="shared" si="121"/>
        <v>0.32936593130543607</v>
      </c>
      <c r="FN21" s="9">
        <f t="shared" si="121"/>
        <v>0.34313569009093919</v>
      </c>
      <c r="FO21" s="9">
        <f t="shared" si="121"/>
        <v>0.36855945465822554</v>
      </c>
      <c r="FP21" s="9">
        <f t="shared" si="121"/>
        <v>0.40379517506421547</v>
      </c>
      <c r="FQ21" s="9">
        <f t="shared" si="121"/>
        <v>0.44480358482327853</v>
      </c>
      <c r="FR21" s="9">
        <f t="shared" si="121"/>
        <v>0.48863025493104195</v>
      </c>
      <c r="FS21" s="9">
        <f t="shared" si="121"/>
        <v>0.5148862054178629</v>
      </c>
      <c r="FT21" s="9">
        <f t="shared" si="121"/>
        <v>0.57250333205795223</v>
      </c>
      <c r="FU21" s="9">
        <f t="shared" si="121"/>
        <v>0.6906878512247745</v>
      </c>
      <c r="FV21" s="32"/>
      <c r="FW21" s="32"/>
      <c r="FX21" s="32">
        <f t="shared" si="32"/>
        <v>0.35323363217492626</v>
      </c>
      <c r="FY21" s="32">
        <v>353233632.17492628</v>
      </c>
      <c r="FZ21" s="32"/>
      <c r="GI21" s="32"/>
      <c r="GJ21" s="41">
        <v>45566</v>
      </c>
      <c r="GK21" s="76">
        <v>0.34233770617395465</v>
      </c>
      <c r="GL21" s="9">
        <f t="shared" ref="GL21:GV21" si="122">GL20+GL$2</f>
        <v>0.23444348631056991</v>
      </c>
      <c r="GM21" s="9">
        <f t="shared" si="122"/>
        <v>0.26991231078262123</v>
      </c>
      <c r="GN21" s="9">
        <f t="shared" si="122"/>
        <v>0.29018811724614779</v>
      </c>
      <c r="GO21" s="9">
        <f t="shared" si="122"/>
        <v>0.30164156947298221</v>
      </c>
      <c r="GP21" s="9">
        <f t="shared" si="122"/>
        <v>0.32536309144363684</v>
      </c>
      <c r="GQ21" s="9">
        <f t="shared" si="122"/>
        <v>0.36465020591455499</v>
      </c>
      <c r="GR21" s="9">
        <f t="shared" si="122"/>
        <v>0.41566567974690288</v>
      </c>
      <c r="GS21" s="9">
        <f t="shared" si="122"/>
        <v>0.4755980339474552</v>
      </c>
      <c r="GT21" s="9">
        <f t="shared" si="122"/>
        <v>0.5234136523805033</v>
      </c>
      <c r="GU21" s="9">
        <f t="shared" si="122"/>
        <v>0.6140856739498769</v>
      </c>
      <c r="GV21" s="9">
        <f t="shared" si="122"/>
        <v>0.79814572896076552</v>
      </c>
      <c r="GW21" s="32"/>
      <c r="GX21" s="32"/>
      <c r="GY21" s="32">
        <f t="shared" si="34"/>
        <v>0.35323363217492626</v>
      </c>
      <c r="GZ21" s="32">
        <v>353233632.17492628</v>
      </c>
      <c r="HA21" s="32"/>
      <c r="HB21" s="229">
        <v>45930</v>
      </c>
      <c r="HC21" s="230">
        <v>0.31924742688586277</v>
      </c>
      <c r="HD21" s="9">
        <f t="shared" ref="HD21:HN21" si="123">HD20+HD$2</f>
        <v>0.25973002468154449</v>
      </c>
      <c r="HE21" s="9">
        <f t="shared" si="123"/>
        <v>0.29289324681700635</v>
      </c>
      <c r="HF21" s="9">
        <f t="shared" si="123"/>
        <v>0.31602056013477059</v>
      </c>
      <c r="HG21" s="9">
        <f t="shared" si="123"/>
        <v>0.33063512480315066</v>
      </c>
      <c r="HH21" s="9">
        <f t="shared" si="123"/>
        <v>0.36241835181406845</v>
      </c>
      <c r="HI21" s="9">
        <f t="shared" si="123"/>
        <v>0.40711551956694919</v>
      </c>
      <c r="HJ21" s="9">
        <f t="shared" si="123"/>
        <v>0.46574713334167422</v>
      </c>
      <c r="HK21" s="9">
        <f t="shared" si="123"/>
        <v>0.53184967152697327</v>
      </c>
      <c r="HL21" s="9">
        <f t="shared" si="123"/>
        <v>0.57369435816289072</v>
      </c>
      <c r="HM21" s="9">
        <f t="shared" si="123"/>
        <v>0.6668594052871768</v>
      </c>
      <c r="HN21" s="9">
        <f t="shared" si="123"/>
        <v>0.85743755310235448</v>
      </c>
      <c r="HO21" s="32"/>
      <c r="HP21" s="32"/>
      <c r="HQ21" s="32">
        <v>319247426.88586277</v>
      </c>
      <c r="HR21" s="32">
        <f t="shared" si="36"/>
        <v>0.31924742688586277</v>
      </c>
      <c r="HT21" s="32"/>
      <c r="IC21" s="41">
        <f t="shared" si="67"/>
        <v>44838</v>
      </c>
      <c r="ID21" s="9">
        <v>0.3608557787328</v>
      </c>
      <c r="IE21" s="9"/>
      <c r="IF21" s="9"/>
      <c r="IG21" s="9"/>
      <c r="IH21" s="9"/>
      <c r="II21" s="9"/>
      <c r="IJ21" s="9"/>
      <c r="IK21" s="9"/>
      <c r="IL21" s="9"/>
      <c r="IM21" s="9"/>
      <c r="IN21" s="9"/>
      <c r="IO21" s="9"/>
      <c r="IP21" s="32"/>
      <c r="IQ21" s="32"/>
      <c r="JB21" s="41">
        <f t="shared" si="13"/>
        <v>44474</v>
      </c>
      <c r="JC21" s="9">
        <f t="shared" si="14"/>
        <v>0.29338294713839996</v>
      </c>
      <c r="JD21" s="9"/>
      <c r="JE21" s="9"/>
      <c r="JF21" s="9"/>
      <c r="JG21" s="9"/>
      <c r="JH21" s="9"/>
      <c r="JI21" s="9"/>
      <c r="JJ21" s="9"/>
      <c r="JK21" s="9"/>
      <c r="JL21" s="9"/>
      <c r="JM21" s="9"/>
      <c r="JN21" s="9"/>
      <c r="JO21" s="9"/>
      <c r="JZ21" s="41">
        <f t="shared" si="15"/>
        <v>44474</v>
      </c>
      <c r="KA21" s="9">
        <f t="shared" si="37"/>
        <v>0.29338294713839996</v>
      </c>
      <c r="KB21" s="9"/>
      <c r="KC21" s="9"/>
      <c r="KN21" s="41">
        <v>43011</v>
      </c>
      <c r="KO21" s="212">
        <v>22935492.763199996</v>
      </c>
      <c r="KP21" s="212">
        <f t="shared" si="38"/>
        <v>368185543.48439991</v>
      </c>
      <c r="KR21" s="41">
        <v>43193</v>
      </c>
      <c r="KS21" s="212">
        <v>8838099.8675999995</v>
      </c>
      <c r="KT21" s="212">
        <f t="shared" si="39"/>
        <v>271423109.95920002</v>
      </c>
      <c r="KV21" s="41">
        <v>43375</v>
      </c>
      <c r="KW21" s="212">
        <v>19796120.452799998</v>
      </c>
      <c r="KX21" s="212">
        <f t="shared" si="40"/>
        <v>404654501.47679991</v>
      </c>
      <c r="KZ21" s="41">
        <v>43557</v>
      </c>
      <c r="LA21" s="212">
        <v>11122109.614799999</v>
      </c>
      <c r="LB21" s="212">
        <f t="shared" si="41"/>
        <v>375255293.07959992</v>
      </c>
      <c r="LD21" s="41">
        <v>43739</v>
      </c>
      <c r="LE21" s="212">
        <v>40679595.197999999</v>
      </c>
      <c r="LF21" s="212">
        <f t="shared" si="42"/>
        <v>304044541.67159992</v>
      </c>
      <c r="LH21" s="41">
        <v>43928</v>
      </c>
      <c r="LI21" s="212">
        <v>21400531.300799999</v>
      </c>
      <c r="LJ21" s="212">
        <f t="shared" si="43"/>
        <v>212172419.52359995</v>
      </c>
      <c r="LL21" s="41">
        <v>44110</v>
      </c>
      <c r="LM21" s="212">
        <v>24595456.834799998</v>
      </c>
      <c r="LN21" s="212">
        <f t="shared" si="44"/>
        <v>321080400.87480003</v>
      </c>
      <c r="LP21" s="41">
        <v>44292</v>
      </c>
      <c r="LQ21" s="212">
        <v>29193984.723599996</v>
      </c>
      <c r="LR21" s="212">
        <f t="shared" si="45"/>
        <v>336737320.86599994</v>
      </c>
      <c r="LT21" s="41">
        <v>44474</v>
      </c>
      <c r="LU21" s="212">
        <v>17788751.182799999</v>
      </c>
      <c r="LV21" s="212">
        <f t="shared" si="46"/>
        <v>293382947.13839996</v>
      </c>
      <c r="LX21" s="41">
        <v>44656</v>
      </c>
      <c r="LY21" s="212">
        <v>10120009</v>
      </c>
      <c r="LZ21" s="212">
        <f t="shared" si="47"/>
        <v>309047582.7184</v>
      </c>
      <c r="MB21" s="32">
        <v>14</v>
      </c>
      <c r="MC21" s="42">
        <f t="shared" si="48"/>
        <v>0.36818554348439991</v>
      </c>
      <c r="MD21" s="42">
        <f t="shared" si="49"/>
        <v>0.27142310995920005</v>
      </c>
      <c r="ME21" s="42">
        <f t="shared" si="50"/>
        <v>0.40465450147679993</v>
      </c>
      <c r="MF21" s="42">
        <f t="shared" si="51"/>
        <v>0.37525529307959993</v>
      </c>
      <c r="MG21" s="42">
        <f t="shared" si="52"/>
        <v>0.30404454167159994</v>
      </c>
      <c r="MH21" s="42">
        <f t="shared" si="53"/>
        <v>0.21217241952359994</v>
      </c>
      <c r="MI21" s="42">
        <f t="shared" si="54"/>
        <v>0.32108040087480005</v>
      </c>
      <c r="MJ21" s="42">
        <f t="shared" si="55"/>
        <v>0.33673732086599995</v>
      </c>
      <c r="MK21" s="42">
        <f t="shared" si="56"/>
        <v>0.29338294713839996</v>
      </c>
      <c r="ML21" s="42">
        <f t="shared" si="57"/>
        <v>0.30904758271839999</v>
      </c>
      <c r="MM21" s="8"/>
      <c r="MN21" s="8"/>
      <c r="MO21" s="8"/>
      <c r="MW21" s="60"/>
      <c r="MX21" s="64" t="s">
        <v>30</v>
      </c>
      <c r="MY21" s="10">
        <v>0.36670223228814003</v>
      </c>
      <c r="MZ21" s="10">
        <v>0.37127926012302853</v>
      </c>
      <c r="NA21" s="10">
        <v>0.31761858401399984</v>
      </c>
      <c r="NB21" s="10">
        <v>0.32348451958559998</v>
      </c>
      <c r="NC21" s="10">
        <v>0.35713337259291411</v>
      </c>
      <c r="ND21" s="10">
        <v>0.34789663857927866</v>
      </c>
      <c r="NE21" s="10">
        <v>0.43473146576519983</v>
      </c>
      <c r="NF21" s="10">
        <v>0.3786386174889429</v>
      </c>
      <c r="NG21" s="10">
        <v>0.39560607685714289</v>
      </c>
      <c r="NH21" s="10">
        <v>0.40126193868659998</v>
      </c>
      <c r="NI21" s="10">
        <v>0.24703376494619997</v>
      </c>
      <c r="NT21" s="41">
        <f t="shared" si="108"/>
        <v>44658</v>
      </c>
      <c r="NU21" s="9">
        <f t="shared" si="16"/>
        <v>0.30904758271839999</v>
      </c>
      <c r="NV21" s="9">
        <f t="shared" si="58"/>
        <v>0.21606412083124618</v>
      </c>
      <c r="NW21" s="9">
        <f t="shared" si="58"/>
        <v>0.23614744568003079</v>
      </c>
      <c r="NX21" s="9">
        <f t="shared" si="58"/>
        <v>0.25084366105148531</v>
      </c>
      <c r="NY21" s="9">
        <f t="shared" si="58"/>
        <v>0.26234441631235389</v>
      </c>
      <c r="NZ21" s="9">
        <f t="shared" si="58"/>
        <v>0.28553724811823078</v>
      </c>
      <c r="OA21" s="9">
        <f t="shared" si="58"/>
        <v>0.31537722162530774</v>
      </c>
      <c r="OB21" s="9">
        <f t="shared" si="58"/>
        <v>0.35408788327273844</v>
      </c>
      <c r="OC21" s="9">
        <f t="shared" si="58"/>
        <v>0.39911680954542905</v>
      </c>
      <c r="OD21" s="9">
        <f t="shared" si="58"/>
        <v>0.42724709625812313</v>
      </c>
      <c r="OE21" s="9">
        <f t="shared" si="58"/>
        <v>0.48348458493881519</v>
      </c>
      <c r="OF21" s="9">
        <f t="shared" si="58"/>
        <v>0.59700698246958461</v>
      </c>
      <c r="OG21" s="9">
        <f t="shared" ca="1" si="58"/>
        <v>0.30756308857021181</v>
      </c>
      <c r="OH21" s="32"/>
      <c r="OS21" s="41">
        <f t="shared" si="59"/>
        <v>44658</v>
      </c>
      <c r="OT21" s="9">
        <f t="shared" si="59"/>
        <v>0.30904758271839999</v>
      </c>
      <c r="OU21" s="9"/>
      <c r="OV21" s="9"/>
      <c r="OW21" s="9"/>
      <c r="OX21" s="9"/>
      <c r="OY21" s="9"/>
      <c r="OZ21" s="9"/>
      <c r="PA21" s="9"/>
      <c r="PB21" s="9"/>
      <c r="PC21" s="9"/>
      <c r="PD21" s="9"/>
      <c r="PE21" s="9"/>
      <c r="PF21" s="9"/>
    </row>
    <row r="22" spans="2:424" x14ac:dyDescent="0.25">
      <c r="B22" s="48">
        <v>42843</v>
      </c>
      <c r="C22" s="214">
        <v>16972830.626399998</v>
      </c>
      <c r="D22" s="214">
        <v>12940554</v>
      </c>
      <c r="E22" s="215">
        <v>10000000</v>
      </c>
      <c r="F22" s="215"/>
      <c r="G22" s="215"/>
      <c r="H22" s="215"/>
      <c r="I22" s="41">
        <v>43018</v>
      </c>
      <c r="J22" s="212">
        <v>10891494.921599999</v>
      </c>
      <c r="K22" s="212">
        <f t="shared" si="18"/>
        <v>379077038.4059999</v>
      </c>
      <c r="M22" s="41">
        <v>43382</v>
      </c>
      <c r="N22" s="212">
        <v>9383770.061999999</v>
      </c>
      <c r="O22" s="212">
        <f t="shared" si="19"/>
        <v>414038271.53879988</v>
      </c>
      <c r="Q22" s="41">
        <v>43746</v>
      </c>
      <c r="R22" s="212">
        <v>43546334.111999996</v>
      </c>
      <c r="S22" s="212">
        <f t="shared" si="20"/>
        <v>347590875.78359991</v>
      </c>
      <c r="U22" s="41">
        <v>44117</v>
      </c>
      <c r="V22" s="212">
        <v>12941146.9224</v>
      </c>
      <c r="W22" s="212">
        <f t="shared" si="21"/>
        <v>334021547.79720002</v>
      </c>
      <c r="Y22" s="41">
        <v>44481</v>
      </c>
      <c r="Z22" s="212">
        <v>21415040.603999998</v>
      </c>
      <c r="AA22" s="212">
        <f t="shared" si="22"/>
        <v>314797987.74239993</v>
      </c>
      <c r="AC22" s="32">
        <v>15</v>
      </c>
      <c r="AD22" s="39">
        <f t="shared" si="0"/>
        <v>0.37907703840599988</v>
      </c>
      <c r="AE22" s="39">
        <f t="shared" si="1"/>
        <v>0.41403827153879991</v>
      </c>
      <c r="AF22" s="39">
        <f t="shared" si="2"/>
        <v>0.34759087578359993</v>
      </c>
      <c r="AG22" s="39">
        <f t="shared" si="3"/>
        <v>0.3340215477972</v>
      </c>
      <c r="AH22" s="39">
        <f t="shared" si="4"/>
        <v>0.31479798774239992</v>
      </c>
      <c r="AI22" s="39">
        <f t="shared" si="23"/>
        <v>0.41735452246580129</v>
      </c>
      <c r="AJ22" s="9"/>
      <c r="AK22" s="9"/>
      <c r="AL22" s="9"/>
      <c r="AT22" s="60"/>
      <c r="AU22" s="64" t="s">
        <v>30</v>
      </c>
      <c r="AV22" s="10">
        <v>0.76174137554958854</v>
      </c>
      <c r="AW22" s="10">
        <v>0.71872871646197445</v>
      </c>
      <c r="AX22" s="10">
        <v>0.76805370043418086</v>
      </c>
      <c r="AY22" s="10">
        <v>0.90189161627526415</v>
      </c>
      <c r="AZ22" s="10">
        <v>0.83367465348844649</v>
      </c>
      <c r="BA22" s="10">
        <v>0.97380588396585999</v>
      </c>
      <c r="BB22" s="10">
        <v>0.65723946065637839</v>
      </c>
      <c r="BM22" s="41">
        <f t="shared" si="60"/>
        <v>44481</v>
      </c>
      <c r="BN22" s="9">
        <f t="shared" si="5"/>
        <v>0.31479798774239992</v>
      </c>
      <c r="BO22" s="9">
        <f t="shared" si="24"/>
        <v>0.24048307312166733</v>
      </c>
      <c r="BP22" s="9">
        <f t="shared" si="24"/>
        <v>0.27334707124211527</v>
      </c>
      <c r="BQ22" s="9">
        <f t="shared" si="24"/>
        <v>0.29165592212967645</v>
      </c>
      <c r="BR22" s="9">
        <f t="shared" si="24"/>
        <v>0.30299773346186021</v>
      </c>
      <c r="BS22" s="9">
        <f t="shared" si="24"/>
        <v>0.32414930235727163</v>
      </c>
      <c r="BT22" s="9">
        <f t="shared" si="24"/>
        <v>0.35204711307865011</v>
      </c>
      <c r="BU22" s="9">
        <f t="shared" si="24"/>
        <v>0.38310871461494622</v>
      </c>
      <c r="BV22" s="9">
        <f t="shared" si="24"/>
        <v>0.4158063035507969</v>
      </c>
      <c r="BW22" s="9">
        <f t="shared" si="24"/>
        <v>0.43689390895343594</v>
      </c>
      <c r="BX22" s="9">
        <f t="shared" si="24"/>
        <v>0.48010415411965274</v>
      </c>
      <c r="BY22" s="9">
        <f t="shared" si="24"/>
        <v>0.59255380430265792</v>
      </c>
      <c r="BZ22" s="32"/>
      <c r="CA22" s="32"/>
      <c r="CL22" s="41">
        <f t="shared" si="61"/>
        <v>44845</v>
      </c>
      <c r="CM22" s="76">
        <v>0.36548244522271389</v>
      </c>
      <c r="CN22" s="9">
        <f t="shared" si="25"/>
        <v>0.26761292929173963</v>
      </c>
      <c r="CO22" s="9">
        <f t="shared" si="25"/>
        <v>0.30469804961895658</v>
      </c>
      <c r="CP22" s="9">
        <f t="shared" si="25"/>
        <v>0.33185082284315631</v>
      </c>
      <c r="CQ22" s="9">
        <f t="shared" si="25"/>
        <v>0.3461879926448071</v>
      </c>
      <c r="CR22" s="9">
        <f t="shared" si="25"/>
        <v>0.37628090214024024</v>
      </c>
      <c r="CS22" s="9">
        <f t="shared" si="25"/>
        <v>0.41774666393084975</v>
      </c>
      <c r="CT22" s="9">
        <f t="shared" si="25"/>
        <v>0.46390274295360828</v>
      </c>
      <c r="CU22" s="9">
        <f t="shared" si="25"/>
        <v>0.51425883251801019</v>
      </c>
      <c r="CV22" s="9">
        <f t="shared" si="25"/>
        <v>0.54796065835772911</v>
      </c>
      <c r="CW22" s="9">
        <f t="shared" si="25"/>
        <v>0.61622144260521494</v>
      </c>
      <c r="CX22" s="9">
        <f t="shared" si="25"/>
        <v>0.76508966711273563</v>
      </c>
      <c r="CY22" s="32"/>
      <c r="CZ22" s="32"/>
      <c r="DA22" s="32">
        <f t="shared" si="26"/>
        <v>0.36548244522271389</v>
      </c>
      <c r="DB22" s="32">
        <v>365482445.22271389</v>
      </c>
      <c r="DC22" s="32"/>
      <c r="DD22" s="41">
        <v>45209</v>
      </c>
      <c r="DE22" s="76">
        <v>0.31299409939219219</v>
      </c>
      <c r="DF22" s="9">
        <f t="shared" ref="DF22:DP22" si="124">DF21+DF$2</f>
        <v>0.26527789892928511</v>
      </c>
      <c r="DG22" s="9">
        <f t="shared" si="124"/>
        <v>0.29545390844215125</v>
      </c>
      <c r="DH22" s="9">
        <f t="shared" si="124"/>
        <v>0.31404275448322472</v>
      </c>
      <c r="DI22" s="9">
        <f t="shared" si="124"/>
        <v>0.32659345871626222</v>
      </c>
      <c r="DJ22" s="9">
        <f t="shared" si="124"/>
        <v>0.35081704525406932</v>
      </c>
      <c r="DK22" s="9">
        <f t="shared" si="124"/>
        <v>0.38292673809669059</v>
      </c>
      <c r="DL22" s="9">
        <f t="shared" si="124"/>
        <v>0.42304867229955834</v>
      </c>
      <c r="DM22" s="9">
        <f t="shared" si="124"/>
        <v>0.46637156726620632</v>
      </c>
      <c r="DN22" s="9">
        <f t="shared" si="124"/>
        <v>0.49253539507050836</v>
      </c>
      <c r="DO22" s="9">
        <f t="shared" si="124"/>
        <v>0.5504813175883323</v>
      </c>
      <c r="DP22" s="9">
        <f t="shared" si="124"/>
        <v>0.68982284007347239</v>
      </c>
      <c r="DQ22" s="32"/>
      <c r="DR22" s="32"/>
      <c r="DS22" s="32">
        <f t="shared" si="28"/>
        <v>0.36548244522271389</v>
      </c>
      <c r="DT22" s="32">
        <v>365482445.22271389</v>
      </c>
      <c r="DU22" s="32"/>
      <c r="EF22" s="32"/>
      <c r="EG22" s="41">
        <v>45573</v>
      </c>
      <c r="EH22" s="76">
        <v>0.36209273277940623</v>
      </c>
      <c r="EI22" s="9">
        <f t="shared" ref="EI22:ES22" si="125">EI21+EI$2</f>
        <v>0.30435473301418181</v>
      </c>
      <c r="EJ22" s="9">
        <f t="shared" si="125"/>
        <v>0.33030073874305316</v>
      </c>
      <c r="EK22" s="9">
        <f t="shared" si="125"/>
        <v>0.35289206925582434</v>
      </c>
      <c r="EL22" s="9">
        <f t="shared" si="125"/>
        <v>0.36764538224029197</v>
      </c>
      <c r="EM22" s="9">
        <f t="shared" si="125"/>
        <v>0.39488512999095593</v>
      </c>
      <c r="EN22" s="9">
        <f t="shared" si="125"/>
        <v>0.43263768756880228</v>
      </c>
      <c r="EO22" s="9">
        <f t="shared" si="125"/>
        <v>0.4765752694535127</v>
      </c>
      <c r="EP22" s="9">
        <f t="shared" si="125"/>
        <v>0.52353241599754496</v>
      </c>
      <c r="EQ22" s="9">
        <f t="shared" si="125"/>
        <v>0.5516637915191388</v>
      </c>
      <c r="ER22" s="9">
        <f t="shared" si="125"/>
        <v>0.6133964272049488</v>
      </c>
      <c r="ES22" s="9">
        <f t="shared" si="125"/>
        <v>0.74002269774082985</v>
      </c>
      <c r="ET22" s="32"/>
      <c r="EU22" s="32"/>
      <c r="EV22" s="32">
        <f t="shared" si="30"/>
        <v>0.36548244522271389</v>
      </c>
      <c r="EW22" s="32">
        <v>365482445.22271389</v>
      </c>
      <c r="EX22" s="32"/>
      <c r="FG22" s="32"/>
      <c r="FH22" s="32"/>
      <c r="FI22" s="41">
        <v>45937</v>
      </c>
      <c r="FJ22" s="76">
        <v>0.34171451190297991</v>
      </c>
      <c r="FK22" s="9">
        <f t="shared" ref="FK22:FU22" si="126">FK21+FK$2</f>
        <v>0.30435473301418181</v>
      </c>
      <c r="FL22" s="9">
        <f t="shared" si="126"/>
        <v>0.33030073874305316</v>
      </c>
      <c r="FM22" s="9">
        <f t="shared" si="126"/>
        <v>0.35289206925582434</v>
      </c>
      <c r="FN22" s="9">
        <f t="shared" si="126"/>
        <v>0.36764538224029197</v>
      </c>
      <c r="FO22" s="9">
        <f t="shared" si="126"/>
        <v>0.39488512999095593</v>
      </c>
      <c r="FP22" s="9">
        <f t="shared" si="126"/>
        <v>0.43263768756880228</v>
      </c>
      <c r="FQ22" s="9">
        <f t="shared" si="126"/>
        <v>0.4765752694535127</v>
      </c>
      <c r="FR22" s="9">
        <f t="shared" si="126"/>
        <v>0.52353241599754496</v>
      </c>
      <c r="FS22" s="9">
        <f t="shared" si="126"/>
        <v>0.5516637915191388</v>
      </c>
      <c r="FT22" s="9">
        <f t="shared" si="126"/>
        <v>0.6133964272049488</v>
      </c>
      <c r="FU22" s="9">
        <f t="shared" si="126"/>
        <v>0.74002269774082985</v>
      </c>
      <c r="FV22" s="32"/>
      <c r="FW22" s="32"/>
      <c r="FX22" s="32">
        <f t="shared" si="32"/>
        <v>0.36548244522271389</v>
      </c>
      <c r="FY22" s="32">
        <v>365482445.22271389</v>
      </c>
      <c r="FZ22" s="32"/>
      <c r="GI22" s="32"/>
      <c r="GJ22" s="41">
        <v>45573</v>
      </c>
      <c r="GK22" s="76">
        <v>0.36209273277940623</v>
      </c>
      <c r="GL22" s="9">
        <f t="shared" ref="GL22:GV22" si="127">GL21+GL$2</f>
        <v>0.25118944961846779</v>
      </c>
      <c r="GM22" s="9">
        <f t="shared" si="127"/>
        <v>0.28919176155280846</v>
      </c>
      <c r="GN22" s="9">
        <f t="shared" si="127"/>
        <v>0.31091583990658694</v>
      </c>
      <c r="GO22" s="9">
        <f t="shared" si="127"/>
        <v>0.32318739586390949</v>
      </c>
      <c r="GP22" s="9">
        <f t="shared" si="127"/>
        <v>0.34860331226103947</v>
      </c>
      <c r="GQ22" s="9">
        <f t="shared" si="127"/>
        <v>0.39069664919416608</v>
      </c>
      <c r="GR22" s="9">
        <f t="shared" si="127"/>
        <v>0.44535608544311023</v>
      </c>
      <c r="GS22" s="9">
        <f t="shared" si="127"/>
        <v>0.50956932208655914</v>
      </c>
      <c r="GT22" s="9">
        <f t="shared" si="127"/>
        <v>0.56080034183625349</v>
      </c>
      <c r="GU22" s="9">
        <f t="shared" si="127"/>
        <v>0.65794893637486807</v>
      </c>
      <c r="GV22" s="9">
        <f t="shared" si="127"/>
        <v>0.85515613817224878</v>
      </c>
      <c r="GW22" s="32"/>
      <c r="GX22" s="32"/>
      <c r="GY22" s="32">
        <f t="shared" si="34"/>
        <v>0.36548244522271389</v>
      </c>
      <c r="GZ22" s="32">
        <v>365482445.22271389</v>
      </c>
      <c r="HA22" s="32"/>
      <c r="HB22" s="229">
        <v>45937</v>
      </c>
      <c r="HC22" s="230">
        <v>0.34171451190297991</v>
      </c>
      <c r="HD22" s="9">
        <f t="shared" ref="HD22:HN22" si="128">HD21+HD$2</f>
        <v>0.27828216930165484</v>
      </c>
      <c r="HE22" s="9">
        <f t="shared" si="128"/>
        <v>0.31381419301822111</v>
      </c>
      <c r="HF22" s="9">
        <f t="shared" si="128"/>
        <v>0.33859345728725421</v>
      </c>
      <c r="HG22" s="9">
        <f t="shared" si="128"/>
        <v>0.35425191943194712</v>
      </c>
      <c r="HH22" s="9">
        <f t="shared" si="128"/>
        <v>0.38830537694364475</v>
      </c>
      <c r="HI22" s="9">
        <f t="shared" si="128"/>
        <v>0.43619519953601699</v>
      </c>
      <c r="HJ22" s="9">
        <f t="shared" si="128"/>
        <v>0.49901478572322239</v>
      </c>
      <c r="HK22" s="9">
        <f t="shared" si="128"/>
        <v>0.56983893377889994</v>
      </c>
      <c r="HL22" s="9">
        <f t="shared" si="128"/>
        <v>0.61467252660309724</v>
      </c>
      <c r="HM22" s="9">
        <f t="shared" si="128"/>
        <v>0.71449221995054657</v>
      </c>
      <c r="HN22" s="9">
        <f t="shared" si="128"/>
        <v>0.91868309260966552</v>
      </c>
      <c r="HO22" s="32"/>
      <c r="HP22" s="32"/>
      <c r="HQ22" s="32">
        <v>341714511.90297991</v>
      </c>
      <c r="HR22" s="32">
        <f t="shared" si="36"/>
        <v>0.34171451190297991</v>
      </c>
      <c r="HT22" s="32"/>
      <c r="IC22" s="41">
        <f t="shared" si="67"/>
        <v>44845</v>
      </c>
      <c r="ID22" s="9">
        <v>0.37211450199690005</v>
      </c>
      <c r="IE22" s="9"/>
      <c r="IF22" s="9"/>
      <c r="IG22" s="9"/>
      <c r="IH22" s="9"/>
      <c r="II22" s="9"/>
      <c r="IJ22" s="9"/>
      <c r="IK22" s="9"/>
      <c r="IL22" s="9"/>
      <c r="IM22" s="9"/>
      <c r="IN22" s="9"/>
      <c r="IO22" s="9"/>
      <c r="IP22" s="32"/>
      <c r="IQ22" s="32"/>
      <c r="JB22" s="41">
        <f t="shared" si="13"/>
        <v>44481</v>
      </c>
      <c r="JC22" s="9">
        <f t="shared" si="14"/>
        <v>0.31479798774239992</v>
      </c>
      <c r="JD22" s="9"/>
      <c r="JE22" s="9"/>
      <c r="JF22" s="9"/>
      <c r="JG22" s="9"/>
      <c r="JH22" s="9"/>
      <c r="JI22" s="9"/>
      <c r="JJ22" s="9"/>
      <c r="JK22" s="9"/>
      <c r="JL22" s="9"/>
      <c r="JM22" s="9"/>
      <c r="JN22" s="9"/>
      <c r="JO22" s="9"/>
      <c r="JZ22" s="41">
        <f t="shared" si="15"/>
        <v>44481</v>
      </c>
      <c r="KA22" s="9">
        <f t="shared" si="37"/>
        <v>0.31479798774239992</v>
      </c>
      <c r="KB22" s="9"/>
      <c r="KC22" s="9"/>
      <c r="KN22" s="41">
        <v>43018</v>
      </c>
      <c r="KO22" s="212">
        <v>10891494.921599999</v>
      </c>
      <c r="KP22" s="212">
        <f t="shared" si="38"/>
        <v>379077038.4059999</v>
      </c>
      <c r="KR22" s="41">
        <v>43200</v>
      </c>
      <c r="KS22" s="212">
        <v>13941063.291599998</v>
      </c>
      <c r="KT22" s="212">
        <f t="shared" si="39"/>
        <v>285364173.25080001</v>
      </c>
      <c r="KV22" s="41">
        <v>43382</v>
      </c>
      <c r="KW22" s="212">
        <v>9383770.061999999</v>
      </c>
      <c r="KX22" s="212">
        <f t="shared" si="40"/>
        <v>414038271.53879988</v>
      </c>
      <c r="KZ22" s="41">
        <v>43564</v>
      </c>
      <c r="LA22" s="212">
        <v>13100420.815199999</v>
      </c>
      <c r="LB22" s="212">
        <f t="shared" si="41"/>
        <v>388355713.89479989</v>
      </c>
      <c r="LD22" s="41">
        <v>43746</v>
      </c>
      <c r="LE22" s="212">
        <v>43546334.111999996</v>
      </c>
      <c r="LF22" s="212">
        <f t="shared" si="42"/>
        <v>347590875.78359991</v>
      </c>
      <c r="LH22" s="41">
        <v>43935</v>
      </c>
      <c r="LI22" s="212">
        <v>24208657.235999998</v>
      </c>
      <c r="LJ22" s="212">
        <f t="shared" si="43"/>
        <v>236381076.75959995</v>
      </c>
      <c r="LL22" s="41">
        <v>44117</v>
      </c>
      <c r="LM22" s="212">
        <v>12941146.9224</v>
      </c>
      <c r="LN22" s="212">
        <f t="shared" si="44"/>
        <v>334021547.79720002</v>
      </c>
      <c r="LP22" s="41">
        <v>44299</v>
      </c>
      <c r="LQ22" s="212">
        <v>35857900.407600001</v>
      </c>
      <c r="LR22" s="212">
        <f t="shared" si="45"/>
        <v>372595221.27359992</v>
      </c>
      <c r="LT22" s="41">
        <v>44481</v>
      </c>
      <c r="LU22" s="212">
        <v>21415040.603999998</v>
      </c>
      <c r="LV22" s="212">
        <f t="shared" si="46"/>
        <v>314797987.74239993</v>
      </c>
      <c r="LX22" s="38">
        <v>44663</v>
      </c>
      <c r="LY22" s="214">
        <v>15115699.951199999</v>
      </c>
      <c r="LZ22" s="212">
        <f t="shared" si="47"/>
        <v>324163282.66960001</v>
      </c>
      <c r="MB22" s="32">
        <v>15</v>
      </c>
      <c r="MC22" s="42">
        <f t="shared" si="48"/>
        <v>0.37907703840599988</v>
      </c>
      <c r="MD22" s="42">
        <f t="shared" si="49"/>
        <v>0.28536417325079999</v>
      </c>
      <c r="ME22" s="42">
        <f t="shared" si="50"/>
        <v>0.41403827153879991</v>
      </c>
      <c r="MF22" s="42">
        <f t="shared" si="51"/>
        <v>0.38835571389479989</v>
      </c>
      <c r="MG22" s="42">
        <f t="shared" si="52"/>
        <v>0.34759087578359993</v>
      </c>
      <c r="MH22" s="42">
        <f t="shared" si="53"/>
        <v>0.23638107675959996</v>
      </c>
      <c r="MI22" s="42">
        <f t="shared" si="54"/>
        <v>0.3340215477972</v>
      </c>
      <c r="MJ22" s="42">
        <f t="shared" si="55"/>
        <v>0.3725952212735999</v>
      </c>
      <c r="MK22" s="42">
        <f t="shared" si="56"/>
        <v>0.31479798774239992</v>
      </c>
      <c r="ML22" s="42">
        <f t="shared" si="57"/>
        <v>0.32416328266959998</v>
      </c>
      <c r="MM22" s="8"/>
      <c r="MN22" s="8"/>
      <c r="MO22" s="8"/>
      <c r="MW22" s="60"/>
      <c r="MX22" s="62" t="s">
        <v>31</v>
      </c>
      <c r="MY22" s="10">
        <v>0.40284254380307405</v>
      </c>
      <c r="MZ22" s="10">
        <v>0.40764089026217148</v>
      </c>
      <c r="NA22" s="10">
        <v>0.38360928914362752</v>
      </c>
      <c r="NB22" s="10">
        <v>0.35002238273819997</v>
      </c>
      <c r="NC22" s="10">
        <v>0.39237608982301697</v>
      </c>
      <c r="ND22" s="10">
        <v>0.40054215812458915</v>
      </c>
      <c r="NE22" s="10">
        <v>0.49302183647799996</v>
      </c>
      <c r="NF22" s="10">
        <v>0.4224770826847431</v>
      </c>
      <c r="NG22" s="10">
        <v>0.44068666011282859</v>
      </c>
      <c r="NH22" s="10">
        <v>0.43855954197720004</v>
      </c>
      <c r="NI22" s="10">
        <v>0.27199727060039997</v>
      </c>
      <c r="NT22" s="41">
        <f t="shared" si="108"/>
        <v>44665</v>
      </c>
      <c r="NU22" s="9">
        <f t="shared" si="16"/>
        <v>0.32416328266959998</v>
      </c>
      <c r="NV22" s="9">
        <f t="shared" si="58"/>
        <v>0.23149727231919234</v>
      </c>
      <c r="NW22" s="9">
        <f t="shared" si="58"/>
        <v>0.25301512037146157</v>
      </c>
      <c r="NX22" s="9">
        <f t="shared" si="58"/>
        <v>0.26876106541230571</v>
      </c>
      <c r="NY22" s="9">
        <f t="shared" si="58"/>
        <v>0.28108330319180774</v>
      </c>
      <c r="NZ22" s="9">
        <f t="shared" si="58"/>
        <v>0.30593276584096157</v>
      </c>
      <c r="OA22" s="9">
        <f t="shared" si="58"/>
        <v>0.33790416602711543</v>
      </c>
      <c r="OB22" s="9">
        <f t="shared" si="58"/>
        <v>0.37937987493507691</v>
      </c>
      <c r="OC22" s="9">
        <f t="shared" si="58"/>
        <v>0.42762515308438825</v>
      </c>
      <c r="OD22" s="9">
        <f t="shared" si="58"/>
        <v>0.45776474599084621</v>
      </c>
      <c r="OE22" s="9">
        <f t="shared" si="58"/>
        <v>0.51801919814873054</v>
      </c>
      <c r="OF22" s="9">
        <f t="shared" si="58"/>
        <v>0.63965033836026919</v>
      </c>
      <c r="OG22" s="9">
        <f t="shared" ca="1" si="58"/>
        <v>0.32953188061094124</v>
      </c>
      <c r="OH22" s="32"/>
      <c r="OS22" s="41">
        <f t="shared" si="59"/>
        <v>44665</v>
      </c>
      <c r="OT22" s="9">
        <f t="shared" si="59"/>
        <v>0.32416328266959998</v>
      </c>
      <c r="OU22" s="9"/>
      <c r="OV22" s="9"/>
      <c r="OW22" s="9"/>
      <c r="OX22" s="9"/>
      <c r="OY22" s="9"/>
      <c r="OZ22" s="9"/>
      <c r="PA22" s="9"/>
      <c r="PB22" s="9"/>
      <c r="PC22" s="9"/>
      <c r="PD22" s="9"/>
      <c r="PE22" s="9"/>
      <c r="PF22" s="9"/>
    </row>
    <row r="23" spans="2:424" x14ac:dyDescent="0.25">
      <c r="B23" s="48">
        <v>42850</v>
      </c>
      <c r="C23" s="214">
        <v>8276340.2759999996</v>
      </c>
      <c r="D23" s="214">
        <v>6310110</v>
      </c>
      <c r="E23" s="215">
        <v>2000000</v>
      </c>
      <c r="F23" s="215"/>
      <c r="G23" s="215"/>
      <c r="H23" s="215"/>
      <c r="I23" s="41">
        <v>43025</v>
      </c>
      <c r="J23" s="212">
        <v>11715705.673199998</v>
      </c>
      <c r="K23" s="212">
        <f t="shared" si="18"/>
        <v>390792744.07919991</v>
      </c>
      <c r="M23" s="41">
        <v>43389</v>
      </c>
      <c r="N23" s="212">
        <v>12427062.425999999</v>
      </c>
      <c r="O23" s="212">
        <f t="shared" si="19"/>
        <v>426465333.96479988</v>
      </c>
      <c r="Q23" s="41">
        <v>43753</v>
      </c>
      <c r="R23" s="212">
        <v>59082228.089999996</v>
      </c>
      <c r="S23" s="212">
        <f t="shared" si="20"/>
        <v>406673103.87359989</v>
      </c>
      <c r="U23" s="41">
        <v>44124</v>
      </c>
      <c r="V23" s="212">
        <v>12641518.295999998</v>
      </c>
      <c r="W23" s="212">
        <f t="shared" si="21"/>
        <v>346663066.09320003</v>
      </c>
      <c r="Y23" s="41">
        <v>44488</v>
      </c>
      <c r="Z23" s="212">
        <v>26584382.905199997</v>
      </c>
      <c r="AA23" s="212">
        <f t="shared" si="22"/>
        <v>341382370.64759994</v>
      </c>
      <c r="AC23" s="32">
        <v>16</v>
      </c>
      <c r="AD23" s="39">
        <f t="shared" si="0"/>
        <v>0.39079274407919989</v>
      </c>
      <c r="AE23" s="39">
        <f t="shared" si="1"/>
        <v>0.42646533396479991</v>
      </c>
      <c r="AF23" s="39">
        <f t="shared" si="2"/>
        <v>0.40667310387359989</v>
      </c>
      <c r="AG23" s="39">
        <f t="shared" si="3"/>
        <v>0.34666306609320002</v>
      </c>
      <c r="AH23" s="39">
        <f t="shared" si="4"/>
        <v>0.34138237064759991</v>
      </c>
      <c r="AI23" s="39">
        <f t="shared" si="23"/>
        <v>0.44517815729685473</v>
      </c>
      <c r="AJ23" s="9"/>
      <c r="AK23" s="9"/>
      <c r="AL23" s="9"/>
      <c r="AT23" s="60"/>
      <c r="AU23" s="62" t="s">
        <v>31</v>
      </c>
      <c r="AV23" s="10">
        <v>0.85835647386494074</v>
      </c>
      <c r="AW23" s="10">
        <v>0.80195254960538287</v>
      </c>
      <c r="AX23" s="10">
        <v>0.86089543511237776</v>
      </c>
      <c r="AY23" s="10">
        <v>0.99640379709040972</v>
      </c>
      <c r="AZ23" s="10">
        <v>0.94760318030599977</v>
      </c>
      <c r="BA23" s="10">
        <v>1.0822835240297928</v>
      </c>
      <c r="BB23" s="10">
        <v>0.7613157702248402</v>
      </c>
      <c r="BM23" s="41">
        <f t="shared" si="60"/>
        <v>44488</v>
      </c>
      <c r="BN23" s="9">
        <f t="shared" si="5"/>
        <v>0.34138237064759991</v>
      </c>
      <c r="BO23" s="9">
        <f t="shared" si="24"/>
        <v>0.25651527799644513</v>
      </c>
      <c r="BP23" s="9">
        <f t="shared" si="24"/>
        <v>0.29157020932492295</v>
      </c>
      <c r="BQ23" s="9">
        <f t="shared" si="24"/>
        <v>0.31109965027165487</v>
      </c>
      <c r="BR23" s="9">
        <f t="shared" si="24"/>
        <v>0.32319758235931756</v>
      </c>
      <c r="BS23" s="9">
        <f t="shared" si="24"/>
        <v>0.34575925584775641</v>
      </c>
      <c r="BT23" s="9">
        <f t="shared" si="24"/>
        <v>0.3755169206172268</v>
      </c>
      <c r="BU23" s="9">
        <f t="shared" si="24"/>
        <v>0.40864929558927598</v>
      </c>
      <c r="BV23" s="9">
        <f t="shared" si="24"/>
        <v>0.44352672378751667</v>
      </c>
      <c r="BW23" s="9">
        <f t="shared" si="24"/>
        <v>0.46602016955033165</v>
      </c>
      <c r="BX23" s="9">
        <f t="shared" si="24"/>
        <v>0.51211109772762964</v>
      </c>
      <c r="BY23" s="9">
        <f t="shared" si="24"/>
        <v>0.63205739125616844</v>
      </c>
      <c r="BZ23" s="32"/>
      <c r="CA23" s="32"/>
      <c r="CL23" s="41">
        <f t="shared" si="61"/>
        <v>44852</v>
      </c>
      <c r="CM23" s="76">
        <v>0.37859873767389379</v>
      </c>
      <c r="CN23" s="9">
        <f t="shared" si="25"/>
        <v>0.28545379124452225</v>
      </c>
      <c r="CO23" s="9">
        <f t="shared" si="25"/>
        <v>0.32501125292688704</v>
      </c>
      <c r="CP23" s="9">
        <f t="shared" si="25"/>
        <v>0.35397421103270005</v>
      </c>
      <c r="CQ23" s="9">
        <f t="shared" si="25"/>
        <v>0.36926719215446091</v>
      </c>
      <c r="CR23" s="9">
        <f t="shared" si="25"/>
        <v>0.40136629561625625</v>
      </c>
      <c r="CS23" s="9">
        <f t="shared" si="25"/>
        <v>0.44559644152623973</v>
      </c>
      <c r="CT23" s="9">
        <f t="shared" si="25"/>
        <v>0.49482959248384883</v>
      </c>
      <c r="CU23" s="9">
        <f t="shared" si="25"/>
        <v>0.54854275468587754</v>
      </c>
      <c r="CV23" s="9">
        <f t="shared" si="25"/>
        <v>0.58449136891491105</v>
      </c>
      <c r="CW23" s="9">
        <f t="shared" si="25"/>
        <v>0.65730287211222926</v>
      </c>
      <c r="CX23" s="9">
        <f t="shared" si="25"/>
        <v>0.81609564492025133</v>
      </c>
      <c r="CY23" s="32"/>
      <c r="CZ23" s="32"/>
      <c r="DA23" s="32">
        <f t="shared" si="26"/>
        <v>0.37859873767389379</v>
      </c>
      <c r="DB23" s="32">
        <v>378598737.67389381</v>
      </c>
      <c r="DC23" s="32"/>
      <c r="DD23" s="41">
        <v>45216</v>
      </c>
      <c r="DE23" s="76">
        <v>0.35156494185180182</v>
      </c>
      <c r="DF23" s="9">
        <f t="shared" ref="DF23:DP23" si="129">DF22+DF$2</f>
        <v>0.28296309219123744</v>
      </c>
      <c r="DG23" s="9">
        <f t="shared" si="129"/>
        <v>0.31515083567162799</v>
      </c>
      <c r="DH23" s="9">
        <f t="shared" si="129"/>
        <v>0.33497893811543972</v>
      </c>
      <c r="DI23" s="9">
        <f t="shared" si="129"/>
        <v>0.34836635596401305</v>
      </c>
      <c r="DJ23" s="9">
        <f t="shared" si="129"/>
        <v>0.37420484827100725</v>
      </c>
      <c r="DK23" s="9">
        <f t="shared" si="129"/>
        <v>0.40845518730313662</v>
      </c>
      <c r="DL23" s="9">
        <f t="shared" si="129"/>
        <v>0.45125191711952889</v>
      </c>
      <c r="DM23" s="9">
        <f t="shared" si="129"/>
        <v>0.49746300508395341</v>
      </c>
      <c r="DN23" s="9">
        <f t="shared" si="129"/>
        <v>0.52537108807520894</v>
      </c>
      <c r="DO23" s="9">
        <f t="shared" si="129"/>
        <v>0.58718007209422107</v>
      </c>
      <c r="DP23" s="9">
        <f t="shared" si="129"/>
        <v>0.73581102941170384</v>
      </c>
      <c r="DQ23" s="32"/>
      <c r="DR23" s="32"/>
      <c r="DS23" s="32">
        <f t="shared" si="28"/>
        <v>0.37859873767389379</v>
      </c>
      <c r="DT23" s="32">
        <v>378598737.67389381</v>
      </c>
      <c r="DU23" s="32"/>
      <c r="EF23" s="32"/>
      <c r="EG23" s="41">
        <v>45580</v>
      </c>
      <c r="EH23" s="76">
        <v>0.37484950928421101</v>
      </c>
      <c r="EI23" s="9">
        <f t="shared" ref="EI23:ES23" si="130">EI22+EI$2</f>
        <v>0.3246450485484606</v>
      </c>
      <c r="EJ23" s="9">
        <f t="shared" si="130"/>
        <v>0.35232078799259003</v>
      </c>
      <c r="EK23" s="9">
        <f t="shared" si="130"/>
        <v>0.37641820720621261</v>
      </c>
      <c r="EL23" s="9">
        <f t="shared" si="130"/>
        <v>0.39215507438964475</v>
      </c>
      <c r="EM23" s="9">
        <f t="shared" si="130"/>
        <v>0.42121080532368632</v>
      </c>
      <c r="EN23" s="9">
        <f t="shared" si="130"/>
        <v>0.46148020007338908</v>
      </c>
      <c r="EO23" s="9">
        <f t="shared" si="130"/>
        <v>0.50834695408374686</v>
      </c>
      <c r="EP23" s="9">
        <f t="shared" si="130"/>
        <v>0.55843457706404798</v>
      </c>
      <c r="EQ23" s="9">
        <f t="shared" si="130"/>
        <v>0.58844137762041471</v>
      </c>
      <c r="ER23" s="9">
        <f t="shared" si="130"/>
        <v>0.65428952235194537</v>
      </c>
      <c r="ES23" s="9">
        <f t="shared" si="130"/>
        <v>0.7893575442568852</v>
      </c>
      <c r="ET23" s="32"/>
      <c r="EU23" s="32"/>
      <c r="EV23" s="32">
        <f t="shared" si="30"/>
        <v>0.37859873767389379</v>
      </c>
      <c r="EW23" s="32">
        <v>378598737.67389381</v>
      </c>
      <c r="EX23" s="32"/>
      <c r="FG23" s="32"/>
      <c r="FH23" s="32"/>
      <c r="FI23" s="41">
        <v>45944</v>
      </c>
      <c r="FJ23" s="76">
        <v>0.35588034753361053</v>
      </c>
      <c r="FK23" s="9">
        <f t="shared" ref="FK23:FU23" si="131">FK22+FK$2</f>
        <v>0.3246450485484606</v>
      </c>
      <c r="FL23" s="9">
        <f t="shared" si="131"/>
        <v>0.35232078799259003</v>
      </c>
      <c r="FM23" s="9">
        <f t="shared" si="131"/>
        <v>0.37641820720621261</v>
      </c>
      <c r="FN23" s="9">
        <f t="shared" si="131"/>
        <v>0.39215507438964475</v>
      </c>
      <c r="FO23" s="9">
        <f t="shared" si="131"/>
        <v>0.42121080532368632</v>
      </c>
      <c r="FP23" s="9">
        <f t="shared" si="131"/>
        <v>0.46148020007338908</v>
      </c>
      <c r="FQ23" s="9">
        <f t="shared" si="131"/>
        <v>0.50834695408374686</v>
      </c>
      <c r="FR23" s="9">
        <f t="shared" si="131"/>
        <v>0.55843457706404798</v>
      </c>
      <c r="FS23" s="9">
        <f t="shared" si="131"/>
        <v>0.58844137762041471</v>
      </c>
      <c r="FT23" s="9">
        <f t="shared" si="131"/>
        <v>0.65428952235194537</v>
      </c>
      <c r="FU23" s="9">
        <f t="shared" si="131"/>
        <v>0.7893575442568852</v>
      </c>
      <c r="FV23" s="32"/>
      <c r="FW23" s="32"/>
      <c r="FX23" s="32">
        <f t="shared" si="32"/>
        <v>0.37859873767389379</v>
      </c>
      <c r="FY23" s="32">
        <v>378598737.67389381</v>
      </c>
      <c r="FZ23" s="32"/>
      <c r="GI23" s="32"/>
      <c r="GJ23" s="41">
        <v>45580</v>
      </c>
      <c r="GK23" s="76">
        <v>0.37484950928421101</v>
      </c>
      <c r="GL23" s="9">
        <f t="shared" ref="GL23:GV23" si="132">GL22+GL$2</f>
        <v>0.26793541292636563</v>
      </c>
      <c r="GM23" s="9">
        <f t="shared" si="132"/>
        <v>0.30847121232299568</v>
      </c>
      <c r="GN23" s="9">
        <f t="shared" si="132"/>
        <v>0.3316435625670261</v>
      </c>
      <c r="GO23" s="9">
        <f t="shared" si="132"/>
        <v>0.34473322225483677</v>
      </c>
      <c r="GP23" s="9">
        <f t="shared" si="132"/>
        <v>0.37184353307844209</v>
      </c>
      <c r="GQ23" s="9">
        <f t="shared" si="132"/>
        <v>0.41674309247377717</v>
      </c>
      <c r="GR23" s="9">
        <f t="shared" si="132"/>
        <v>0.47504649113931757</v>
      </c>
      <c r="GS23" s="9">
        <f t="shared" si="132"/>
        <v>0.54354061022566313</v>
      </c>
      <c r="GT23" s="9">
        <f t="shared" si="132"/>
        <v>0.59818703129200368</v>
      </c>
      <c r="GU23" s="9">
        <f t="shared" si="132"/>
        <v>0.70181219879985923</v>
      </c>
      <c r="GV23" s="9">
        <f t="shared" si="132"/>
        <v>0.91216654738373204</v>
      </c>
      <c r="GW23" s="32"/>
      <c r="GX23" s="32"/>
      <c r="GY23" s="32">
        <f t="shared" si="34"/>
        <v>0.37859873767389379</v>
      </c>
      <c r="GZ23" s="32">
        <v>378598737.67389381</v>
      </c>
      <c r="HA23" s="32"/>
      <c r="HB23" s="229">
        <v>45944</v>
      </c>
      <c r="HC23" s="230">
        <v>0.35588034753361053</v>
      </c>
      <c r="HD23" s="9">
        <f t="shared" ref="HD23:HN23" si="133">HD22+HD$2</f>
        <v>0.29683431392176518</v>
      </c>
      <c r="HE23" s="9">
        <f t="shared" si="133"/>
        <v>0.33473513921943587</v>
      </c>
      <c r="HF23" s="9">
        <f t="shared" si="133"/>
        <v>0.36116635443973782</v>
      </c>
      <c r="HG23" s="9">
        <f t="shared" si="133"/>
        <v>0.37786871406074357</v>
      </c>
      <c r="HH23" s="9">
        <f t="shared" si="133"/>
        <v>0.41419240207322106</v>
      </c>
      <c r="HI23" s="9">
        <f t="shared" si="133"/>
        <v>0.46527487950508478</v>
      </c>
      <c r="HJ23" s="9">
        <f t="shared" si="133"/>
        <v>0.53228243810477049</v>
      </c>
      <c r="HK23" s="9">
        <f t="shared" si="133"/>
        <v>0.60782819603082661</v>
      </c>
      <c r="HL23" s="9">
        <f t="shared" si="133"/>
        <v>0.65565069504330376</v>
      </c>
      <c r="HM23" s="9">
        <f t="shared" si="133"/>
        <v>0.76212503461391634</v>
      </c>
      <c r="HN23" s="9">
        <f t="shared" si="133"/>
        <v>0.97992863211697656</v>
      </c>
      <c r="HO23" s="32"/>
      <c r="HP23" s="32"/>
      <c r="HQ23" s="32">
        <v>355880347.53361052</v>
      </c>
      <c r="HR23" s="32">
        <f t="shared" si="36"/>
        <v>0.35588034753361053</v>
      </c>
      <c r="HT23" s="32"/>
      <c r="IC23" s="41">
        <f t="shared" si="67"/>
        <v>44852</v>
      </c>
      <c r="ID23" s="9">
        <v>0.38580019995010001</v>
      </c>
      <c r="IE23" s="9"/>
      <c r="IF23" s="9"/>
      <c r="IG23" s="9"/>
      <c r="IH23" s="9"/>
      <c r="II23" s="9"/>
      <c r="IJ23" s="9"/>
      <c r="IK23" s="9"/>
      <c r="IL23" s="9"/>
      <c r="IM23" s="9"/>
      <c r="IN23" s="9"/>
      <c r="IO23" s="9"/>
      <c r="IP23" s="32"/>
      <c r="IQ23" s="32"/>
      <c r="JB23" s="41">
        <f t="shared" si="13"/>
        <v>44488</v>
      </c>
      <c r="JC23" s="9">
        <f t="shared" si="14"/>
        <v>0.34138237064759991</v>
      </c>
      <c r="JD23" s="9"/>
      <c r="JE23" s="9"/>
      <c r="JF23" s="9"/>
      <c r="JG23" s="9"/>
      <c r="JH23" s="9"/>
      <c r="JI23" s="9"/>
      <c r="JJ23" s="9"/>
      <c r="JK23" s="9"/>
      <c r="JL23" s="9"/>
      <c r="JM23" s="9"/>
      <c r="JN23" s="9"/>
      <c r="JO23" s="9"/>
      <c r="JZ23" s="41">
        <f t="shared" si="15"/>
        <v>44488</v>
      </c>
      <c r="KA23" s="9">
        <f t="shared" si="37"/>
        <v>0.34138237064759991</v>
      </c>
      <c r="KB23" s="9"/>
      <c r="KC23" s="9"/>
      <c r="KN23" s="41">
        <v>43025</v>
      </c>
      <c r="KO23" s="212">
        <v>11715705.673199998</v>
      </c>
      <c r="KP23" s="212">
        <f t="shared" si="38"/>
        <v>390792744.07919991</v>
      </c>
      <c r="KR23" s="41">
        <v>43207</v>
      </c>
      <c r="KS23" s="212">
        <v>22138097.673599999</v>
      </c>
      <c r="KT23" s="212">
        <f t="shared" si="39"/>
        <v>307502270.92440003</v>
      </c>
      <c r="KV23" s="41">
        <v>43389</v>
      </c>
      <c r="KW23" s="212">
        <v>12427062.425999999</v>
      </c>
      <c r="KX23" s="212">
        <f t="shared" si="40"/>
        <v>426465333.96479988</v>
      </c>
      <c r="KZ23" s="41">
        <v>43571</v>
      </c>
      <c r="LA23" s="212">
        <v>21846548.667599998</v>
      </c>
      <c r="LB23" s="212">
        <f t="shared" si="41"/>
        <v>410202262.56239986</v>
      </c>
      <c r="LD23" s="41">
        <v>43753</v>
      </c>
      <c r="LE23" s="212">
        <v>59082228.089999996</v>
      </c>
      <c r="LF23" s="212">
        <f t="shared" si="42"/>
        <v>406673103.87359989</v>
      </c>
      <c r="LH23" s="41">
        <v>43942</v>
      </c>
      <c r="LI23" s="212">
        <v>12242627.611199999</v>
      </c>
      <c r="LJ23" s="212">
        <f t="shared" si="43"/>
        <v>248623704.37079996</v>
      </c>
      <c r="LL23" s="41">
        <v>44124</v>
      </c>
      <c r="LM23" s="212">
        <v>12641518.295999998</v>
      </c>
      <c r="LN23" s="212">
        <f t="shared" si="44"/>
        <v>346663066.09320003</v>
      </c>
      <c r="LP23" s="41">
        <v>44306</v>
      </c>
      <c r="LQ23" s="212">
        <v>11570248.076399999</v>
      </c>
      <c r="LR23" s="212">
        <f t="shared" si="45"/>
        <v>384165469.3499999</v>
      </c>
      <c r="LT23" s="41">
        <v>44488</v>
      </c>
      <c r="LU23" s="212">
        <v>26584382.905199997</v>
      </c>
      <c r="LV23" s="212">
        <f t="shared" si="46"/>
        <v>341382370.64759994</v>
      </c>
      <c r="LX23" s="38">
        <v>44670</v>
      </c>
      <c r="LY23" s="214">
        <v>21888780.868799999</v>
      </c>
      <c r="LZ23" s="212">
        <f t="shared" si="47"/>
        <v>346052063.53839999</v>
      </c>
      <c r="MB23" s="32">
        <v>16</v>
      </c>
      <c r="MC23" s="42">
        <f t="shared" si="48"/>
        <v>0.39079274407919989</v>
      </c>
      <c r="MD23" s="42">
        <f t="shared" si="49"/>
        <v>0.30750227092440002</v>
      </c>
      <c r="ME23" s="42">
        <f t="shared" si="50"/>
        <v>0.42646533396479991</v>
      </c>
      <c r="MF23" s="42">
        <f t="shared" si="51"/>
        <v>0.41020226256239989</v>
      </c>
      <c r="MG23" s="42">
        <f t="shared" si="52"/>
        <v>0.40667310387359989</v>
      </c>
      <c r="MH23" s="42">
        <f t="shared" si="53"/>
        <v>0.24862370437079995</v>
      </c>
      <c r="MI23" s="42">
        <f t="shared" si="54"/>
        <v>0.34666306609320002</v>
      </c>
      <c r="MJ23" s="42">
        <f t="shared" si="55"/>
        <v>0.3841654693499999</v>
      </c>
      <c r="MK23" s="42">
        <f t="shared" si="56"/>
        <v>0.34138237064759991</v>
      </c>
      <c r="ML23" s="42">
        <f t="shared" si="57"/>
        <v>0.34605206353840001</v>
      </c>
      <c r="MM23" s="8"/>
      <c r="MN23" s="8"/>
      <c r="MO23" s="8"/>
      <c r="MW23" s="60"/>
      <c r="MX23" s="62" t="s">
        <v>32</v>
      </c>
      <c r="MY23" s="10">
        <v>0.4356186262646401</v>
      </c>
      <c r="MZ23" s="10">
        <v>0.44125276036988575</v>
      </c>
      <c r="NA23" s="10">
        <v>0.41120566116426838</v>
      </c>
      <c r="NB23" s="10">
        <v>0.37710825532379999</v>
      </c>
      <c r="NC23" s="10">
        <v>0.42214145483982851</v>
      </c>
      <c r="ND23" s="10">
        <v>0.42864927421932864</v>
      </c>
      <c r="NE23" s="10">
        <v>0.52274832798280002</v>
      </c>
      <c r="NF23" s="10">
        <v>0.45351842520394281</v>
      </c>
      <c r="NG23" s="10">
        <v>0.47253594602477145</v>
      </c>
      <c r="NH23" s="10">
        <v>0.46585251338132994</v>
      </c>
      <c r="NI23" s="10">
        <v>0.29325391222013997</v>
      </c>
      <c r="NT23" s="41">
        <f t="shared" si="108"/>
        <v>44672</v>
      </c>
      <c r="NU23" s="9">
        <f t="shared" si="16"/>
        <v>0.34605206353840001</v>
      </c>
      <c r="NV23" s="9">
        <f t="shared" si="58"/>
        <v>0.2469304238071385</v>
      </c>
      <c r="NW23" s="9">
        <f t="shared" si="58"/>
        <v>0.26988279506289231</v>
      </c>
      <c r="NX23" s="9">
        <f t="shared" si="58"/>
        <v>0.28667846977312611</v>
      </c>
      <c r="NY23" s="9">
        <f t="shared" si="58"/>
        <v>0.2998221900712616</v>
      </c>
      <c r="NZ23" s="9">
        <f t="shared" si="58"/>
        <v>0.32632828356369237</v>
      </c>
      <c r="OA23" s="9">
        <f t="shared" si="58"/>
        <v>0.36043111042892312</v>
      </c>
      <c r="OB23" s="9">
        <f t="shared" si="58"/>
        <v>0.40467186659741539</v>
      </c>
      <c r="OC23" s="9">
        <f t="shared" si="58"/>
        <v>0.45613349662334746</v>
      </c>
      <c r="OD23" s="9">
        <f t="shared" si="58"/>
        <v>0.4882823957235693</v>
      </c>
      <c r="OE23" s="9">
        <f t="shared" si="58"/>
        <v>0.5525538113586459</v>
      </c>
      <c r="OF23" s="9">
        <f t="shared" si="58"/>
        <v>0.68229369425095376</v>
      </c>
      <c r="OG23" s="9">
        <f t="shared" ca="1" si="58"/>
        <v>0.35150067265167068</v>
      </c>
      <c r="OH23" s="32"/>
      <c r="OS23" s="41">
        <f t="shared" si="59"/>
        <v>44672</v>
      </c>
      <c r="OT23" s="9">
        <f t="shared" si="59"/>
        <v>0.34605206353840001</v>
      </c>
      <c r="OU23" s="9"/>
      <c r="OV23" s="9"/>
      <c r="OW23" s="9"/>
      <c r="OX23" s="9"/>
      <c r="OY23" s="9"/>
      <c r="OZ23" s="9"/>
      <c r="PA23" s="9"/>
      <c r="PB23" s="9"/>
      <c r="PC23" s="9"/>
      <c r="PD23" s="9"/>
      <c r="PE23" s="9"/>
      <c r="PF23" s="9"/>
    </row>
    <row r="24" spans="2:424" x14ac:dyDescent="0.25">
      <c r="B24" s="48">
        <v>42857</v>
      </c>
      <c r="C24" s="214">
        <v>10922646.733199999</v>
      </c>
      <c r="D24" s="214">
        <v>8327727</v>
      </c>
      <c r="E24" s="215">
        <v>5000000</v>
      </c>
      <c r="F24" s="215"/>
      <c r="G24" s="215"/>
      <c r="H24" s="215"/>
      <c r="I24" s="41">
        <v>43032</v>
      </c>
      <c r="J24" s="212">
        <v>16695317.051999999</v>
      </c>
      <c r="K24" s="212">
        <f t="shared" si="18"/>
        <v>407488061.1311999</v>
      </c>
      <c r="M24" s="41">
        <v>43396</v>
      </c>
      <c r="N24" s="212">
        <v>18487402.037999999</v>
      </c>
      <c r="O24" s="212">
        <f t="shared" si="19"/>
        <v>444952736.00279987</v>
      </c>
      <c r="Q24" s="41">
        <v>43760</v>
      </c>
      <c r="R24" s="212">
        <v>11371148.193599999</v>
      </c>
      <c r="S24" s="212">
        <f t="shared" si="20"/>
        <v>418044252.06719989</v>
      </c>
      <c r="U24" s="41">
        <v>44131</v>
      </c>
      <c r="V24" s="212">
        <v>14600043.921599999</v>
      </c>
      <c r="W24" s="212">
        <f t="shared" si="21"/>
        <v>361263110.01480001</v>
      </c>
      <c r="Y24" s="41">
        <v>44495</v>
      </c>
      <c r="Z24" s="212">
        <v>42628793.414399996</v>
      </c>
      <c r="AA24" s="212">
        <f t="shared" si="22"/>
        <v>384011164.06199992</v>
      </c>
      <c r="AC24" s="32">
        <v>17</v>
      </c>
      <c r="AD24" s="39">
        <f t="shared" si="0"/>
        <v>0.4074880611311999</v>
      </c>
      <c r="AE24" s="39">
        <f t="shared" si="1"/>
        <v>0.44495273600279989</v>
      </c>
      <c r="AF24" s="39">
        <f t="shared" si="2"/>
        <v>0.41804425206719986</v>
      </c>
      <c r="AG24" s="39">
        <f t="shared" si="3"/>
        <v>0.36126311001479999</v>
      </c>
      <c r="AH24" s="39">
        <f t="shared" si="4"/>
        <v>0.38401116406199992</v>
      </c>
      <c r="AI24" s="39">
        <f t="shared" si="23"/>
        <v>0.47300179212790816</v>
      </c>
      <c r="AJ24" s="9"/>
      <c r="AK24" s="9"/>
      <c r="AL24" s="9"/>
      <c r="AT24" s="60"/>
      <c r="AU24" s="62" t="s">
        <v>32</v>
      </c>
      <c r="AV24" s="10">
        <v>0.92122170076707255</v>
      </c>
      <c r="AW24" s="10">
        <v>0.85950570450529828</v>
      </c>
      <c r="AX24" s="10">
        <v>0.91444616044801208</v>
      </c>
      <c r="AY24" s="10">
        <v>1.0555661757474473</v>
      </c>
      <c r="AZ24" s="10">
        <v>1.0110738633828786</v>
      </c>
      <c r="BA24" s="10">
        <v>1.1662461369560793</v>
      </c>
      <c r="BB24" s="10">
        <v>0.81767021398827378</v>
      </c>
      <c r="BM24" s="41">
        <f t="shared" si="60"/>
        <v>44495</v>
      </c>
      <c r="BN24" s="9">
        <f t="shared" si="5"/>
        <v>0.38401116406199992</v>
      </c>
      <c r="BO24" s="9">
        <f t="shared" si="24"/>
        <v>0.27254748287122293</v>
      </c>
      <c r="BP24" s="9">
        <f t="shared" si="24"/>
        <v>0.30979334740773062</v>
      </c>
      <c r="BQ24" s="9">
        <f t="shared" si="24"/>
        <v>0.33054337841363329</v>
      </c>
      <c r="BR24" s="9">
        <f t="shared" si="24"/>
        <v>0.34339743125677491</v>
      </c>
      <c r="BS24" s="9">
        <f t="shared" si="24"/>
        <v>0.36736920933824119</v>
      </c>
      <c r="BT24" s="9">
        <f t="shared" si="24"/>
        <v>0.39898672815580349</v>
      </c>
      <c r="BU24" s="9">
        <f t="shared" si="24"/>
        <v>0.43418987656360575</v>
      </c>
      <c r="BV24" s="9">
        <f t="shared" si="24"/>
        <v>0.47124714402423645</v>
      </c>
      <c r="BW24" s="9">
        <f t="shared" si="24"/>
        <v>0.49514643014722737</v>
      </c>
      <c r="BX24" s="9">
        <f t="shared" si="24"/>
        <v>0.54411804133560648</v>
      </c>
      <c r="BY24" s="9">
        <f t="shared" si="24"/>
        <v>0.67156097820967897</v>
      </c>
      <c r="BZ24" s="32"/>
      <c r="CA24" s="32"/>
      <c r="CL24" s="41">
        <f t="shared" si="61"/>
        <v>44859</v>
      </c>
      <c r="CM24" s="76">
        <v>0.39719554152758113</v>
      </c>
      <c r="CN24" s="9">
        <f t="shared" si="25"/>
        <v>0.30329465319730486</v>
      </c>
      <c r="CO24" s="9">
        <f t="shared" si="25"/>
        <v>0.3453244562348175</v>
      </c>
      <c r="CP24" s="9">
        <f t="shared" si="25"/>
        <v>0.37609759922224378</v>
      </c>
      <c r="CQ24" s="9">
        <f t="shared" si="25"/>
        <v>0.39234639166411472</v>
      </c>
      <c r="CR24" s="9">
        <f t="shared" si="25"/>
        <v>0.42645168909227227</v>
      </c>
      <c r="CS24" s="9">
        <f t="shared" si="25"/>
        <v>0.47344621912162971</v>
      </c>
      <c r="CT24" s="9">
        <f t="shared" si="25"/>
        <v>0.52575644201408944</v>
      </c>
      <c r="CU24" s="9">
        <f t="shared" si="25"/>
        <v>0.5828266768537449</v>
      </c>
      <c r="CV24" s="9">
        <f t="shared" si="25"/>
        <v>0.62102207947209298</v>
      </c>
      <c r="CW24" s="9">
        <f t="shared" si="25"/>
        <v>0.69838430161924359</v>
      </c>
      <c r="CX24" s="9">
        <f t="shared" si="25"/>
        <v>0.86710162272776703</v>
      </c>
      <c r="CY24" s="32"/>
      <c r="CZ24" s="32"/>
      <c r="DA24" s="32">
        <f t="shared" si="26"/>
        <v>0.39719554152758113</v>
      </c>
      <c r="DB24" s="32">
        <v>397195541.52758116</v>
      </c>
      <c r="DC24" s="32"/>
      <c r="DD24" s="41">
        <v>45223</v>
      </c>
      <c r="DE24" s="76">
        <v>0.36387635830840842</v>
      </c>
      <c r="DF24" s="9">
        <f t="shared" ref="DF24:DP24" si="134">DF23+DF$2</f>
        <v>0.30064828545318978</v>
      </c>
      <c r="DG24" s="9">
        <f t="shared" si="134"/>
        <v>0.33484776290110474</v>
      </c>
      <c r="DH24" s="9">
        <f t="shared" si="134"/>
        <v>0.35591512174765472</v>
      </c>
      <c r="DI24" s="9">
        <f t="shared" si="134"/>
        <v>0.37013925321176389</v>
      </c>
      <c r="DJ24" s="9">
        <f t="shared" si="134"/>
        <v>0.39759265128794519</v>
      </c>
      <c r="DK24" s="9">
        <f t="shared" si="134"/>
        <v>0.43398363650958266</v>
      </c>
      <c r="DL24" s="9">
        <f t="shared" si="134"/>
        <v>0.47945516193949944</v>
      </c>
      <c r="DM24" s="9">
        <f t="shared" si="134"/>
        <v>0.52855444290170051</v>
      </c>
      <c r="DN24" s="9">
        <f t="shared" si="134"/>
        <v>0.55820678107990951</v>
      </c>
      <c r="DO24" s="9">
        <f t="shared" si="134"/>
        <v>0.62387882660010985</v>
      </c>
      <c r="DP24" s="9">
        <f t="shared" si="134"/>
        <v>0.7817992187499353</v>
      </c>
      <c r="DQ24" s="32"/>
      <c r="DR24" s="32"/>
      <c r="DS24" s="32">
        <f t="shared" si="28"/>
        <v>0.39719554152758113</v>
      </c>
      <c r="DT24" s="32">
        <v>397195541.52758116</v>
      </c>
      <c r="DU24" s="32"/>
      <c r="EF24" s="32"/>
      <c r="EG24" s="41">
        <v>45587</v>
      </c>
      <c r="EH24" s="76">
        <v>0.39125523299577258</v>
      </c>
      <c r="EI24" s="9">
        <f t="shared" ref="EI24:ES24" si="135">EI23+EI$2</f>
        <v>0.34493536408273939</v>
      </c>
      <c r="EJ24" s="9">
        <f t="shared" si="135"/>
        <v>0.37434083724212691</v>
      </c>
      <c r="EK24" s="9">
        <f t="shared" si="135"/>
        <v>0.39994434515660088</v>
      </c>
      <c r="EL24" s="9">
        <f t="shared" si="135"/>
        <v>0.41666476653899753</v>
      </c>
      <c r="EM24" s="9">
        <f t="shared" si="135"/>
        <v>0.44753648065641671</v>
      </c>
      <c r="EN24" s="9">
        <f t="shared" si="135"/>
        <v>0.49032271257797588</v>
      </c>
      <c r="EO24" s="9">
        <f t="shared" si="135"/>
        <v>0.54011863871398103</v>
      </c>
      <c r="EP24" s="9">
        <f t="shared" si="135"/>
        <v>0.59333673813055099</v>
      </c>
      <c r="EQ24" s="9">
        <f t="shared" si="135"/>
        <v>0.62521896372169061</v>
      </c>
      <c r="ER24" s="9">
        <f t="shared" si="135"/>
        <v>0.69518261749894195</v>
      </c>
      <c r="ES24" s="9">
        <f t="shared" si="135"/>
        <v>0.83869239077294055</v>
      </c>
      <c r="ET24" s="32"/>
      <c r="EU24" s="32"/>
      <c r="EV24" s="32">
        <f t="shared" si="30"/>
        <v>0.39719554152758113</v>
      </c>
      <c r="EW24" s="32">
        <v>397195541.52758116</v>
      </c>
      <c r="EX24" s="32"/>
      <c r="FG24" s="32"/>
      <c r="FH24" s="32"/>
      <c r="FI24" s="41">
        <v>45951</v>
      </c>
      <c r="FJ24" s="76">
        <v>0.37505091899697385</v>
      </c>
      <c r="FK24" s="9">
        <f t="shared" ref="FK24:FU24" si="136">FK23+FK$2</f>
        <v>0.34493536408273939</v>
      </c>
      <c r="FL24" s="9">
        <f t="shared" si="136"/>
        <v>0.37434083724212691</v>
      </c>
      <c r="FM24" s="9">
        <f t="shared" si="136"/>
        <v>0.39994434515660088</v>
      </c>
      <c r="FN24" s="9">
        <f t="shared" si="136"/>
        <v>0.41666476653899753</v>
      </c>
      <c r="FO24" s="9">
        <f t="shared" si="136"/>
        <v>0.44753648065641671</v>
      </c>
      <c r="FP24" s="9">
        <f t="shared" si="136"/>
        <v>0.49032271257797588</v>
      </c>
      <c r="FQ24" s="9">
        <f t="shared" si="136"/>
        <v>0.54011863871398103</v>
      </c>
      <c r="FR24" s="9">
        <f t="shared" si="136"/>
        <v>0.59333673813055099</v>
      </c>
      <c r="FS24" s="9">
        <f t="shared" si="136"/>
        <v>0.62521896372169061</v>
      </c>
      <c r="FT24" s="9">
        <f t="shared" si="136"/>
        <v>0.69518261749894195</v>
      </c>
      <c r="FU24" s="9">
        <f t="shared" si="136"/>
        <v>0.83869239077294055</v>
      </c>
      <c r="FV24" s="32"/>
      <c r="FW24" s="32"/>
      <c r="FX24" s="32">
        <f t="shared" si="32"/>
        <v>0.39719554152758113</v>
      </c>
      <c r="FY24" s="32">
        <v>397195541.52758116</v>
      </c>
      <c r="FZ24" s="32"/>
      <c r="GI24" s="32"/>
      <c r="GJ24" s="41">
        <v>45587</v>
      </c>
      <c r="GK24" s="76">
        <v>0.39125523299577258</v>
      </c>
      <c r="GL24" s="9">
        <f t="shared" ref="GL24:GV24" si="137">GL23+GL$2</f>
        <v>0.28468137623426348</v>
      </c>
      <c r="GM24" s="9">
        <f t="shared" si="137"/>
        <v>0.3277506630931829</v>
      </c>
      <c r="GN24" s="9">
        <f t="shared" si="137"/>
        <v>0.35237128522746525</v>
      </c>
      <c r="GO24" s="9">
        <f t="shared" si="137"/>
        <v>0.36627904864576405</v>
      </c>
      <c r="GP24" s="9">
        <f t="shared" si="137"/>
        <v>0.39508375389584471</v>
      </c>
      <c r="GQ24" s="9">
        <f t="shared" si="137"/>
        <v>0.44278953575338825</v>
      </c>
      <c r="GR24" s="9">
        <f t="shared" si="137"/>
        <v>0.50473689683552492</v>
      </c>
      <c r="GS24" s="9">
        <f t="shared" si="137"/>
        <v>0.57751189836476713</v>
      </c>
      <c r="GT24" s="9">
        <f t="shared" si="137"/>
        <v>0.63557372074775387</v>
      </c>
      <c r="GU24" s="9">
        <f t="shared" si="137"/>
        <v>0.7456754612248504</v>
      </c>
      <c r="GV24" s="9">
        <f t="shared" si="137"/>
        <v>0.9691769565952153</v>
      </c>
      <c r="GW24" s="32"/>
      <c r="GX24" s="32"/>
      <c r="GY24" s="32">
        <f t="shared" si="34"/>
        <v>0.39719554152758113</v>
      </c>
      <c r="GZ24" s="32">
        <v>397195541.52758116</v>
      </c>
      <c r="HA24" s="32"/>
      <c r="HB24" s="229">
        <v>45951</v>
      </c>
      <c r="HC24" s="230">
        <v>0.37505091899697385</v>
      </c>
      <c r="HD24" s="9">
        <f t="shared" ref="HD24:HN24" si="138">HD23+HD$2</f>
        <v>0.31538645854187553</v>
      </c>
      <c r="HE24" s="9">
        <f t="shared" si="138"/>
        <v>0.35565608542065064</v>
      </c>
      <c r="HF24" s="9">
        <f t="shared" si="138"/>
        <v>0.38373925159222144</v>
      </c>
      <c r="HG24" s="9">
        <f t="shared" si="138"/>
        <v>0.40148550868954003</v>
      </c>
      <c r="HH24" s="9">
        <f t="shared" si="138"/>
        <v>0.44007942720279736</v>
      </c>
      <c r="HI24" s="9">
        <f t="shared" si="138"/>
        <v>0.49435455947415258</v>
      </c>
      <c r="HJ24" s="9">
        <f t="shared" si="138"/>
        <v>0.56555009048631866</v>
      </c>
      <c r="HK24" s="9">
        <f t="shared" si="138"/>
        <v>0.64581745828275328</v>
      </c>
      <c r="HL24" s="9">
        <f t="shared" si="138"/>
        <v>0.69662886348351027</v>
      </c>
      <c r="HM24" s="9">
        <f t="shared" si="138"/>
        <v>0.80975784927728611</v>
      </c>
      <c r="HN24" s="9">
        <f t="shared" si="138"/>
        <v>1.0411741716242875</v>
      </c>
      <c r="HO24" s="32"/>
      <c r="HP24" s="32"/>
      <c r="HQ24" s="32">
        <v>375050918.99697387</v>
      </c>
      <c r="HR24" s="32">
        <f t="shared" si="36"/>
        <v>0.37505091899697385</v>
      </c>
      <c r="HT24" s="32"/>
      <c r="IC24" s="41">
        <f t="shared" si="67"/>
        <v>44859</v>
      </c>
      <c r="ID24" s="9">
        <v>0.40472549181869999</v>
      </c>
      <c r="IE24" s="9"/>
      <c r="IF24" s="9"/>
      <c r="IG24" s="9"/>
      <c r="IH24" s="9"/>
      <c r="II24" s="9"/>
      <c r="IJ24" s="9"/>
      <c r="IK24" s="9"/>
      <c r="IL24" s="9"/>
      <c r="IM24" s="9"/>
      <c r="IN24" s="9"/>
      <c r="IO24" s="9"/>
      <c r="IP24" s="32"/>
      <c r="IQ24" s="32"/>
      <c r="JB24" s="41">
        <f t="shared" si="13"/>
        <v>44495</v>
      </c>
      <c r="JC24" s="9">
        <f t="shared" si="14"/>
        <v>0.38401116406199992</v>
      </c>
      <c r="JD24" s="9"/>
      <c r="JE24" s="9"/>
      <c r="JF24" s="9"/>
      <c r="JG24" s="9"/>
      <c r="JH24" s="9"/>
      <c r="JI24" s="9"/>
      <c r="JJ24" s="9"/>
      <c r="JK24" s="9"/>
      <c r="JL24" s="9"/>
      <c r="JM24" s="9"/>
      <c r="JN24" s="9"/>
      <c r="JO24" s="9"/>
      <c r="JZ24" s="41">
        <f t="shared" si="15"/>
        <v>44495</v>
      </c>
      <c r="KA24" s="9">
        <f t="shared" si="37"/>
        <v>0.38401116406199992</v>
      </c>
      <c r="KB24" s="9"/>
      <c r="KC24" s="9"/>
      <c r="KN24" s="41">
        <v>43032</v>
      </c>
      <c r="KO24" s="212">
        <v>16695317.051999999</v>
      </c>
      <c r="KP24" s="212">
        <f t="shared" si="38"/>
        <v>407488061.1311999</v>
      </c>
      <c r="KR24" s="41">
        <v>43214</v>
      </c>
      <c r="KS24" s="212">
        <v>10266062.396399999</v>
      </c>
      <c r="KT24" s="212">
        <f t="shared" si="39"/>
        <v>317768333.32080001</v>
      </c>
      <c r="KV24" s="41">
        <v>43396</v>
      </c>
      <c r="KW24" s="212">
        <v>18487402.037999999</v>
      </c>
      <c r="KX24" s="212">
        <f t="shared" si="40"/>
        <v>444952736.00279987</v>
      </c>
      <c r="KZ24" s="41">
        <v>43578</v>
      </c>
      <c r="LA24" s="212">
        <v>24409327.190399997</v>
      </c>
      <c r="LB24" s="212">
        <f t="shared" si="41"/>
        <v>434611589.75279987</v>
      </c>
      <c r="LD24" s="41">
        <v>43760</v>
      </c>
      <c r="LE24" s="212">
        <v>11371148.193599999</v>
      </c>
      <c r="LF24" s="212">
        <f t="shared" si="42"/>
        <v>418044252.06719989</v>
      </c>
      <c r="LH24" s="41">
        <v>43949</v>
      </c>
      <c r="LI24" s="212">
        <v>10423667.663999999</v>
      </c>
      <c r="LJ24" s="212">
        <f t="shared" si="43"/>
        <v>259047372.03479996</v>
      </c>
      <c r="LL24" s="41">
        <v>44131</v>
      </c>
      <c r="LM24" s="212">
        <v>14600043.921599999</v>
      </c>
      <c r="LN24" s="212">
        <f t="shared" si="44"/>
        <v>361263110.01480001</v>
      </c>
      <c r="LP24" s="41">
        <v>44313</v>
      </c>
      <c r="LQ24" s="212">
        <v>15618228.515999999</v>
      </c>
      <c r="LR24" s="212">
        <f t="shared" si="45"/>
        <v>399783697.86599988</v>
      </c>
      <c r="LT24" s="41">
        <v>44495</v>
      </c>
      <c r="LU24" s="212">
        <v>42628793.414399996</v>
      </c>
      <c r="LV24" s="212">
        <f t="shared" si="46"/>
        <v>384011164.06199992</v>
      </c>
      <c r="LX24" s="38">
        <v>44677</v>
      </c>
      <c r="LY24" s="214">
        <v>27417401.153999999</v>
      </c>
      <c r="LZ24" s="212">
        <f t="shared" si="47"/>
        <v>373469464.69239998</v>
      </c>
      <c r="MB24" s="32">
        <v>17</v>
      </c>
      <c r="MC24" s="42">
        <f t="shared" si="48"/>
        <v>0.4074880611311999</v>
      </c>
      <c r="MD24" s="42">
        <f t="shared" si="49"/>
        <v>0.31776833332080001</v>
      </c>
      <c r="ME24" s="42">
        <f t="shared" si="50"/>
        <v>0.44495273600279989</v>
      </c>
      <c r="MF24" s="42">
        <f t="shared" si="51"/>
        <v>0.43461158975279984</v>
      </c>
      <c r="MG24" s="42">
        <f t="shared" si="52"/>
        <v>0.41804425206719986</v>
      </c>
      <c r="MH24" s="42">
        <f t="shared" si="53"/>
        <v>0.25904737203479994</v>
      </c>
      <c r="MI24" s="42">
        <f t="shared" si="54"/>
        <v>0.36126311001479999</v>
      </c>
      <c r="MJ24" s="42">
        <f t="shared" si="55"/>
        <v>0.39978369786599988</v>
      </c>
      <c r="MK24" s="42">
        <f t="shared" si="56"/>
        <v>0.38401116406199992</v>
      </c>
      <c r="ML24" s="42">
        <f t="shared" si="57"/>
        <v>0.3734694646924</v>
      </c>
      <c r="MM24" s="8">
        <f>$ML24</f>
        <v>0.3734694646924</v>
      </c>
      <c r="MN24" s="8">
        <f>$ML24</f>
        <v>0.3734694646924</v>
      </c>
      <c r="MO24" s="8">
        <f>$ML24</f>
        <v>0.3734694646924</v>
      </c>
      <c r="MW24" s="60"/>
      <c r="MX24" s="62" t="s">
        <v>33</v>
      </c>
      <c r="MY24" s="10">
        <v>0.4586789756028421</v>
      </c>
      <c r="MZ24" s="10">
        <v>0.46316584013485712</v>
      </c>
      <c r="NA24" s="10">
        <v>0.42741631368008726</v>
      </c>
      <c r="NB24" s="10">
        <v>0.39572554215869998</v>
      </c>
      <c r="NC24" s="10">
        <v>0.43958480413822959</v>
      </c>
      <c r="ND24" s="10">
        <v>0.44903980639902857</v>
      </c>
      <c r="NE24" s="10">
        <v>0.54602457696359996</v>
      </c>
      <c r="NF24" s="10">
        <v>0.47094909681854563</v>
      </c>
      <c r="NG24" s="10">
        <v>0.49565594764971438</v>
      </c>
      <c r="NH24" s="10">
        <v>0.48721105886580002</v>
      </c>
      <c r="NI24" s="10">
        <v>0.30605974069800002</v>
      </c>
      <c r="NT24" s="41">
        <f t="shared" si="108"/>
        <v>44679</v>
      </c>
      <c r="NU24" s="9">
        <f t="shared" si="16"/>
        <v>0.3734694646924</v>
      </c>
      <c r="NV24" s="9">
        <f t="shared" si="58"/>
        <v>0.26236357529508464</v>
      </c>
      <c r="NW24" s="9">
        <f t="shared" si="58"/>
        <v>0.28675046975432306</v>
      </c>
      <c r="NX24" s="9">
        <f t="shared" si="58"/>
        <v>0.30459587413394651</v>
      </c>
      <c r="NY24" s="9">
        <f t="shared" si="58"/>
        <v>0.31856107695071545</v>
      </c>
      <c r="NZ24" s="9">
        <f t="shared" si="58"/>
        <v>0.34672380128642316</v>
      </c>
      <c r="OA24" s="9">
        <f t="shared" si="58"/>
        <v>0.38295805483073081</v>
      </c>
      <c r="OB24" s="9">
        <f t="shared" si="58"/>
        <v>0.42996385825975386</v>
      </c>
      <c r="OC24" s="9">
        <f t="shared" si="58"/>
        <v>0.48464184016230666</v>
      </c>
      <c r="OD24" s="9">
        <f t="shared" si="58"/>
        <v>0.51880004545629232</v>
      </c>
      <c r="OE24" s="9">
        <f t="shared" si="58"/>
        <v>0.58708842456856125</v>
      </c>
      <c r="OF24" s="9">
        <f t="shared" si="58"/>
        <v>0.72493705014163834</v>
      </c>
      <c r="OG24" s="9">
        <f t="shared" ca="1" si="58"/>
        <v>0.37346946469240011</v>
      </c>
      <c r="OH24" s="32"/>
      <c r="OS24" s="41">
        <f t="shared" si="59"/>
        <v>44679</v>
      </c>
      <c r="OT24" s="9">
        <f t="shared" si="59"/>
        <v>0.3734694646924</v>
      </c>
      <c r="OU24" s="9">
        <f>$OT24</f>
        <v>0.3734694646924</v>
      </c>
      <c r="OV24" s="9">
        <f t="shared" ref="OV24:PF24" si="139">$OT24</f>
        <v>0.3734694646924</v>
      </c>
      <c r="OW24" s="9">
        <f t="shared" si="139"/>
        <v>0.3734694646924</v>
      </c>
      <c r="OX24" s="9">
        <f t="shared" si="139"/>
        <v>0.3734694646924</v>
      </c>
      <c r="OY24" s="9">
        <f t="shared" si="139"/>
        <v>0.3734694646924</v>
      </c>
      <c r="OZ24" s="9">
        <f t="shared" si="139"/>
        <v>0.3734694646924</v>
      </c>
      <c r="PA24" s="9">
        <f t="shared" si="139"/>
        <v>0.3734694646924</v>
      </c>
      <c r="PB24" s="9">
        <f t="shared" si="139"/>
        <v>0.3734694646924</v>
      </c>
      <c r="PC24" s="9">
        <f t="shared" si="139"/>
        <v>0.3734694646924</v>
      </c>
      <c r="PD24" s="9">
        <f t="shared" si="139"/>
        <v>0.3734694646924</v>
      </c>
      <c r="PE24" s="9">
        <f t="shared" si="139"/>
        <v>0.3734694646924</v>
      </c>
      <c r="PF24" s="9">
        <f t="shared" si="139"/>
        <v>0.3734694646924</v>
      </c>
    </row>
    <row r="25" spans="2:424" x14ac:dyDescent="0.25">
      <c r="B25" s="48">
        <v>42864</v>
      </c>
      <c r="C25" s="214">
        <v>15167394.863999998</v>
      </c>
      <c r="D25" s="214">
        <v>11564040</v>
      </c>
      <c r="E25" s="215">
        <v>10000000</v>
      </c>
      <c r="F25" s="215"/>
      <c r="G25" s="215"/>
      <c r="H25" s="215"/>
      <c r="I25" s="41">
        <v>43039</v>
      </c>
      <c r="J25" s="212">
        <v>22170504.686399996</v>
      </c>
      <c r="K25" s="212">
        <f t="shared" si="18"/>
        <v>429658565.81759989</v>
      </c>
      <c r="M25" s="41">
        <v>43403</v>
      </c>
      <c r="N25" s="212">
        <v>20029359.657599997</v>
      </c>
      <c r="O25" s="212">
        <f t="shared" si="19"/>
        <v>464982095.66039985</v>
      </c>
      <c r="Q25" s="41">
        <v>43767</v>
      </c>
      <c r="R25" s="212">
        <v>13591532.195999999</v>
      </c>
      <c r="S25" s="212">
        <f t="shared" si="20"/>
        <v>431635784.26319987</v>
      </c>
      <c r="U25" s="41">
        <v>44138</v>
      </c>
      <c r="V25" s="212">
        <v>21051732.257999998</v>
      </c>
      <c r="W25" s="212">
        <f t="shared" si="21"/>
        <v>382314842.27280003</v>
      </c>
      <c r="Y25" s="41">
        <v>44502</v>
      </c>
      <c r="Z25" s="212">
        <v>69523859.653200001</v>
      </c>
      <c r="AA25" s="212">
        <f t="shared" si="22"/>
        <v>453535023.71519995</v>
      </c>
      <c r="AC25" s="32">
        <v>18</v>
      </c>
      <c r="AD25" s="39">
        <f t="shared" si="0"/>
        <v>0.42965856581759987</v>
      </c>
      <c r="AE25" s="39">
        <f t="shared" si="1"/>
        <v>0.46498209566039983</v>
      </c>
      <c r="AF25" s="39">
        <f t="shared" si="2"/>
        <v>0.43163578426319987</v>
      </c>
      <c r="AG25" s="39">
        <f t="shared" si="3"/>
        <v>0.38231484227280005</v>
      </c>
      <c r="AH25" s="39">
        <f t="shared" si="4"/>
        <v>0.45353502371519994</v>
      </c>
      <c r="AI25" s="39">
        <f t="shared" si="23"/>
        <v>0.50082542695896159</v>
      </c>
      <c r="AJ25" s="9"/>
      <c r="AK25" s="9"/>
      <c r="AL25" s="9"/>
      <c r="AN25" t="s">
        <v>81</v>
      </c>
      <c r="AT25" s="60"/>
      <c r="AU25" s="62" t="s">
        <v>33</v>
      </c>
      <c r="AV25" s="10">
        <v>0.95585128620101756</v>
      </c>
      <c r="AW25" s="10">
        <v>0.89162096917874456</v>
      </c>
      <c r="AX25" s="10">
        <v>0.94488937356356173</v>
      </c>
      <c r="AY25" s="10">
        <v>1.091511037478661</v>
      </c>
      <c r="AZ25" s="10">
        <v>1.0503921426677818</v>
      </c>
      <c r="BA25" s="10">
        <v>1.2215512734969158</v>
      </c>
      <c r="BB25" s="10">
        <v>0.84709120099502455</v>
      </c>
      <c r="BD25" t="s">
        <v>81</v>
      </c>
      <c r="BM25" s="41">
        <f t="shared" si="60"/>
        <v>44502</v>
      </c>
      <c r="BN25" s="9">
        <f t="shared" si="5"/>
        <v>0.45353502371519994</v>
      </c>
      <c r="BO25" s="9">
        <f t="shared" ref="BO25:BY40" si="140">BO24+BO$2</f>
        <v>0.28857968774600073</v>
      </c>
      <c r="BP25" s="9">
        <f t="shared" si="140"/>
        <v>0.3280164854905383</v>
      </c>
      <c r="BQ25" s="9">
        <f t="shared" si="140"/>
        <v>0.34998710655561172</v>
      </c>
      <c r="BR25" s="9">
        <f t="shared" si="140"/>
        <v>0.36359728015423226</v>
      </c>
      <c r="BS25" s="9">
        <f t="shared" si="140"/>
        <v>0.38897916282872597</v>
      </c>
      <c r="BT25" s="9">
        <f t="shared" si="140"/>
        <v>0.42245653569438019</v>
      </c>
      <c r="BU25" s="9">
        <f t="shared" si="140"/>
        <v>0.45973045753793551</v>
      </c>
      <c r="BV25" s="9">
        <f t="shared" si="140"/>
        <v>0.49896756426095623</v>
      </c>
      <c r="BW25" s="9">
        <f t="shared" si="140"/>
        <v>0.52427269074412308</v>
      </c>
      <c r="BX25" s="9">
        <f t="shared" si="140"/>
        <v>0.57612498494358333</v>
      </c>
      <c r="BY25" s="9">
        <f t="shared" si="140"/>
        <v>0.7110645651631895</v>
      </c>
      <c r="BZ25" s="32"/>
      <c r="CA25" s="32"/>
      <c r="CC25" t="s">
        <v>81</v>
      </c>
      <c r="CL25" s="41">
        <f t="shared" si="61"/>
        <v>44866</v>
      </c>
      <c r="CM25" s="76">
        <v>0.4316567961707965</v>
      </c>
      <c r="CN25" s="9">
        <f t="shared" ref="CN25:CX40" si="141">CN24+CN$2</f>
        <v>0.32113551515008748</v>
      </c>
      <c r="CO25" s="9">
        <f t="shared" si="141"/>
        <v>0.36563765954274796</v>
      </c>
      <c r="CP25" s="9">
        <f t="shared" si="141"/>
        <v>0.39822098741178752</v>
      </c>
      <c r="CQ25" s="9">
        <f t="shared" si="141"/>
        <v>0.41542559117376854</v>
      </c>
      <c r="CR25" s="9">
        <f t="shared" si="141"/>
        <v>0.45153708256828828</v>
      </c>
      <c r="CS25" s="9">
        <f t="shared" si="141"/>
        <v>0.50129599671701974</v>
      </c>
      <c r="CT25" s="9">
        <f t="shared" si="141"/>
        <v>0.55668329154433005</v>
      </c>
      <c r="CU25" s="9">
        <f t="shared" si="141"/>
        <v>0.61711059902161225</v>
      </c>
      <c r="CV25" s="9">
        <f t="shared" si="141"/>
        <v>0.65755279002927491</v>
      </c>
      <c r="CW25" s="9">
        <f t="shared" si="141"/>
        <v>0.73946573112625791</v>
      </c>
      <c r="CX25" s="9">
        <f t="shared" si="141"/>
        <v>0.91810760053528273</v>
      </c>
      <c r="CY25" s="32"/>
      <c r="CZ25" s="32"/>
      <c r="DA25" s="32">
        <f t="shared" si="26"/>
        <v>0.4316567961707965</v>
      </c>
      <c r="DB25" s="32">
        <v>431656796.17079651</v>
      </c>
      <c r="DC25" s="32"/>
      <c r="DD25" s="41">
        <v>45230</v>
      </c>
      <c r="DE25" s="76">
        <v>0.37743447254054058</v>
      </c>
      <c r="DF25" s="9">
        <f t="shared" ref="DF25:DP25" si="142">DF24+DF$2</f>
        <v>0.31833347871514212</v>
      </c>
      <c r="DG25" s="9">
        <f t="shared" si="142"/>
        <v>0.35454469013058149</v>
      </c>
      <c r="DH25" s="9">
        <f t="shared" si="142"/>
        <v>0.37685130537986972</v>
      </c>
      <c r="DI25" s="9">
        <f t="shared" si="142"/>
        <v>0.39191215045951472</v>
      </c>
      <c r="DJ25" s="9">
        <f t="shared" si="142"/>
        <v>0.42098045430488312</v>
      </c>
      <c r="DK25" s="9">
        <f t="shared" si="142"/>
        <v>0.4595120857160287</v>
      </c>
      <c r="DL25" s="9">
        <f t="shared" si="142"/>
        <v>0.50765840675947005</v>
      </c>
      <c r="DM25" s="9">
        <f t="shared" si="142"/>
        <v>0.55964588071944754</v>
      </c>
      <c r="DN25" s="9">
        <f t="shared" si="142"/>
        <v>0.59104247408461008</v>
      </c>
      <c r="DO25" s="9">
        <f t="shared" si="142"/>
        <v>0.66057758110599862</v>
      </c>
      <c r="DP25" s="9">
        <f t="shared" si="142"/>
        <v>0.82778740808816675</v>
      </c>
      <c r="DQ25" s="32"/>
      <c r="DR25" s="32"/>
      <c r="DS25" s="32">
        <f t="shared" si="28"/>
        <v>0.4316567961707965</v>
      </c>
      <c r="DT25" s="32">
        <v>431656796.17079651</v>
      </c>
      <c r="DU25" s="32"/>
      <c r="DW25" t="s">
        <v>81</v>
      </c>
      <c r="EF25" s="32"/>
      <c r="EG25" s="41">
        <v>45594</v>
      </c>
      <c r="EH25" s="76">
        <v>0.40406108156544224</v>
      </c>
      <c r="EI25" s="9">
        <f t="shared" ref="EI25:ES25" si="143">EI24+EI$2</f>
        <v>0.36522567961701818</v>
      </c>
      <c r="EJ25" s="9">
        <f t="shared" si="143"/>
        <v>0.39636088649166379</v>
      </c>
      <c r="EK25" s="9">
        <f t="shared" si="143"/>
        <v>0.42347048310698915</v>
      </c>
      <c r="EL25" s="9">
        <f t="shared" si="143"/>
        <v>0.44117445868835031</v>
      </c>
      <c r="EM25" s="9">
        <f t="shared" si="143"/>
        <v>0.4738621559891471</v>
      </c>
      <c r="EN25" s="9">
        <f t="shared" si="143"/>
        <v>0.51916522508256269</v>
      </c>
      <c r="EO25" s="9">
        <f t="shared" si="143"/>
        <v>0.57189032334421519</v>
      </c>
      <c r="EP25" s="9">
        <f t="shared" si="143"/>
        <v>0.628238899197054</v>
      </c>
      <c r="EQ25" s="9">
        <f t="shared" si="143"/>
        <v>0.66199654982296652</v>
      </c>
      <c r="ER25" s="9">
        <f t="shared" si="143"/>
        <v>0.73607571264593852</v>
      </c>
      <c r="ES25" s="9">
        <f t="shared" si="143"/>
        <v>0.88802723728899591</v>
      </c>
      <c r="ET25" s="32"/>
      <c r="EU25" s="32"/>
      <c r="EV25" s="32">
        <f t="shared" si="30"/>
        <v>0.4316567961707965</v>
      </c>
      <c r="EW25" s="32">
        <v>431656796.17079651</v>
      </c>
      <c r="EX25" s="32"/>
      <c r="EZ25" t="s">
        <v>81</v>
      </c>
      <c r="FG25" s="32"/>
      <c r="FH25" s="32"/>
      <c r="FI25" s="41">
        <v>45958</v>
      </c>
      <c r="FJ25" s="76">
        <v>0.39909207787279971</v>
      </c>
      <c r="FK25" s="9">
        <f t="shared" ref="FK25:FU25" si="144">FK24+FK$2</f>
        <v>0.36522567961701818</v>
      </c>
      <c r="FL25" s="9">
        <f t="shared" si="144"/>
        <v>0.39636088649166379</v>
      </c>
      <c r="FM25" s="9">
        <f t="shared" si="144"/>
        <v>0.42347048310698915</v>
      </c>
      <c r="FN25" s="9">
        <f t="shared" si="144"/>
        <v>0.44117445868835031</v>
      </c>
      <c r="FO25" s="9">
        <f t="shared" si="144"/>
        <v>0.4738621559891471</v>
      </c>
      <c r="FP25" s="9">
        <f t="shared" si="144"/>
        <v>0.51916522508256269</v>
      </c>
      <c r="FQ25" s="9">
        <f t="shared" si="144"/>
        <v>0.57189032334421519</v>
      </c>
      <c r="FR25" s="9">
        <f t="shared" si="144"/>
        <v>0.628238899197054</v>
      </c>
      <c r="FS25" s="9">
        <f t="shared" si="144"/>
        <v>0.66199654982296652</v>
      </c>
      <c r="FT25" s="9">
        <f t="shared" si="144"/>
        <v>0.73607571264593852</v>
      </c>
      <c r="FU25" s="9">
        <f t="shared" si="144"/>
        <v>0.88802723728899591</v>
      </c>
      <c r="FV25" s="32"/>
      <c r="FW25" s="32"/>
      <c r="FX25" s="32">
        <f t="shared" si="32"/>
        <v>0.4316567961707965</v>
      </c>
      <c r="FY25" s="32">
        <v>431656796.17079651</v>
      </c>
      <c r="FZ25" s="32"/>
      <c r="GI25" s="32"/>
      <c r="GJ25" s="41">
        <v>45594</v>
      </c>
      <c r="GK25" s="76">
        <v>0.40406108156544224</v>
      </c>
      <c r="GL25" s="9">
        <f t="shared" ref="GL25:GV25" si="145">GL24+GL$2</f>
        <v>0.30142733954216133</v>
      </c>
      <c r="GM25" s="9">
        <f t="shared" si="145"/>
        <v>0.34703011386337013</v>
      </c>
      <c r="GN25" s="9">
        <f t="shared" si="145"/>
        <v>0.3730990078879044</v>
      </c>
      <c r="GO25" s="9">
        <f t="shared" si="145"/>
        <v>0.38782487503669133</v>
      </c>
      <c r="GP25" s="9">
        <f t="shared" si="145"/>
        <v>0.41832397471324734</v>
      </c>
      <c r="GQ25" s="9">
        <f t="shared" si="145"/>
        <v>0.46883597903299934</v>
      </c>
      <c r="GR25" s="9">
        <f t="shared" si="145"/>
        <v>0.53442730253173232</v>
      </c>
      <c r="GS25" s="9">
        <f t="shared" si="145"/>
        <v>0.61148318650387112</v>
      </c>
      <c r="GT25" s="9">
        <f t="shared" si="145"/>
        <v>0.67296041020350406</v>
      </c>
      <c r="GU25" s="9">
        <f t="shared" si="145"/>
        <v>0.78953872364984157</v>
      </c>
      <c r="GV25" s="9">
        <f t="shared" si="145"/>
        <v>1.0261873658066984</v>
      </c>
      <c r="GW25" s="32"/>
      <c r="GX25" s="32"/>
      <c r="GY25" s="32">
        <f t="shared" si="34"/>
        <v>0.4316567961707965</v>
      </c>
      <c r="GZ25" s="32">
        <v>431656796.17079651</v>
      </c>
      <c r="HA25" s="32"/>
      <c r="HB25" s="229">
        <v>45958</v>
      </c>
      <c r="HC25" s="230">
        <v>0.39909207787279971</v>
      </c>
      <c r="HD25" s="9">
        <f t="shared" ref="HD25:HN25" si="146">HD24+HD$2</f>
        <v>0.33393860316198587</v>
      </c>
      <c r="HE25" s="9">
        <f t="shared" si="146"/>
        <v>0.3765770316218654</v>
      </c>
      <c r="HF25" s="9">
        <f t="shared" si="146"/>
        <v>0.40631214874470506</v>
      </c>
      <c r="HG25" s="9">
        <f t="shared" si="146"/>
        <v>0.42510230331833648</v>
      </c>
      <c r="HH25" s="9">
        <f t="shared" si="146"/>
        <v>0.46596645233237366</v>
      </c>
      <c r="HI25" s="9">
        <f t="shared" si="146"/>
        <v>0.52343423944322043</v>
      </c>
      <c r="HJ25" s="9">
        <f t="shared" si="146"/>
        <v>0.59881774286786682</v>
      </c>
      <c r="HK25" s="9">
        <f t="shared" si="146"/>
        <v>0.68380672053467995</v>
      </c>
      <c r="HL25" s="9">
        <f t="shared" si="146"/>
        <v>0.73760703192371679</v>
      </c>
      <c r="HM25" s="9">
        <f t="shared" si="146"/>
        <v>0.85739066394065588</v>
      </c>
      <c r="HN25" s="9">
        <f t="shared" si="146"/>
        <v>1.1024197111315985</v>
      </c>
      <c r="HO25" s="32"/>
      <c r="HP25" s="32"/>
      <c r="HQ25" s="32">
        <v>399092077.87279969</v>
      </c>
      <c r="HR25" s="32">
        <f t="shared" si="36"/>
        <v>0.39909207787279971</v>
      </c>
      <c r="HT25" s="32"/>
      <c r="IC25" s="41">
        <f t="shared" si="67"/>
        <v>44866</v>
      </c>
      <c r="ID25" s="9">
        <v>0.44245777593810004</v>
      </c>
      <c r="IE25" s="9"/>
      <c r="IF25" s="9"/>
      <c r="IG25" s="9"/>
      <c r="IH25" s="9"/>
      <c r="II25" s="9"/>
      <c r="IJ25" s="9"/>
      <c r="IK25" s="9"/>
      <c r="IL25" s="9"/>
      <c r="IM25" s="9"/>
      <c r="IN25" s="9"/>
      <c r="IO25" s="9"/>
      <c r="IP25" s="32"/>
      <c r="IQ25" s="32"/>
      <c r="IS25" t="s">
        <v>81</v>
      </c>
      <c r="JB25" s="41">
        <f t="shared" si="13"/>
        <v>44502</v>
      </c>
      <c r="JC25" s="9">
        <f t="shared" si="14"/>
        <v>0.45353502371519994</v>
      </c>
      <c r="JD25" s="9"/>
      <c r="JE25" s="9"/>
      <c r="JF25" s="9"/>
      <c r="JG25" s="9"/>
      <c r="JH25" s="9"/>
      <c r="JI25" s="9"/>
      <c r="JJ25" s="9"/>
      <c r="JK25" s="9"/>
      <c r="JL25" s="9"/>
      <c r="JM25" s="9"/>
      <c r="JN25" s="9"/>
      <c r="JO25" s="9"/>
      <c r="JZ25" s="41">
        <f t="shared" si="15"/>
        <v>44502</v>
      </c>
      <c r="KA25" s="9">
        <f t="shared" si="37"/>
        <v>0.45353502371519994</v>
      </c>
      <c r="KB25" s="9"/>
      <c r="KC25" s="9"/>
      <c r="KN25" s="41">
        <v>43039</v>
      </c>
      <c r="KO25" s="212">
        <v>22170504.686399996</v>
      </c>
      <c r="KP25" s="212">
        <f t="shared" si="38"/>
        <v>429658565.81759989</v>
      </c>
      <c r="KR25" s="41">
        <v>43221</v>
      </c>
      <c r="KS25" s="212">
        <v>17002727.2368</v>
      </c>
      <c r="KT25" s="212">
        <f t="shared" si="39"/>
        <v>334771060.55760002</v>
      </c>
      <c r="KV25" s="41">
        <v>43403</v>
      </c>
      <c r="KW25" s="212">
        <v>20029359.657599997</v>
      </c>
      <c r="KX25" s="212">
        <f t="shared" si="40"/>
        <v>464982095.66039985</v>
      </c>
      <c r="KZ25" s="41">
        <v>43585</v>
      </c>
      <c r="LA25" s="212">
        <v>8739851.8463999983</v>
      </c>
      <c r="LB25" s="212">
        <f t="shared" si="41"/>
        <v>443351441.59919989</v>
      </c>
      <c r="LD25" s="41">
        <v>43767</v>
      </c>
      <c r="LE25" s="212">
        <v>13591532.195999999</v>
      </c>
      <c r="LF25" s="212">
        <f t="shared" si="42"/>
        <v>431635784.26319987</v>
      </c>
      <c r="LH25" s="41">
        <v>43956</v>
      </c>
      <c r="LI25" s="212">
        <v>14592098.350799998</v>
      </c>
      <c r="LJ25" s="212">
        <f t="shared" si="43"/>
        <v>273639470.38559997</v>
      </c>
      <c r="LL25" s="41">
        <v>44138</v>
      </c>
      <c r="LM25" s="212">
        <v>21051732.257999998</v>
      </c>
      <c r="LN25" s="212">
        <f t="shared" si="44"/>
        <v>382314842.27280003</v>
      </c>
      <c r="LP25" s="41">
        <v>44320</v>
      </c>
      <c r="LQ25" s="212">
        <v>23881967.6076</v>
      </c>
      <c r="LR25" s="212">
        <f t="shared" si="45"/>
        <v>423665665.47359985</v>
      </c>
      <c r="LT25" s="41">
        <v>44502</v>
      </c>
      <c r="LU25" s="212">
        <v>69523859.653200001</v>
      </c>
      <c r="LV25" s="212">
        <f t="shared" si="46"/>
        <v>453535023.71519995</v>
      </c>
      <c r="MB25" s="32">
        <v>18</v>
      </c>
      <c r="MC25" s="42">
        <f t="shared" si="48"/>
        <v>0.42965856581759987</v>
      </c>
      <c r="MD25" s="42">
        <f t="shared" si="49"/>
        <v>0.33477106055760003</v>
      </c>
      <c r="ME25" s="42">
        <f t="shared" si="50"/>
        <v>0.46498209566039983</v>
      </c>
      <c r="MF25" s="42">
        <f t="shared" si="51"/>
        <v>0.44335144159919987</v>
      </c>
      <c r="MG25" s="42">
        <f t="shared" si="52"/>
        <v>0.43163578426319987</v>
      </c>
      <c r="MH25" s="42">
        <f t="shared" si="53"/>
        <v>0.27363947038559999</v>
      </c>
      <c r="MI25" s="42">
        <f t="shared" si="54"/>
        <v>0.38231484227280005</v>
      </c>
      <c r="MJ25" s="42">
        <f t="shared" si="55"/>
        <v>0.42366566547359985</v>
      </c>
      <c r="MK25" s="42">
        <f t="shared" si="56"/>
        <v>0.45353502371519994</v>
      </c>
      <c r="ML25" s="42"/>
      <c r="MM25" s="8">
        <f t="shared" ref="MM25:MO33" ca="1" si="147">MM24+MM$3</f>
        <v>0.3910444983249835</v>
      </c>
      <c r="MN25" s="8">
        <f t="shared" ca="1" si="147"/>
        <v>0.39543825673312943</v>
      </c>
      <c r="MO25" s="8">
        <f t="shared" ca="1" si="147"/>
        <v>0.39983201514127531</v>
      </c>
      <c r="MQ25" t="s">
        <v>81</v>
      </c>
      <c r="MW25" s="60"/>
      <c r="MX25" s="62" t="s">
        <v>34</v>
      </c>
      <c r="MY25" s="10">
        <v>0.50221893439782006</v>
      </c>
      <c r="MZ25" s="10">
        <v>0.5062507734704571</v>
      </c>
      <c r="NA25" s="10">
        <v>0.46371030895986831</v>
      </c>
      <c r="NB25" s="10">
        <v>0.43254715463369997</v>
      </c>
      <c r="NC25" s="10">
        <v>0.47787003336589701</v>
      </c>
      <c r="ND25" s="10">
        <v>0.48565984173737148</v>
      </c>
      <c r="NE25" s="10">
        <v>0.58592124555480007</v>
      </c>
      <c r="NF25" s="10">
        <v>0.50594852436248561</v>
      </c>
      <c r="NG25" s="10">
        <v>0.54073653090539997</v>
      </c>
      <c r="NH25" s="10">
        <v>0.53028346079100008</v>
      </c>
      <c r="NI25" s="10">
        <v>0.3365133286998</v>
      </c>
      <c r="NK25" t="s">
        <v>81</v>
      </c>
      <c r="NT25" s="41">
        <f t="shared" si="108"/>
        <v>44686</v>
      </c>
      <c r="NU25" s="9"/>
      <c r="NV25" s="9">
        <f t="shared" ref="NV25:OG33" si="148">NV24+NV$2</f>
        <v>0.2777967267830308</v>
      </c>
      <c r="NW25" s="9">
        <f t="shared" si="148"/>
        <v>0.3036181444457538</v>
      </c>
      <c r="NX25" s="9">
        <f t="shared" si="148"/>
        <v>0.32251327849476691</v>
      </c>
      <c r="NY25" s="9">
        <f t="shared" si="148"/>
        <v>0.3372999638301693</v>
      </c>
      <c r="NZ25" s="9">
        <f t="shared" si="148"/>
        <v>0.36711931900915395</v>
      </c>
      <c r="OA25" s="9">
        <f t="shared" si="148"/>
        <v>0.4054849992325385</v>
      </c>
      <c r="OB25" s="9">
        <f t="shared" si="148"/>
        <v>0.45525584992209234</v>
      </c>
      <c r="OC25" s="9">
        <f t="shared" si="148"/>
        <v>0.51315018370126586</v>
      </c>
      <c r="OD25" s="9">
        <f t="shared" si="148"/>
        <v>0.54931769518901541</v>
      </c>
      <c r="OE25" s="9">
        <f t="shared" si="148"/>
        <v>0.62162303777847661</v>
      </c>
      <c r="OF25" s="9">
        <f t="shared" si="148"/>
        <v>0.76758040603232291</v>
      </c>
      <c r="OG25" s="9">
        <f t="shared" ca="1" si="148"/>
        <v>0.39543825673312955</v>
      </c>
      <c r="OH25" s="32"/>
      <c r="OJ25" t="s">
        <v>81</v>
      </c>
      <c r="OS25" s="41">
        <f t="shared" si="59"/>
        <v>44686</v>
      </c>
      <c r="OT25" s="9"/>
      <c r="OU25" s="9">
        <f t="shared" ref="OU25:PF33" si="149">OU24+OU$2</f>
        <v>0.3862024850006</v>
      </c>
      <c r="OV25" s="9">
        <f t="shared" si="149"/>
        <v>0.38721348104986664</v>
      </c>
      <c r="OW25" s="9">
        <f t="shared" si="149"/>
        <v>0.38783220559086667</v>
      </c>
      <c r="OX25" s="9">
        <f t="shared" si="149"/>
        <v>0.38884320164013331</v>
      </c>
      <c r="OY25" s="9">
        <f t="shared" si="149"/>
        <v>0.39021365693306664</v>
      </c>
      <c r="OZ25" s="9">
        <f t="shared" si="149"/>
        <v>0.39298737978353332</v>
      </c>
      <c r="PA25" s="9">
        <f t="shared" si="149"/>
        <v>0.39637111178373335</v>
      </c>
      <c r="PB25" s="9">
        <f t="shared" si="149"/>
        <v>0.39978647892693331</v>
      </c>
      <c r="PC25" s="9">
        <f t="shared" si="149"/>
        <v>0.40614467264486664</v>
      </c>
      <c r="PD25" s="9">
        <f t="shared" si="149"/>
        <v>0.4170739202864</v>
      </c>
      <c r="PE25" s="9">
        <f t="shared" si="149"/>
        <v>0.43109156792793335</v>
      </c>
      <c r="PF25" s="9">
        <f t="shared" ca="1" si="149"/>
        <v>0.39543825673312943</v>
      </c>
    </row>
    <row r="26" spans="2:424" x14ac:dyDescent="0.25">
      <c r="B26" s="48">
        <v>42871</v>
      </c>
      <c r="C26" s="214">
        <v>23430954.909599997</v>
      </c>
      <c r="D26" s="214">
        <v>17864406</v>
      </c>
      <c r="E26" s="215">
        <v>15000000</v>
      </c>
      <c r="F26" s="215"/>
      <c r="G26" s="215"/>
      <c r="H26" s="215"/>
      <c r="I26" s="41">
        <v>43046</v>
      </c>
      <c r="J26" s="212">
        <v>42039084.481199995</v>
      </c>
      <c r="K26" s="212">
        <f t="shared" si="18"/>
        <v>471697650.29879987</v>
      </c>
      <c r="M26" s="41">
        <v>43410</v>
      </c>
      <c r="N26" s="212">
        <v>9955571.2631999999</v>
      </c>
      <c r="O26" s="212">
        <f t="shared" si="19"/>
        <v>474937666.92359984</v>
      </c>
      <c r="Q26" s="41">
        <v>43774</v>
      </c>
      <c r="R26" s="212">
        <v>17605427.288399998</v>
      </c>
      <c r="S26" s="212">
        <f t="shared" si="20"/>
        <v>449241211.55159986</v>
      </c>
      <c r="U26" s="41">
        <v>44145</v>
      </c>
      <c r="V26" s="212">
        <v>34398218.444399998</v>
      </c>
      <c r="W26" s="212">
        <f t="shared" si="21"/>
        <v>416713060.71720004</v>
      </c>
      <c r="Y26" s="41">
        <v>44509</v>
      </c>
      <c r="Z26" s="212">
        <v>12833824.139999999</v>
      </c>
      <c r="AA26" s="212">
        <f t="shared" si="22"/>
        <v>466368847.85519993</v>
      </c>
      <c r="AC26" s="32">
        <v>19</v>
      </c>
      <c r="AD26" s="39">
        <f t="shared" si="0"/>
        <v>0.4716976502987999</v>
      </c>
      <c r="AE26" s="39">
        <f t="shared" si="1"/>
        <v>0.47493766692359984</v>
      </c>
      <c r="AF26" s="39">
        <f t="shared" si="2"/>
        <v>0.44924121155159985</v>
      </c>
      <c r="AG26" s="39">
        <f t="shared" si="3"/>
        <v>0.41671306071720005</v>
      </c>
      <c r="AH26" s="39">
        <f t="shared" si="4"/>
        <v>0.46636884785519994</v>
      </c>
      <c r="AI26" s="39">
        <f t="shared" si="23"/>
        <v>0.52864906179001503</v>
      </c>
      <c r="AJ26" s="9"/>
      <c r="AK26" s="9"/>
      <c r="AL26" s="9"/>
      <c r="AT26" s="60"/>
      <c r="AU26" s="62" t="s">
        <v>34</v>
      </c>
      <c r="AV26" s="10">
        <v>1.0211255869899865</v>
      </c>
      <c r="AW26" s="10">
        <v>0.95092822254766951</v>
      </c>
      <c r="AX26" s="10">
        <v>1.000035154105948</v>
      </c>
      <c r="AY26" s="10">
        <v>1.155327327582621</v>
      </c>
      <c r="AZ26" s="10">
        <v>1.1237175815052083</v>
      </c>
      <c r="BA26" s="10">
        <v>1.3199069646424573</v>
      </c>
      <c r="BB26" s="10">
        <v>0.90943639593831183</v>
      </c>
      <c r="BM26" s="41">
        <f t="shared" si="60"/>
        <v>44509</v>
      </c>
      <c r="BN26" s="9">
        <f t="shared" si="5"/>
        <v>0.46636884785519994</v>
      </c>
      <c r="BO26" s="9">
        <f t="shared" si="140"/>
        <v>0.30461189262077853</v>
      </c>
      <c r="BP26" s="9">
        <f t="shared" si="140"/>
        <v>0.34623962357334598</v>
      </c>
      <c r="BQ26" s="9">
        <f t="shared" si="140"/>
        <v>0.36943083469759014</v>
      </c>
      <c r="BR26" s="9">
        <f t="shared" si="140"/>
        <v>0.38379712905168961</v>
      </c>
      <c r="BS26" s="9">
        <f t="shared" si="140"/>
        <v>0.41058911631921075</v>
      </c>
      <c r="BT26" s="9">
        <f t="shared" si="140"/>
        <v>0.44592634323295688</v>
      </c>
      <c r="BU26" s="9">
        <f t="shared" si="140"/>
        <v>0.48527103851226527</v>
      </c>
      <c r="BV26" s="9">
        <f t="shared" si="140"/>
        <v>0.52668798449767606</v>
      </c>
      <c r="BW26" s="9">
        <f t="shared" si="140"/>
        <v>0.5533989513410188</v>
      </c>
      <c r="BX26" s="9">
        <f t="shared" si="140"/>
        <v>0.60813192855156017</v>
      </c>
      <c r="BY26" s="9">
        <f t="shared" si="140"/>
        <v>0.75056815211670003</v>
      </c>
      <c r="BZ26" s="32"/>
      <c r="CA26" s="32"/>
      <c r="CL26" s="41">
        <f t="shared" si="61"/>
        <v>44873</v>
      </c>
      <c r="CM26" s="76">
        <v>0.44430520610840712</v>
      </c>
      <c r="CN26" s="9">
        <f t="shared" si="141"/>
        <v>0.3389763771028701</v>
      </c>
      <c r="CO26" s="9">
        <f t="shared" si="141"/>
        <v>0.38595086285067842</v>
      </c>
      <c r="CP26" s="9">
        <f t="shared" si="141"/>
        <v>0.42034437560133125</v>
      </c>
      <c r="CQ26" s="9">
        <f t="shared" si="141"/>
        <v>0.43850479068342235</v>
      </c>
      <c r="CR26" s="9">
        <f t="shared" si="141"/>
        <v>0.4766224760443043</v>
      </c>
      <c r="CS26" s="9">
        <f t="shared" si="141"/>
        <v>0.52914577431240972</v>
      </c>
      <c r="CT26" s="9">
        <f t="shared" si="141"/>
        <v>0.58761014107457066</v>
      </c>
      <c r="CU26" s="9">
        <f t="shared" si="141"/>
        <v>0.6513945211894796</v>
      </c>
      <c r="CV26" s="9">
        <f t="shared" si="141"/>
        <v>0.69408350058645685</v>
      </c>
      <c r="CW26" s="9">
        <f t="shared" si="141"/>
        <v>0.78054716063327223</v>
      </c>
      <c r="CX26" s="9">
        <f t="shared" si="141"/>
        <v>0.96911357834279843</v>
      </c>
      <c r="CY26" s="32"/>
      <c r="CZ26" s="32"/>
      <c r="DA26" s="32">
        <f t="shared" si="26"/>
        <v>0.44430520610840712</v>
      </c>
      <c r="DB26" s="32">
        <v>444305206.10840714</v>
      </c>
      <c r="DC26" s="32"/>
      <c r="DD26" s="41">
        <v>45237</v>
      </c>
      <c r="DE26" s="76">
        <v>0.39860454752732738</v>
      </c>
      <c r="DF26" s="9">
        <f t="shared" ref="DF26:DP26" si="150">DF25+DF$2</f>
        <v>0.33601867197709445</v>
      </c>
      <c r="DG26" s="9">
        <f t="shared" si="150"/>
        <v>0.37424161736005823</v>
      </c>
      <c r="DH26" s="9">
        <f t="shared" si="150"/>
        <v>0.39778748901208472</v>
      </c>
      <c r="DI26" s="9">
        <f t="shared" si="150"/>
        <v>0.41368504770726555</v>
      </c>
      <c r="DJ26" s="9">
        <f t="shared" si="150"/>
        <v>0.44436825732182106</v>
      </c>
      <c r="DK26" s="9">
        <f t="shared" si="150"/>
        <v>0.48504053492247473</v>
      </c>
      <c r="DL26" s="9">
        <f t="shared" si="150"/>
        <v>0.53586165157944066</v>
      </c>
      <c r="DM26" s="9">
        <f t="shared" si="150"/>
        <v>0.59073731853719458</v>
      </c>
      <c r="DN26" s="9">
        <f t="shared" si="150"/>
        <v>0.62387816708931065</v>
      </c>
      <c r="DO26" s="9">
        <f t="shared" si="150"/>
        <v>0.6972763356118874</v>
      </c>
      <c r="DP26" s="9">
        <f t="shared" si="150"/>
        <v>0.87377559742639821</v>
      </c>
      <c r="DQ26" s="32"/>
      <c r="DR26" s="32"/>
      <c r="DS26" s="32">
        <f t="shared" si="28"/>
        <v>0.44430520610840712</v>
      </c>
      <c r="DT26" s="32">
        <v>444305206.10840714</v>
      </c>
      <c r="DU26" s="32"/>
      <c r="EF26" s="32"/>
      <c r="EG26" s="41">
        <v>45601</v>
      </c>
      <c r="EH26" s="76">
        <v>0.42103391268916601</v>
      </c>
      <c r="EI26" s="9">
        <f t="shared" ref="EI26:ES26" si="151">EI25+EI$2</f>
        <v>0.38551599515129698</v>
      </c>
      <c r="EJ26" s="9">
        <f t="shared" si="151"/>
        <v>0.41838093574120067</v>
      </c>
      <c r="EK26" s="9">
        <f t="shared" si="151"/>
        <v>0.44699662105737742</v>
      </c>
      <c r="EL26" s="9">
        <f t="shared" si="151"/>
        <v>0.46568415083770309</v>
      </c>
      <c r="EM26" s="9">
        <f t="shared" si="151"/>
        <v>0.5001878313218775</v>
      </c>
      <c r="EN26" s="9">
        <f t="shared" si="151"/>
        <v>0.54800773758714949</v>
      </c>
      <c r="EO26" s="9">
        <f t="shared" si="151"/>
        <v>0.60366200797444935</v>
      </c>
      <c r="EP26" s="9">
        <f t="shared" si="151"/>
        <v>0.66314106026355701</v>
      </c>
      <c r="EQ26" s="9">
        <f t="shared" si="151"/>
        <v>0.69877413592424242</v>
      </c>
      <c r="ER26" s="9">
        <f t="shared" si="151"/>
        <v>0.77696880779293509</v>
      </c>
      <c r="ES26" s="9">
        <f t="shared" si="151"/>
        <v>0.93736208380505126</v>
      </c>
      <c r="ET26" s="32"/>
      <c r="EU26" s="32"/>
      <c r="EV26" s="32">
        <f t="shared" si="30"/>
        <v>0.44430520610840712</v>
      </c>
      <c r="EW26" s="32">
        <v>444305206.10840714</v>
      </c>
      <c r="EX26" s="32"/>
      <c r="FG26" s="32"/>
      <c r="FH26" s="32"/>
      <c r="FI26" s="41">
        <v>45965</v>
      </c>
      <c r="FJ26" s="76">
        <v>0.42627698419457144</v>
      </c>
      <c r="FK26" s="9">
        <f t="shared" ref="FK26:FU26" si="152">FK25+FK$2</f>
        <v>0.38551599515129698</v>
      </c>
      <c r="FL26" s="9">
        <f t="shared" si="152"/>
        <v>0.41838093574120067</v>
      </c>
      <c r="FM26" s="9">
        <f t="shared" si="152"/>
        <v>0.44699662105737742</v>
      </c>
      <c r="FN26" s="9">
        <f t="shared" si="152"/>
        <v>0.46568415083770309</v>
      </c>
      <c r="FO26" s="9">
        <f t="shared" si="152"/>
        <v>0.5001878313218775</v>
      </c>
      <c r="FP26" s="9">
        <f t="shared" si="152"/>
        <v>0.54800773758714949</v>
      </c>
      <c r="FQ26" s="9">
        <f t="shared" si="152"/>
        <v>0.60366200797444935</v>
      </c>
      <c r="FR26" s="9">
        <f t="shared" si="152"/>
        <v>0.66314106026355701</v>
      </c>
      <c r="FS26" s="9">
        <f t="shared" si="152"/>
        <v>0.69877413592424242</v>
      </c>
      <c r="FT26" s="9">
        <f t="shared" si="152"/>
        <v>0.77696880779293509</v>
      </c>
      <c r="FU26" s="9">
        <f t="shared" si="152"/>
        <v>0.93736208380505126</v>
      </c>
      <c r="FV26" s="32"/>
      <c r="FW26" s="32"/>
      <c r="FX26" s="32">
        <f t="shared" si="32"/>
        <v>0.44430520610840712</v>
      </c>
      <c r="FY26" s="32">
        <v>444305206.10840714</v>
      </c>
      <c r="FZ26" s="32"/>
      <c r="GI26" s="32"/>
      <c r="GJ26" s="41">
        <v>45601</v>
      </c>
      <c r="GK26" s="76">
        <v>0.42103391268916601</v>
      </c>
      <c r="GL26" s="9">
        <f t="shared" ref="GL26:GV26" si="153">GL25+GL$2</f>
        <v>0.31817330285005918</v>
      </c>
      <c r="GM26" s="9">
        <f t="shared" si="153"/>
        <v>0.36630956463355735</v>
      </c>
      <c r="GN26" s="9">
        <f t="shared" si="153"/>
        <v>0.39382673054834355</v>
      </c>
      <c r="GO26" s="9">
        <f t="shared" si="153"/>
        <v>0.40937070142761861</v>
      </c>
      <c r="GP26" s="9">
        <f t="shared" si="153"/>
        <v>0.44156419553064996</v>
      </c>
      <c r="GQ26" s="9">
        <f t="shared" si="153"/>
        <v>0.49488242231261043</v>
      </c>
      <c r="GR26" s="9">
        <f t="shared" si="153"/>
        <v>0.56411770822793972</v>
      </c>
      <c r="GS26" s="9">
        <f t="shared" si="153"/>
        <v>0.64545447464297512</v>
      </c>
      <c r="GT26" s="9">
        <f t="shared" si="153"/>
        <v>0.71034709965925424</v>
      </c>
      <c r="GU26" s="9">
        <f t="shared" si="153"/>
        <v>0.83340198607483273</v>
      </c>
      <c r="GV26" s="9">
        <f t="shared" si="153"/>
        <v>1.0831977750181816</v>
      </c>
      <c r="GW26" s="32"/>
      <c r="GX26" s="32"/>
      <c r="GY26" s="32">
        <f t="shared" si="34"/>
        <v>0.44430520610840712</v>
      </c>
      <c r="GZ26" s="32">
        <v>444305206.10840714</v>
      </c>
      <c r="HA26" s="32"/>
      <c r="HB26" s="229">
        <v>45965</v>
      </c>
      <c r="HC26" s="230">
        <v>0.42627698419457144</v>
      </c>
      <c r="HD26" s="9">
        <f t="shared" ref="HD26:HN26" si="154">HD25+HD$2</f>
        <v>0.35249074778209621</v>
      </c>
      <c r="HE26" s="9">
        <f t="shared" si="154"/>
        <v>0.39749797782308016</v>
      </c>
      <c r="HF26" s="9">
        <f t="shared" si="154"/>
        <v>0.42888504589718868</v>
      </c>
      <c r="HG26" s="9">
        <f t="shared" si="154"/>
        <v>0.44871909794713294</v>
      </c>
      <c r="HH26" s="9">
        <f t="shared" si="154"/>
        <v>0.49185347746194996</v>
      </c>
      <c r="HI26" s="9">
        <f t="shared" si="154"/>
        <v>0.55251391941228822</v>
      </c>
      <c r="HJ26" s="9">
        <f t="shared" si="154"/>
        <v>0.63208539524941498</v>
      </c>
      <c r="HK26" s="9">
        <f t="shared" si="154"/>
        <v>0.72179598278660662</v>
      </c>
      <c r="HL26" s="9">
        <f t="shared" si="154"/>
        <v>0.77858520036392331</v>
      </c>
      <c r="HM26" s="9">
        <f t="shared" si="154"/>
        <v>0.90502347860402566</v>
      </c>
      <c r="HN26" s="9">
        <f t="shared" si="154"/>
        <v>1.1636652506389096</v>
      </c>
      <c r="HO26" s="32"/>
      <c r="HP26" s="32"/>
      <c r="HQ26" s="32">
        <v>426276984.19457144</v>
      </c>
      <c r="HR26" s="32">
        <f t="shared" si="36"/>
        <v>0.42627698419457144</v>
      </c>
      <c r="HT26" s="32"/>
      <c r="IC26" s="41">
        <f t="shared" si="67"/>
        <v>44873</v>
      </c>
      <c r="ID26" s="9">
        <v>0.45617340511990007</v>
      </c>
      <c r="IE26" s="9"/>
      <c r="IF26" s="9"/>
      <c r="IG26" s="9"/>
      <c r="IH26" s="9"/>
      <c r="II26" s="9"/>
      <c r="IJ26" s="9"/>
      <c r="IK26" s="9"/>
      <c r="IL26" s="9"/>
      <c r="IM26" s="9"/>
      <c r="IN26" s="9"/>
      <c r="IO26" s="9"/>
      <c r="IP26" s="32"/>
      <c r="IQ26" s="32"/>
      <c r="JB26" s="41">
        <f t="shared" si="13"/>
        <v>44509</v>
      </c>
      <c r="JC26" s="9">
        <f t="shared" si="14"/>
        <v>0.46636884785519994</v>
      </c>
      <c r="JD26" s="9"/>
      <c r="JE26" s="9"/>
      <c r="JF26" s="9"/>
      <c r="JG26" s="9"/>
      <c r="JH26" s="9"/>
      <c r="JI26" s="9"/>
      <c r="JJ26" s="9"/>
      <c r="JK26" s="9"/>
      <c r="JL26" s="9"/>
      <c r="JM26" s="9"/>
      <c r="JN26" s="9"/>
      <c r="JO26" s="9"/>
      <c r="JZ26" s="41">
        <f t="shared" si="15"/>
        <v>44509</v>
      </c>
      <c r="KA26" s="9">
        <f t="shared" si="37"/>
        <v>0.46636884785519994</v>
      </c>
      <c r="KB26" s="9"/>
      <c r="KC26" s="9"/>
      <c r="KN26" s="41">
        <v>43046</v>
      </c>
      <c r="KO26" s="212">
        <v>42039084.481199995</v>
      </c>
      <c r="KP26" s="212">
        <f t="shared" si="38"/>
        <v>471697650.29879987</v>
      </c>
      <c r="KR26" s="41">
        <v>43228</v>
      </c>
      <c r="KS26" s="212">
        <v>16704788.115599999</v>
      </c>
      <c r="KT26" s="212">
        <f t="shared" si="39"/>
        <v>351475848.67320001</v>
      </c>
      <c r="KV26" s="41">
        <v>43410</v>
      </c>
      <c r="KW26" s="212">
        <v>9955571.2631999999</v>
      </c>
      <c r="KX26" s="212">
        <f t="shared" si="40"/>
        <v>474937666.92359984</v>
      </c>
      <c r="KZ26" s="41">
        <v>43592</v>
      </c>
      <c r="LA26" s="212">
        <v>11764544.410799999</v>
      </c>
      <c r="LB26" s="212">
        <f t="shared" si="41"/>
        <v>455115986.00999987</v>
      </c>
      <c r="LD26" s="41">
        <v>43774</v>
      </c>
      <c r="LE26" s="212">
        <v>17605427.288399998</v>
      </c>
      <c r="LF26" s="212">
        <f t="shared" si="42"/>
        <v>449241211.55159986</v>
      </c>
      <c r="LH26" s="41">
        <v>43963</v>
      </c>
      <c r="LI26" s="212">
        <v>26162576.733599998</v>
      </c>
      <c r="LJ26" s="212">
        <f t="shared" si="43"/>
        <v>299802047.11919999</v>
      </c>
      <c r="LL26" s="41">
        <v>44145</v>
      </c>
      <c r="LM26" s="212">
        <v>34398218.444399998</v>
      </c>
      <c r="LN26" s="212">
        <f t="shared" si="44"/>
        <v>416713060.71720004</v>
      </c>
      <c r="LP26" s="41">
        <v>44327</v>
      </c>
      <c r="LQ26" s="212">
        <v>11398439.501999998</v>
      </c>
      <c r="LR26" s="212">
        <f t="shared" si="45"/>
        <v>435064104.97559983</v>
      </c>
      <c r="LT26" s="41">
        <v>44509</v>
      </c>
      <c r="LU26" s="212">
        <v>12833824.139999999</v>
      </c>
      <c r="LV26" s="212">
        <f t="shared" si="46"/>
        <v>466368847.85519993</v>
      </c>
      <c r="MB26" s="32">
        <v>19</v>
      </c>
      <c r="MC26" s="42">
        <f t="shared" si="48"/>
        <v>0.4716976502987999</v>
      </c>
      <c r="MD26" s="42">
        <f t="shared" si="49"/>
        <v>0.35147584867320003</v>
      </c>
      <c r="ME26" s="42">
        <f t="shared" si="50"/>
        <v>0.47493766692359984</v>
      </c>
      <c r="MF26" s="42">
        <f t="shared" si="51"/>
        <v>0.45511598600999986</v>
      </c>
      <c r="MG26" s="42">
        <f t="shared" si="52"/>
        <v>0.44924121155159985</v>
      </c>
      <c r="MH26" s="42">
        <f t="shared" si="53"/>
        <v>0.2998020471192</v>
      </c>
      <c r="MI26" s="42">
        <f t="shared" si="54"/>
        <v>0.41671306071720005</v>
      </c>
      <c r="MJ26" s="42">
        <f t="shared" si="55"/>
        <v>0.43506410497559983</v>
      </c>
      <c r="MK26" s="42">
        <f t="shared" si="56"/>
        <v>0.46636884785519994</v>
      </c>
      <c r="ML26" s="42"/>
      <c r="MM26" s="8">
        <f t="shared" ca="1" si="147"/>
        <v>0.40861953195756701</v>
      </c>
      <c r="MN26" s="8">
        <f t="shared" ca="1" si="147"/>
        <v>0.41740704877385887</v>
      </c>
      <c r="MO26" s="8">
        <f t="shared" ca="1" si="147"/>
        <v>0.42619456559015062</v>
      </c>
      <c r="MW26" s="60"/>
      <c r="MX26" s="62" t="s">
        <v>35</v>
      </c>
      <c r="MY26" s="10">
        <v>0.56136746103966018</v>
      </c>
      <c r="MZ26" s="10">
        <v>0.56222962800565723</v>
      </c>
      <c r="NA26" s="10">
        <v>0.51073197980972562</v>
      </c>
      <c r="NB26" s="10">
        <v>0.4795849067300999</v>
      </c>
      <c r="NC26" s="10">
        <v>0.52465160087948581</v>
      </c>
      <c r="ND26" s="10">
        <v>0.53866271326725002</v>
      </c>
      <c r="NE26" s="10">
        <v>0.65054523418959997</v>
      </c>
      <c r="NF26" s="10">
        <v>0.55571795248748557</v>
      </c>
      <c r="NG26" s="10">
        <v>0.60216531526234285</v>
      </c>
      <c r="NH26" s="10">
        <v>0.58570055444700009</v>
      </c>
      <c r="NI26" s="10">
        <v>0.37930101433799995</v>
      </c>
      <c r="NT26" s="41">
        <f t="shared" si="108"/>
        <v>44693</v>
      </c>
      <c r="NU26" s="9"/>
      <c r="NV26" s="9">
        <f t="shared" si="148"/>
        <v>0.29322987827097696</v>
      </c>
      <c r="NW26" s="9">
        <f t="shared" si="148"/>
        <v>0.32048581913718455</v>
      </c>
      <c r="NX26" s="9">
        <f t="shared" si="148"/>
        <v>0.34043068285558731</v>
      </c>
      <c r="NY26" s="9">
        <f t="shared" si="148"/>
        <v>0.35603885070962316</v>
      </c>
      <c r="NZ26" s="9">
        <f t="shared" si="148"/>
        <v>0.38751483673188475</v>
      </c>
      <c r="OA26" s="9">
        <f t="shared" si="148"/>
        <v>0.42801194363434619</v>
      </c>
      <c r="OB26" s="9">
        <f t="shared" si="148"/>
        <v>0.48054784158443081</v>
      </c>
      <c r="OC26" s="9">
        <f t="shared" si="148"/>
        <v>0.54165852724022512</v>
      </c>
      <c r="OD26" s="9">
        <f t="shared" si="148"/>
        <v>0.57983534492173849</v>
      </c>
      <c r="OE26" s="9">
        <f t="shared" si="148"/>
        <v>0.65615765098839196</v>
      </c>
      <c r="OF26" s="9">
        <f t="shared" si="148"/>
        <v>0.81022376192300749</v>
      </c>
      <c r="OG26" s="9">
        <f t="shared" ca="1" si="148"/>
        <v>0.41740704877385898</v>
      </c>
      <c r="OH26" s="32"/>
      <c r="OS26" s="41">
        <f t="shared" si="59"/>
        <v>44693</v>
      </c>
      <c r="OT26" s="9"/>
      <c r="OU26" s="9">
        <f t="shared" si="149"/>
        <v>0.39893550530880001</v>
      </c>
      <c r="OV26" s="9">
        <f t="shared" si="149"/>
        <v>0.40095749740733327</v>
      </c>
      <c r="OW26" s="9">
        <f t="shared" si="149"/>
        <v>0.40219494648933335</v>
      </c>
      <c r="OX26" s="9">
        <f t="shared" si="149"/>
        <v>0.40421693858786661</v>
      </c>
      <c r="OY26" s="9">
        <f t="shared" si="149"/>
        <v>0.40695784917373329</v>
      </c>
      <c r="OZ26" s="9">
        <f t="shared" si="149"/>
        <v>0.41250529487466664</v>
      </c>
      <c r="PA26" s="9">
        <f t="shared" si="149"/>
        <v>0.41927275887506671</v>
      </c>
      <c r="PB26" s="9">
        <f t="shared" si="149"/>
        <v>0.42610349316146662</v>
      </c>
      <c r="PC26" s="9">
        <f t="shared" si="149"/>
        <v>0.43881988059733329</v>
      </c>
      <c r="PD26" s="9">
        <f t="shared" si="149"/>
        <v>0.4606783758804</v>
      </c>
      <c r="PE26" s="9">
        <f t="shared" si="149"/>
        <v>0.4887136711634667</v>
      </c>
      <c r="PF26" s="9">
        <f t="shared" ca="1" si="149"/>
        <v>0.41740704877385887</v>
      </c>
    </row>
    <row r="27" spans="2:424" x14ac:dyDescent="0.25">
      <c r="B27" s="48">
        <v>42878</v>
      </c>
      <c r="C27" s="214">
        <v>39091301.5176</v>
      </c>
      <c r="D27" s="214">
        <v>29804286</v>
      </c>
      <c r="E27" s="215">
        <v>30000000</v>
      </c>
      <c r="F27" s="215"/>
      <c r="G27" s="215"/>
      <c r="H27" s="215"/>
      <c r="I27" s="41">
        <v>43053</v>
      </c>
      <c r="J27" s="212">
        <v>55819025.582399994</v>
      </c>
      <c r="K27" s="212">
        <f t="shared" si="18"/>
        <v>527516675.88119984</v>
      </c>
      <c r="M27" s="41">
        <v>43417</v>
      </c>
      <c r="N27" s="212">
        <v>14773033.468799999</v>
      </c>
      <c r="O27" s="212">
        <f t="shared" si="19"/>
        <v>489710700.39239985</v>
      </c>
      <c r="Q27" s="41">
        <v>43781</v>
      </c>
      <c r="R27" s="212">
        <v>9415271.091599999</v>
      </c>
      <c r="S27" s="212">
        <f t="shared" si="20"/>
        <v>458656482.64319986</v>
      </c>
      <c r="U27" s="41">
        <v>44152</v>
      </c>
      <c r="V27" s="212">
        <v>46513371.463199995</v>
      </c>
      <c r="W27" s="212">
        <f t="shared" si="21"/>
        <v>463226432.18040001</v>
      </c>
      <c r="Y27" s="41">
        <v>44516</v>
      </c>
      <c r="Z27" s="212">
        <v>14205298.751999998</v>
      </c>
      <c r="AA27" s="212">
        <f t="shared" si="22"/>
        <v>480574146.60719991</v>
      </c>
      <c r="AC27" s="32">
        <v>20</v>
      </c>
      <c r="AD27" s="39">
        <f t="shared" si="0"/>
        <v>0.52751667588119988</v>
      </c>
      <c r="AE27" s="39">
        <f t="shared" si="1"/>
        <v>0.48971070039239983</v>
      </c>
      <c r="AF27" s="39">
        <f t="shared" si="2"/>
        <v>0.45865648264319986</v>
      </c>
      <c r="AG27" s="39">
        <f t="shared" si="3"/>
        <v>0.46322643218039999</v>
      </c>
      <c r="AH27" s="39">
        <f t="shared" si="4"/>
        <v>0.48057414660719988</v>
      </c>
      <c r="AI27" s="39">
        <f t="shared" si="23"/>
        <v>0.55647269662106846</v>
      </c>
      <c r="AJ27" s="9"/>
      <c r="AK27" s="9"/>
      <c r="AL27" s="9"/>
      <c r="AT27" s="60"/>
      <c r="AU27" s="62" t="s">
        <v>35</v>
      </c>
      <c r="AV27" s="10">
        <v>1.1091855899658603</v>
      </c>
      <c r="AW27" s="10">
        <v>1.0247224976493499</v>
      </c>
      <c r="AX27" s="10">
        <v>1.0787229682559785</v>
      </c>
      <c r="AY27" s="10">
        <v>1.2404232728458819</v>
      </c>
      <c r="AZ27" s="10">
        <v>1.2204299920059869</v>
      </c>
      <c r="BA27" s="10">
        <v>1.4468290112147775</v>
      </c>
      <c r="BB27" s="10">
        <v>0.99168636911903985</v>
      </c>
      <c r="BI27" t="s">
        <v>82</v>
      </c>
      <c r="BM27" s="41">
        <f t="shared" si="60"/>
        <v>44516</v>
      </c>
      <c r="BN27" s="9">
        <f t="shared" si="5"/>
        <v>0.48057414660719988</v>
      </c>
      <c r="BO27" s="9">
        <f t="shared" si="140"/>
        <v>0.32064409749555633</v>
      </c>
      <c r="BP27" s="9">
        <f t="shared" si="140"/>
        <v>0.36446276165615366</v>
      </c>
      <c r="BQ27" s="9">
        <f t="shared" si="140"/>
        <v>0.38887456283956856</v>
      </c>
      <c r="BR27" s="9">
        <f t="shared" si="140"/>
        <v>0.40399697794914696</v>
      </c>
      <c r="BS27" s="9">
        <f t="shared" si="140"/>
        <v>0.43219906980969552</v>
      </c>
      <c r="BT27" s="9">
        <f t="shared" si="140"/>
        <v>0.46939615077153357</v>
      </c>
      <c r="BU27" s="9">
        <f t="shared" si="140"/>
        <v>0.51081161948659504</v>
      </c>
      <c r="BV27" s="9">
        <f t="shared" si="140"/>
        <v>0.5544084047343959</v>
      </c>
      <c r="BW27" s="9">
        <f t="shared" si="140"/>
        <v>0.58252521193791451</v>
      </c>
      <c r="BX27" s="9">
        <f t="shared" si="140"/>
        <v>0.64013887215953702</v>
      </c>
      <c r="BY27" s="9">
        <f t="shared" si="140"/>
        <v>0.79007173907021055</v>
      </c>
      <c r="BZ27" s="32"/>
      <c r="CA27" s="32"/>
      <c r="CC27" s="40" t="s">
        <v>241</v>
      </c>
      <c r="CL27" s="41">
        <f t="shared" si="61"/>
        <v>44880</v>
      </c>
      <c r="CM27" s="76">
        <v>0.46444965919601772</v>
      </c>
      <c r="CN27" s="9">
        <f t="shared" si="141"/>
        <v>0.35681723905565271</v>
      </c>
      <c r="CO27" s="9">
        <f t="shared" si="141"/>
        <v>0.40626406615860888</v>
      </c>
      <c r="CP27" s="9">
        <f t="shared" si="141"/>
        <v>0.44246776379087499</v>
      </c>
      <c r="CQ27" s="9">
        <f t="shared" si="141"/>
        <v>0.46158399019307617</v>
      </c>
      <c r="CR27" s="9">
        <f t="shared" si="141"/>
        <v>0.50170786952032032</v>
      </c>
      <c r="CS27" s="9">
        <f t="shared" si="141"/>
        <v>0.5569955519077997</v>
      </c>
      <c r="CT27" s="9">
        <f t="shared" si="141"/>
        <v>0.61853699060481127</v>
      </c>
      <c r="CU27" s="9">
        <f t="shared" si="141"/>
        <v>0.68567844335734696</v>
      </c>
      <c r="CV27" s="9">
        <f t="shared" si="141"/>
        <v>0.73061421114363878</v>
      </c>
      <c r="CW27" s="9">
        <f t="shared" si="141"/>
        <v>0.82162859014028655</v>
      </c>
      <c r="CX27" s="9">
        <f t="shared" si="141"/>
        <v>1.0201195561503142</v>
      </c>
      <c r="CY27" s="32"/>
      <c r="CZ27" s="32"/>
      <c r="DA27" s="32">
        <f t="shared" si="26"/>
        <v>0.46444965919601772</v>
      </c>
      <c r="DB27" s="32">
        <v>464449659.19601774</v>
      </c>
      <c r="DC27" s="32"/>
      <c r="DD27" s="41">
        <v>45244</v>
      </c>
      <c r="DE27" s="76">
        <v>0.42466937634699703</v>
      </c>
      <c r="DF27" s="9">
        <f t="shared" ref="DF27:DP27" si="155">DF26+DF$2</f>
        <v>0.35370386523904679</v>
      </c>
      <c r="DG27" s="9">
        <f t="shared" si="155"/>
        <v>0.39393854458953498</v>
      </c>
      <c r="DH27" s="9">
        <f t="shared" si="155"/>
        <v>0.41872367264429972</v>
      </c>
      <c r="DI27" s="9">
        <f t="shared" si="155"/>
        <v>0.43545794495501638</v>
      </c>
      <c r="DJ27" s="9">
        <f t="shared" si="155"/>
        <v>0.46775606033875899</v>
      </c>
      <c r="DK27" s="9">
        <f t="shared" si="155"/>
        <v>0.51056898412892082</v>
      </c>
      <c r="DL27" s="9">
        <f t="shared" si="155"/>
        <v>0.56406489639941126</v>
      </c>
      <c r="DM27" s="9">
        <f t="shared" si="155"/>
        <v>0.62182875635494161</v>
      </c>
      <c r="DN27" s="9">
        <f t="shared" si="155"/>
        <v>0.65671386009401123</v>
      </c>
      <c r="DO27" s="9">
        <f t="shared" si="155"/>
        <v>0.73397509011777617</v>
      </c>
      <c r="DP27" s="9">
        <f t="shared" si="155"/>
        <v>0.91976378676462966</v>
      </c>
      <c r="DQ27" s="32"/>
      <c r="DR27" s="32"/>
      <c r="DS27" s="32">
        <f t="shared" si="28"/>
        <v>0.46444965919601772</v>
      </c>
      <c r="DT27" s="32">
        <v>464449659.19601774</v>
      </c>
      <c r="DU27" s="32"/>
      <c r="DW27" s="40" t="s">
        <v>241</v>
      </c>
      <c r="EF27" s="32"/>
      <c r="EG27" s="41">
        <v>45608</v>
      </c>
      <c r="EH27" s="76">
        <v>0.44371874133601286</v>
      </c>
      <c r="EI27" s="9">
        <f t="shared" ref="EI27:ES27" si="156">EI26+EI$2</f>
        <v>0.40580631068557577</v>
      </c>
      <c r="EJ27" s="9">
        <f t="shared" si="156"/>
        <v>0.44040098499073754</v>
      </c>
      <c r="EK27" s="9">
        <f t="shared" si="156"/>
        <v>0.47052275900776569</v>
      </c>
      <c r="EL27" s="9">
        <f t="shared" si="156"/>
        <v>0.49019384298705587</v>
      </c>
      <c r="EM27" s="9">
        <f t="shared" si="156"/>
        <v>0.52651350665460794</v>
      </c>
      <c r="EN27" s="9">
        <f t="shared" si="156"/>
        <v>0.57685025009173629</v>
      </c>
      <c r="EO27" s="9">
        <f t="shared" si="156"/>
        <v>0.63543369260468352</v>
      </c>
      <c r="EP27" s="9">
        <f t="shared" si="156"/>
        <v>0.69804322133006003</v>
      </c>
      <c r="EQ27" s="9">
        <f t="shared" si="156"/>
        <v>0.73555172202551833</v>
      </c>
      <c r="ER27" s="9">
        <f t="shared" si="156"/>
        <v>0.81786190293993166</v>
      </c>
      <c r="ES27" s="9">
        <f t="shared" si="156"/>
        <v>0.98669693032110661</v>
      </c>
      <c r="ET27" s="32"/>
      <c r="EU27" s="32"/>
      <c r="EV27" s="32">
        <f t="shared" si="30"/>
        <v>0.46444965919601772</v>
      </c>
      <c r="EW27" s="32">
        <v>464449659.19601774</v>
      </c>
      <c r="EX27" s="32"/>
      <c r="EZ27" s="40" t="s">
        <v>241</v>
      </c>
      <c r="FG27" s="32"/>
      <c r="FH27" s="32"/>
      <c r="FI27" s="41">
        <v>45972</v>
      </c>
      <c r="FJ27" s="76">
        <v>0.43938507185823511</v>
      </c>
      <c r="FK27" s="9">
        <f t="shared" ref="FK27:FU27" si="157">FK26+FK$2</f>
        <v>0.40580631068557577</v>
      </c>
      <c r="FL27" s="9">
        <f t="shared" si="157"/>
        <v>0.44040098499073754</v>
      </c>
      <c r="FM27" s="9">
        <f t="shared" si="157"/>
        <v>0.47052275900776569</v>
      </c>
      <c r="FN27" s="9">
        <f t="shared" si="157"/>
        <v>0.49019384298705587</v>
      </c>
      <c r="FO27" s="9">
        <f t="shared" si="157"/>
        <v>0.52651350665460794</v>
      </c>
      <c r="FP27" s="9">
        <f t="shared" si="157"/>
        <v>0.57685025009173629</v>
      </c>
      <c r="FQ27" s="9">
        <f t="shared" si="157"/>
        <v>0.63543369260468352</v>
      </c>
      <c r="FR27" s="9">
        <f t="shared" si="157"/>
        <v>0.69804322133006003</v>
      </c>
      <c r="FS27" s="9">
        <f t="shared" si="157"/>
        <v>0.73555172202551833</v>
      </c>
      <c r="FT27" s="9">
        <f t="shared" si="157"/>
        <v>0.81786190293993166</v>
      </c>
      <c r="FU27" s="9">
        <f t="shared" si="157"/>
        <v>0.98669693032110661</v>
      </c>
      <c r="FV27" s="32"/>
      <c r="FW27" s="32"/>
      <c r="FX27" s="32">
        <f t="shared" si="32"/>
        <v>0.46444965919601772</v>
      </c>
      <c r="FY27" s="32">
        <v>464449659.19601774</v>
      </c>
      <c r="FZ27" s="32"/>
      <c r="GB27" s="40"/>
      <c r="GI27" s="32"/>
      <c r="GJ27" s="41">
        <v>45608</v>
      </c>
      <c r="GK27" s="76">
        <v>0.44371874133601286</v>
      </c>
      <c r="GL27" s="9">
        <f t="shared" ref="GL27:GV27" si="158">GL26+GL$2</f>
        <v>0.33491926615795703</v>
      </c>
      <c r="GM27" s="9">
        <f t="shared" si="158"/>
        <v>0.38558901540374457</v>
      </c>
      <c r="GN27" s="9">
        <f t="shared" si="158"/>
        <v>0.4145544532087827</v>
      </c>
      <c r="GO27" s="9">
        <f t="shared" si="158"/>
        <v>0.43091652781854589</v>
      </c>
      <c r="GP27" s="9">
        <f t="shared" si="158"/>
        <v>0.46480441634805258</v>
      </c>
      <c r="GQ27" s="9">
        <f t="shared" si="158"/>
        <v>0.52092886559222151</v>
      </c>
      <c r="GR27" s="9">
        <f t="shared" si="158"/>
        <v>0.59380811392414712</v>
      </c>
      <c r="GS27" s="9">
        <f t="shared" si="158"/>
        <v>0.67942576278207911</v>
      </c>
      <c r="GT27" s="9">
        <f t="shared" si="158"/>
        <v>0.74773378911500443</v>
      </c>
      <c r="GU27" s="9">
        <f t="shared" si="158"/>
        <v>0.8772652484998239</v>
      </c>
      <c r="GV27" s="9">
        <f t="shared" si="158"/>
        <v>1.1402081842296647</v>
      </c>
      <c r="GW27" s="32"/>
      <c r="GX27" s="32"/>
      <c r="GY27" s="32">
        <f t="shared" si="34"/>
        <v>0.46444965919601772</v>
      </c>
      <c r="GZ27" s="32">
        <v>464449659.19601774</v>
      </c>
      <c r="HA27" s="32"/>
      <c r="HB27" s="229">
        <v>45972</v>
      </c>
      <c r="HC27" s="230">
        <v>0.43938507185823511</v>
      </c>
      <c r="HD27" s="9">
        <f t="shared" ref="HD27:HN27" si="159">HD26+HD$2</f>
        <v>0.37104289240220656</v>
      </c>
      <c r="HE27" s="9">
        <f t="shared" si="159"/>
        <v>0.41841892402429492</v>
      </c>
      <c r="HF27" s="9">
        <f t="shared" si="159"/>
        <v>0.45145794304967229</v>
      </c>
      <c r="HG27" s="9">
        <f t="shared" si="159"/>
        <v>0.47233589257592939</v>
      </c>
      <c r="HH27" s="9">
        <f t="shared" si="159"/>
        <v>0.51774050259152626</v>
      </c>
      <c r="HI27" s="9">
        <f t="shared" si="159"/>
        <v>0.58159359938135602</v>
      </c>
      <c r="HJ27" s="9">
        <f t="shared" si="159"/>
        <v>0.66535304763096315</v>
      </c>
      <c r="HK27" s="9">
        <f t="shared" si="159"/>
        <v>0.75978524503853329</v>
      </c>
      <c r="HL27" s="9">
        <f t="shared" si="159"/>
        <v>0.81956336880412983</v>
      </c>
      <c r="HM27" s="9">
        <f t="shared" si="159"/>
        <v>0.95265629326739543</v>
      </c>
      <c r="HN27" s="9">
        <f t="shared" si="159"/>
        <v>1.2249107901462206</v>
      </c>
      <c r="HO27" s="32"/>
      <c r="HP27" s="32"/>
      <c r="HQ27" s="32">
        <v>439385071.85823512</v>
      </c>
      <c r="HR27" s="32">
        <f t="shared" si="36"/>
        <v>0.43938507185823511</v>
      </c>
      <c r="HT27" s="32"/>
      <c r="IC27" s="41">
        <f t="shared" si="67"/>
        <v>44880</v>
      </c>
      <c r="ID27" s="9">
        <v>0.47299862425530004</v>
      </c>
      <c r="IE27" s="9"/>
      <c r="IF27" s="9"/>
      <c r="IG27" s="9"/>
      <c r="IH27" s="9"/>
      <c r="II27" s="9"/>
      <c r="IJ27" s="9"/>
      <c r="IK27" s="9"/>
      <c r="IL27" s="9"/>
      <c r="IM27" s="9"/>
      <c r="IN27" s="9"/>
      <c r="IO27" s="9"/>
      <c r="IP27" s="32"/>
      <c r="IQ27" s="32"/>
      <c r="IS27" s="40" t="s">
        <v>241</v>
      </c>
      <c r="JB27" s="41">
        <f t="shared" si="13"/>
        <v>44516</v>
      </c>
      <c r="JC27" s="9">
        <f t="shared" si="14"/>
        <v>0.48057414660719988</v>
      </c>
      <c r="JD27" s="9"/>
      <c r="JE27" s="9"/>
      <c r="JF27" s="9"/>
      <c r="JG27" s="9"/>
      <c r="JH27" s="9"/>
      <c r="JI27" s="9"/>
      <c r="JJ27" s="9"/>
      <c r="JK27" s="9"/>
      <c r="JL27" s="9"/>
      <c r="JM27" s="9"/>
      <c r="JN27" s="9"/>
      <c r="JO27" s="9"/>
      <c r="JQ27" t="s">
        <v>81</v>
      </c>
      <c r="JZ27" s="41">
        <f t="shared" si="15"/>
        <v>44516</v>
      </c>
      <c r="KA27" s="9">
        <f t="shared" si="37"/>
        <v>0.48057414660719988</v>
      </c>
      <c r="KB27" s="9"/>
      <c r="KC27" s="9"/>
      <c r="KE27" t="s">
        <v>81</v>
      </c>
      <c r="KN27" s="41">
        <v>43053</v>
      </c>
      <c r="KO27" s="212">
        <v>55819025.582399994</v>
      </c>
      <c r="KP27" s="212">
        <f t="shared" si="38"/>
        <v>527516675.88119984</v>
      </c>
      <c r="KR27" s="41">
        <v>43235</v>
      </c>
      <c r="KS27" s="212">
        <v>21062846.681999996</v>
      </c>
      <c r="KT27" s="212">
        <f t="shared" si="39"/>
        <v>372538695.35519999</v>
      </c>
      <c r="KV27" s="41">
        <v>43417</v>
      </c>
      <c r="KW27" s="212">
        <v>14773033.468799999</v>
      </c>
      <c r="KX27" s="212">
        <f t="shared" si="40"/>
        <v>489710700.39239985</v>
      </c>
      <c r="KZ27" s="41">
        <v>43599</v>
      </c>
      <c r="LA27" s="212">
        <v>17807995.861199997</v>
      </c>
      <c r="LB27" s="212">
        <f t="shared" si="41"/>
        <v>472923981.87119985</v>
      </c>
      <c r="LD27" s="41">
        <v>43781</v>
      </c>
      <c r="LE27" s="212">
        <v>9415271.091599999</v>
      </c>
      <c r="LF27" s="212">
        <f t="shared" si="42"/>
        <v>458656482.64319986</v>
      </c>
      <c r="LH27" s="41">
        <v>43970</v>
      </c>
      <c r="LI27" s="212">
        <v>30905967.347999997</v>
      </c>
      <c r="LJ27" s="212">
        <f t="shared" si="43"/>
        <v>330708014.46719998</v>
      </c>
      <c r="LL27" s="41">
        <v>44152</v>
      </c>
      <c r="LM27" s="212">
        <v>46513371.463199995</v>
      </c>
      <c r="LN27" s="212">
        <f t="shared" si="44"/>
        <v>463226432.18040001</v>
      </c>
      <c r="LP27" s="41">
        <v>44334</v>
      </c>
      <c r="LQ27" s="212">
        <v>16140908.890799999</v>
      </c>
      <c r="LR27" s="212">
        <f t="shared" si="45"/>
        <v>451205013.86639982</v>
      </c>
      <c r="LT27" s="41">
        <v>44516</v>
      </c>
      <c r="LU27" s="212">
        <v>14205298.751999998</v>
      </c>
      <c r="LV27" s="212">
        <f t="shared" si="46"/>
        <v>480574146.60719991</v>
      </c>
      <c r="MB27" s="32">
        <v>20</v>
      </c>
      <c r="MC27" s="42">
        <f t="shared" si="48"/>
        <v>0.52751667588119988</v>
      </c>
      <c r="MD27" s="42">
        <f t="shared" si="49"/>
        <v>0.37253869535520001</v>
      </c>
      <c r="ME27" s="42">
        <f t="shared" si="50"/>
        <v>0.48971070039239983</v>
      </c>
      <c r="MF27" s="42">
        <f t="shared" si="51"/>
        <v>0.47292398187119983</v>
      </c>
      <c r="MG27" s="42">
        <f t="shared" si="52"/>
        <v>0.45865648264319986</v>
      </c>
      <c r="MH27" s="42">
        <f t="shared" si="53"/>
        <v>0.3307080144672</v>
      </c>
      <c r="MI27" s="42">
        <f t="shared" si="54"/>
        <v>0.46322643218039999</v>
      </c>
      <c r="MJ27" s="42">
        <f t="shared" si="55"/>
        <v>0.45120501386639983</v>
      </c>
      <c r="MK27" s="42">
        <f t="shared" si="56"/>
        <v>0.48057414660719988</v>
      </c>
      <c r="ML27" s="42"/>
      <c r="MM27" s="8">
        <f t="shared" ca="1" si="147"/>
        <v>0.42619456559015051</v>
      </c>
      <c r="MN27" s="8">
        <f t="shared" ca="1" si="147"/>
        <v>0.4393758408145883</v>
      </c>
      <c r="MO27" s="8">
        <f t="shared" ca="1" si="147"/>
        <v>0.45255711603902593</v>
      </c>
      <c r="MW27" s="60"/>
      <c r="MX27" s="62" t="s">
        <v>36</v>
      </c>
      <c r="MY27" s="10">
        <v>0.63896175127242016</v>
      </c>
      <c r="MZ27" s="10">
        <v>0.63078629539919984</v>
      </c>
      <c r="NA27" s="10">
        <v>0.5753523354718455</v>
      </c>
      <c r="NB27" s="10">
        <v>0.54076178716199996</v>
      </c>
      <c r="NC27" s="10">
        <v>0.58944344774348567</v>
      </c>
      <c r="ND27" s="10">
        <v>0.59713491737479296</v>
      </c>
      <c r="NE27" s="10">
        <v>0.72515584835719993</v>
      </c>
      <c r="NF27" s="10">
        <v>0.61431886487717124</v>
      </c>
      <c r="NG27" s="10">
        <v>0.6790651800252</v>
      </c>
      <c r="NH27" s="10">
        <v>0.65759178322079992</v>
      </c>
      <c r="NI27" s="10">
        <v>0.44168996252700005</v>
      </c>
      <c r="NT27" s="41">
        <f t="shared" si="108"/>
        <v>44700</v>
      </c>
      <c r="NU27" s="9"/>
      <c r="NV27" s="9">
        <f t="shared" si="148"/>
        <v>0.30866302975892312</v>
      </c>
      <c r="NW27" s="9">
        <f t="shared" si="148"/>
        <v>0.33735349382861529</v>
      </c>
      <c r="NX27" s="9">
        <f t="shared" si="148"/>
        <v>0.35834808721640771</v>
      </c>
      <c r="NY27" s="9">
        <f t="shared" si="148"/>
        <v>0.37477773758907701</v>
      </c>
      <c r="NZ27" s="9">
        <f t="shared" si="148"/>
        <v>0.40791035445461554</v>
      </c>
      <c r="OA27" s="9">
        <f t="shared" si="148"/>
        <v>0.45053888803615388</v>
      </c>
      <c r="OB27" s="9">
        <f t="shared" si="148"/>
        <v>0.50583983324676929</v>
      </c>
      <c r="OC27" s="9">
        <f t="shared" si="148"/>
        <v>0.57016687077918438</v>
      </c>
      <c r="OD27" s="9">
        <f t="shared" si="148"/>
        <v>0.61035299465446158</v>
      </c>
      <c r="OE27" s="9">
        <f t="shared" si="148"/>
        <v>0.69069226419830732</v>
      </c>
      <c r="OF27" s="9">
        <f t="shared" si="148"/>
        <v>0.85286711781369207</v>
      </c>
      <c r="OG27" s="9">
        <f t="shared" ca="1" si="148"/>
        <v>0.43937584081458841</v>
      </c>
      <c r="OH27" s="32"/>
      <c r="OJ27" s="40" t="s">
        <v>244</v>
      </c>
      <c r="OS27" s="41">
        <f t="shared" si="59"/>
        <v>44700</v>
      </c>
      <c r="OT27" s="9"/>
      <c r="OU27" s="9">
        <f t="shared" si="149"/>
        <v>0.41166852561700001</v>
      </c>
      <c r="OV27" s="9">
        <f t="shared" si="149"/>
        <v>0.41470151376479991</v>
      </c>
      <c r="OW27" s="9">
        <f t="shared" si="149"/>
        <v>0.41655768738780002</v>
      </c>
      <c r="OX27" s="9">
        <f t="shared" si="149"/>
        <v>0.41959067553559992</v>
      </c>
      <c r="OY27" s="9">
        <f t="shared" si="149"/>
        <v>0.42370204141439993</v>
      </c>
      <c r="OZ27" s="9">
        <f t="shared" si="149"/>
        <v>0.43202320996579996</v>
      </c>
      <c r="PA27" s="9">
        <f t="shared" si="149"/>
        <v>0.44217440596640006</v>
      </c>
      <c r="PB27" s="9">
        <f t="shared" si="149"/>
        <v>0.45242050739599993</v>
      </c>
      <c r="PC27" s="9">
        <f t="shared" si="149"/>
        <v>0.47149508854979993</v>
      </c>
      <c r="PD27" s="9">
        <f t="shared" si="149"/>
        <v>0.50428283147440001</v>
      </c>
      <c r="PE27" s="9">
        <f t="shared" si="149"/>
        <v>0.54633577439900005</v>
      </c>
      <c r="PF27" s="9">
        <f t="shared" ca="1" si="149"/>
        <v>0.4393758408145883</v>
      </c>
      <c r="PH27" t="s">
        <v>81</v>
      </c>
    </row>
    <row r="28" spans="2:424" x14ac:dyDescent="0.25">
      <c r="B28" s="48">
        <v>42885</v>
      </c>
      <c r="C28" s="214">
        <v>50084924.173199996</v>
      </c>
      <c r="D28" s="214">
        <v>38186127</v>
      </c>
      <c r="E28" s="216">
        <v>40000000</v>
      </c>
      <c r="F28" s="216" t="s">
        <v>83</v>
      </c>
      <c r="G28" s="216" t="s">
        <v>83</v>
      </c>
      <c r="H28" s="215"/>
      <c r="I28" s="41">
        <v>43060</v>
      </c>
      <c r="J28" s="212">
        <v>9941079.3947999999</v>
      </c>
      <c r="K28" s="212">
        <f t="shared" si="18"/>
        <v>537457755.27599978</v>
      </c>
      <c r="M28" s="41">
        <v>43424</v>
      </c>
      <c r="N28" s="212">
        <v>22642916.7744</v>
      </c>
      <c r="O28" s="212">
        <f t="shared" si="19"/>
        <v>512353617.16679984</v>
      </c>
      <c r="Q28" s="41">
        <v>43788</v>
      </c>
      <c r="R28" s="212">
        <v>12772908.097199999</v>
      </c>
      <c r="S28" s="212">
        <f t="shared" si="20"/>
        <v>471429390.74039984</v>
      </c>
      <c r="U28" s="41">
        <v>44159</v>
      </c>
      <c r="V28" s="212">
        <v>12778435.4508</v>
      </c>
      <c r="W28" s="212">
        <f t="shared" si="21"/>
        <v>476004867.63120002</v>
      </c>
      <c r="Y28" s="41">
        <v>44523</v>
      </c>
      <c r="Z28" s="212">
        <v>24546171.265199997</v>
      </c>
      <c r="AA28" s="212">
        <f t="shared" si="22"/>
        <v>505120317.87239993</v>
      </c>
      <c r="AC28" s="32">
        <v>21</v>
      </c>
      <c r="AD28" s="39">
        <f t="shared" si="0"/>
        <v>0.53745775527599982</v>
      </c>
      <c r="AE28" s="39">
        <f t="shared" si="1"/>
        <v>0.51235361716679984</v>
      </c>
      <c r="AF28" s="39">
        <f t="shared" si="2"/>
        <v>0.47142939074039986</v>
      </c>
      <c r="AG28" s="39">
        <f t="shared" si="3"/>
        <v>0.47600486763120003</v>
      </c>
      <c r="AH28" s="39">
        <f t="shared" si="4"/>
        <v>0.50512031787239997</v>
      </c>
      <c r="AI28" s="39">
        <f t="shared" si="23"/>
        <v>0.5842963314521219</v>
      </c>
      <c r="AJ28" s="9"/>
      <c r="AK28" s="9"/>
      <c r="AL28" s="9"/>
      <c r="AT28" s="60"/>
      <c r="AU28" s="62" t="s">
        <v>36</v>
      </c>
      <c r="AV28" s="10">
        <v>1.2138020836542602</v>
      </c>
      <c r="AW28" s="10">
        <v>1.1137659862454816</v>
      </c>
      <c r="AX28" s="10">
        <v>1.1624945486143663</v>
      </c>
      <c r="AY28" s="10">
        <v>1.3380098493377783</v>
      </c>
      <c r="AZ28" s="10">
        <v>1.3281102106651468</v>
      </c>
      <c r="BA28" s="10">
        <v>1.5969837299834104</v>
      </c>
      <c r="BB28" s="10">
        <v>1.0875245513179752</v>
      </c>
      <c r="BD28" s="40" t="s">
        <v>247</v>
      </c>
      <c r="BM28" s="41">
        <f t="shared" si="60"/>
        <v>44523</v>
      </c>
      <c r="BN28" s="9">
        <f t="shared" si="5"/>
        <v>0.50512031787239997</v>
      </c>
      <c r="BO28" s="9">
        <f t="shared" si="140"/>
        <v>0.33667630237033414</v>
      </c>
      <c r="BP28" s="9">
        <f t="shared" si="140"/>
        <v>0.38268589973896133</v>
      </c>
      <c r="BQ28" s="9">
        <f t="shared" si="140"/>
        <v>0.40831829098154698</v>
      </c>
      <c r="BR28" s="9">
        <f t="shared" si="140"/>
        <v>0.42419682684660431</v>
      </c>
      <c r="BS28" s="9">
        <f t="shared" si="140"/>
        <v>0.4538090233001803</v>
      </c>
      <c r="BT28" s="9">
        <f t="shared" si="140"/>
        <v>0.49286595831011026</v>
      </c>
      <c r="BU28" s="9">
        <f t="shared" si="140"/>
        <v>0.5363522004609248</v>
      </c>
      <c r="BV28" s="9">
        <f t="shared" si="140"/>
        <v>0.58212882497111573</v>
      </c>
      <c r="BW28" s="9">
        <f t="shared" si="140"/>
        <v>0.61165147253481023</v>
      </c>
      <c r="BX28" s="9">
        <f t="shared" si="140"/>
        <v>0.67214581576751387</v>
      </c>
      <c r="BY28" s="9">
        <f t="shared" si="140"/>
        <v>0.82957532602372108</v>
      </c>
      <c r="BZ28" s="32"/>
      <c r="CA28" s="32"/>
      <c r="CL28" s="41">
        <f t="shared" si="61"/>
        <v>44887</v>
      </c>
      <c r="CM28" s="76">
        <v>0.48259203014070801</v>
      </c>
      <c r="CN28" s="9">
        <f t="shared" si="141"/>
        <v>0.37465810100843533</v>
      </c>
      <c r="CO28" s="9">
        <f t="shared" si="141"/>
        <v>0.42657726946653934</v>
      </c>
      <c r="CP28" s="9">
        <f t="shared" si="141"/>
        <v>0.46459115198041873</v>
      </c>
      <c r="CQ28" s="9">
        <f t="shared" si="141"/>
        <v>0.48466318970272998</v>
      </c>
      <c r="CR28" s="9">
        <f t="shared" si="141"/>
        <v>0.52679326299633633</v>
      </c>
      <c r="CS28" s="9">
        <f t="shared" si="141"/>
        <v>0.58484532950318968</v>
      </c>
      <c r="CT28" s="9">
        <f t="shared" si="141"/>
        <v>0.64946384013505187</v>
      </c>
      <c r="CU28" s="9">
        <f t="shared" si="141"/>
        <v>0.71996236552521431</v>
      </c>
      <c r="CV28" s="9">
        <f t="shared" si="141"/>
        <v>0.76714492170082071</v>
      </c>
      <c r="CW28" s="9">
        <f t="shared" si="141"/>
        <v>0.86271001964730087</v>
      </c>
      <c r="CX28" s="9">
        <f t="shared" si="141"/>
        <v>1.0711255339578301</v>
      </c>
      <c r="CY28" s="32"/>
      <c r="CZ28" s="32"/>
      <c r="DA28" s="32">
        <f t="shared" si="26"/>
        <v>0.48259203014070801</v>
      </c>
      <c r="DB28" s="32">
        <v>482592030.14070803</v>
      </c>
      <c r="DC28" s="32"/>
      <c r="DD28" s="41">
        <v>45251</v>
      </c>
      <c r="DE28" s="76">
        <v>0.45369240974324326</v>
      </c>
      <c r="DF28" s="9">
        <f t="shared" ref="DF28:DP28" si="160">DF27+DF$2</f>
        <v>0.37138905850099913</v>
      </c>
      <c r="DG28" s="9">
        <f t="shared" si="160"/>
        <v>0.41363547181901172</v>
      </c>
      <c r="DH28" s="9">
        <f t="shared" si="160"/>
        <v>0.43965985627651472</v>
      </c>
      <c r="DI28" s="9">
        <f t="shared" si="160"/>
        <v>0.45723084220276722</v>
      </c>
      <c r="DJ28" s="9">
        <f t="shared" si="160"/>
        <v>0.49114386335569693</v>
      </c>
      <c r="DK28" s="9">
        <f t="shared" si="160"/>
        <v>0.53609743333536686</v>
      </c>
      <c r="DL28" s="9">
        <f t="shared" si="160"/>
        <v>0.59226814121938187</v>
      </c>
      <c r="DM28" s="9">
        <f t="shared" si="160"/>
        <v>0.65292019417268865</v>
      </c>
      <c r="DN28" s="9">
        <f t="shared" si="160"/>
        <v>0.6895495530987118</v>
      </c>
      <c r="DO28" s="9">
        <f t="shared" si="160"/>
        <v>0.77067384462366495</v>
      </c>
      <c r="DP28" s="9">
        <f t="shared" si="160"/>
        <v>0.96575197610286112</v>
      </c>
      <c r="DQ28" s="32"/>
      <c r="DR28" s="32"/>
      <c r="DS28" s="32">
        <f t="shared" si="28"/>
        <v>0.48259203014070801</v>
      </c>
      <c r="DT28" s="32">
        <v>482592030.14070803</v>
      </c>
      <c r="DU28" s="32"/>
      <c r="EF28" s="32"/>
      <c r="EG28" s="41">
        <v>45615</v>
      </c>
      <c r="EH28" s="76">
        <v>0.46973110683315999</v>
      </c>
      <c r="EI28" s="9">
        <f t="shared" ref="EI28:ES28" si="161">EI27+EI$2</f>
        <v>0.42609662621985456</v>
      </c>
      <c r="EJ28" s="9">
        <f t="shared" si="161"/>
        <v>0.46242103424027442</v>
      </c>
      <c r="EK28" s="9">
        <f t="shared" si="161"/>
        <v>0.49404889695815396</v>
      </c>
      <c r="EL28" s="9">
        <f t="shared" si="161"/>
        <v>0.51470353513640865</v>
      </c>
      <c r="EM28" s="9">
        <f t="shared" si="161"/>
        <v>0.55283918198733839</v>
      </c>
      <c r="EN28" s="9">
        <f t="shared" si="161"/>
        <v>0.6056927625963231</v>
      </c>
      <c r="EO28" s="9">
        <f t="shared" si="161"/>
        <v>0.66720537723491768</v>
      </c>
      <c r="EP28" s="9">
        <f t="shared" si="161"/>
        <v>0.73294538239656304</v>
      </c>
      <c r="EQ28" s="9">
        <f t="shared" si="161"/>
        <v>0.77232930812679423</v>
      </c>
      <c r="ER28" s="9">
        <f t="shared" si="161"/>
        <v>0.85875499808692823</v>
      </c>
      <c r="ES28" s="9">
        <f t="shared" si="161"/>
        <v>1.0360317768371619</v>
      </c>
      <c r="ET28" s="32"/>
      <c r="EU28" s="32"/>
      <c r="EV28" s="32">
        <f t="shared" si="30"/>
        <v>0.48259203014070801</v>
      </c>
      <c r="EW28" s="32">
        <v>482592030.14070803</v>
      </c>
      <c r="EX28" s="32"/>
      <c r="FG28" s="32"/>
      <c r="FH28" s="32"/>
      <c r="FI28" s="41">
        <v>45979</v>
      </c>
      <c r="FJ28" s="76">
        <v>0.46104199767043191</v>
      </c>
      <c r="FK28" s="9">
        <f t="shared" ref="FK28:FU28" si="162">FK27+FK$2</f>
        <v>0.42609662621985456</v>
      </c>
      <c r="FL28" s="9">
        <f t="shared" si="162"/>
        <v>0.46242103424027442</v>
      </c>
      <c r="FM28" s="9">
        <f t="shared" si="162"/>
        <v>0.49404889695815396</v>
      </c>
      <c r="FN28" s="9">
        <f t="shared" si="162"/>
        <v>0.51470353513640865</v>
      </c>
      <c r="FO28" s="9">
        <f t="shared" si="162"/>
        <v>0.55283918198733839</v>
      </c>
      <c r="FP28" s="9">
        <f t="shared" si="162"/>
        <v>0.6056927625963231</v>
      </c>
      <c r="FQ28" s="9">
        <f t="shared" si="162"/>
        <v>0.66720537723491768</v>
      </c>
      <c r="FR28" s="9">
        <f t="shared" si="162"/>
        <v>0.73294538239656304</v>
      </c>
      <c r="FS28" s="9">
        <f t="shared" si="162"/>
        <v>0.77232930812679423</v>
      </c>
      <c r="FT28" s="9">
        <f t="shared" si="162"/>
        <v>0.85875499808692823</v>
      </c>
      <c r="FU28" s="9">
        <f t="shared" si="162"/>
        <v>1.0360317768371619</v>
      </c>
      <c r="FV28" s="32"/>
      <c r="FW28" s="32"/>
      <c r="FX28" s="32">
        <f t="shared" si="32"/>
        <v>0.48259203014070801</v>
      </c>
      <c r="FY28" s="32">
        <v>482592030.14070803</v>
      </c>
      <c r="FZ28" s="32"/>
      <c r="GI28" s="32"/>
      <c r="GJ28" s="41">
        <v>45615</v>
      </c>
      <c r="GK28" s="76">
        <v>0.46973110683315999</v>
      </c>
      <c r="GL28" s="9">
        <f t="shared" ref="GL28:GV28" si="163">GL27+GL$2</f>
        <v>0.35166522946585488</v>
      </c>
      <c r="GM28" s="9">
        <f t="shared" si="163"/>
        <v>0.4048684661739318</v>
      </c>
      <c r="GN28" s="9">
        <f t="shared" si="163"/>
        <v>0.43528217586922185</v>
      </c>
      <c r="GO28" s="9">
        <f t="shared" si="163"/>
        <v>0.45246235420947317</v>
      </c>
      <c r="GP28" s="9">
        <f t="shared" si="163"/>
        <v>0.48804463716545521</v>
      </c>
      <c r="GQ28" s="9">
        <f t="shared" si="163"/>
        <v>0.54697530887183254</v>
      </c>
      <c r="GR28" s="9">
        <f t="shared" si="163"/>
        <v>0.62349851962035452</v>
      </c>
      <c r="GS28" s="9">
        <f t="shared" si="163"/>
        <v>0.71339705092118311</v>
      </c>
      <c r="GT28" s="9">
        <f t="shared" si="163"/>
        <v>0.78512047857075462</v>
      </c>
      <c r="GU28" s="9">
        <f t="shared" si="163"/>
        <v>0.92112851092481507</v>
      </c>
      <c r="GV28" s="9">
        <f t="shared" si="163"/>
        <v>1.1972185934411479</v>
      </c>
      <c r="GW28" s="32"/>
      <c r="GX28" s="32"/>
      <c r="GY28" s="32">
        <f t="shared" si="34"/>
        <v>0.48259203014070801</v>
      </c>
      <c r="GZ28" s="32">
        <v>482592030.14070803</v>
      </c>
      <c r="HA28" s="32"/>
      <c r="HB28" s="229">
        <v>45979</v>
      </c>
      <c r="HC28" s="230">
        <v>0.46104199767043191</v>
      </c>
      <c r="HD28" s="9">
        <f t="shared" ref="HD28:HN28" si="164">HD27+HD$2</f>
        <v>0.3895950370223169</v>
      </c>
      <c r="HE28" s="9">
        <f t="shared" si="164"/>
        <v>0.43933987022550969</v>
      </c>
      <c r="HF28" s="9">
        <f t="shared" si="164"/>
        <v>0.47403084020215591</v>
      </c>
      <c r="HG28" s="9">
        <f t="shared" si="164"/>
        <v>0.49595268720472585</v>
      </c>
      <c r="HH28" s="9">
        <f t="shared" si="164"/>
        <v>0.54362752772110257</v>
      </c>
      <c r="HI28" s="9">
        <f t="shared" si="164"/>
        <v>0.61067327935042381</v>
      </c>
      <c r="HJ28" s="9">
        <f t="shared" si="164"/>
        <v>0.69862070001251131</v>
      </c>
      <c r="HK28" s="9">
        <f t="shared" si="164"/>
        <v>0.79777450729045996</v>
      </c>
      <c r="HL28" s="9">
        <f t="shared" si="164"/>
        <v>0.86054153724433635</v>
      </c>
      <c r="HM28" s="9">
        <f t="shared" si="164"/>
        <v>1.0002891079307652</v>
      </c>
      <c r="HN28" s="9">
        <f t="shared" si="164"/>
        <v>1.2861563296535317</v>
      </c>
      <c r="HO28" s="32"/>
      <c r="HP28" s="32"/>
      <c r="HQ28" s="32">
        <v>461041997.67043191</v>
      </c>
      <c r="HR28" s="32">
        <f t="shared" si="36"/>
        <v>0.46104199767043191</v>
      </c>
      <c r="HT28" s="32"/>
      <c r="IC28" s="41">
        <f t="shared" si="67"/>
        <v>44887</v>
      </c>
      <c r="ID28" s="9">
        <v>0.49287509799060003</v>
      </c>
      <c r="IE28" s="9"/>
      <c r="IF28" s="9"/>
      <c r="IG28" s="9"/>
      <c r="IH28" s="9"/>
      <c r="II28" s="9"/>
      <c r="IJ28" s="9"/>
      <c r="IK28" s="9"/>
      <c r="IL28" s="9"/>
      <c r="IM28" s="9"/>
      <c r="IN28" s="9"/>
      <c r="IO28" s="9"/>
      <c r="IP28" s="32"/>
      <c r="IQ28" s="32"/>
      <c r="JB28" s="41">
        <f t="shared" si="13"/>
        <v>44523</v>
      </c>
      <c r="JC28" s="9">
        <f t="shared" si="14"/>
        <v>0.50512031787239997</v>
      </c>
      <c r="JD28" s="9"/>
      <c r="JE28" s="9"/>
      <c r="JF28" s="9"/>
      <c r="JG28" s="9"/>
      <c r="JH28" s="9"/>
      <c r="JI28" s="9"/>
      <c r="JJ28" s="9"/>
      <c r="JK28" s="9"/>
      <c r="JL28" s="9"/>
      <c r="JM28" s="9"/>
      <c r="JN28" s="9"/>
      <c r="JO28" s="9"/>
      <c r="JZ28" s="41">
        <f t="shared" si="15"/>
        <v>44523</v>
      </c>
      <c r="KA28" s="9">
        <f t="shared" si="37"/>
        <v>0.50512031787239997</v>
      </c>
      <c r="KB28" s="9"/>
      <c r="KC28" s="9"/>
      <c r="KN28" s="41">
        <v>43060</v>
      </c>
      <c r="KO28" s="212">
        <v>9941079.3947999999</v>
      </c>
      <c r="KP28" s="212">
        <f t="shared" si="38"/>
        <v>537457755.27599978</v>
      </c>
      <c r="KR28" s="41">
        <v>43242</v>
      </c>
      <c r="KS28" s="212">
        <v>8972178.1776000001</v>
      </c>
      <c r="KT28" s="212">
        <f t="shared" si="39"/>
        <v>381510873.53280002</v>
      </c>
      <c r="KV28" s="41">
        <v>43424</v>
      </c>
      <c r="KW28" s="212">
        <v>22642916.7744</v>
      </c>
      <c r="KX28" s="212">
        <f t="shared" si="40"/>
        <v>512353617.16679984</v>
      </c>
      <c r="KZ28" s="41">
        <v>43606</v>
      </c>
      <c r="LA28" s="212">
        <v>22828001.896799996</v>
      </c>
      <c r="LB28" s="212">
        <f t="shared" si="41"/>
        <v>495751983.76799983</v>
      </c>
      <c r="LD28" s="41">
        <v>43788</v>
      </c>
      <c r="LE28" s="212">
        <v>12772908.097199999</v>
      </c>
      <c r="LF28" s="212">
        <f t="shared" si="42"/>
        <v>471429390.74039984</v>
      </c>
      <c r="LH28" s="41">
        <v>43977</v>
      </c>
      <c r="LI28" s="212">
        <v>12868485.253199998</v>
      </c>
      <c r="LJ28" s="212">
        <f t="shared" si="43"/>
        <v>343576499.72039998</v>
      </c>
      <c r="LL28" s="41">
        <v>44159</v>
      </c>
      <c r="LM28" s="212">
        <v>12778435.4508</v>
      </c>
      <c r="LN28" s="212">
        <f t="shared" si="44"/>
        <v>476004867.63120002</v>
      </c>
      <c r="LP28" s="41">
        <v>44341</v>
      </c>
      <c r="LQ28" s="212">
        <v>10947384.417599998</v>
      </c>
      <c r="LR28" s="212">
        <f t="shared" si="45"/>
        <v>462152398.2839998</v>
      </c>
      <c r="LT28" s="41">
        <v>44523</v>
      </c>
      <c r="LU28" s="212">
        <v>24546171.265199997</v>
      </c>
      <c r="LV28" s="212">
        <f t="shared" si="46"/>
        <v>505120317.87239993</v>
      </c>
      <c r="MB28" s="32">
        <v>21</v>
      </c>
      <c r="MC28" s="42">
        <f t="shared" si="48"/>
        <v>0.53745775527599982</v>
      </c>
      <c r="MD28" s="42">
        <f t="shared" si="49"/>
        <v>0.3815108735328</v>
      </c>
      <c r="ME28" s="42">
        <f t="shared" si="50"/>
        <v>0.51235361716679984</v>
      </c>
      <c r="MF28" s="42">
        <f t="shared" si="51"/>
        <v>0.49575198376799984</v>
      </c>
      <c r="MG28" s="42">
        <f t="shared" si="52"/>
        <v>0.47142939074039986</v>
      </c>
      <c r="MH28" s="42">
        <f t="shared" si="53"/>
        <v>0.3435764997204</v>
      </c>
      <c r="MI28" s="42">
        <f t="shared" si="54"/>
        <v>0.47600486763120003</v>
      </c>
      <c r="MJ28" s="42">
        <f t="shared" si="55"/>
        <v>0.46215239828399979</v>
      </c>
      <c r="MK28" s="42">
        <f t="shared" si="56"/>
        <v>0.50512031787239997</v>
      </c>
      <c r="ML28" s="42"/>
      <c r="MM28" s="8">
        <f t="shared" ca="1" si="147"/>
        <v>0.44376959922273401</v>
      </c>
      <c r="MN28" s="8">
        <f t="shared" ca="1" si="147"/>
        <v>0.46134463285531774</v>
      </c>
      <c r="MO28" s="8">
        <f t="shared" ca="1" si="147"/>
        <v>0.47891966648790124</v>
      </c>
      <c r="MW28" s="60"/>
      <c r="MX28" s="62" t="s">
        <v>37</v>
      </c>
      <c r="MY28" s="10">
        <v>0.72077683811490012</v>
      </c>
      <c r="MZ28" s="10">
        <v>0.70237344213634278</v>
      </c>
      <c r="NA28" s="10">
        <v>0.64557631310804742</v>
      </c>
      <c r="NB28" s="10">
        <v>0.60803908806239992</v>
      </c>
      <c r="NC28" s="10">
        <v>0.65768046818235426</v>
      </c>
      <c r="ND28" s="10">
        <v>0.66465167543129788</v>
      </c>
      <c r="NE28" s="10">
        <v>0.80585752893788065</v>
      </c>
      <c r="NF28" s="10">
        <v>0.68067498797158288</v>
      </c>
      <c r="NG28" s="10">
        <v>0.76336797957968561</v>
      </c>
      <c r="NH28" s="10">
        <v>0.74121693201293992</v>
      </c>
      <c r="NI28" s="10">
        <v>0.49779508861139998</v>
      </c>
      <c r="NK28" s="40" t="s">
        <v>248</v>
      </c>
      <c r="NT28" s="41">
        <f t="shared" si="108"/>
        <v>44707</v>
      </c>
      <c r="NU28" s="9"/>
      <c r="NV28" s="9">
        <f t="shared" si="148"/>
        <v>0.32409618124686929</v>
      </c>
      <c r="NW28" s="9">
        <f t="shared" si="148"/>
        <v>0.35422116852004604</v>
      </c>
      <c r="NX28" s="9">
        <f t="shared" si="148"/>
        <v>0.37626549157722811</v>
      </c>
      <c r="NY28" s="9">
        <f t="shared" si="148"/>
        <v>0.39351662446853086</v>
      </c>
      <c r="NZ28" s="9">
        <f t="shared" si="148"/>
        <v>0.42830587217734634</v>
      </c>
      <c r="OA28" s="9">
        <f t="shared" si="148"/>
        <v>0.47306583243796158</v>
      </c>
      <c r="OB28" s="9">
        <f t="shared" si="148"/>
        <v>0.53113182490910771</v>
      </c>
      <c r="OC28" s="9">
        <f t="shared" si="148"/>
        <v>0.59867521431814363</v>
      </c>
      <c r="OD28" s="9">
        <f t="shared" si="148"/>
        <v>0.64087064438718466</v>
      </c>
      <c r="OE28" s="9">
        <f t="shared" si="148"/>
        <v>0.72522687740822267</v>
      </c>
      <c r="OF28" s="9">
        <f t="shared" si="148"/>
        <v>0.89551047370437664</v>
      </c>
      <c r="OG28" s="9">
        <f t="shared" ca="1" si="148"/>
        <v>0.46134463285531785</v>
      </c>
      <c r="OH28" s="32"/>
      <c r="OS28" s="41">
        <f t="shared" si="59"/>
        <v>44707</v>
      </c>
      <c r="OT28" s="9"/>
      <c r="OU28" s="9">
        <f t="shared" si="149"/>
        <v>0.42440154592520002</v>
      </c>
      <c r="OV28" s="9">
        <f t="shared" si="149"/>
        <v>0.42844553012226655</v>
      </c>
      <c r="OW28" s="9">
        <f t="shared" si="149"/>
        <v>0.4309204282862667</v>
      </c>
      <c r="OX28" s="9">
        <f t="shared" si="149"/>
        <v>0.43496441248333323</v>
      </c>
      <c r="OY28" s="9">
        <f t="shared" si="149"/>
        <v>0.44044623365506658</v>
      </c>
      <c r="OZ28" s="9">
        <f t="shared" si="149"/>
        <v>0.45154112505693328</v>
      </c>
      <c r="PA28" s="9">
        <f t="shared" si="149"/>
        <v>0.46507605305773342</v>
      </c>
      <c r="PB28" s="9">
        <f t="shared" si="149"/>
        <v>0.47873752163053324</v>
      </c>
      <c r="PC28" s="9">
        <f t="shared" si="149"/>
        <v>0.50417029650226663</v>
      </c>
      <c r="PD28" s="9">
        <f t="shared" si="149"/>
        <v>0.54788728706839995</v>
      </c>
      <c r="PE28" s="9">
        <f t="shared" si="149"/>
        <v>0.60395787763453335</v>
      </c>
      <c r="PF28" s="9">
        <f t="shared" ca="1" si="149"/>
        <v>0.46134463285531774</v>
      </c>
    </row>
    <row r="29" spans="2:424" x14ac:dyDescent="0.25">
      <c r="B29" s="48">
        <v>42892</v>
      </c>
      <c r="C29" s="214">
        <v>11090501.3664</v>
      </c>
      <c r="D29" s="214">
        <v>8455704</v>
      </c>
      <c r="E29" s="215">
        <v>2000000</v>
      </c>
      <c r="F29" s="215"/>
      <c r="G29" s="215"/>
      <c r="H29" s="215"/>
      <c r="I29" s="41">
        <v>43067</v>
      </c>
      <c r="J29" s="212">
        <v>16653553.084799998</v>
      </c>
      <c r="K29" s="212">
        <f t="shared" si="18"/>
        <v>554111308.36079979</v>
      </c>
      <c r="M29" s="41">
        <v>43431</v>
      </c>
      <c r="N29" s="212">
        <v>11794441.021199999</v>
      </c>
      <c r="O29" s="212">
        <f t="shared" si="19"/>
        <v>524148058.18799984</v>
      </c>
      <c r="Q29" s="41">
        <v>43795</v>
      </c>
      <c r="R29" s="212">
        <v>11777523.836399999</v>
      </c>
      <c r="S29" s="212">
        <f t="shared" si="20"/>
        <v>483206914.57679981</v>
      </c>
      <c r="U29" s="41">
        <v>44166</v>
      </c>
      <c r="V29" s="212">
        <v>12882764.249999998</v>
      </c>
      <c r="W29" s="212">
        <f t="shared" si="21"/>
        <v>488887631.88120002</v>
      </c>
      <c r="Y29" s="41">
        <v>44530</v>
      </c>
      <c r="Z29" s="212">
        <v>26834150.195999999</v>
      </c>
      <c r="AA29" s="212">
        <f t="shared" si="22"/>
        <v>531954468.06839991</v>
      </c>
      <c r="AC29" s="32">
        <v>22</v>
      </c>
      <c r="AD29" s="39">
        <f t="shared" si="0"/>
        <v>0.5541113083607998</v>
      </c>
      <c r="AE29" s="39">
        <f t="shared" si="1"/>
        <v>0.52414805818799981</v>
      </c>
      <c r="AF29" s="39">
        <f t="shared" si="2"/>
        <v>0.48320691457679982</v>
      </c>
      <c r="AG29" s="39">
        <f t="shared" si="3"/>
        <v>0.48888763188119999</v>
      </c>
      <c r="AH29" s="39">
        <f t="shared" si="4"/>
        <v>0.53195446806839985</v>
      </c>
      <c r="AI29" s="39">
        <f t="shared" si="23"/>
        <v>0.61211996628317533</v>
      </c>
      <c r="AJ29" s="9"/>
      <c r="AK29" s="9"/>
      <c r="AL29" s="9"/>
      <c r="AN29" s="40" t="s">
        <v>249</v>
      </c>
      <c r="AT29" s="60"/>
      <c r="AU29" s="62" t="s">
        <v>37</v>
      </c>
      <c r="AV29" s="10">
        <v>1.3212802515824462</v>
      </c>
      <c r="AW29" s="10">
        <v>1.2106731051955641</v>
      </c>
      <c r="AX29" s="10">
        <v>1.2487702164447156</v>
      </c>
      <c r="AY29" s="10">
        <v>1.4435836101905961</v>
      </c>
      <c r="AZ29" s="10">
        <v>1.4414618523094298</v>
      </c>
      <c r="BA29" s="10">
        <v>1.7533890739466464</v>
      </c>
      <c r="BB29" s="10">
        <v>1.1863690575942298</v>
      </c>
      <c r="BM29" s="41">
        <f t="shared" si="60"/>
        <v>44530</v>
      </c>
      <c r="BN29" s="9">
        <f t="shared" si="5"/>
        <v>0.53195446806839985</v>
      </c>
      <c r="BO29" s="9">
        <f t="shared" si="140"/>
        <v>0.35270850724511194</v>
      </c>
      <c r="BP29" s="9">
        <f t="shared" si="140"/>
        <v>0.40090903782176901</v>
      </c>
      <c r="BQ29" s="9">
        <f t="shared" si="140"/>
        <v>0.42776201912352541</v>
      </c>
      <c r="BR29" s="9">
        <f t="shared" si="140"/>
        <v>0.44439667574406166</v>
      </c>
      <c r="BS29" s="9">
        <f t="shared" si="140"/>
        <v>0.47541897679066508</v>
      </c>
      <c r="BT29" s="9">
        <f t="shared" si="140"/>
        <v>0.5163357658486869</v>
      </c>
      <c r="BU29" s="9">
        <f t="shared" si="140"/>
        <v>0.56189278143525456</v>
      </c>
      <c r="BV29" s="9">
        <f t="shared" si="140"/>
        <v>0.60984924520783557</v>
      </c>
      <c r="BW29" s="9">
        <f t="shared" si="140"/>
        <v>0.64077773313170594</v>
      </c>
      <c r="BX29" s="9">
        <f t="shared" si="140"/>
        <v>0.70415275937549071</v>
      </c>
      <c r="BY29" s="9">
        <f t="shared" si="140"/>
        <v>0.86907891297723161</v>
      </c>
      <c r="BZ29" s="32"/>
      <c r="CA29" s="32"/>
      <c r="CL29" s="41">
        <f t="shared" si="61"/>
        <v>44894</v>
      </c>
      <c r="CM29" s="76">
        <v>0.51028982039557524</v>
      </c>
      <c r="CN29" s="9">
        <f t="shared" si="141"/>
        <v>0.39249896296121795</v>
      </c>
      <c r="CO29" s="9">
        <f t="shared" si="141"/>
        <v>0.4468904727744698</v>
      </c>
      <c r="CP29" s="9">
        <f t="shared" si="141"/>
        <v>0.48671454016996246</v>
      </c>
      <c r="CQ29" s="9">
        <f t="shared" si="141"/>
        <v>0.50774238921238379</v>
      </c>
      <c r="CR29" s="9">
        <f t="shared" si="141"/>
        <v>0.55187865647235235</v>
      </c>
      <c r="CS29" s="9">
        <f t="shared" si="141"/>
        <v>0.61269510709857966</v>
      </c>
      <c r="CT29" s="9">
        <f t="shared" si="141"/>
        <v>0.68039068966529248</v>
      </c>
      <c r="CU29" s="9">
        <f t="shared" si="141"/>
        <v>0.75424628769308166</v>
      </c>
      <c r="CV29" s="9">
        <f t="shared" si="141"/>
        <v>0.80367563225800265</v>
      </c>
      <c r="CW29" s="9">
        <f t="shared" si="141"/>
        <v>0.9037914491543152</v>
      </c>
      <c r="CX29" s="9">
        <f t="shared" si="141"/>
        <v>1.1221315117653459</v>
      </c>
      <c r="CY29" s="32"/>
      <c r="CZ29" s="32"/>
      <c r="DA29" s="32">
        <f t="shared" si="26"/>
        <v>0.51028982039557524</v>
      </c>
      <c r="DB29" s="32">
        <v>510289820.39557528</v>
      </c>
      <c r="DC29" s="32"/>
      <c r="DD29" s="41">
        <v>45258</v>
      </c>
      <c r="DE29" s="76">
        <v>0.49236640177627627</v>
      </c>
      <c r="DF29" s="9">
        <f t="shared" ref="DF29:DP29" si="165">DF28+DF$2</f>
        <v>0.38907425176295146</v>
      </c>
      <c r="DG29" s="9">
        <f t="shared" si="165"/>
        <v>0.43333239904848847</v>
      </c>
      <c r="DH29" s="9">
        <f t="shared" si="165"/>
        <v>0.46059603990872972</v>
      </c>
      <c r="DI29" s="9">
        <f t="shared" si="165"/>
        <v>0.47900373945051805</v>
      </c>
      <c r="DJ29" s="9">
        <f t="shared" si="165"/>
        <v>0.51453166637263492</v>
      </c>
      <c r="DK29" s="9">
        <f t="shared" si="165"/>
        <v>0.56162588254181289</v>
      </c>
      <c r="DL29" s="9">
        <f t="shared" si="165"/>
        <v>0.62047138603935248</v>
      </c>
      <c r="DM29" s="9">
        <f t="shared" si="165"/>
        <v>0.68401163199043569</v>
      </c>
      <c r="DN29" s="9">
        <f t="shared" si="165"/>
        <v>0.72238524610341237</v>
      </c>
      <c r="DO29" s="9">
        <f t="shared" si="165"/>
        <v>0.80737259912955373</v>
      </c>
      <c r="DP29" s="9">
        <f t="shared" si="165"/>
        <v>1.0117401654410927</v>
      </c>
      <c r="DQ29" s="32"/>
      <c r="DR29" s="32"/>
      <c r="DS29" s="32">
        <f t="shared" si="28"/>
        <v>0.51028982039557524</v>
      </c>
      <c r="DT29" s="32">
        <v>510289820.39557528</v>
      </c>
      <c r="DU29" s="32"/>
      <c r="EF29" s="32"/>
      <c r="EG29" s="41">
        <v>45622</v>
      </c>
      <c r="EH29" s="76">
        <v>0.49982132004742424</v>
      </c>
      <c r="EI29" s="9">
        <f t="shared" ref="EI29:ES29" si="166">EI28+EI$2</f>
        <v>0.44638694175413335</v>
      </c>
      <c r="EJ29" s="9">
        <f t="shared" si="166"/>
        <v>0.4844410834898113</v>
      </c>
      <c r="EK29" s="9">
        <f t="shared" si="166"/>
        <v>0.51757503490854229</v>
      </c>
      <c r="EL29" s="9">
        <f t="shared" si="166"/>
        <v>0.53921322728576149</v>
      </c>
      <c r="EM29" s="9">
        <f t="shared" si="166"/>
        <v>0.57916485732006884</v>
      </c>
      <c r="EN29" s="9">
        <f t="shared" si="166"/>
        <v>0.6345352751009099</v>
      </c>
      <c r="EO29" s="9">
        <f t="shared" si="166"/>
        <v>0.69897706186515185</v>
      </c>
      <c r="EP29" s="9">
        <f t="shared" si="166"/>
        <v>0.76784754346306605</v>
      </c>
      <c r="EQ29" s="9">
        <f t="shared" si="166"/>
        <v>0.80910689422807014</v>
      </c>
      <c r="ER29" s="9">
        <f t="shared" si="166"/>
        <v>0.89964809323392481</v>
      </c>
      <c r="ES29" s="9">
        <f t="shared" si="166"/>
        <v>1.0853666233532171</v>
      </c>
      <c r="ET29" s="32"/>
      <c r="EU29" s="32"/>
      <c r="EV29" s="32">
        <f t="shared" si="30"/>
        <v>0.51028982039557524</v>
      </c>
      <c r="EW29" s="32">
        <v>510289820.39557528</v>
      </c>
      <c r="EX29" s="32"/>
      <c r="FG29" s="32"/>
      <c r="FH29" s="32"/>
      <c r="FI29" s="41">
        <v>45986</v>
      </c>
      <c r="FJ29" s="76">
        <v>0.48909001177808958</v>
      </c>
      <c r="FK29" s="9">
        <f t="shared" ref="FK29:FU29" si="167">FK28+FK$2</f>
        <v>0.44638694175413335</v>
      </c>
      <c r="FL29" s="9">
        <f t="shared" si="167"/>
        <v>0.4844410834898113</v>
      </c>
      <c r="FM29" s="9">
        <f t="shared" si="167"/>
        <v>0.51757503490854229</v>
      </c>
      <c r="FN29" s="9">
        <f t="shared" si="167"/>
        <v>0.53921322728576149</v>
      </c>
      <c r="FO29" s="9">
        <f t="shared" si="167"/>
        <v>0.57916485732006884</v>
      </c>
      <c r="FP29" s="9">
        <f t="shared" si="167"/>
        <v>0.6345352751009099</v>
      </c>
      <c r="FQ29" s="9">
        <f t="shared" si="167"/>
        <v>0.69897706186515185</v>
      </c>
      <c r="FR29" s="9">
        <f t="shared" si="167"/>
        <v>0.76784754346306605</v>
      </c>
      <c r="FS29" s="9">
        <f t="shared" si="167"/>
        <v>0.80910689422807014</v>
      </c>
      <c r="FT29" s="9">
        <f t="shared" si="167"/>
        <v>0.89964809323392481</v>
      </c>
      <c r="FU29" s="9">
        <f t="shared" si="167"/>
        <v>1.0853666233532171</v>
      </c>
      <c r="FV29" s="32"/>
      <c r="FW29" s="32"/>
      <c r="FX29" s="32">
        <f t="shared" si="32"/>
        <v>0.51028982039557524</v>
      </c>
      <c r="FY29" s="32">
        <v>510289820.39557528</v>
      </c>
      <c r="FZ29" s="32"/>
      <c r="GI29" s="32"/>
      <c r="GJ29" s="41">
        <v>45622</v>
      </c>
      <c r="GK29" s="76">
        <v>0.49982132004742424</v>
      </c>
      <c r="GL29" s="9">
        <f t="shared" ref="GL29:GV29" si="168">GL28+GL$2</f>
        <v>0.36841119277375273</v>
      </c>
      <c r="GM29" s="9">
        <f t="shared" si="168"/>
        <v>0.42414791694411902</v>
      </c>
      <c r="GN29" s="9">
        <f t="shared" si="168"/>
        <v>0.45600989852966101</v>
      </c>
      <c r="GO29" s="9">
        <f t="shared" si="168"/>
        <v>0.47400818060040045</v>
      </c>
      <c r="GP29" s="9">
        <f t="shared" si="168"/>
        <v>0.51128485798285783</v>
      </c>
      <c r="GQ29" s="9">
        <f t="shared" si="168"/>
        <v>0.57302175215144358</v>
      </c>
      <c r="GR29" s="9">
        <f t="shared" si="168"/>
        <v>0.65318892531656192</v>
      </c>
      <c r="GS29" s="9">
        <f t="shared" si="168"/>
        <v>0.7473683390602871</v>
      </c>
      <c r="GT29" s="9">
        <f t="shared" si="168"/>
        <v>0.82250716802650481</v>
      </c>
      <c r="GU29" s="9">
        <f t="shared" si="168"/>
        <v>0.96499177334980624</v>
      </c>
      <c r="GV29" s="9">
        <f t="shared" si="168"/>
        <v>1.254229002652631</v>
      </c>
      <c r="GW29" s="32"/>
      <c r="GX29" s="32"/>
      <c r="GY29" s="32">
        <f t="shared" si="34"/>
        <v>0.51028982039557524</v>
      </c>
      <c r="GZ29" s="32">
        <v>510289820.39557528</v>
      </c>
      <c r="HA29" s="32"/>
      <c r="HB29" s="229">
        <v>45986</v>
      </c>
      <c r="HC29" s="230">
        <v>0.48909001177808958</v>
      </c>
      <c r="HD29" s="9">
        <f t="shared" ref="HD29:HN29" si="169">HD28+HD$2</f>
        <v>0.40814718164242725</v>
      </c>
      <c r="HE29" s="9">
        <f t="shared" si="169"/>
        <v>0.46026081642672445</v>
      </c>
      <c r="HF29" s="9">
        <f t="shared" si="169"/>
        <v>0.49660373735463953</v>
      </c>
      <c r="HG29" s="9">
        <f t="shared" si="169"/>
        <v>0.51956948183352236</v>
      </c>
      <c r="HH29" s="9">
        <f t="shared" si="169"/>
        <v>0.56951455285067887</v>
      </c>
      <c r="HI29" s="9">
        <f t="shared" si="169"/>
        <v>0.63975295931949161</v>
      </c>
      <c r="HJ29" s="9">
        <f t="shared" si="169"/>
        <v>0.73188835239405947</v>
      </c>
      <c r="HK29" s="9">
        <f t="shared" si="169"/>
        <v>0.83576376954238663</v>
      </c>
      <c r="HL29" s="9">
        <f t="shared" si="169"/>
        <v>0.90151970568454287</v>
      </c>
      <c r="HM29" s="9">
        <f t="shared" si="169"/>
        <v>1.047921922594135</v>
      </c>
      <c r="HN29" s="9">
        <f t="shared" si="169"/>
        <v>1.3474018691608427</v>
      </c>
      <c r="HO29" s="32"/>
      <c r="HP29" s="32"/>
      <c r="HQ29" s="32">
        <v>489090011.77808958</v>
      </c>
      <c r="HR29" s="32">
        <f t="shared" si="36"/>
        <v>0.48909001177808958</v>
      </c>
      <c r="HT29" s="32"/>
      <c r="IC29" s="41">
        <f t="shared" si="67"/>
        <v>44894</v>
      </c>
      <c r="ID29" s="9">
        <v>0.52321212889400004</v>
      </c>
      <c r="IE29" s="9"/>
      <c r="IF29" s="9"/>
      <c r="IG29" s="9"/>
      <c r="IH29" s="9"/>
      <c r="II29" s="9"/>
      <c r="IJ29" s="9"/>
      <c r="IK29" s="9"/>
      <c r="IL29" s="9"/>
      <c r="IM29" s="9"/>
      <c r="IN29" s="9"/>
      <c r="IO29" s="9"/>
      <c r="IP29" s="32"/>
      <c r="IQ29" s="32"/>
      <c r="JB29" s="41">
        <f t="shared" si="13"/>
        <v>44530</v>
      </c>
      <c r="JC29" s="9">
        <f t="shared" si="14"/>
        <v>0.53195446806839985</v>
      </c>
      <c r="JD29" s="9"/>
      <c r="JE29" s="9"/>
      <c r="JF29" s="9"/>
      <c r="JG29" s="9"/>
      <c r="JH29" s="9"/>
      <c r="JI29" s="9"/>
      <c r="JJ29" s="9"/>
      <c r="JK29" s="9"/>
      <c r="JL29" s="9"/>
      <c r="JM29" s="9"/>
      <c r="JN29" s="9"/>
      <c r="JO29" s="9"/>
      <c r="JZ29" s="41">
        <f t="shared" si="15"/>
        <v>44530</v>
      </c>
      <c r="KA29" s="9">
        <f t="shared" si="37"/>
        <v>0.53195446806839985</v>
      </c>
      <c r="KB29" s="9"/>
      <c r="KC29" s="9"/>
      <c r="KN29" s="41">
        <v>43067</v>
      </c>
      <c r="KO29" s="212">
        <v>16653553.084799998</v>
      </c>
      <c r="KP29" s="212">
        <f t="shared" si="38"/>
        <v>554111308.36079979</v>
      </c>
      <c r="KR29" s="41">
        <v>43249</v>
      </c>
      <c r="KS29" s="212">
        <v>12622075.048799999</v>
      </c>
      <c r="KT29" s="212">
        <f t="shared" si="39"/>
        <v>394132948.58160001</v>
      </c>
      <c r="KV29" s="41">
        <v>43431</v>
      </c>
      <c r="KW29" s="212">
        <v>11794441.021199999</v>
      </c>
      <c r="KX29" s="212">
        <f t="shared" si="40"/>
        <v>524148058.18799984</v>
      </c>
      <c r="KZ29" s="41">
        <v>43613</v>
      </c>
      <c r="LA29" s="212">
        <v>37029462.382799998</v>
      </c>
      <c r="LB29" s="212">
        <f t="shared" si="41"/>
        <v>532781446.15079981</v>
      </c>
      <c r="LD29" s="41">
        <v>43795</v>
      </c>
      <c r="LE29" s="212">
        <v>11777523.836399999</v>
      </c>
      <c r="LF29" s="212">
        <f t="shared" si="42"/>
        <v>483206914.57679981</v>
      </c>
      <c r="LH29" s="41">
        <v>43984</v>
      </c>
      <c r="LI29" s="212">
        <v>11586830.1372</v>
      </c>
      <c r="LJ29" s="212">
        <f t="shared" si="43"/>
        <v>355163329.85759997</v>
      </c>
      <c r="LL29" s="41">
        <v>44166</v>
      </c>
      <c r="LM29" s="212">
        <v>12882764.249999998</v>
      </c>
      <c r="LN29" s="212">
        <f t="shared" si="44"/>
        <v>488887631.88120002</v>
      </c>
      <c r="LP29" s="41">
        <v>44348</v>
      </c>
      <c r="LQ29" s="212">
        <v>15397249.525199998</v>
      </c>
      <c r="LR29" s="212">
        <f t="shared" si="45"/>
        <v>477549647.80919981</v>
      </c>
      <c r="LT29" s="41">
        <v>44530</v>
      </c>
      <c r="LU29" s="212">
        <v>26834150.195999999</v>
      </c>
      <c r="LV29" s="212">
        <f t="shared" si="46"/>
        <v>531954468.06839991</v>
      </c>
      <c r="MB29" s="32">
        <v>22</v>
      </c>
      <c r="MC29" s="42">
        <f t="shared" si="48"/>
        <v>0.5541113083607998</v>
      </c>
      <c r="MD29" s="42">
        <f t="shared" si="49"/>
        <v>0.39413294858160003</v>
      </c>
      <c r="ME29" s="42">
        <f t="shared" si="50"/>
        <v>0.52414805818799981</v>
      </c>
      <c r="MF29" s="42">
        <f t="shared" si="51"/>
        <v>0.53278144615079981</v>
      </c>
      <c r="MG29" s="42">
        <f t="shared" si="52"/>
        <v>0.48320691457679982</v>
      </c>
      <c r="MH29" s="42">
        <f t="shared" si="53"/>
        <v>0.35516332985759996</v>
      </c>
      <c r="MI29" s="42">
        <f t="shared" si="54"/>
        <v>0.48888763188119999</v>
      </c>
      <c r="MJ29" s="42">
        <f t="shared" si="55"/>
        <v>0.47754964780919978</v>
      </c>
      <c r="MK29" s="42">
        <f t="shared" si="56"/>
        <v>0.53195446806839985</v>
      </c>
      <c r="ML29" s="42"/>
      <c r="MM29" s="8">
        <f t="shared" ca="1" si="147"/>
        <v>0.46134463285531752</v>
      </c>
      <c r="MN29" s="8">
        <f t="shared" ca="1" si="147"/>
        <v>0.48331342489604717</v>
      </c>
      <c r="MO29" s="8">
        <f t="shared" ca="1" si="147"/>
        <v>0.50528221693677655</v>
      </c>
      <c r="MQ29" s="40" t="s">
        <v>250</v>
      </c>
      <c r="MW29" s="60"/>
      <c r="MX29" s="62" t="s">
        <v>38</v>
      </c>
      <c r="MY29" s="10">
        <v>0.77858348620842011</v>
      </c>
      <c r="MZ29" s="10">
        <v>0.75185024465588579</v>
      </c>
      <c r="NA29" s="10">
        <v>0.69118592109961707</v>
      </c>
      <c r="NB29" s="10">
        <v>0.66283897585230001</v>
      </c>
      <c r="NC29" s="10">
        <v>0.70294900578171415</v>
      </c>
      <c r="ND29" s="10">
        <v>0.71482281832369277</v>
      </c>
      <c r="NE29" s="10">
        <v>0.85879831431056031</v>
      </c>
      <c r="NF29" s="10">
        <v>0.72635879759720579</v>
      </c>
      <c r="NG29" s="10">
        <v>0.81425896602634273</v>
      </c>
      <c r="NH29" s="10">
        <v>0.79345889305079986</v>
      </c>
      <c r="NI29" s="10">
        <v>0.54086749053659999</v>
      </c>
      <c r="NT29" s="41">
        <f t="shared" si="108"/>
        <v>44714</v>
      </c>
      <c r="NU29" s="9"/>
      <c r="NV29" s="9">
        <f t="shared" si="148"/>
        <v>0.33952933273481545</v>
      </c>
      <c r="NW29" s="9">
        <f t="shared" si="148"/>
        <v>0.37108884321147678</v>
      </c>
      <c r="NX29" s="9">
        <f t="shared" si="148"/>
        <v>0.39418289593804851</v>
      </c>
      <c r="NY29" s="9">
        <f t="shared" si="148"/>
        <v>0.41225551134798472</v>
      </c>
      <c r="NZ29" s="9">
        <f t="shared" si="148"/>
        <v>0.44870138990007713</v>
      </c>
      <c r="OA29" s="9">
        <f t="shared" si="148"/>
        <v>0.49559277683976927</v>
      </c>
      <c r="OB29" s="9">
        <f t="shared" si="148"/>
        <v>0.55642381657144613</v>
      </c>
      <c r="OC29" s="9">
        <f t="shared" si="148"/>
        <v>0.62718355785710289</v>
      </c>
      <c r="OD29" s="9">
        <f t="shared" si="148"/>
        <v>0.67138829411990775</v>
      </c>
      <c r="OE29" s="9">
        <f t="shared" si="148"/>
        <v>0.75976149061813802</v>
      </c>
      <c r="OF29" s="9">
        <f t="shared" si="148"/>
        <v>0.93815382959506122</v>
      </c>
      <c r="OG29" s="9">
        <f t="shared" ca="1" si="148"/>
        <v>0.48331342489604728</v>
      </c>
      <c r="OH29" s="32"/>
      <c r="OS29" s="41">
        <f t="shared" si="59"/>
        <v>44714</v>
      </c>
      <c r="OT29" s="9"/>
      <c r="OU29" s="9">
        <f t="shared" si="149"/>
        <v>0.43713456623340002</v>
      </c>
      <c r="OV29" s="9">
        <f t="shared" si="149"/>
        <v>0.44218954647973319</v>
      </c>
      <c r="OW29" s="9">
        <f t="shared" si="149"/>
        <v>0.44528316918473337</v>
      </c>
      <c r="OX29" s="9">
        <f t="shared" si="149"/>
        <v>0.45033814943106654</v>
      </c>
      <c r="OY29" s="9">
        <f t="shared" si="149"/>
        <v>0.45719042589573322</v>
      </c>
      <c r="OZ29" s="9">
        <f t="shared" si="149"/>
        <v>0.4710590401480666</v>
      </c>
      <c r="PA29" s="9">
        <f t="shared" si="149"/>
        <v>0.48797770014906677</v>
      </c>
      <c r="PB29" s="9">
        <f t="shared" si="149"/>
        <v>0.50505453586506655</v>
      </c>
      <c r="PC29" s="9">
        <f t="shared" si="149"/>
        <v>0.53684550445473334</v>
      </c>
      <c r="PD29" s="9">
        <f t="shared" si="149"/>
        <v>0.59149174266240001</v>
      </c>
      <c r="PE29" s="9">
        <f t="shared" si="149"/>
        <v>0.66157998087006664</v>
      </c>
      <c r="PF29" s="9">
        <f t="shared" ca="1" si="149"/>
        <v>0.48331342489604717</v>
      </c>
    </row>
    <row r="30" spans="2:424" x14ac:dyDescent="0.25">
      <c r="B30" s="48">
        <v>42899</v>
      </c>
      <c r="C30" s="214">
        <v>11964463.729199998</v>
      </c>
      <c r="D30" s="214">
        <v>9122037</v>
      </c>
      <c r="E30" s="215">
        <v>5000000</v>
      </c>
      <c r="F30" s="215"/>
      <c r="G30" s="215"/>
      <c r="H30" s="215"/>
      <c r="I30" s="41">
        <v>43074</v>
      </c>
      <c r="J30" s="212">
        <v>21465538.048799999</v>
      </c>
      <c r="K30" s="212">
        <f t="shared" si="18"/>
        <v>575576846.40959978</v>
      </c>
      <c r="M30" s="41">
        <v>43438</v>
      </c>
      <c r="N30" s="212">
        <v>9389589.6311999988</v>
      </c>
      <c r="O30" s="212">
        <f t="shared" si="19"/>
        <v>533537647.81919986</v>
      </c>
      <c r="Q30" s="41">
        <v>43802</v>
      </c>
      <c r="R30" s="212">
        <v>13876881.825599998</v>
      </c>
      <c r="S30" s="212">
        <f t="shared" si="20"/>
        <v>497083796.40239978</v>
      </c>
      <c r="U30" s="41">
        <v>44173</v>
      </c>
      <c r="V30" s="212">
        <v>16717020.350399999</v>
      </c>
      <c r="W30" s="212">
        <f t="shared" si="21"/>
        <v>505604652.23159999</v>
      </c>
      <c r="Y30" s="41">
        <v>44537</v>
      </c>
      <c r="Z30" s="212">
        <v>41794278.173999995</v>
      </c>
      <c r="AA30" s="212">
        <f t="shared" si="22"/>
        <v>573748746.24239993</v>
      </c>
      <c r="AC30" s="32">
        <v>23</v>
      </c>
      <c r="AD30" s="39">
        <f t="shared" si="0"/>
        <v>0.57557684640959983</v>
      </c>
      <c r="AE30" s="39">
        <f t="shared" si="1"/>
        <v>0.53353764781919988</v>
      </c>
      <c r="AF30" s="39">
        <f t="shared" si="2"/>
        <v>0.4970837964023998</v>
      </c>
      <c r="AG30" s="39">
        <f t="shared" si="3"/>
        <v>0.5056046522316</v>
      </c>
      <c r="AH30" s="39">
        <f t="shared" si="4"/>
        <v>0.57374874624239991</v>
      </c>
      <c r="AI30" s="39">
        <f t="shared" si="23"/>
        <v>0.63994360111422877</v>
      </c>
      <c r="AJ30" s="9"/>
      <c r="AK30" s="9"/>
      <c r="AL30" s="9"/>
      <c r="AT30" s="60"/>
      <c r="AU30" s="62" t="s">
        <v>38</v>
      </c>
      <c r="AV30" s="10">
        <v>1.3928211646289768</v>
      </c>
      <c r="AW30" s="10">
        <v>1.2736671660274068</v>
      </c>
      <c r="AX30" s="10">
        <v>1.3059855505776297</v>
      </c>
      <c r="AY30" s="10">
        <v>1.5092175793302194</v>
      </c>
      <c r="AZ30" s="10">
        <v>1.5145655510385785</v>
      </c>
      <c r="BA30" s="10">
        <v>1.850834430842458</v>
      </c>
      <c r="BB30" s="10">
        <v>1.2541923341323571</v>
      </c>
      <c r="BM30" s="41">
        <f t="shared" si="60"/>
        <v>44537</v>
      </c>
      <c r="BN30" s="9">
        <f t="shared" si="5"/>
        <v>0.57374874624239991</v>
      </c>
      <c r="BO30" s="9">
        <f t="shared" si="140"/>
        <v>0.36874071211988974</v>
      </c>
      <c r="BP30" s="9">
        <f t="shared" si="140"/>
        <v>0.41913217590457669</v>
      </c>
      <c r="BQ30" s="9">
        <f t="shared" si="140"/>
        <v>0.44720574726550383</v>
      </c>
      <c r="BR30" s="9">
        <f t="shared" si="140"/>
        <v>0.46459652464151902</v>
      </c>
      <c r="BS30" s="9">
        <f t="shared" si="140"/>
        <v>0.49702893028114986</v>
      </c>
      <c r="BT30" s="9">
        <f t="shared" si="140"/>
        <v>0.53980557338726354</v>
      </c>
      <c r="BU30" s="9">
        <f t="shared" si="140"/>
        <v>0.58743336240958433</v>
      </c>
      <c r="BV30" s="9">
        <f t="shared" si="140"/>
        <v>0.6375696654445554</v>
      </c>
      <c r="BW30" s="9">
        <f t="shared" si="140"/>
        <v>0.66990399372860165</v>
      </c>
      <c r="BX30" s="9">
        <f t="shared" si="140"/>
        <v>0.73615970298346756</v>
      </c>
      <c r="BY30" s="9">
        <f t="shared" si="140"/>
        <v>0.90858249993074214</v>
      </c>
      <c r="BZ30" s="32"/>
      <c r="CA30" s="32"/>
      <c r="CL30" s="41">
        <f t="shared" si="61"/>
        <v>44901</v>
      </c>
      <c r="CM30" s="76">
        <v>0.54471389987168151</v>
      </c>
      <c r="CN30" s="9">
        <f t="shared" si="141"/>
        <v>0.41033982491400056</v>
      </c>
      <c r="CO30" s="9">
        <f t="shared" si="141"/>
        <v>0.46720367608240027</v>
      </c>
      <c r="CP30" s="9">
        <f t="shared" si="141"/>
        <v>0.50883792835950625</v>
      </c>
      <c r="CQ30" s="9">
        <f t="shared" si="141"/>
        <v>0.53082158872203755</v>
      </c>
      <c r="CR30" s="9">
        <f t="shared" si="141"/>
        <v>0.57696404994836836</v>
      </c>
      <c r="CS30" s="9">
        <f t="shared" si="141"/>
        <v>0.64054488469396964</v>
      </c>
      <c r="CT30" s="9">
        <f t="shared" si="141"/>
        <v>0.71131753919553309</v>
      </c>
      <c r="CU30" s="9">
        <f t="shared" si="141"/>
        <v>0.78853020986094902</v>
      </c>
      <c r="CV30" s="9">
        <f t="shared" si="141"/>
        <v>0.84020634281518458</v>
      </c>
      <c r="CW30" s="9">
        <f t="shared" si="141"/>
        <v>0.94487287866132952</v>
      </c>
      <c r="CX30" s="9">
        <f t="shared" si="141"/>
        <v>1.1731374895728617</v>
      </c>
      <c r="CY30" s="32"/>
      <c r="CZ30" s="32"/>
      <c r="DA30" s="32">
        <f t="shared" si="26"/>
        <v>0.54471389987168151</v>
      </c>
      <c r="DB30" s="32">
        <v>544713899.87168145</v>
      </c>
      <c r="DC30" s="32"/>
      <c r="DD30" s="41">
        <v>45265</v>
      </c>
      <c r="DE30" s="76">
        <v>0.53935201374669672</v>
      </c>
      <c r="DF30" s="9">
        <f t="shared" ref="DF30:DP30" si="170">DF29+DF$2</f>
        <v>0.4067594450249038</v>
      </c>
      <c r="DG30" s="9">
        <f t="shared" si="170"/>
        <v>0.45302932627796522</v>
      </c>
      <c r="DH30" s="9">
        <f t="shared" si="170"/>
        <v>0.48153222354094471</v>
      </c>
      <c r="DI30" s="9">
        <f t="shared" si="170"/>
        <v>0.50077663669826888</v>
      </c>
      <c r="DJ30" s="9">
        <f t="shared" si="170"/>
        <v>0.53791946938957291</v>
      </c>
      <c r="DK30" s="9">
        <f t="shared" si="170"/>
        <v>0.58715433174825893</v>
      </c>
      <c r="DL30" s="9">
        <f t="shared" si="170"/>
        <v>0.64867463085932309</v>
      </c>
      <c r="DM30" s="9">
        <f t="shared" si="170"/>
        <v>0.71510306980818272</v>
      </c>
      <c r="DN30" s="9">
        <f t="shared" si="170"/>
        <v>0.75522093910811294</v>
      </c>
      <c r="DO30" s="9">
        <f t="shared" si="170"/>
        <v>0.8440713536354425</v>
      </c>
      <c r="DP30" s="9">
        <f t="shared" si="170"/>
        <v>1.0577283547793241</v>
      </c>
      <c r="DQ30" s="32"/>
      <c r="DR30" s="32"/>
      <c r="DS30" s="32">
        <f t="shared" si="28"/>
        <v>0.54471389987168151</v>
      </c>
      <c r="DT30" s="32">
        <v>544713899.87168145</v>
      </c>
      <c r="DU30" s="32"/>
      <c r="EF30" s="32"/>
      <c r="EG30" s="41">
        <v>45629</v>
      </c>
      <c r="EH30" s="76">
        <v>0.54603822856934614</v>
      </c>
      <c r="EI30" s="9">
        <f t="shared" ref="EI30:ES30" si="171">EI29+EI$2</f>
        <v>0.46667725728841214</v>
      </c>
      <c r="EJ30" s="9">
        <f t="shared" si="171"/>
        <v>0.50646113273934823</v>
      </c>
      <c r="EK30" s="9">
        <f t="shared" si="171"/>
        <v>0.54110117285893056</v>
      </c>
      <c r="EL30" s="9">
        <f t="shared" si="171"/>
        <v>0.56372291943511432</v>
      </c>
      <c r="EM30" s="9">
        <f t="shared" si="171"/>
        <v>0.60549053265279928</v>
      </c>
      <c r="EN30" s="9">
        <f t="shared" si="171"/>
        <v>0.6633777876054967</v>
      </c>
      <c r="EO30" s="9">
        <f t="shared" si="171"/>
        <v>0.73074874649538601</v>
      </c>
      <c r="EP30" s="9">
        <f t="shared" si="171"/>
        <v>0.80274970452956906</v>
      </c>
      <c r="EQ30" s="9">
        <f t="shared" si="171"/>
        <v>0.84588448032934604</v>
      </c>
      <c r="ER30" s="9">
        <f t="shared" si="171"/>
        <v>0.94054118838092138</v>
      </c>
      <c r="ES30" s="9">
        <f t="shared" si="171"/>
        <v>1.1347014698692723</v>
      </c>
      <c r="ET30" s="32"/>
      <c r="EU30" s="32"/>
      <c r="EV30" s="32">
        <f t="shared" si="30"/>
        <v>0.54471389987168151</v>
      </c>
      <c r="EW30" s="32">
        <v>544713899.87168145</v>
      </c>
      <c r="EX30" s="32"/>
      <c r="FG30" s="32"/>
      <c r="FH30" s="32"/>
      <c r="FI30" s="41">
        <v>45993</v>
      </c>
      <c r="FJ30" s="76">
        <v>0.52232302817403553</v>
      </c>
      <c r="FK30" s="9">
        <f t="shared" ref="FK30:FU30" si="172">FK29+FK$2</f>
        <v>0.46667725728841214</v>
      </c>
      <c r="FL30" s="9">
        <f t="shared" si="172"/>
        <v>0.50646113273934823</v>
      </c>
      <c r="FM30" s="9">
        <f t="shared" si="172"/>
        <v>0.54110117285893056</v>
      </c>
      <c r="FN30" s="9">
        <f t="shared" si="172"/>
        <v>0.56372291943511432</v>
      </c>
      <c r="FO30" s="9">
        <f t="shared" si="172"/>
        <v>0.60549053265279928</v>
      </c>
      <c r="FP30" s="9">
        <f t="shared" si="172"/>
        <v>0.6633777876054967</v>
      </c>
      <c r="FQ30" s="9">
        <f t="shared" si="172"/>
        <v>0.73074874649538601</v>
      </c>
      <c r="FR30" s="9">
        <f t="shared" si="172"/>
        <v>0.80274970452956906</v>
      </c>
      <c r="FS30" s="9">
        <f t="shared" si="172"/>
        <v>0.84588448032934604</v>
      </c>
      <c r="FT30" s="9">
        <f t="shared" si="172"/>
        <v>0.94054118838092138</v>
      </c>
      <c r="FU30" s="9">
        <f t="shared" si="172"/>
        <v>1.1347014698692723</v>
      </c>
      <c r="FV30" s="32"/>
      <c r="FW30" s="32"/>
      <c r="FX30" s="32">
        <f t="shared" si="32"/>
        <v>0.54471389987168151</v>
      </c>
      <c r="FY30" s="32">
        <v>544713899.87168145</v>
      </c>
      <c r="FZ30" s="32"/>
      <c r="GI30" s="32"/>
      <c r="GJ30" s="41">
        <v>45629</v>
      </c>
      <c r="GK30" s="76">
        <v>0.54603822856934614</v>
      </c>
      <c r="GL30" s="9">
        <f t="shared" ref="GL30:GV30" si="173">GL29+GL$2</f>
        <v>0.38515715608165058</v>
      </c>
      <c r="GM30" s="9">
        <f t="shared" si="173"/>
        <v>0.44342736771430624</v>
      </c>
      <c r="GN30" s="9">
        <f t="shared" si="173"/>
        <v>0.47673762119010016</v>
      </c>
      <c r="GO30" s="9">
        <f t="shared" si="173"/>
        <v>0.49555400699132773</v>
      </c>
      <c r="GP30" s="9">
        <f t="shared" si="173"/>
        <v>0.53452507880026046</v>
      </c>
      <c r="GQ30" s="9">
        <f t="shared" si="173"/>
        <v>0.59906819543105461</v>
      </c>
      <c r="GR30" s="9">
        <f t="shared" si="173"/>
        <v>0.68287933101276932</v>
      </c>
      <c r="GS30" s="9">
        <f t="shared" si="173"/>
        <v>0.7813396271993911</v>
      </c>
      <c r="GT30" s="9">
        <f t="shared" si="173"/>
        <v>0.859893857482255</v>
      </c>
      <c r="GU30" s="9">
        <f t="shared" si="173"/>
        <v>1.0088550357747974</v>
      </c>
      <c r="GV30" s="9">
        <f t="shared" si="173"/>
        <v>1.3112394118641142</v>
      </c>
      <c r="GW30" s="32"/>
      <c r="GX30" s="32"/>
      <c r="GY30" s="32">
        <f t="shared" si="34"/>
        <v>0.54471389987168151</v>
      </c>
      <c r="GZ30" s="32">
        <v>544713899.87168145</v>
      </c>
      <c r="HA30" s="32"/>
      <c r="HB30" s="229">
        <v>45993</v>
      </c>
      <c r="HC30" s="230">
        <v>0.52232302817403553</v>
      </c>
      <c r="HD30" s="9">
        <f t="shared" ref="HD30:HN30" si="174">HD29+HD$2</f>
        <v>0.42669932626253759</v>
      </c>
      <c r="HE30" s="9">
        <f t="shared" si="174"/>
        <v>0.48118176262793921</v>
      </c>
      <c r="HF30" s="9">
        <f t="shared" si="174"/>
        <v>0.51917663450712315</v>
      </c>
      <c r="HG30" s="9">
        <f t="shared" si="174"/>
        <v>0.54318627646231887</v>
      </c>
      <c r="HH30" s="9">
        <f t="shared" si="174"/>
        <v>0.59540157798025517</v>
      </c>
      <c r="HI30" s="9">
        <f t="shared" si="174"/>
        <v>0.66883263928855941</v>
      </c>
      <c r="HJ30" s="9">
        <f t="shared" si="174"/>
        <v>0.76515600477560763</v>
      </c>
      <c r="HK30" s="9">
        <f t="shared" si="174"/>
        <v>0.8737530317943133</v>
      </c>
      <c r="HL30" s="9">
        <f t="shared" si="174"/>
        <v>0.94249787412474939</v>
      </c>
      <c r="HM30" s="9">
        <f t="shared" si="174"/>
        <v>1.0955547372575047</v>
      </c>
      <c r="HN30" s="9">
        <f t="shared" si="174"/>
        <v>1.4086474086681537</v>
      </c>
      <c r="HO30" s="32"/>
      <c r="HP30" s="32"/>
      <c r="HQ30" s="32">
        <v>522323028.17403555</v>
      </c>
      <c r="HR30" s="32">
        <f t="shared" si="36"/>
        <v>0.52232302817403553</v>
      </c>
      <c r="HT30" s="32"/>
      <c r="IC30" s="41">
        <f t="shared" si="67"/>
        <v>44901</v>
      </c>
      <c r="ID30" s="9">
        <v>0.55575439905830004</v>
      </c>
      <c r="IE30" s="9"/>
      <c r="IF30" s="9"/>
      <c r="IG30" s="9"/>
      <c r="IH30" s="9"/>
      <c r="II30" s="9"/>
      <c r="IJ30" s="9"/>
      <c r="IK30" s="9"/>
      <c r="IL30" s="9"/>
      <c r="IM30" s="9"/>
      <c r="IN30" s="9"/>
      <c r="IO30" s="9"/>
      <c r="IP30" s="32"/>
      <c r="IQ30" s="32"/>
      <c r="JB30" s="41">
        <f t="shared" si="13"/>
        <v>44537</v>
      </c>
      <c r="JC30" s="9">
        <f t="shared" si="14"/>
        <v>0.57374874624239991</v>
      </c>
      <c r="JD30" s="9"/>
      <c r="JE30" s="9"/>
      <c r="JF30" s="9"/>
      <c r="JG30" s="9"/>
      <c r="JH30" s="9"/>
      <c r="JI30" s="9"/>
      <c r="JJ30" s="9"/>
      <c r="JK30" s="9"/>
      <c r="JL30" s="9"/>
      <c r="JM30" s="9"/>
      <c r="JN30" s="9"/>
      <c r="JO30" s="9"/>
      <c r="JQ30" s="40" t="s">
        <v>245</v>
      </c>
      <c r="JZ30" s="41">
        <f t="shared" si="15"/>
        <v>44537</v>
      </c>
      <c r="KA30" s="9">
        <f t="shared" si="37"/>
        <v>0.57374874624239991</v>
      </c>
      <c r="KB30" s="9"/>
      <c r="KC30" s="9"/>
      <c r="KE30" s="40" t="s">
        <v>245</v>
      </c>
      <c r="KN30" s="41">
        <v>43074</v>
      </c>
      <c r="KO30" s="212">
        <v>21465538.048799999</v>
      </c>
      <c r="KP30" s="212">
        <f t="shared" si="38"/>
        <v>575576846.40959978</v>
      </c>
      <c r="KR30" s="41">
        <v>43256</v>
      </c>
      <c r="KS30" s="212">
        <v>17316755.755199999</v>
      </c>
      <c r="KT30" s="212">
        <f t="shared" si="39"/>
        <v>411449704.33679998</v>
      </c>
      <c r="KV30" s="41">
        <v>43438</v>
      </c>
      <c r="KW30" s="212">
        <v>9389589.6311999988</v>
      </c>
      <c r="KX30" s="212">
        <f t="shared" si="40"/>
        <v>533537647.81919986</v>
      </c>
      <c r="KZ30" s="41">
        <v>43620</v>
      </c>
      <c r="LA30" s="212">
        <v>44897976.377999999</v>
      </c>
      <c r="LB30" s="212">
        <f t="shared" si="41"/>
        <v>577679422.52879977</v>
      </c>
      <c r="LD30" s="41">
        <v>43802</v>
      </c>
      <c r="LE30" s="212">
        <v>13876881.825599998</v>
      </c>
      <c r="LF30" s="212">
        <f t="shared" si="42"/>
        <v>497083796.40239978</v>
      </c>
      <c r="LH30" s="41">
        <v>43991</v>
      </c>
      <c r="LI30" s="212">
        <v>16221170.671199998</v>
      </c>
      <c r="LJ30" s="212">
        <f t="shared" si="43"/>
        <v>371384500.52879995</v>
      </c>
      <c r="LL30" s="41">
        <v>44173</v>
      </c>
      <c r="LM30" s="212">
        <v>16717020.350399999</v>
      </c>
      <c r="LN30" s="212">
        <f t="shared" si="44"/>
        <v>505604652.23159999</v>
      </c>
      <c r="LP30" s="41">
        <v>44355</v>
      </c>
      <c r="LQ30" s="212">
        <v>23553090.068399999</v>
      </c>
      <c r="LR30" s="212">
        <f t="shared" si="45"/>
        <v>501102737.87759984</v>
      </c>
      <c r="LT30" s="41">
        <v>44537</v>
      </c>
      <c r="LU30" s="212">
        <v>41794278.173999995</v>
      </c>
      <c r="LV30" s="212">
        <f t="shared" si="46"/>
        <v>573748746.24239993</v>
      </c>
      <c r="MB30" s="32">
        <v>23</v>
      </c>
      <c r="MC30" s="42">
        <f t="shared" si="48"/>
        <v>0.57557684640959983</v>
      </c>
      <c r="MD30" s="42">
        <f t="shared" si="49"/>
        <v>0.4114497043368</v>
      </c>
      <c r="ME30" s="42">
        <f t="shared" si="50"/>
        <v>0.53353764781919988</v>
      </c>
      <c r="MF30" s="42">
        <f t="shared" si="51"/>
        <v>0.57767942252879978</v>
      </c>
      <c r="MG30" s="42">
        <f t="shared" si="52"/>
        <v>0.4970837964023998</v>
      </c>
      <c r="MH30" s="42">
        <f t="shared" si="53"/>
        <v>0.37138450052879995</v>
      </c>
      <c r="MI30" s="42">
        <f t="shared" si="54"/>
        <v>0.5056046522316</v>
      </c>
      <c r="MJ30" s="42">
        <f t="shared" si="55"/>
        <v>0.50110273787759985</v>
      </c>
      <c r="MK30" s="42">
        <f t="shared" si="56"/>
        <v>0.57374874624239991</v>
      </c>
      <c r="ML30" s="42"/>
      <c r="MM30" s="8">
        <f t="shared" ca="1" si="147"/>
        <v>0.47891966648790102</v>
      </c>
      <c r="MN30" s="8">
        <f t="shared" ca="1" si="147"/>
        <v>0.50528221693677655</v>
      </c>
      <c r="MO30" s="8">
        <f t="shared" ca="1" si="147"/>
        <v>0.53164476738565181</v>
      </c>
      <c r="MW30" s="60"/>
      <c r="MX30" s="62" t="s">
        <v>39</v>
      </c>
      <c r="MY30" s="10">
        <v>0.8846557676661444</v>
      </c>
      <c r="MZ30" s="10">
        <v>0.86593028254148563</v>
      </c>
      <c r="NA30" s="10">
        <v>0.79539763966206167</v>
      </c>
      <c r="NB30" s="10">
        <v>0.76501289555099994</v>
      </c>
      <c r="NC30" s="10">
        <v>0.7980680823029801</v>
      </c>
      <c r="ND30" s="10">
        <v>0.81878526708825083</v>
      </c>
      <c r="NE30" s="10">
        <v>0.98131033126280909</v>
      </c>
      <c r="NF30" s="10">
        <v>0.82932272982614497</v>
      </c>
      <c r="NG30" s="10">
        <v>0.9308391364606724</v>
      </c>
      <c r="NH30" s="10">
        <v>0.89789994345779989</v>
      </c>
      <c r="NI30" s="10">
        <v>0.63764378644319997</v>
      </c>
      <c r="NT30" s="41">
        <f t="shared" si="108"/>
        <v>44721</v>
      </c>
      <c r="NU30" s="9"/>
      <c r="NV30" s="9">
        <f t="shared" si="148"/>
        <v>0.35496248422276161</v>
      </c>
      <c r="NW30" s="9">
        <f t="shared" si="148"/>
        <v>0.38795651790290753</v>
      </c>
      <c r="NX30" s="9">
        <f t="shared" si="148"/>
        <v>0.4121003002988689</v>
      </c>
      <c r="NY30" s="9">
        <f t="shared" si="148"/>
        <v>0.43099439822743857</v>
      </c>
      <c r="NZ30" s="9">
        <f t="shared" si="148"/>
        <v>0.46909690762280792</v>
      </c>
      <c r="OA30" s="9">
        <f t="shared" si="148"/>
        <v>0.51811972124157701</v>
      </c>
      <c r="OB30" s="9">
        <f t="shared" si="148"/>
        <v>0.58171580823378455</v>
      </c>
      <c r="OC30" s="9">
        <f t="shared" si="148"/>
        <v>0.65569190139606215</v>
      </c>
      <c r="OD30" s="9">
        <f t="shared" si="148"/>
        <v>0.70190594385263083</v>
      </c>
      <c r="OE30" s="9">
        <f t="shared" si="148"/>
        <v>0.79429610382805338</v>
      </c>
      <c r="OF30" s="9">
        <f t="shared" si="148"/>
        <v>0.98079718548574579</v>
      </c>
      <c r="OG30" s="9">
        <f t="shared" ca="1" si="148"/>
        <v>0.50528221693677666</v>
      </c>
      <c r="OH30" s="32"/>
      <c r="OS30" s="41">
        <f t="shared" si="59"/>
        <v>44721</v>
      </c>
      <c r="OT30" s="9"/>
      <c r="OU30" s="9">
        <f t="shared" si="149"/>
        <v>0.44986758654160003</v>
      </c>
      <c r="OV30" s="9">
        <f t="shared" si="149"/>
        <v>0.45593356283719982</v>
      </c>
      <c r="OW30" s="9">
        <f t="shared" si="149"/>
        <v>0.45964591008320005</v>
      </c>
      <c r="OX30" s="9">
        <f t="shared" si="149"/>
        <v>0.46571188637879984</v>
      </c>
      <c r="OY30" s="9">
        <f t="shared" si="149"/>
        <v>0.47393461813639987</v>
      </c>
      <c r="OZ30" s="9">
        <f t="shared" si="149"/>
        <v>0.49057695523919992</v>
      </c>
      <c r="PA30" s="9">
        <f t="shared" si="149"/>
        <v>0.51087934724040007</v>
      </c>
      <c r="PB30" s="9">
        <f t="shared" si="149"/>
        <v>0.53137155009959991</v>
      </c>
      <c r="PC30" s="9">
        <f t="shared" si="149"/>
        <v>0.56952071240720004</v>
      </c>
      <c r="PD30" s="9">
        <f t="shared" si="149"/>
        <v>0.63509619825640007</v>
      </c>
      <c r="PE30" s="9">
        <f t="shared" si="149"/>
        <v>0.71920208410559994</v>
      </c>
      <c r="PF30" s="9">
        <f t="shared" ca="1" si="149"/>
        <v>0.50528221693677655</v>
      </c>
      <c r="PH30" s="40" t="s">
        <v>246</v>
      </c>
    </row>
    <row r="31" spans="2:424" x14ac:dyDescent="0.25">
      <c r="B31" s="48">
        <v>42906</v>
      </c>
      <c r="C31" s="214">
        <v>19180957.755599998</v>
      </c>
      <c r="D31" s="214">
        <v>14624091</v>
      </c>
      <c r="E31" s="215">
        <v>10000000</v>
      </c>
      <c r="F31" s="215"/>
      <c r="G31" s="215"/>
      <c r="H31" s="215"/>
      <c r="I31" s="41">
        <v>43081</v>
      </c>
      <c r="J31" s="212">
        <v>25498613.613599997</v>
      </c>
      <c r="K31" s="212">
        <f t="shared" si="18"/>
        <v>601075460.0231998</v>
      </c>
      <c r="M31" s="41">
        <v>43445</v>
      </c>
      <c r="N31" s="212">
        <v>8626655.5199999996</v>
      </c>
      <c r="O31" s="212">
        <f t="shared" si="19"/>
        <v>542164303.3391999</v>
      </c>
      <c r="Q31" s="41">
        <v>43809</v>
      </c>
      <c r="R31" s="212">
        <v>20040456.855599999</v>
      </c>
      <c r="S31" s="212">
        <f t="shared" si="20"/>
        <v>517124253.25799978</v>
      </c>
      <c r="U31" s="41">
        <v>44180</v>
      </c>
      <c r="V31" s="212">
        <v>11462694.987599999</v>
      </c>
      <c r="W31" s="212">
        <f t="shared" si="21"/>
        <v>517067347.21920002</v>
      </c>
      <c r="Y31" s="41">
        <v>44544</v>
      </c>
      <c r="Z31" s="212">
        <v>11685516.429599999</v>
      </c>
      <c r="AA31" s="212">
        <f t="shared" si="22"/>
        <v>585434262.67199993</v>
      </c>
      <c r="AC31" s="32">
        <v>24</v>
      </c>
      <c r="AD31" s="39">
        <f t="shared" si="0"/>
        <v>0.60107546002319978</v>
      </c>
      <c r="AE31" s="39">
        <f t="shared" si="1"/>
        <v>0.54216430333919985</v>
      </c>
      <c r="AF31" s="39">
        <f t="shared" si="2"/>
        <v>0.51712425325799982</v>
      </c>
      <c r="AG31" s="39">
        <f t="shared" si="3"/>
        <v>0.5170673472192</v>
      </c>
      <c r="AH31" s="39">
        <f t="shared" si="4"/>
        <v>0.58543426267199994</v>
      </c>
      <c r="AI31" s="39">
        <f t="shared" si="23"/>
        <v>0.6677672359452822</v>
      </c>
      <c r="AJ31" s="9"/>
      <c r="AK31" s="9"/>
      <c r="AL31" s="9"/>
      <c r="AT31" s="60"/>
      <c r="AU31" s="62" t="s">
        <v>39</v>
      </c>
      <c r="AV31" s="10">
        <v>1.5403110334666472</v>
      </c>
      <c r="AW31" s="10">
        <v>1.416086836257122</v>
      </c>
      <c r="AX31" s="10">
        <v>1.4246490830780434</v>
      </c>
      <c r="AY31" s="10">
        <v>1.6414745685879719</v>
      </c>
      <c r="AZ31" s="10">
        <v>1.6643610676147969</v>
      </c>
      <c r="BA31" s="10">
        <v>2.0582742910868226</v>
      </c>
      <c r="BB31" s="10">
        <v>1.3983316703442188</v>
      </c>
      <c r="BM31" s="41">
        <f t="shared" si="60"/>
        <v>44544</v>
      </c>
      <c r="BN31" s="9">
        <f t="shared" si="5"/>
        <v>0.58543426267199994</v>
      </c>
      <c r="BO31" s="9">
        <f t="shared" si="140"/>
        <v>0.38477291699466754</v>
      </c>
      <c r="BP31" s="9">
        <f t="shared" si="140"/>
        <v>0.43735531398738436</v>
      </c>
      <c r="BQ31" s="9">
        <f t="shared" si="140"/>
        <v>0.46664947540748225</v>
      </c>
      <c r="BR31" s="9">
        <f t="shared" si="140"/>
        <v>0.48479637353897637</v>
      </c>
      <c r="BS31" s="9">
        <f t="shared" si="140"/>
        <v>0.51863888377163458</v>
      </c>
      <c r="BT31" s="9">
        <f t="shared" si="140"/>
        <v>0.56327538092584017</v>
      </c>
      <c r="BU31" s="9">
        <f t="shared" si="140"/>
        <v>0.61297394338391409</v>
      </c>
      <c r="BV31" s="9">
        <f t="shared" si="140"/>
        <v>0.66529008568127523</v>
      </c>
      <c r="BW31" s="9">
        <f t="shared" si="140"/>
        <v>0.69903025432549737</v>
      </c>
      <c r="BX31" s="9">
        <f t="shared" si="140"/>
        <v>0.7681666465914444</v>
      </c>
      <c r="BY31" s="9">
        <f t="shared" si="140"/>
        <v>0.94808608688425267</v>
      </c>
      <c r="BZ31" s="32"/>
      <c r="CA31" s="32"/>
      <c r="CL31" s="41">
        <f t="shared" si="61"/>
        <v>44908</v>
      </c>
      <c r="CM31" s="76">
        <v>0.55672420885427742</v>
      </c>
      <c r="CN31" s="9">
        <f t="shared" si="141"/>
        <v>0.42818068686678318</v>
      </c>
      <c r="CO31" s="9">
        <f t="shared" si="141"/>
        <v>0.48751687939033073</v>
      </c>
      <c r="CP31" s="9">
        <f t="shared" si="141"/>
        <v>0.53096131654904999</v>
      </c>
      <c r="CQ31" s="9">
        <f t="shared" si="141"/>
        <v>0.55390078823169131</v>
      </c>
      <c r="CR31" s="9">
        <f t="shared" si="141"/>
        <v>0.60204944342438438</v>
      </c>
      <c r="CS31" s="9">
        <f t="shared" si="141"/>
        <v>0.66839466228935962</v>
      </c>
      <c r="CT31" s="9">
        <f t="shared" si="141"/>
        <v>0.7422443887257737</v>
      </c>
      <c r="CU31" s="9">
        <f t="shared" si="141"/>
        <v>0.82281413202881637</v>
      </c>
      <c r="CV31" s="9">
        <f t="shared" si="141"/>
        <v>0.87673705337236651</v>
      </c>
      <c r="CW31" s="9">
        <f t="shared" si="141"/>
        <v>0.98595430816834384</v>
      </c>
      <c r="CX31" s="9">
        <f t="shared" si="141"/>
        <v>1.2241434673803775</v>
      </c>
      <c r="CY31" s="32"/>
      <c r="CZ31" s="32"/>
      <c r="DA31" s="32">
        <f t="shared" si="26"/>
        <v>0.55672420885427742</v>
      </c>
      <c r="DB31" s="32">
        <v>556724208.85427737</v>
      </c>
      <c r="DC31" s="32"/>
      <c r="DD31" s="41">
        <v>45272</v>
      </c>
      <c r="DE31" s="76">
        <v>0.59847880414189192</v>
      </c>
      <c r="DF31" s="9">
        <f t="shared" ref="DF31:DP31" si="175">DF30+DF$2</f>
        <v>0.42444463828685614</v>
      </c>
      <c r="DG31" s="9">
        <f t="shared" si="175"/>
        <v>0.47272625350744196</v>
      </c>
      <c r="DH31" s="9">
        <f t="shared" si="175"/>
        <v>0.50246840717315966</v>
      </c>
      <c r="DI31" s="9">
        <f t="shared" si="175"/>
        <v>0.52254953394601966</v>
      </c>
      <c r="DJ31" s="9">
        <f t="shared" si="175"/>
        <v>0.5613072724065109</v>
      </c>
      <c r="DK31" s="9">
        <f t="shared" si="175"/>
        <v>0.61268278095470496</v>
      </c>
      <c r="DL31" s="9">
        <f t="shared" si="175"/>
        <v>0.67687787567929369</v>
      </c>
      <c r="DM31" s="9">
        <f t="shared" si="175"/>
        <v>0.74619450762592976</v>
      </c>
      <c r="DN31" s="9">
        <f t="shared" si="175"/>
        <v>0.78805663211281352</v>
      </c>
      <c r="DO31" s="9">
        <f t="shared" si="175"/>
        <v>0.88077010814133128</v>
      </c>
      <c r="DP31" s="9">
        <f t="shared" si="175"/>
        <v>1.1037165441175556</v>
      </c>
      <c r="DQ31" s="32"/>
      <c r="DR31" s="32"/>
      <c r="DS31" s="32">
        <f t="shared" si="28"/>
        <v>0.55672420885427742</v>
      </c>
      <c r="DT31" s="32">
        <v>556724208.85427737</v>
      </c>
      <c r="DU31" s="32"/>
      <c r="EF31" s="32"/>
      <c r="EG31" s="41">
        <v>45636</v>
      </c>
      <c r="EH31" s="76">
        <v>0.60368808089622306</v>
      </c>
      <c r="EI31" s="9">
        <f t="shared" ref="EI31:ES31" si="176">EI30+EI$2</f>
        <v>0.48696757282269093</v>
      </c>
      <c r="EJ31" s="9">
        <f t="shared" si="176"/>
        <v>0.52848118198888505</v>
      </c>
      <c r="EK31" s="9">
        <f t="shared" si="176"/>
        <v>0.56462731080931883</v>
      </c>
      <c r="EL31" s="9">
        <f t="shared" si="176"/>
        <v>0.58823261158446716</v>
      </c>
      <c r="EM31" s="9">
        <f t="shared" si="176"/>
        <v>0.63181620798552973</v>
      </c>
      <c r="EN31" s="9">
        <f t="shared" si="176"/>
        <v>0.69222030011008351</v>
      </c>
      <c r="EO31" s="9">
        <f t="shared" si="176"/>
        <v>0.76252043112562018</v>
      </c>
      <c r="EP31" s="9">
        <f t="shared" si="176"/>
        <v>0.83765186559607208</v>
      </c>
      <c r="EQ31" s="9">
        <f t="shared" si="176"/>
        <v>0.88266206643062195</v>
      </c>
      <c r="ER31" s="9">
        <f t="shared" si="176"/>
        <v>0.98143428352791795</v>
      </c>
      <c r="ES31" s="9">
        <f t="shared" si="176"/>
        <v>1.1840363163853276</v>
      </c>
      <c r="ET31" s="32"/>
      <c r="EU31" s="32"/>
      <c r="EV31" s="32">
        <f t="shared" si="30"/>
        <v>0.55672420885427742</v>
      </c>
      <c r="EW31" s="32">
        <v>556724208.85427737</v>
      </c>
      <c r="EX31" s="32"/>
      <c r="FG31" s="32"/>
      <c r="FH31" s="32"/>
      <c r="FI31" s="41">
        <v>46000</v>
      </c>
      <c r="FJ31" s="76">
        <v>0.56298249988860016</v>
      </c>
      <c r="FK31" s="9">
        <f t="shared" ref="FK31:FU31" si="177">FK30+FK$2</f>
        <v>0.48696757282269093</v>
      </c>
      <c r="FL31" s="9">
        <f t="shared" si="177"/>
        <v>0.52848118198888505</v>
      </c>
      <c r="FM31" s="9">
        <f t="shared" si="177"/>
        <v>0.56462731080931883</v>
      </c>
      <c r="FN31" s="9">
        <f t="shared" si="177"/>
        <v>0.58823261158446716</v>
      </c>
      <c r="FO31" s="9">
        <f t="shared" si="177"/>
        <v>0.63181620798552973</v>
      </c>
      <c r="FP31" s="9">
        <f t="shared" si="177"/>
        <v>0.69222030011008351</v>
      </c>
      <c r="FQ31" s="9">
        <f t="shared" si="177"/>
        <v>0.76252043112562018</v>
      </c>
      <c r="FR31" s="9">
        <f t="shared" si="177"/>
        <v>0.83765186559607208</v>
      </c>
      <c r="FS31" s="9">
        <f t="shared" si="177"/>
        <v>0.88266206643062195</v>
      </c>
      <c r="FT31" s="9">
        <f t="shared" si="177"/>
        <v>0.98143428352791795</v>
      </c>
      <c r="FU31" s="9">
        <f t="shared" si="177"/>
        <v>1.1840363163853276</v>
      </c>
      <c r="FV31" s="32"/>
      <c r="FW31" s="32"/>
      <c r="FX31" s="32">
        <f t="shared" si="32"/>
        <v>0.55672420885427742</v>
      </c>
      <c r="FY31" s="32">
        <v>556724208.85427737</v>
      </c>
      <c r="FZ31" s="32"/>
      <c r="GI31" s="32"/>
      <c r="GJ31" s="41">
        <v>45636</v>
      </c>
      <c r="GK31" s="76">
        <v>0.60368808089622306</v>
      </c>
      <c r="GL31" s="9">
        <f t="shared" ref="GL31:GV31" si="178">GL30+GL$2</f>
        <v>0.40190311938954842</v>
      </c>
      <c r="GM31" s="9">
        <f t="shared" si="178"/>
        <v>0.46270681848449347</v>
      </c>
      <c r="GN31" s="9">
        <f t="shared" si="178"/>
        <v>0.49746534385053931</v>
      </c>
      <c r="GO31" s="9">
        <f t="shared" si="178"/>
        <v>0.51709983338225507</v>
      </c>
      <c r="GP31" s="9">
        <f t="shared" si="178"/>
        <v>0.55776529961766308</v>
      </c>
      <c r="GQ31" s="9">
        <f t="shared" si="178"/>
        <v>0.62511463871066564</v>
      </c>
      <c r="GR31" s="9">
        <f t="shared" si="178"/>
        <v>0.71256973670897672</v>
      </c>
      <c r="GS31" s="9">
        <f t="shared" si="178"/>
        <v>0.81531091533849509</v>
      </c>
      <c r="GT31" s="9">
        <f t="shared" si="178"/>
        <v>0.89728054693800519</v>
      </c>
      <c r="GU31" s="9">
        <f t="shared" si="178"/>
        <v>1.0527182981997887</v>
      </c>
      <c r="GV31" s="9">
        <f t="shared" si="178"/>
        <v>1.3682498210755973</v>
      </c>
      <c r="GW31" s="32"/>
      <c r="GX31" s="32"/>
      <c r="GY31" s="32">
        <f t="shared" si="34"/>
        <v>0.55672420885427742</v>
      </c>
      <c r="GZ31" s="32">
        <v>556724208.85427737</v>
      </c>
      <c r="HA31" s="32"/>
      <c r="HB31" s="229">
        <v>46000</v>
      </c>
      <c r="HC31" s="230">
        <v>0.56298249988860016</v>
      </c>
      <c r="HD31" s="9">
        <f t="shared" ref="HD31:HN31" si="179">HD30+HD$2</f>
        <v>0.44525147088264794</v>
      </c>
      <c r="HE31" s="9">
        <f t="shared" si="179"/>
        <v>0.50210270882915398</v>
      </c>
      <c r="HF31" s="9">
        <f t="shared" si="179"/>
        <v>0.54174953165960671</v>
      </c>
      <c r="HG31" s="9">
        <f t="shared" si="179"/>
        <v>0.56680307109111538</v>
      </c>
      <c r="HH31" s="9">
        <f t="shared" si="179"/>
        <v>0.62128860310983147</v>
      </c>
      <c r="HI31" s="9">
        <f t="shared" si="179"/>
        <v>0.6979123192576272</v>
      </c>
      <c r="HJ31" s="9">
        <f t="shared" si="179"/>
        <v>0.7984236571571558</v>
      </c>
      <c r="HK31" s="9">
        <f t="shared" si="179"/>
        <v>0.91174229404623996</v>
      </c>
      <c r="HL31" s="9">
        <f t="shared" si="179"/>
        <v>0.98347604256495591</v>
      </c>
      <c r="HM31" s="9">
        <f t="shared" si="179"/>
        <v>1.1431875519208745</v>
      </c>
      <c r="HN31" s="9">
        <f t="shared" si="179"/>
        <v>1.4698929481754648</v>
      </c>
      <c r="HO31" s="32"/>
      <c r="HP31" s="32"/>
      <c r="HQ31" s="32">
        <v>562982499.88860011</v>
      </c>
      <c r="HR31" s="32">
        <f t="shared" si="36"/>
        <v>0.56298249988860016</v>
      </c>
      <c r="HT31" s="32"/>
      <c r="IC31" s="41">
        <f t="shared" si="67"/>
        <v>44908</v>
      </c>
      <c r="ID31" s="9">
        <v>0.568407266011</v>
      </c>
      <c r="IE31" s="9"/>
      <c r="IF31" s="9"/>
      <c r="IG31" s="9"/>
      <c r="IH31" s="9"/>
      <c r="II31" s="9"/>
      <c r="IJ31" s="9"/>
      <c r="IK31" s="9"/>
      <c r="IL31" s="9"/>
      <c r="IM31" s="9"/>
      <c r="IN31" s="9"/>
      <c r="IO31" s="9"/>
      <c r="IP31" s="32"/>
      <c r="IQ31" s="32"/>
      <c r="JB31" s="41">
        <f t="shared" si="13"/>
        <v>44544</v>
      </c>
      <c r="JC31" s="9">
        <f t="shared" si="14"/>
        <v>0.58543426267199994</v>
      </c>
      <c r="JD31" s="9"/>
      <c r="JE31" s="9"/>
      <c r="JF31" s="9"/>
      <c r="JG31" s="9"/>
      <c r="JH31" s="9"/>
      <c r="JI31" s="9"/>
      <c r="JJ31" s="9"/>
      <c r="JK31" s="9"/>
      <c r="JL31" s="9"/>
      <c r="JM31" s="9"/>
      <c r="JN31" s="9"/>
      <c r="JO31" s="9"/>
      <c r="JZ31" s="41">
        <f t="shared" si="15"/>
        <v>44544</v>
      </c>
      <c r="KA31" s="9">
        <f t="shared" si="37"/>
        <v>0.58543426267199994</v>
      </c>
      <c r="KB31" s="9"/>
      <c r="KC31" s="9"/>
      <c r="KN31" s="41">
        <v>43081</v>
      </c>
      <c r="KO31" s="212">
        <v>25498613.613599997</v>
      </c>
      <c r="KP31" s="212">
        <f t="shared" si="38"/>
        <v>601075460.0231998</v>
      </c>
      <c r="KR31" s="41">
        <v>43263</v>
      </c>
      <c r="KS31" s="212">
        <v>24855037.725599997</v>
      </c>
      <c r="KT31" s="212">
        <f t="shared" si="39"/>
        <v>436304742.06239998</v>
      </c>
      <c r="KV31" s="41">
        <v>43445</v>
      </c>
      <c r="KW31" s="212">
        <v>8626655.5199999996</v>
      </c>
      <c r="KX31" s="212">
        <f t="shared" si="40"/>
        <v>542164303.3391999</v>
      </c>
      <c r="KZ31" s="41">
        <v>43627</v>
      </c>
      <c r="LA31" s="212">
        <v>51909644.390399992</v>
      </c>
      <c r="LB31" s="212">
        <f t="shared" si="41"/>
        <v>629589066.91919971</v>
      </c>
      <c r="LD31" s="41">
        <v>43809</v>
      </c>
      <c r="LE31" s="212">
        <v>20040456.855599999</v>
      </c>
      <c r="LF31" s="212">
        <f t="shared" si="42"/>
        <v>517124253.25799978</v>
      </c>
      <c r="LH31" s="41">
        <v>43998</v>
      </c>
      <c r="LI31" s="212">
        <v>23723862.263999999</v>
      </c>
      <c r="LJ31" s="212">
        <f t="shared" si="43"/>
        <v>395108362.79279995</v>
      </c>
      <c r="LL31" s="41">
        <v>44180</v>
      </c>
      <c r="LM31" s="212">
        <v>11462694.987599999</v>
      </c>
      <c r="LN31" s="212">
        <f t="shared" si="44"/>
        <v>517067347.21920002</v>
      </c>
      <c r="LP31" s="41">
        <v>44362</v>
      </c>
      <c r="LQ31" s="212">
        <v>12093389.063999999</v>
      </c>
      <c r="LR31" s="212">
        <f t="shared" si="45"/>
        <v>513196126.94159985</v>
      </c>
      <c r="LT31" s="41">
        <v>44544</v>
      </c>
      <c r="LU31" s="212">
        <v>11685516.429599999</v>
      </c>
      <c r="LV31" s="212">
        <f t="shared" si="46"/>
        <v>585434262.67199993</v>
      </c>
      <c r="MB31" s="32">
        <v>24</v>
      </c>
      <c r="MC31" s="42">
        <f t="shared" si="48"/>
        <v>0.60107546002319978</v>
      </c>
      <c r="MD31" s="42">
        <f t="shared" si="49"/>
        <v>0.4363047420624</v>
      </c>
      <c r="ME31" s="42">
        <f t="shared" si="50"/>
        <v>0.54216430333919985</v>
      </c>
      <c r="MF31" s="42">
        <f t="shared" si="51"/>
        <v>0.62958906691919969</v>
      </c>
      <c r="MG31" s="42">
        <f t="shared" si="52"/>
        <v>0.51712425325799982</v>
      </c>
      <c r="MH31" s="42">
        <f t="shared" si="53"/>
        <v>0.39510836279279993</v>
      </c>
      <c r="MI31" s="42">
        <f t="shared" si="54"/>
        <v>0.5170673472192</v>
      </c>
      <c r="MJ31" s="42">
        <f t="shared" si="55"/>
        <v>0.51319612694159988</v>
      </c>
      <c r="MK31" s="42">
        <f t="shared" si="56"/>
        <v>0.58543426267199994</v>
      </c>
      <c r="ML31" s="42"/>
      <c r="MM31" s="8">
        <f t="shared" ca="1" si="147"/>
        <v>0.49649470012048452</v>
      </c>
      <c r="MN31" s="8">
        <f t="shared" ca="1" si="147"/>
        <v>0.52725100897750599</v>
      </c>
      <c r="MO31" s="8">
        <f t="shared" ca="1" si="147"/>
        <v>0.55800731783452706</v>
      </c>
      <c r="MW31" s="60"/>
      <c r="MX31" s="62" t="s">
        <v>40</v>
      </c>
      <c r="MY31" s="10">
        <v>1.20848189074296</v>
      </c>
      <c r="MZ31" s="10">
        <v>1.1702829917098285</v>
      </c>
      <c r="NA31" s="10">
        <v>1.0511381062644516</v>
      </c>
      <c r="NB31" s="10">
        <v>0.98424471403799985</v>
      </c>
      <c r="NC31" s="10">
        <v>1.0219862966069826</v>
      </c>
      <c r="ND31" s="10">
        <v>1.0610252434194858</v>
      </c>
      <c r="NE31" s="10">
        <v>1.2272261179807997</v>
      </c>
      <c r="NF31" s="10">
        <v>1.0354977211733996</v>
      </c>
      <c r="NG31" s="10">
        <v>1.232086555047428</v>
      </c>
      <c r="NH31" s="10">
        <v>1.1087272531577999</v>
      </c>
      <c r="NI31" s="10">
        <v>0.95353693737059986</v>
      </c>
      <c r="NT31" s="41">
        <f t="shared" si="108"/>
        <v>44728</v>
      </c>
      <c r="NU31" s="9"/>
      <c r="NV31" s="9">
        <f t="shared" si="148"/>
        <v>0.37039563571070777</v>
      </c>
      <c r="NW31" s="9">
        <f t="shared" si="148"/>
        <v>0.40482419259433827</v>
      </c>
      <c r="NX31" s="9">
        <f t="shared" si="148"/>
        <v>0.4300177046596893</v>
      </c>
      <c r="NY31" s="9">
        <f t="shared" si="148"/>
        <v>0.44973328510689242</v>
      </c>
      <c r="NZ31" s="9">
        <f t="shared" si="148"/>
        <v>0.48949242534553872</v>
      </c>
      <c r="OA31" s="9">
        <f t="shared" si="148"/>
        <v>0.54064666564338471</v>
      </c>
      <c r="OB31" s="9">
        <f t="shared" si="148"/>
        <v>0.60700779989612297</v>
      </c>
      <c r="OC31" s="9">
        <f t="shared" si="148"/>
        <v>0.68420024493502141</v>
      </c>
      <c r="OD31" s="9">
        <f t="shared" si="148"/>
        <v>0.73242359358535392</v>
      </c>
      <c r="OE31" s="9">
        <f t="shared" si="148"/>
        <v>0.82883071703796873</v>
      </c>
      <c r="OF31" s="9">
        <f t="shared" si="148"/>
        <v>1.0234405413764305</v>
      </c>
      <c r="OG31" s="9">
        <f t="shared" ca="1" si="148"/>
        <v>0.5272510089775061</v>
      </c>
      <c r="OH31" s="32"/>
      <c r="OS31" s="41">
        <f t="shared" si="59"/>
        <v>44728</v>
      </c>
      <c r="OT31" s="9"/>
      <c r="OU31" s="9">
        <f t="shared" si="149"/>
        <v>0.46260060684980003</v>
      </c>
      <c r="OV31" s="9">
        <f t="shared" si="149"/>
        <v>0.46967757919466646</v>
      </c>
      <c r="OW31" s="9">
        <f t="shared" si="149"/>
        <v>0.47400865098166672</v>
      </c>
      <c r="OX31" s="9">
        <f t="shared" si="149"/>
        <v>0.48108562332653315</v>
      </c>
      <c r="OY31" s="9">
        <f t="shared" si="149"/>
        <v>0.49067881037706651</v>
      </c>
      <c r="OZ31" s="9">
        <f t="shared" si="149"/>
        <v>0.51009487033033329</v>
      </c>
      <c r="PA31" s="9">
        <f t="shared" si="149"/>
        <v>0.53378099433173343</v>
      </c>
      <c r="PB31" s="9">
        <f t="shared" si="149"/>
        <v>0.55768856433413327</v>
      </c>
      <c r="PC31" s="9">
        <f t="shared" si="149"/>
        <v>0.60219592035966674</v>
      </c>
      <c r="PD31" s="9">
        <f t="shared" si="149"/>
        <v>0.67870065385040013</v>
      </c>
      <c r="PE31" s="9">
        <f t="shared" si="149"/>
        <v>0.77682418734113323</v>
      </c>
      <c r="PF31" s="9">
        <f t="shared" ca="1" si="149"/>
        <v>0.52725100897750599</v>
      </c>
    </row>
    <row r="32" spans="2:424" x14ac:dyDescent="0.25">
      <c r="B32" s="48">
        <v>42913</v>
      </c>
      <c r="C32" s="214">
        <v>22122350.603999998</v>
      </c>
      <c r="D32" s="214">
        <v>16866690</v>
      </c>
      <c r="E32" s="215">
        <v>15000000</v>
      </c>
      <c r="F32" s="81"/>
      <c r="G32" s="81"/>
      <c r="H32" s="215"/>
      <c r="I32" s="41">
        <v>43088</v>
      </c>
      <c r="J32" s="212">
        <v>27988134.029999997</v>
      </c>
      <c r="K32" s="212">
        <f t="shared" si="18"/>
        <v>629063594.05319977</v>
      </c>
      <c r="M32" s="41">
        <v>43452</v>
      </c>
      <c r="N32" s="212">
        <v>11770135.761599999</v>
      </c>
      <c r="O32" s="212">
        <f t="shared" si="19"/>
        <v>553934439.10079992</v>
      </c>
      <c r="Q32" s="41">
        <v>43816</v>
      </c>
      <c r="R32" s="212">
        <v>21636365.054399997</v>
      </c>
      <c r="S32" s="212">
        <f t="shared" si="20"/>
        <v>538760618.31239974</v>
      </c>
      <c r="U32" s="41">
        <v>44187</v>
      </c>
      <c r="V32" s="212">
        <v>15157155.103199998</v>
      </c>
      <c r="W32" s="212">
        <f t="shared" si="21"/>
        <v>532224502.32240003</v>
      </c>
      <c r="Y32" s="41">
        <v>44551</v>
      </c>
      <c r="Z32" s="212">
        <v>12547668.437999999</v>
      </c>
      <c r="AA32" s="212">
        <f t="shared" si="22"/>
        <v>597981931.1099999</v>
      </c>
      <c r="AC32" s="32">
        <v>25</v>
      </c>
      <c r="AD32" s="39">
        <f t="shared" si="0"/>
        <v>0.62906359405319978</v>
      </c>
      <c r="AE32" s="39">
        <f t="shared" si="1"/>
        <v>0.55393443910079987</v>
      </c>
      <c r="AF32" s="39">
        <f t="shared" si="2"/>
        <v>0.53876061831239974</v>
      </c>
      <c r="AG32" s="39">
        <f t="shared" si="3"/>
        <v>0.53222450232240004</v>
      </c>
      <c r="AH32" s="39">
        <f t="shared" si="4"/>
        <v>0.59798193110999986</v>
      </c>
      <c r="AI32" s="39">
        <f t="shared" si="23"/>
        <v>0.69559087077633563</v>
      </c>
      <c r="AJ32" s="9"/>
      <c r="AK32" s="9"/>
      <c r="AL32" s="9"/>
      <c r="AT32" s="60"/>
      <c r="AU32" s="62" t="s">
        <v>40</v>
      </c>
      <c r="AV32" s="10">
        <v>1.8287853494960831</v>
      </c>
      <c r="AW32" s="10">
        <v>1.7622553654388406</v>
      </c>
      <c r="AX32" s="10">
        <v>1.6467124075667285</v>
      </c>
      <c r="AY32" s="10">
        <v>1.9105201954049136</v>
      </c>
      <c r="AZ32" s="10">
        <v>2.0541865215825474</v>
      </c>
      <c r="BA32" s="10">
        <v>2.5502501980664838</v>
      </c>
      <c r="BB32" s="10">
        <v>1.6497220978510785</v>
      </c>
      <c r="BM32" s="41">
        <f t="shared" si="60"/>
        <v>44551</v>
      </c>
      <c r="BN32" s="9">
        <f t="shared" si="5"/>
        <v>0.59798193110999986</v>
      </c>
      <c r="BO32" s="9">
        <f t="shared" si="140"/>
        <v>0.40080512186944534</v>
      </c>
      <c r="BP32" s="9">
        <f t="shared" si="140"/>
        <v>0.45557845207019204</v>
      </c>
      <c r="BQ32" s="9">
        <f t="shared" si="140"/>
        <v>0.48609320354946067</v>
      </c>
      <c r="BR32" s="9">
        <f t="shared" si="140"/>
        <v>0.50499622243643372</v>
      </c>
      <c r="BS32" s="9">
        <f t="shared" si="140"/>
        <v>0.54024883726211936</v>
      </c>
      <c r="BT32" s="9">
        <f t="shared" si="140"/>
        <v>0.58674518846441681</v>
      </c>
      <c r="BU32" s="9">
        <f t="shared" si="140"/>
        <v>0.63851452435824385</v>
      </c>
      <c r="BV32" s="9">
        <f t="shared" si="140"/>
        <v>0.69301050591799507</v>
      </c>
      <c r="BW32" s="9">
        <f t="shared" si="140"/>
        <v>0.72815651492239308</v>
      </c>
      <c r="BX32" s="9">
        <f t="shared" si="140"/>
        <v>0.80017359019942125</v>
      </c>
      <c r="BY32" s="9">
        <f t="shared" si="140"/>
        <v>0.98758967383776319</v>
      </c>
      <c r="BZ32" s="32"/>
      <c r="CA32" s="32"/>
      <c r="CL32" s="41">
        <f t="shared" si="61"/>
        <v>44915</v>
      </c>
      <c r="CM32" s="76">
        <v>0.56989902180014751</v>
      </c>
      <c r="CN32" s="9">
        <f t="shared" si="141"/>
        <v>0.44602154881956579</v>
      </c>
      <c r="CO32" s="9">
        <f t="shared" si="141"/>
        <v>0.50783008269826113</v>
      </c>
      <c r="CP32" s="9">
        <f t="shared" si="141"/>
        <v>0.55308470473859372</v>
      </c>
      <c r="CQ32" s="9">
        <f t="shared" si="141"/>
        <v>0.57697998774134507</v>
      </c>
      <c r="CR32" s="9">
        <f t="shared" si="141"/>
        <v>0.62713483690040039</v>
      </c>
      <c r="CS32" s="9">
        <f t="shared" si="141"/>
        <v>0.6962444398847496</v>
      </c>
      <c r="CT32" s="9">
        <f t="shared" si="141"/>
        <v>0.7731712382560143</v>
      </c>
      <c r="CU32" s="9">
        <f t="shared" si="141"/>
        <v>0.85709805419668372</v>
      </c>
      <c r="CV32" s="9">
        <f t="shared" si="141"/>
        <v>0.91326776392954845</v>
      </c>
      <c r="CW32" s="9">
        <f t="shared" si="141"/>
        <v>1.0270357376753583</v>
      </c>
      <c r="CX32" s="9">
        <f t="shared" si="141"/>
        <v>1.2751494451878933</v>
      </c>
      <c r="CY32" s="32"/>
      <c r="CZ32" s="32"/>
      <c r="DA32" s="32">
        <f t="shared" si="26"/>
        <v>0.56989902180014751</v>
      </c>
      <c r="DB32" s="32">
        <v>569899021.80014753</v>
      </c>
      <c r="DC32" s="32"/>
      <c r="DD32" s="41">
        <v>45279</v>
      </c>
      <c r="DE32" s="76">
        <v>0.69839968107102113</v>
      </c>
      <c r="DF32" s="9">
        <f t="shared" ref="DF32:DP32" si="180">DF31+DF$2</f>
        <v>0.44212983154880847</v>
      </c>
      <c r="DG32" s="9">
        <f t="shared" si="180"/>
        <v>0.49242318073691871</v>
      </c>
      <c r="DH32" s="9">
        <f t="shared" si="180"/>
        <v>0.5234045908053746</v>
      </c>
      <c r="DI32" s="9">
        <f t="shared" si="180"/>
        <v>0.54432243119377044</v>
      </c>
      <c r="DJ32" s="9">
        <f t="shared" si="180"/>
        <v>0.5846950754234489</v>
      </c>
      <c r="DK32" s="9">
        <f t="shared" si="180"/>
        <v>0.638211230161151</v>
      </c>
      <c r="DL32" s="9">
        <f t="shared" si="180"/>
        <v>0.7050811204992643</v>
      </c>
      <c r="DM32" s="9">
        <f t="shared" si="180"/>
        <v>0.7772859454436768</v>
      </c>
      <c r="DN32" s="9">
        <f t="shared" si="180"/>
        <v>0.82089232511751409</v>
      </c>
      <c r="DO32" s="9">
        <f t="shared" si="180"/>
        <v>0.91746886264722005</v>
      </c>
      <c r="DP32" s="9">
        <f t="shared" si="180"/>
        <v>1.1497047334557871</v>
      </c>
      <c r="DQ32" s="32"/>
      <c r="DR32" s="32"/>
      <c r="DS32" s="32">
        <f t="shared" si="28"/>
        <v>0.56989902180014751</v>
      </c>
      <c r="DT32" s="32">
        <v>569899021.80014753</v>
      </c>
      <c r="DU32" s="32"/>
      <c r="EF32" s="32"/>
      <c r="EG32" s="41">
        <v>45643</v>
      </c>
      <c r="EH32" s="76">
        <v>0.61769277648120813</v>
      </c>
      <c r="EI32" s="9">
        <f t="shared" ref="EI32:ES32" si="181">EI31+EI$2</f>
        <v>0.50725788835696972</v>
      </c>
      <c r="EJ32" s="9">
        <f t="shared" si="181"/>
        <v>0.55050123123842187</v>
      </c>
      <c r="EK32" s="9">
        <f t="shared" si="181"/>
        <v>0.5881534487597071</v>
      </c>
      <c r="EL32" s="9">
        <f t="shared" si="181"/>
        <v>0.61274230373381999</v>
      </c>
      <c r="EM32" s="9">
        <f t="shared" si="181"/>
        <v>0.65814188331826018</v>
      </c>
      <c r="EN32" s="9">
        <f t="shared" si="181"/>
        <v>0.72106281261467031</v>
      </c>
      <c r="EO32" s="9">
        <f t="shared" si="181"/>
        <v>0.79429211575585434</v>
      </c>
      <c r="EP32" s="9">
        <f t="shared" si="181"/>
        <v>0.87255402666257509</v>
      </c>
      <c r="EQ32" s="9">
        <f t="shared" si="181"/>
        <v>0.91943965253189786</v>
      </c>
      <c r="ER32" s="9">
        <f t="shared" si="181"/>
        <v>1.0223273786749145</v>
      </c>
      <c r="ES32" s="9">
        <f t="shared" si="181"/>
        <v>1.2333711629013828</v>
      </c>
      <c r="ET32" s="32"/>
      <c r="EU32" s="32"/>
      <c r="EV32" s="32">
        <f t="shared" si="30"/>
        <v>0.56989902180014751</v>
      </c>
      <c r="EW32" s="32">
        <v>569899021.80014753</v>
      </c>
      <c r="EX32" s="32"/>
      <c r="FG32" s="32"/>
      <c r="FH32" s="32"/>
      <c r="FI32" s="41">
        <v>46007</v>
      </c>
      <c r="FJ32" s="76">
        <v>0.57662538392748908</v>
      </c>
      <c r="FK32" s="9">
        <f t="shared" ref="FK32:FU32" si="182">FK31+FK$2</f>
        <v>0.50725788835696972</v>
      </c>
      <c r="FL32" s="9">
        <f t="shared" si="182"/>
        <v>0.55050123123842187</v>
      </c>
      <c r="FM32" s="9">
        <f t="shared" si="182"/>
        <v>0.5881534487597071</v>
      </c>
      <c r="FN32" s="9">
        <f t="shared" si="182"/>
        <v>0.61274230373381999</v>
      </c>
      <c r="FO32" s="9">
        <f t="shared" si="182"/>
        <v>0.65814188331826018</v>
      </c>
      <c r="FP32" s="9">
        <f t="shared" si="182"/>
        <v>0.72106281261467031</v>
      </c>
      <c r="FQ32" s="9">
        <f t="shared" si="182"/>
        <v>0.79429211575585434</v>
      </c>
      <c r="FR32" s="9">
        <f t="shared" si="182"/>
        <v>0.87255402666257509</v>
      </c>
      <c r="FS32" s="9">
        <f t="shared" si="182"/>
        <v>0.91943965253189786</v>
      </c>
      <c r="FT32" s="9">
        <f t="shared" si="182"/>
        <v>1.0223273786749145</v>
      </c>
      <c r="FU32" s="9">
        <f t="shared" si="182"/>
        <v>1.2333711629013828</v>
      </c>
      <c r="FV32" s="32"/>
      <c r="FW32" s="32"/>
      <c r="FX32" s="32">
        <f t="shared" si="32"/>
        <v>0.56989902180014751</v>
      </c>
      <c r="FY32" s="32">
        <v>569899021.80014753</v>
      </c>
      <c r="FZ32" s="32"/>
      <c r="GI32" s="32"/>
      <c r="GJ32" s="41">
        <v>45643</v>
      </c>
      <c r="GK32" s="76">
        <v>0.61769277648120813</v>
      </c>
      <c r="GL32" s="9">
        <f t="shared" ref="GL32:GV32" si="183">GL31+GL$2</f>
        <v>0.41864908269744627</v>
      </c>
      <c r="GM32" s="9">
        <f t="shared" si="183"/>
        <v>0.48198626925468069</v>
      </c>
      <c r="GN32" s="9">
        <f t="shared" si="183"/>
        <v>0.51819306651097841</v>
      </c>
      <c r="GO32" s="9">
        <f t="shared" si="183"/>
        <v>0.53864565977318235</v>
      </c>
      <c r="GP32" s="9">
        <f t="shared" si="183"/>
        <v>0.5810055204350657</v>
      </c>
      <c r="GQ32" s="9">
        <f t="shared" si="183"/>
        <v>0.65116108199027667</v>
      </c>
      <c r="GR32" s="9">
        <f t="shared" si="183"/>
        <v>0.74226014240518412</v>
      </c>
      <c r="GS32" s="9">
        <f t="shared" si="183"/>
        <v>0.84928220347759908</v>
      </c>
      <c r="GT32" s="9">
        <f t="shared" si="183"/>
        <v>0.93466723639375537</v>
      </c>
      <c r="GU32" s="9">
        <f t="shared" si="183"/>
        <v>1.09658156062478</v>
      </c>
      <c r="GV32" s="9">
        <f t="shared" si="183"/>
        <v>1.4252602302870805</v>
      </c>
      <c r="GW32" s="32"/>
      <c r="GX32" s="32"/>
      <c r="GY32" s="32">
        <f t="shared" si="34"/>
        <v>0.56989902180014751</v>
      </c>
      <c r="GZ32" s="32">
        <v>569899021.80014753</v>
      </c>
      <c r="HA32" s="32"/>
      <c r="HB32" s="229">
        <v>46007</v>
      </c>
      <c r="HC32" s="230">
        <v>0.57662538392748908</v>
      </c>
      <c r="HD32" s="9">
        <f t="shared" ref="HD32:HN32" si="184">HD31+HD$2</f>
        <v>0.46380361550275828</v>
      </c>
      <c r="HE32" s="9">
        <f t="shared" si="184"/>
        <v>0.52302365503036874</v>
      </c>
      <c r="HF32" s="9">
        <f t="shared" si="184"/>
        <v>0.56432242881209027</v>
      </c>
      <c r="HG32" s="9">
        <f t="shared" si="184"/>
        <v>0.5904198657199119</v>
      </c>
      <c r="HH32" s="9">
        <f t="shared" si="184"/>
        <v>0.64717562823940777</v>
      </c>
      <c r="HI32" s="9">
        <f t="shared" si="184"/>
        <v>0.726991999226695</v>
      </c>
      <c r="HJ32" s="9">
        <f t="shared" si="184"/>
        <v>0.83169130953870396</v>
      </c>
      <c r="HK32" s="9">
        <f t="shared" si="184"/>
        <v>0.94973155629816663</v>
      </c>
      <c r="HL32" s="9">
        <f t="shared" si="184"/>
        <v>1.0244542110051624</v>
      </c>
      <c r="HM32" s="9">
        <f t="shared" si="184"/>
        <v>1.1908203665842443</v>
      </c>
      <c r="HN32" s="9">
        <f t="shared" si="184"/>
        <v>1.5311384876827758</v>
      </c>
      <c r="HO32" s="32"/>
      <c r="HP32" s="32"/>
      <c r="HQ32" s="32">
        <v>576625383.92748904</v>
      </c>
      <c r="HR32" s="32">
        <f t="shared" si="36"/>
        <v>0.57662538392748908</v>
      </c>
      <c r="HT32" s="32"/>
      <c r="IC32" s="41">
        <f t="shared" si="67"/>
        <v>44915</v>
      </c>
      <c r="ID32" s="9">
        <v>0.58081233496910001</v>
      </c>
      <c r="IE32" s="9"/>
      <c r="IF32" s="9"/>
      <c r="IG32" s="9"/>
      <c r="IH32" s="9"/>
      <c r="II32" s="9"/>
      <c r="IJ32" s="9"/>
      <c r="IK32" s="9"/>
      <c r="IL32" s="9"/>
      <c r="IM32" s="9"/>
      <c r="IN32" s="9"/>
      <c r="IO32" s="9"/>
      <c r="IP32" s="32"/>
      <c r="IQ32" s="32"/>
      <c r="JB32" s="41">
        <f t="shared" si="13"/>
        <v>44551</v>
      </c>
      <c r="JC32" s="9">
        <f t="shared" si="14"/>
        <v>0.59798193110999986</v>
      </c>
      <c r="JD32" s="9"/>
      <c r="JE32" s="9"/>
      <c r="JF32" s="9"/>
      <c r="JG32" s="9"/>
      <c r="JH32" s="9"/>
      <c r="JI32" s="9"/>
      <c r="JJ32" s="9"/>
      <c r="JK32" s="9"/>
      <c r="JL32" s="9"/>
      <c r="JM32" s="9"/>
      <c r="JN32" s="9"/>
      <c r="JO32" s="9"/>
      <c r="JZ32" s="41">
        <f t="shared" si="15"/>
        <v>44551</v>
      </c>
      <c r="KA32" s="9">
        <f t="shared" si="37"/>
        <v>0.59798193110999986</v>
      </c>
      <c r="KB32" s="9"/>
      <c r="KC32" s="9"/>
      <c r="KN32" s="41">
        <v>43088</v>
      </c>
      <c r="KO32" s="212">
        <v>27988134.029999997</v>
      </c>
      <c r="KP32" s="212">
        <f t="shared" si="38"/>
        <v>629063594.05319977</v>
      </c>
      <c r="KR32" s="41">
        <v>43270</v>
      </c>
      <c r="KS32" s="212">
        <v>9566116.5636</v>
      </c>
      <c r="KT32" s="212">
        <f t="shared" si="39"/>
        <v>445870858.62599999</v>
      </c>
      <c r="KV32" s="41">
        <v>43452</v>
      </c>
      <c r="KW32" s="212">
        <v>11770135.761599999</v>
      </c>
      <c r="KX32" s="212">
        <f t="shared" si="40"/>
        <v>553934439.10079992</v>
      </c>
      <c r="KZ32" s="41">
        <v>43634</v>
      </c>
      <c r="LA32" s="212">
        <v>77370259.640399992</v>
      </c>
      <c r="LB32" s="212">
        <f t="shared" si="41"/>
        <v>706959326.55959964</v>
      </c>
      <c r="LD32" s="41">
        <v>43816</v>
      </c>
      <c r="LE32" s="212">
        <v>21636365.054399997</v>
      </c>
      <c r="LF32" s="212">
        <f t="shared" si="42"/>
        <v>538760618.31239974</v>
      </c>
      <c r="LH32" s="41">
        <v>44005</v>
      </c>
      <c r="LI32" s="212">
        <v>33171721.711199999</v>
      </c>
      <c r="LJ32" s="212">
        <f t="shared" si="43"/>
        <v>428280084.50399995</v>
      </c>
      <c r="LL32" s="41">
        <v>44187</v>
      </c>
      <c r="LM32" s="212">
        <v>15157155.103199998</v>
      </c>
      <c r="LN32" s="212">
        <f t="shared" si="44"/>
        <v>532224502.32240003</v>
      </c>
      <c r="LP32" s="41">
        <v>44369</v>
      </c>
      <c r="LQ32" s="212">
        <v>15056165.746799998</v>
      </c>
      <c r="LR32" s="212">
        <f t="shared" si="45"/>
        <v>528252292.68839985</v>
      </c>
      <c r="LT32" s="41">
        <v>44551</v>
      </c>
      <c r="LU32" s="212">
        <v>12547668.437999999</v>
      </c>
      <c r="LV32" s="212">
        <f t="shared" si="46"/>
        <v>597981931.1099999</v>
      </c>
      <c r="MB32" s="32">
        <v>25</v>
      </c>
      <c r="MC32" s="42">
        <f t="shared" si="48"/>
        <v>0.62906359405319978</v>
      </c>
      <c r="MD32" s="42">
        <f t="shared" si="49"/>
        <v>0.44587085862600001</v>
      </c>
      <c r="ME32" s="42">
        <f t="shared" si="50"/>
        <v>0.55393443910079987</v>
      </c>
      <c r="MF32" s="42">
        <f t="shared" si="51"/>
        <v>0.70695932655959959</v>
      </c>
      <c r="MG32" s="42">
        <f t="shared" si="52"/>
        <v>0.53876061831239974</v>
      </c>
      <c r="MH32" s="42">
        <f t="shared" si="53"/>
        <v>0.42828008450399996</v>
      </c>
      <c r="MI32" s="42">
        <f t="shared" si="54"/>
        <v>0.53222450232240004</v>
      </c>
      <c r="MJ32" s="42">
        <f t="shared" si="55"/>
        <v>0.5282522926883999</v>
      </c>
      <c r="MK32" s="42">
        <f t="shared" si="56"/>
        <v>0.59798193110999986</v>
      </c>
      <c r="ML32" s="42"/>
      <c r="MM32" s="8">
        <f t="shared" ca="1" si="147"/>
        <v>0.51406973375306808</v>
      </c>
      <c r="MN32" s="8">
        <f t="shared" ca="1" si="147"/>
        <v>0.54921980101823542</v>
      </c>
      <c r="MO32" s="8">
        <f t="shared" ca="1" si="147"/>
        <v>0.58436986828340232</v>
      </c>
      <c r="MW32" s="60"/>
      <c r="MX32" s="64"/>
      <c r="NT32" s="41">
        <f t="shared" si="108"/>
        <v>44735</v>
      </c>
      <c r="NU32" s="9"/>
      <c r="NV32" s="9">
        <f t="shared" si="148"/>
        <v>0.38582878719865393</v>
      </c>
      <c r="NW32" s="9">
        <f t="shared" si="148"/>
        <v>0.42169186728576902</v>
      </c>
      <c r="NX32" s="9">
        <f t="shared" si="148"/>
        <v>0.4479351090205097</v>
      </c>
      <c r="NY32" s="9">
        <f t="shared" si="148"/>
        <v>0.46847217198634628</v>
      </c>
      <c r="NZ32" s="9">
        <f t="shared" si="148"/>
        <v>0.50988794306826946</v>
      </c>
      <c r="OA32" s="9">
        <f t="shared" si="148"/>
        <v>0.5631736100451924</v>
      </c>
      <c r="OB32" s="9">
        <f t="shared" si="148"/>
        <v>0.63229979155846139</v>
      </c>
      <c r="OC32" s="9">
        <f t="shared" si="148"/>
        <v>0.71270858847398066</v>
      </c>
      <c r="OD32" s="9">
        <f t="shared" si="148"/>
        <v>0.762941243318077</v>
      </c>
      <c r="OE32" s="9">
        <f t="shared" si="148"/>
        <v>0.86336533024788409</v>
      </c>
      <c r="OF32" s="9">
        <f t="shared" si="148"/>
        <v>1.0660838972671152</v>
      </c>
      <c r="OG32" s="9">
        <f t="shared" ca="1" si="148"/>
        <v>0.54921980101823553</v>
      </c>
      <c r="OH32" s="32"/>
      <c r="OS32" s="41">
        <f t="shared" si="59"/>
        <v>44735</v>
      </c>
      <c r="OT32" s="9"/>
      <c r="OU32" s="9">
        <f t="shared" si="149"/>
        <v>0.47533362715800004</v>
      </c>
      <c r="OV32" s="9">
        <f t="shared" si="149"/>
        <v>0.4834215955521331</v>
      </c>
      <c r="OW32" s="9">
        <f t="shared" si="149"/>
        <v>0.4883713918801334</v>
      </c>
      <c r="OX32" s="9">
        <f t="shared" si="149"/>
        <v>0.49645936027426646</v>
      </c>
      <c r="OY32" s="9">
        <f t="shared" si="149"/>
        <v>0.50742300261773321</v>
      </c>
      <c r="OZ32" s="9">
        <f t="shared" si="149"/>
        <v>0.52961278542146661</v>
      </c>
      <c r="PA32" s="9">
        <f t="shared" si="149"/>
        <v>0.55668264142306678</v>
      </c>
      <c r="PB32" s="9">
        <f t="shared" si="149"/>
        <v>0.58400557856866664</v>
      </c>
      <c r="PC32" s="9">
        <f t="shared" si="149"/>
        <v>0.63487112831213344</v>
      </c>
      <c r="PD32" s="9">
        <f t="shared" si="149"/>
        <v>0.72230510944440018</v>
      </c>
      <c r="PE32" s="9">
        <f t="shared" si="149"/>
        <v>0.83444629057666653</v>
      </c>
      <c r="PF32" s="9">
        <f t="shared" ca="1" si="149"/>
        <v>0.54921980101823542</v>
      </c>
    </row>
    <row r="33" spans="2:424" x14ac:dyDescent="0.25">
      <c r="B33" s="48">
        <v>42920</v>
      </c>
      <c r="C33" s="214">
        <v>41865866.715599999</v>
      </c>
      <c r="D33" s="214">
        <v>31919691</v>
      </c>
      <c r="E33" s="216">
        <v>30000000</v>
      </c>
      <c r="F33" s="216" t="s">
        <v>85</v>
      </c>
      <c r="G33" s="216" t="s">
        <v>85</v>
      </c>
      <c r="H33" s="215"/>
      <c r="I33" s="41">
        <v>43095</v>
      </c>
      <c r="J33" s="212">
        <v>31653321.533999998</v>
      </c>
      <c r="K33" s="212">
        <f t="shared" si="18"/>
        <v>660716915.58719981</v>
      </c>
      <c r="M33" s="41">
        <v>43459</v>
      </c>
      <c r="N33" s="212">
        <v>15969354.321599998</v>
      </c>
      <c r="O33" s="212">
        <f t="shared" si="19"/>
        <v>569903793.42239988</v>
      </c>
      <c r="Q33" s="41">
        <v>43823</v>
      </c>
      <c r="R33" s="212">
        <v>27174312.748799998</v>
      </c>
      <c r="S33" s="212">
        <f t="shared" si="20"/>
        <v>565934931.06119978</v>
      </c>
      <c r="U33" s="41">
        <v>44194</v>
      </c>
      <c r="V33" s="212">
        <v>22230785.872799996</v>
      </c>
      <c r="W33" s="212">
        <f t="shared" si="21"/>
        <v>554455288.19520009</v>
      </c>
      <c r="Y33" s="41">
        <v>44558</v>
      </c>
      <c r="Z33" s="212">
        <v>11556314.539199999</v>
      </c>
      <c r="AA33" s="212">
        <f t="shared" si="22"/>
        <v>609538245.64919984</v>
      </c>
      <c r="AC33" s="32">
        <v>26</v>
      </c>
      <c r="AD33" s="39">
        <f t="shared" si="0"/>
        <v>0.6607169155871998</v>
      </c>
      <c r="AE33" s="39">
        <f t="shared" si="1"/>
        <v>0.56990379342239983</v>
      </c>
      <c r="AF33" s="39">
        <f t="shared" si="2"/>
        <v>0.56593493106119974</v>
      </c>
      <c r="AG33" s="39">
        <f t="shared" si="3"/>
        <v>0.55445528819520007</v>
      </c>
      <c r="AH33" s="39">
        <f t="shared" si="4"/>
        <v>0.60953824564919989</v>
      </c>
      <c r="AI33" s="39">
        <f t="shared" si="23"/>
        <v>0.72341450560738907</v>
      </c>
      <c r="AJ33" s="9"/>
      <c r="AK33" s="9"/>
      <c r="AL33" s="9"/>
      <c r="AT33" s="60"/>
      <c r="AU33" s="64"/>
      <c r="BM33" s="41">
        <f t="shared" si="60"/>
        <v>44558</v>
      </c>
      <c r="BN33" s="9">
        <f t="shared" si="5"/>
        <v>0.60953824564919989</v>
      </c>
      <c r="BO33" s="9">
        <f t="shared" si="140"/>
        <v>0.41683732674422314</v>
      </c>
      <c r="BP33" s="9">
        <f t="shared" si="140"/>
        <v>0.47380159015299972</v>
      </c>
      <c r="BQ33" s="9">
        <f t="shared" si="140"/>
        <v>0.5055369316914391</v>
      </c>
      <c r="BR33" s="9">
        <f t="shared" si="140"/>
        <v>0.52519607133389101</v>
      </c>
      <c r="BS33" s="9">
        <f t="shared" si="140"/>
        <v>0.56185879075260414</v>
      </c>
      <c r="BT33" s="9">
        <f t="shared" si="140"/>
        <v>0.61021499600299345</v>
      </c>
      <c r="BU33" s="9">
        <f t="shared" si="140"/>
        <v>0.66405510533257361</v>
      </c>
      <c r="BV33" s="9">
        <f t="shared" si="140"/>
        <v>0.7207309261547149</v>
      </c>
      <c r="BW33" s="9">
        <f t="shared" si="140"/>
        <v>0.7572827755192888</v>
      </c>
      <c r="BX33" s="9">
        <f t="shared" si="140"/>
        <v>0.83218053380739809</v>
      </c>
      <c r="BY33" s="9">
        <f t="shared" si="140"/>
        <v>1.0270932607912737</v>
      </c>
      <c r="BZ33" s="32"/>
      <c r="CA33" s="32"/>
      <c r="CL33" s="41">
        <f t="shared" si="61"/>
        <v>44922</v>
      </c>
      <c r="CM33" s="76">
        <v>0.58579190168259598</v>
      </c>
      <c r="CN33" s="9">
        <f t="shared" si="141"/>
        <v>0.46386241077234841</v>
      </c>
      <c r="CO33" s="9">
        <f t="shared" si="141"/>
        <v>0.52814328600619154</v>
      </c>
      <c r="CP33" s="9">
        <f t="shared" si="141"/>
        <v>0.57520809292813746</v>
      </c>
      <c r="CQ33" s="9">
        <f t="shared" si="141"/>
        <v>0.60005918725099883</v>
      </c>
      <c r="CR33" s="9">
        <f t="shared" si="141"/>
        <v>0.65222023037641641</v>
      </c>
      <c r="CS33" s="9">
        <f t="shared" si="141"/>
        <v>0.72409421748013958</v>
      </c>
      <c r="CT33" s="9">
        <f t="shared" si="141"/>
        <v>0.80409808778625491</v>
      </c>
      <c r="CU33" s="9">
        <f t="shared" si="141"/>
        <v>0.89138197636455108</v>
      </c>
      <c r="CV33" s="9">
        <f t="shared" si="141"/>
        <v>0.94979847448673038</v>
      </c>
      <c r="CW33" s="9">
        <f t="shared" si="141"/>
        <v>1.0681171671823726</v>
      </c>
      <c r="CX33" s="9">
        <f t="shared" si="141"/>
        <v>1.3261554229954091</v>
      </c>
      <c r="CY33" s="32"/>
      <c r="CZ33" s="32"/>
      <c r="DA33" s="32">
        <f t="shared" si="26"/>
        <v>0.58579190168259598</v>
      </c>
      <c r="DB33" s="32">
        <v>585791901.68259597</v>
      </c>
      <c r="DC33" s="32"/>
      <c r="DD33" s="41">
        <v>45286</v>
      </c>
      <c r="DE33" s="76">
        <v>0.84700447781201205</v>
      </c>
      <c r="DF33" s="9">
        <f t="shared" ref="DF33:DP33" si="185">DF32+DF$2</f>
        <v>0.45981502481076081</v>
      </c>
      <c r="DG33" s="9">
        <f t="shared" si="185"/>
        <v>0.51212010796639551</v>
      </c>
      <c r="DH33" s="9">
        <f t="shared" si="185"/>
        <v>0.54434077443758955</v>
      </c>
      <c r="DI33" s="9">
        <f t="shared" si="185"/>
        <v>0.56609532844152122</v>
      </c>
      <c r="DJ33" s="9">
        <f t="shared" si="185"/>
        <v>0.60808287844038689</v>
      </c>
      <c r="DK33" s="9">
        <f t="shared" si="185"/>
        <v>0.66373967936759704</v>
      </c>
      <c r="DL33" s="9">
        <f t="shared" si="185"/>
        <v>0.73328436531923491</v>
      </c>
      <c r="DM33" s="9">
        <f t="shared" si="185"/>
        <v>0.80837738326142383</v>
      </c>
      <c r="DN33" s="9">
        <f t="shared" si="185"/>
        <v>0.85372801812221466</v>
      </c>
      <c r="DO33" s="9">
        <f t="shared" si="185"/>
        <v>0.95416761715310883</v>
      </c>
      <c r="DP33" s="9">
        <f t="shared" si="185"/>
        <v>1.1956929227940185</v>
      </c>
      <c r="DQ33" s="32"/>
      <c r="DR33" s="32"/>
      <c r="DS33" s="32">
        <f t="shared" si="28"/>
        <v>0.58579190168259598</v>
      </c>
      <c r="DT33" s="32">
        <v>585791901.68259597</v>
      </c>
      <c r="DU33" s="32"/>
      <c r="EF33" s="32"/>
      <c r="EG33" s="41">
        <v>45650</v>
      </c>
      <c r="EH33" s="76">
        <v>0.64029154758090778</v>
      </c>
      <c r="EI33" s="9">
        <f t="shared" ref="EI33:ES33" si="186">EI32+EI$2</f>
        <v>0.52754820389124846</v>
      </c>
      <c r="EJ33" s="9">
        <f t="shared" si="186"/>
        <v>0.57252128048795869</v>
      </c>
      <c r="EK33" s="9">
        <f t="shared" si="186"/>
        <v>0.61167958671009537</v>
      </c>
      <c r="EL33" s="9">
        <f t="shared" si="186"/>
        <v>0.63725199588317283</v>
      </c>
      <c r="EM33" s="9">
        <f t="shared" si="186"/>
        <v>0.68446755865099063</v>
      </c>
      <c r="EN33" s="9">
        <f t="shared" si="186"/>
        <v>0.74990532511925712</v>
      </c>
      <c r="EO33" s="9">
        <f t="shared" si="186"/>
        <v>0.82606380038608851</v>
      </c>
      <c r="EP33" s="9">
        <f t="shared" si="186"/>
        <v>0.9074561877290781</v>
      </c>
      <c r="EQ33" s="9">
        <f t="shared" si="186"/>
        <v>0.95621723863317376</v>
      </c>
      <c r="ER33" s="9">
        <f t="shared" si="186"/>
        <v>1.0632204738219111</v>
      </c>
      <c r="ES33" s="9">
        <f t="shared" si="186"/>
        <v>1.2827060094174381</v>
      </c>
      <c r="ET33" s="32"/>
      <c r="EU33" s="32"/>
      <c r="EV33" s="32">
        <f t="shared" si="30"/>
        <v>0.58579190168259598</v>
      </c>
      <c r="EW33" s="32">
        <v>585791901.68259597</v>
      </c>
      <c r="EX33" s="32"/>
      <c r="FG33" s="32"/>
      <c r="FH33" s="32"/>
      <c r="FI33" s="41">
        <v>46014</v>
      </c>
      <c r="FJ33" s="76">
        <v>0.59567274829550709</v>
      </c>
      <c r="FK33" s="9">
        <f t="shared" ref="FK33:FU33" si="187">FK32+FK$2</f>
        <v>0.52754820389124846</v>
      </c>
      <c r="FL33" s="9">
        <f t="shared" si="187"/>
        <v>0.57252128048795869</v>
      </c>
      <c r="FM33" s="9">
        <f t="shared" si="187"/>
        <v>0.61167958671009537</v>
      </c>
      <c r="FN33" s="9">
        <f t="shared" si="187"/>
        <v>0.63725199588317283</v>
      </c>
      <c r="FO33" s="9">
        <f t="shared" si="187"/>
        <v>0.68446755865099063</v>
      </c>
      <c r="FP33" s="9">
        <f t="shared" si="187"/>
        <v>0.74990532511925712</v>
      </c>
      <c r="FQ33" s="9">
        <f t="shared" si="187"/>
        <v>0.82606380038608851</v>
      </c>
      <c r="FR33" s="9">
        <f t="shared" si="187"/>
        <v>0.9074561877290781</v>
      </c>
      <c r="FS33" s="9">
        <f t="shared" si="187"/>
        <v>0.95621723863317376</v>
      </c>
      <c r="FT33" s="9">
        <f t="shared" si="187"/>
        <v>1.0632204738219111</v>
      </c>
      <c r="FU33" s="9">
        <f t="shared" si="187"/>
        <v>1.2827060094174381</v>
      </c>
      <c r="FV33" s="32"/>
      <c r="FW33" s="32"/>
      <c r="FX33" s="32">
        <f t="shared" si="32"/>
        <v>0.58579190168259598</v>
      </c>
      <c r="FY33" s="32">
        <v>585791901.68259597</v>
      </c>
      <c r="FZ33" s="32"/>
      <c r="GI33" s="32"/>
      <c r="GJ33" s="41">
        <v>45650</v>
      </c>
      <c r="GK33" s="76">
        <v>0.64029154758090778</v>
      </c>
      <c r="GL33" s="9">
        <f t="shared" ref="GL33:GV33" si="188">GL32+GL$2</f>
        <v>0.43539504600534412</v>
      </c>
      <c r="GM33" s="9">
        <f t="shared" si="188"/>
        <v>0.50126572002486791</v>
      </c>
      <c r="GN33" s="9">
        <f t="shared" si="188"/>
        <v>0.5389207891714175</v>
      </c>
      <c r="GO33" s="9">
        <f t="shared" si="188"/>
        <v>0.56019148616410963</v>
      </c>
      <c r="GP33" s="9">
        <f t="shared" si="188"/>
        <v>0.60424574125246833</v>
      </c>
      <c r="GQ33" s="9">
        <f t="shared" si="188"/>
        <v>0.6772075252698877</v>
      </c>
      <c r="GR33" s="9">
        <f t="shared" si="188"/>
        <v>0.77195054810139152</v>
      </c>
      <c r="GS33" s="9">
        <f t="shared" si="188"/>
        <v>0.88325349161670308</v>
      </c>
      <c r="GT33" s="9">
        <f t="shared" si="188"/>
        <v>0.97205392584950556</v>
      </c>
      <c r="GU33" s="9">
        <f t="shared" si="188"/>
        <v>1.1404448230497712</v>
      </c>
      <c r="GV33" s="9">
        <f t="shared" si="188"/>
        <v>1.4822706394985636</v>
      </c>
      <c r="GW33" s="32"/>
      <c r="GX33" s="32"/>
      <c r="GY33" s="32">
        <f t="shared" si="34"/>
        <v>0.58579190168259598</v>
      </c>
      <c r="GZ33" s="32">
        <v>585791901.68259597</v>
      </c>
      <c r="HA33" s="32"/>
      <c r="HB33" s="229">
        <v>46014</v>
      </c>
      <c r="HC33" s="230">
        <v>0.59567274829550709</v>
      </c>
      <c r="HD33" s="9">
        <f t="shared" ref="HD33:HN33" si="189">HD32+HD$2</f>
        <v>0.48235576012286863</v>
      </c>
      <c r="HE33" s="9">
        <f t="shared" si="189"/>
        <v>0.5439446012315835</v>
      </c>
      <c r="HF33" s="9">
        <f t="shared" si="189"/>
        <v>0.58689532596457383</v>
      </c>
      <c r="HG33" s="9">
        <f t="shared" si="189"/>
        <v>0.61403666034870841</v>
      </c>
      <c r="HH33" s="9">
        <f t="shared" si="189"/>
        <v>0.67306265336898408</v>
      </c>
      <c r="HI33" s="9">
        <f t="shared" si="189"/>
        <v>0.75607167919576279</v>
      </c>
      <c r="HJ33" s="9">
        <f t="shared" si="189"/>
        <v>0.86495896192025212</v>
      </c>
      <c r="HK33" s="9">
        <f t="shared" si="189"/>
        <v>0.9877208185500933</v>
      </c>
      <c r="HL33" s="9">
        <f t="shared" si="189"/>
        <v>1.0654323794453688</v>
      </c>
      <c r="HM33" s="9">
        <f t="shared" si="189"/>
        <v>1.2384531812476141</v>
      </c>
      <c r="HN33" s="9">
        <f t="shared" si="189"/>
        <v>1.5923840271900869</v>
      </c>
      <c r="HO33" s="32"/>
      <c r="HP33" s="32"/>
      <c r="HQ33" s="32">
        <v>595672748.29550707</v>
      </c>
      <c r="HR33" s="32">
        <f t="shared" si="36"/>
        <v>0.59567274829550709</v>
      </c>
      <c r="HT33" s="32"/>
      <c r="IC33" s="41">
        <f t="shared" si="67"/>
        <v>44922</v>
      </c>
      <c r="ID33" s="9">
        <v>0.60149328682820002</v>
      </c>
      <c r="IE33" s="9"/>
      <c r="IF33" s="9"/>
      <c r="IG33" s="9"/>
      <c r="IH33" s="9"/>
      <c r="II33" s="9"/>
      <c r="IJ33" s="9"/>
      <c r="IK33" s="9"/>
      <c r="IL33" s="9"/>
      <c r="IM33" s="9"/>
      <c r="IN33" s="9"/>
      <c r="IO33" s="9"/>
      <c r="IP33" s="32"/>
      <c r="IQ33" s="32"/>
      <c r="JB33" s="41">
        <f t="shared" si="13"/>
        <v>44558</v>
      </c>
      <c r="JC33" s="9">
        <f t="shared" si="14"/>
        <v>0.60953824564919989</v>
      </c>
      <c r="JD33" s="9"/>
      <c r="JE33" s="9"/>
      <c r="JF33" s="9"/>
      <c r="JG33" s="9"/>
      <c r="JH33" s="9"/>
      <c r="JI33" s="9"/>
      <c r="JJ33" s="9"/>
      <c r="JK33" s="9"/>
      <c r="JL33" s="9"/>
      <c r="JM33" s="9"/>
      <c r="JN33" s="9"/>
      <c r="JO33" s="9"/>
      <c r="JZ33" s="41">
        <f t="shared" si="15"/>
        <v>44558</v>
      </c>
      <c r="KA33" s="9">
        <f t="shared" si="37"/>
        <v>0.60953824564919989</v>
      </c>
      <c r="KB33" s="9"/>
      <c r="KC33" s="9"/>
      <c r="KN33" s="41">
        <v>43095</v>
      </c>
      <c r="KO33" s="212">
        <v>31653321.533999998</v>
      </c>
      <c r="KP33" s="212">
        <f t="shared" si="38"/>
        <v>660716915.58719981</v>
      </c>
      <c r="KR33" s="41">
        <v>43277</v>
      </c>
      <c r="KS33" s="212">
        <v>12959267.734799998</v>
      </c>
      <c r="KT33" s="212">
        <f t="shared" si="39"/>
        <v>458830126.36079997</v>
      </c>
      <c r="KV33" s="41">
        <v>43459</v>
      </c>
      <c r="KW33" s="212">
        <v>15969354.321599998</v>
      </c>
      <c r="KX33" s="212">
        <f t="shared" si="40"/>
        <v>569903793.42239988</v>
      </c>
      <c r="KZ33" s="41">
        <v>43641</v>
      </c>
      <c r="LA33" s="212">
        <v>103405072.38479999</v>
      </c>
      <c r="LB33" s="212">
        <f t="shared" si="41"/>
        <v>810364398.9443996</v>
      </c>
      <c r="LD33" s="41">
        <v>43823</v>
      </c>
      <c r="LE33" s="212">
        <v>27174312.748799998</v>
      </c>
      <c r="LF33" s="212">
        <f t="shared" si="42"/>
        <v>565934931.06119978</v>
      </c>
      <c r="LH33" s="41">
        <v>44012</v>
      </c>
      <c r="LI33" s="212">
        <v>38931915.081599995</v>
      </c>
      <c r="LJ33" s="212">
        <f t="shared" si="43"/>
        <v>467211999.58559996</v>
      </c>
      <c r="LL33" s="41">
        <v>44194</v>
      </c>
      <c r="LM33" s="212">
        <v>22230785.872799996</v>
      </c>
      <c r="LN33" s="212">
        <f t="shared" si="44"/>
        <v>554455288.19520009</v>
      </c>
      <c r="LP33" s="41">
        <v>44376</v>
      </c>
      <c r="LQ33" s="212">
        <v>19729658.368799999</v>
      </c>
      <c r="LR33" s="212">
        <f t="shared" si="45"/>
        <v>547981951.05719984</v>
      </c>
      <c r="LT33" s="41">
        <v>44558</v>
      </c>
      <c r="LU33" s="212">
        <v>11556314.539199999</v>
      </c>
      <c r="LV33" s="212">
        <f t="shared" si="46"/>
        <v>609538245.64919984</v>
      </c>
      <c r="MB33" s="32">
        <v>26</v>
      </c>
      <c r="MC33" s="42">
        <f t="shared" si="48"/>
        <v>0.6607169155871998</v>
      </c>
      <c r="MD33" s="42">
        <f t="shared" si="49"/>
        <v>0.45883012636079995</v>
      </c>
      <c r="ME33" s="42">
        <f t="shared" si="50"/>
        <v>0.56990379342239983</v>
      </c>
      <c r="MF33" s="42">
        <f t="shared" si="51"/>
        <v>0.8103643989443996</v>
      </c>
      <c r="MG33" s="42">
        <f t="shared" si="52"/>
        <v>0.56593493106119974</v>
      </c>
      <c r="MH33" s="42">
        <f t="shared" si="53"/>
        <v>0.46721199958559995</v>
      </c>
      <c r="MI33" s="42">
        <f t="shared" si="54"/>
        <v>0.55445528819520007</v>
      </c>
      <c r="MJ33" s="42"/>
      <c r="MK33" s="42">
        <f t="shared" si="56"/>
        <v>0.60953824564919989</v>
      </c>
      <c r="ML33" s="42"/>
      <c r="MM33" s="8">
        <f t="shared" ca="1" si="147"/>
        <v>0.53164476738565158</v>
      </c>
      <c r="MN33" s="8">
        <f t="shared" ca="1" si="147"/>
        <v>0.57118859305896486</v>
      </c>
      <c r="MO33" s="8">
        <f t="shared" ca="1" si="147"/>
        <v>0.61073241873227757</v>
      </c>
      <c r="MW33" s="60"/>
      <c r="MX33" s="65" t="s">
        <v>84</v>
      </c>
      <c r="NT33" s="41">
        <f t="shared" si="108"/>
        <v>44742</v>
      </c>
      <c r="NU33" s="9"/>
      <c r="NV33" s="9">
        <f t="shared" si="148"/>
        <v>0.40126193868660009</v>
      </c>
      <c r="NW33" s="9">
        <f t="shared" si="148"/>
        <v>0.43855954197719976</v>
      </c>
      <c r="NX33" s="9">
        <f t="shared" si="148"/>
        <v>0.4658525133813301</v>
      </c>
      <c r="NY33" s="9">
        <f t="shared" si="148"/>
        <v>0.48721105886580013</v>
      </c>
      <c r="NZ33" s="9">
        <f t="shared" si="148"/>
        <v>0.53028346079100019</v>
      </c>
      <c r="OA33" s="66">
        <f t="shared" si="148"/>
        <v>0.58570055444700009</v>
      </c>
      <c r="OB33" s="9">
        <f t="shared" si="148"/>
        <v>0.65759178322079981</v>
      </c>
      <c r="OC33" s="9">
        <f t="shared" si="148"/>
        <v>0.74121693201293992</v>
      </c>
      <c r="OD33" s="9">
        <f t="shared" si="148"/>
        <v>0.79345889305080008</v>
      </c>
      <c r="OE33" s="9">
        <f t="shared" si="148"/>
        <v>0.89789994345779944</v>
      </c>
      <c r="OF33" s="9">
        <f t="shared" si="148"/>
        <v>1.1087272531577999</v>
      </c>
      <c r="OG33" s="9">
        <f t="shared" ca="1" si="148"/>
        <v>0.57118859305896497</v>
      </c>
      <c r="OH33" s="32"/>
      <c r="OS33" s="41">
        <f t="shared" si="59"/>
        <v>44742</v>
      </c>
      <c r="OT33" s="9"/>
      <c r="OU33" s="9">
        <f t="shared" si="149"/>
        <v>0.48806664746620004</v>
      </c>
      <c r="OV33" s="9">
        <f t="shared" si="149"/>
        <v>0.49716561190959974</v>
      </c>
      <c r="OW33" s="9">
        <f t="shared" si="149"/>
        <v>0.50273413277860002</v>
      </c>
      <c r="OX33" s="9">
        <f t="shared" si="149"/>
        <v>0.51183309722199977</v>
      </c>
      <c r="OY33" s="9">
        <f t="shared" si="149"/>
        <v>0.52416719485839991</v>
      </c>
      <c r="OZ33" s="9">
        <f t="shared" si="149"/>
        <v>0.54913070051259993</v>
      </c>
      <c r="PA33" s="9">
        <f t="shared" si="149"/>
        <v>0.57958428851440014</v>
      </c>
      <c r="PB33" s="9">
        <f t="shared" si="149"/>
        <v>0.6103225928032</v>
      </c>
      <c r="PC33" s="9">
        <f t="shared" si="149"/>
        <v>0.66754633626460014</v>
      </c>
      <c r="PD33" s="9">
        <f t="shared" si="149"/>
        <v>0.76590956503840024</v>
      </c>
      <c r="PE33" s="9">
        <f t="shared" si="149"/>
        <v>0.89206839381219982</v>
      </c>
      <c r="PF33" s="9">
        <f t="shared" ca="1" si="149"/>
        <v>0.57118859305896486</v>
      </c>
    </row>
    <row r="34" spans="2:424" x14ac:dyDescent="0.25">
      <c r="B34" s="48">
        <v>42927</v>
      </c>
      <c r="C34" s="214">
        <v>50602409.395199992</v>
      </c>
      <c r="D34" s="214">
        <v>38580672</v>
      </c>
      <c r="E34" s="215">
        <v>40000000</v>
      </c>
      <c r="F34" s="215"/>
      <c r="G34" s="215"/>
      <c r="H34" s="215"/>
      <c r="I34" s="41">
        <v>43102</v>
      </c>
      <c r="J34" s="212">
        <v>53613979.401599996</v>
      </c>
      <c r="K34" s="212">
        <f t="shared" si="18"/>
        <v>714330894.98879981</v>
      </c>
      <c r="M34" s="41">
        <v>43466</v>
      </c>
      <c r="N34" s="212">
        <v>8416352.2643999998</v>
      </c>
      <c r="O34" s="212">
        <f t="shared" si="19"/>
        <v>578320145.68679988</v>
      </c>
      <c r="Q34" s="41">
        <v>43830</v>
      </c>
      <c r="R34" s="212">
        <v>13626078.155999999</v>
      </c>
      <c r="S34" s="212">
        <f t="shared" si="20"/>
        <v>579561009.2171998</v>
      </c>
      <c r="U34" s="41">
        <v>44201</v>
      </c>
      <c r="V34" s="212">
        <v>12551123.033999998</v>
      </c>
      <c r="W34" s="212">
        <f t="shared" si="21"/>
        <v>567006411.22920012</v>
      </c>
      <c r="Y34" s="41">
        <v>44565</v>
      </c>
      <c r="Z34" s="212">
        <v>18391808.4912</v>
      </c>
      <c r="AA34" s="212">
        <f t="shared" si="22"/>
        <v>627930054.14039981</v>
      </c>
      <c r="AC34" s="32">
        <v>27</v>
      </c>
      <c r="AD34" s="39">
        <f t="shared" si="0"/>
        <v>0.71433089498879976</v>
      </c>
      <c r="AE34" s="39">
        <f t="shared" si="1"/>
        <v>0.5783201456867999</v>
      </c>
      <c r="AF34" s="39">
        <f t="shared" si="2"/>
        <v>0.57956100921719977</v>
      </c>
      <c r="AG34" s="39">
        <f t="shared" si="3"/>
        <v>0.56700641122920015</v>
      </c>
      <c r="AH34" s="39">
        <f t="shared" si="4"/>
        <v>0.62793005414039982</v>
      </c>
      <c r="AI34" s="39">
        <f t="shared" si="23"/>
        <v>0.7512381404384425</v>
      </c>
      <c r="AJ34" s="9"/>
      <c r="AK34" s="9"/>
      <c r="AL34" s="9"/>
      <c r="AT34" s="60"/>
      <c r="AU34" s="65" t="s">
        <v>84</v>
      </c>
      <c r="BM34" s="41">
        <f t="shared" si="60"/>
        <v>44565</v>
      </c>
      <c r="BN34" s="9">
        <f t="shared" si="5"/>
        <v>0.62793005414039982</v>
      </c>
      <c r="BO34" s="9">
        <f t="shared" si="140"/>
        <v>0.43286953161900094</v>
      </c>
      <c r="BP34" s="9">
        <f t="shared" si="140"/>
        <v>0.4920247282358074</v>
      </c>
      <c r="BQ34" s="9">
        <f t="shared" si="140"/>
        <v>0.52498065983341757</v>
      </c>
      <c r="BR34" s="9">
        <f t="shared" si="140"/>
        <v>0.54539592023134831</v>
      </c>
      <c r="BS34" s="9">
        <f t="shared" si="140"/>
        <v>0.58346874424308892</v>
      </c>
      <c r="BT34" s="9">
        <f t="shared" si="140"/>
        <v>0.63368480354157009</v>
      </c>
      <c r="BU34" s="9">
        <f t="shared" si="140"/>
        <v>0.68959568630690338</v>
      </c>
      <c r="BV34" s="9">
        <f t="shared" si="140"/>
        <v>0.74845134639143474</v>
      </c>
      <c r="BW34" s="9">
        <f t="shared" si="140"/>
        <v>0.78640903611618451</v>
      </c>
      <c r="BX34" s="9">
        <f t="shared" si="140"/>
        <v>0.86418747741537494</v>
      </c>
      <c r="BY34" s="9">
        <f t="shared" si="140"/>
        <v>1.0665968477447842</v>
      </c>
      <c r="BZ34" s="32"/>
      <c r="CA34" s="32"/>
      <c r="CL34" s="41">
        <f t="shared" si="61"/>
        <v>44929</v>
      </c>
      <c r="CM34" s="76">
        <v>0.61560164261652994</v>
      </c>
      <c r="CN34" s="9">
        <f t="shared" si="141"/>
        <v>0.48170327272513103</v>
      </c>
      <c r="CO34" s="9">
        <f t="shared" si="141"/>
        <v>0.54845648931412194</v>
      </c>
      <c r="CP34" s="9">
        <f t="shared" si="141"/>
        <v>0.5973314811176812</v>
      </c>
      <c r="CQ34" s="9">
        <f t="shared" si="141"/>
        <v>0.62313838676065259</v>
      </c>
      <c r="CR34" s="9">
        <f t="shared" si="141"/>
        <v>0.67730562385243243</v>
      </c>
      <c r="CS34" s="9">
        <f t="shared" si="141"/>
        <v>0.75194399507552956</v>
      </c>
      <c r="CT34" s="9">
        <f t="shared" si="141"/>
        <v>0.83502493731649552</v>
      </c>
      <c r="CU34" s="9">
        <f t="shared" si="141"/>
        <v>0.92566589853241843</v>
      </c>
      <c r="CV34" s="9">
        <f t="shared" si="141"/>
        <v>0.98632918504391232</v>
      </c>
      <c r="CW34" s="9">
        <f t="shared" si="141"/>
        <v>1.1091985966893869</v>
      </c>
      <c r="CX34" s="9">
        <f t="shared" si="141"/>
        <v>1.3771614008029249</v>
      </c>
      <c r="CY34" s="32"/>
      <c r="CZ34" s="32"/>
      <c r="DA34" s="32">
        <f t="shared" si="26"/>
        <v>0.61560164261652994</v>
      </c>
      <c r="DB34" s="32">
        <v>615601642.61652994</v>
      </c>
      <c r="DC34" s="32"/>
      <c r="DD34" s="41">
        <v>45293</v>
      </c>
      <c r="DE34" s="76">
        <v>0.86044912452882882</v>
      </c>
      <c r="DF34" s="9">
        <f t="shared" ref="DF34:DP34" si="190">DF33+DF$2</f>
        <v>0.47750021807271315</v>
      </c>
      <c r="DG34" s="9">
        <f t="shared" si="190"/>
        <v>0.53181703519587231</v>
      </c>
      <c r="DH34" s="9">
        <f t="shared" si="190"/>
        <v>0.56527695806980449</v>
      </c>
      <c r="DI34" s="9">
        <f t="shared" si="190"/>
        <v>0.58786822568927199</v>
      </c>
      <c r="DJ34" s="9">
        <f t="shared" si="190"/>
        <v>0.63147068145732488</v>
      </c>
      <c r="DK34" s="9">
        <f t="shared" si="190"/>
        <v>0.68926812857404307</v>
      </c>
      <c r="DL34" s="9">
        <f t="shared" si="190"/>
        <v>0.76148761013920552</v>
      </c>
      <c r="DM34" s="9">
        <f t="shared" si="190"/>
        <v>0.83946882107917087</v>
      </c>
      <c r="DN34" s="9">
        <f t="shared" si="190"/>
        <v>0.88656371112691523</v>
      </c>
      <c r="DO34" s="9">
        <f t="shared" si="190"/>
        <v>0.9908663716589976</v>
      </c>
      <c r="DP34" s="9">
        <f t="shared" si="190"/>
        <v>1.24168111213225</v>
      </c>
      <c r="DQ34" s="32"/>
      <c r="DR34" s="32"/>
      <c r="DS34" s="32">
        <f t="shared" si="28"/>
        <v>0.61560164261652994</v>
      </c>
      <c r="DT34" s="32">
        <v>615601642.61652994</v>
      </c>
      <c r="DU34" s="32"/>
      <c r="EF34" s="32"/>
      <c r="EG34" s="41">
        <v>45657</v>
      </c>
      <c r="EH34" s="76">
        <v>0.66903047934487181</v>
      </c>
      <c r="EI34" s="9">
        <f t="shared" ref="EI34:ES34" si="191">EI33+EI$2</f>
        <v>0.54783851942552719</v>
      </c>
      <c r="EJ34" s="9">
        <f t="shared" si="191"/>
        <v>0.59454132973749552</v>
      </c>
      <c r="EK34" s="9">
        <f t="shared" si="191"/>
        <v>0.63520572466048364</v>
      </c>
      <c r="EL34" s="9">
        <f t="shared" si="191"/>
        <v>0.66176168803252566</v>
      </c>
      <c r="EM34" s="9">
        <f t="shared" si="191"/>
        <v>0.71079323398372107</v>
      </c>
      <c r="EN34" s="9">
        <f t="shared" si="191"/>
        <v>0.77874783762384392</v>
      </c>
      <c r="EO34" s="9">
        <f t="shared" si="191"/>
        <v>0.85783548501632267</v>
      </c>
      <c r="EP34" s="9">
        <f t="shared" si="191"/>
        <v>0.94235834879558111</v>
      </c>
      <c r="EQ34" s="9">
        <f t="shared" si="191"/>
        <v>0.99299482473444967</v>
      </c>
      <c r="ER34" s="9">
        <f t="shared" si="191"/>
        <v>1.1041135689689077</v>
      </c>
      <c r="ES34" s="9">
        <f t="shared" si="191"/>
        <v>1.3320408559334933</v>
      </c>
      <c r="ET34" s="32"/>
      <c r="EU34" s="32"/>
      <c r="EV34" s="32">
        <f t="shared" si="30"/>
        <v>0.61560164261652994</v>
      </c>
      <c r="EW34" s="32">
        <v>615601642.61652994</v>
      </c>
      <c r="EX34" s="32"/>
      <c r="FG34" s="32"/>
      <c r="FH34" s="32"/>
      <c r="FI34" s="41">
        <v>46021</v>
      </c>
      <c r="FJ34" s="76">
        <v>0.62201708962313473</v>
      </c>
      <c r="FK34" s="9">
        <f t="shared" ref="FK34:FU34" si="192">FK33+FK$2</f>
        <v>0.54783851942552719</v>
      </c>
      <c r="FL34" s="9">
        <f t="shared" si="192"/>
        <v>0.59454132973749552</v>
      </c>
      <c r="FM34" s="9">
        <f t="shared" si="192"/>
        <v>0.63520572466048364</v>
      </c>
      <c r="FN34" s="9">
        <f t="shared" si="192"/>
        <v>0.66176168803252566</v>
      </c>
      <c r="FO34" s="9">
        <f t="shared" si="192"/>
        <v>0.71079323398372107</v>
      </c>
      <c r="FP34" s="9">
        <f t="shared" si="192"/>
        <v>0.77874783762384392</v>
      </c>
      <c r="FQ34" s="9">
        <f t="shared" si="192"/>
        <v>0.85783548501632267</v>
      </c>
      <c r="FR34" s="9">
        <f t="shared" si="192"/>
        <v>0.94235834879558111</v>
      </c>
      <c r="FS34" s="9">
        <f t="shared" si="192"/>
        <v>0.99299482473444967</v>
      </c>
      <c r="FT34" s="9">
        <f t="shared" si="192"/>
        <v>1.1041135689689077</v>
      </c>
      <c r="FU34" s="9">
        <f t="shared" si="192"/>
        <v>1.3320408559334933</v>
      </c>
      <c r="FV34" s="32"/>
      <c r="FW34" s="32"/>
      <c r="FX34" s="32">
        <f t="shared" si="32"/>
        <v>0.61560164261652994</v>
      </c>
      <c r="FY34" s="32">
        <v>615601642.61652994</v>
      </c>
      <c r="FZ34" s="32"/>
      <c r="GI34" s="32"/>
      <c r="GJ34" s="41">
        <v>45657</v>
      </c>
      <c r="GK34" s="76">
        <v>0.66903047934487181</v>
      </c>
      <c r="GL34" s="9">
        <f t="shared" ref="GL34:GV34" si="193">GL33+GL$2</f>
        <v>0.45214100931324197</v>
      </c>
      <c r="GM34" s="9">
        <f t="shared" si="193"/>
        <v>0.52054517079505513</v>
      </c>
      <c r="GN34" s="9">
        <f t="shared" si="193"/>
        <v>0.5596485118318566</v>
      </c>
      <c r="GO34" s="9">
        <f t="shared" si="193"/>
        <v>0.58173731255503691</v>
      </c>
      <c r="GP34" s="9">
        <f t="shared" si="193"/>
        <v>0.62748596206987095</v>
      </c>
      <c r="GQ34" s="9">
        <f t="shared" si="193"/>
        <v>0.70325396854949873</v>
      </c>
      <c r="GR34" s="9">
        <f t="shared" si="193"/>
        <v>0.80164095379759892</v>
      </c>
      <c r="GS34" s="9">
        <f t="shared" si="193"/>
        <v>0.91722477975580707</v>
      </c>
      <c r="GT34" s="9">
        <f t="shared" si="193"/>
        <v>1.0094406153052558</v>
      </c>
      <c r="GU34" s="9">
        <f t="shared" si="193"/>
        <v>1.1843080854747625</v>
      </c>
      <c r="GV34" s="9">
        <f t="shared" si="193"/>
        <v>1.5392810487100468</v>
      </c>
      <c r="GW34" s="32"/>
      <c r="GX34" s="32"/>
      <c r="GY34" s="32">
        <f t="shared" si="34"/>
        <v>0.61560164261652994</v>
      </c>
      <c r="GZ34" s="32">
        <v>615601642.61652994</v>
      </c>
      <c r="HA34" s="32"/>
      <c r="HB34" s="229">
        <v>46021</v>
      </c>
      <c r="HC34" s="230">
        <v>0.62201708962313473</v>
      </c>
      <c r="HD34" s="9">
        <f t="shared" ref="HD34:HN34" si="194">HD33+HD$2</f>
        <v>0.50090790474297897</v>
      </c>
      <c r="HE34" s="9">
        <f t="shared" si="194"/>
        <v>0.56486554743279827</v>
      </c>
      <c r="HF34" s="9">
        <f t="shared" si="194"/>
        <v>0.60946822311705739</v>
      </c>
      <c r="HG34" s="9">
        <f t="shared" si="194"/>
        <v>0.63765345497750492</v>
      </c>
      <c r="HH34" s="9">
        <f t="shared" si="194"/>
        <v>0.69894967849856038</v>
      </c>
      <c r="HI34" s="9">
        <f t="shared" si="194"/>
        <v>0.78515135916483059</v>
      </c>
      <c r="HJ34" s="9">
        <f t="shared" si="194"/>
        <v>0.89822661430180029</v>
      </c>
      <c r="HK34" s="9">
        <f t="shared" si="194"/>
        <v>1.0257100808020199</v>
      </c>
      <c r="HL34" s="9">
        <f t="shared" si="194"/>
        <v>1.1064105478855752</v>
      </c>
      <c r="HM34" s="9">
        <f t="shared" si="194"/>
        <v>1.2860859959109838</v>
      </c>
      <c r="HN34" s="9">
        <f t="shared" si="194"/>
        <v>1.6536295666973979</v>
      </c>
      <c r="HO34" s="32"/>
      <c r="HP34" s="32"/>
      <c r="HQ34" s="32">
        <v>622017089.62313473</v>
      </c>
      <c r="HR34" s="32">
        <f t="shared" si="36"/>
        <v>0.62201708962313473</v>
      </c>
      <c r="HT34" s="32"/>
      <c r="IC34" s="41">
        <f t="shared" si="67"/>
        <v>44929</v>
      </c>
      <c r="ID34" s="9">
        <v>0.6312796442095</v>
      </c>
      <c r="IE34" s="9"/>
      <c r="IF34" s="9"/>
      <c r="IG34" s="9"/>
      <c r="IH34" s="9"/>
      <c r="II34" s="9"/>
      <c r="IJ34" s="9"/>
      <c r="IK34" s="9"/>
      <c r="IL34" s="9"/>
      <c r="IM34" s="9"/>
      <c r="IN34" s="9"/>
      <c r="IO34" s="9"/>
      <c r="IP34" s="32"/>
      <c r="IQ34" s="32"/>
      <c r="JB34" s="41">
        <f t="shared" si="13"/>
        <v>44565</v>
      </c>
      <c r="JC34" s="9">
        <f t="shared" si="14"/>
        <v>0.62793005414039982</v>
      </c>
      <c r="JD34" s="9"/>
      <c r="JE34" s="9"/>
      <c r="JF34" s="9"/>
      <c r="JG34" s="9"/>
      <c r="JH34" s="9"/>
      <c r="JI34" s="9"/>
      <c r="JJ34" s="9"/>
      <c r="JK34" s="9"/>
      <c r="JL34" s="9"/>
      <c r="JM34" s="9"/>
      <c r="JN34" s="9"/>
      <c r="JO34" s="9"/>
      <c r="JZ34" s="41">
        <f t="shared" si="15"/>
        <v>44565</v>
      </c>
      <c r="KA34" s="9">
        <f t="shared" si="37"/>
        <v>0.62793005414039982</v>
      </c>
      <c r="KB34" s="9"/>
      <c r="KC34" s="9"/>
      <c r="KP34" s="212"/>
      <c r="KR34" s="41"/>
      <c r="KS34" s="212"/>
      <c r="KT34" s="212"/>
      <c r="KV34" s="41"/>
      <c r="KW34" s="212"/>
      <c r="KX34" s="212"/>
      <c r="KZ34" s="41"/>
      <c r="LA34" s="212"/>
      <c r="LB34" s="212"/>
      <c r="LD34" s="41">
        <v>43830</v>
      </c>
      <c r="LE34" s="212">
        <v>13626078.155999999</v>
      </c>
      <c r="LF34" s="212">
        <f t="shared" si="42"/>
        <v>579561009.2171998</v>
      </c>
      <c r="LL34" s="41"/>
      <c r="LM34" s="212"/>
      <c r="LN34" s="212"/>
      <c r="LT34" s="41"/>
      <c r="LU34" s="212"/>
      <c r="LV34" s="212"/>
      <c r="MB34" s="32"/>
      <c r="MC34" s="42"/>
      <c r="MD34" s="42"/>
      <c r="ME34" s="42"/>
      <c r="MF34" s="42"/>
      <c r="MG34" s="42"/>
      <c r="MH34" s="42"/>
      <c r="MI34" s="42"/>
      <c r="MJ34" s="42"/>
      <c r="MK34" s="42"/>
      <c r="ML34" s="42"/>
      <c r="MM34" s="9"/>
      <c r="MN34" s="9"/>
      <c r="MO34" s="9"/>
      <c r="MW34" s="60"/>
      <c r="MX34" s="64" t="s">
        <v>86</v>
      </c>
      <c r="MY34" s="63">
        <f>MY21</f>
        <v>0.36670223228814003</v>
      </c>
      <c r="MZ34" s="63">
        <f t="shared" ref="MZ34:NH34" si="195">MZ21</f>
        <v>0.37127926012302853</v>
      </c>
      <c r="NA34" s="63">
        <f t="shared" si="195"/>
        <v>0.31761858401399984</v>
      </c>
      <c r="NB34" s="63">
        <f t="shared" si="195"/>
        <v>0.32348451958559998</v>
      </c>
      <c r="NC34" s="63">
        <f t="shared" si="195"/>
        <v>0.35713337259291411</v>
      </c>
      <c r="ND34" s="63">
        <f t="shared" si="195"/>
        <v>0.34789663857927866</v>
      </c>
      <c r="NE34" s="63">
        <f>NE21</f>
        <v>0.43473146576519983</v>
      </c>
      <c r="NF34" s="63">
        <f t="shared" si="195"/>
        <v>0.3786386174889429</v>
      </c>
      <c r="NG34" s="63">
        <f t="shared" si="195"/>
        <v>0.39560607685714289</v>
      </c>
      <c r="NH34" s="63">
        <f t="shared" si="195"/>
        <v>0.40126193868659998</v>
      </c>
      <c r="NI34" s="63">
        <f>NI21</f>
        <v>0.24703376494619997</v>
      </c>
      <c r="NU34" s="9"/>
      <c r="NV34" s="9"/>
      <c r="NW34" s="9"/>
      <c r="NX34" s="9"/>
      <c r="NY34" s="9"/>
      <c r="NZ34" s="9"/>
      <c r="OA34" s="9"/>
      <c r="OB34" s="9"/>
      <c r="OC34" s="9"/>
      <c r="OD34" s="9"/>
      <c r="OE34" s="9"/>
      <c r="OF34" s="9"/>
      <c r="OG34" s="32"/>
      <c r="OH34" s="32"/>
      <c r="OS34" s="41"/>
      <c r="OT34" s="9"/>
      <c r="OU34" s="9"/>
      <c r="OV34" s="9"/>
      <c r="OW34" s="9"/>
      <c r="OX34" s="9"/>
      <c r="OY34" s="9"/>
      <c r="OZ34" s="9"/>
      <c r="PA34" s="9"/>
      <c r="PB34" s="9"/>
      <c r="PC34" s="9"/>
      <c r="PD34" s="9"/>
      <c r="PE34" s="9"/>
      <c r="PF34" s="9"/>
    </row>
    <row r="35" spans="2:424" x14ac:dyDescent="0.25">
      <c r="B35" s="48">
        <v>42934</v>
      </c>
      <c r="C35" s="214">
        <v>78033348.201599985</v>
      </c>
      <c r="D35" s="214">
        <v>59494776</v>
      </c>
      <c r="E35" s="215">
        <v>50000000</v>
      </c>
      <c r="F35" s="215"/>
      <c r="G35" s="215"/>
      <c r="H35" s="215"/>
      <c r="I35" s="41">
        <v>43109</v>
      </c>
      <c r="J35" s="212">
        <v>9497993.371199999</v>
      </c>
      <c r="K35" s="212">
        <f t="shared" si="18"/>
        <v>723828888.35999978</v>
      </c>
      <c r="M35" s="41">
        <v>43473</v>
      </c>
      <c r="N35" s="212">
        <v>11195710.048799999</v>
      </c>
      <c r="O35" s="212">
        <f t="shared" si="19"/>
        <v>589515855.73559988</v>
      </c>
      <c r="Q35" s="41">
        <v>43837</v>
      </c>
      <c r="R35" s="212">
        <v>14925236.5584</v>
      </c>
      <c r="S35" s="212">
        <f t="shared" si="20"/>
        <v>594486245.77559984</v>
      </c>
      <c r="U35" s="41">
        <v>44208</v>
      </c>
      <c r="V35" s="212">
        <v>16843688.8704</v>
      </c>
      <c r="W35" s="212">
        <f t="shared" si="21"/>
        <v>583850100.09960008</v>
      </c>
      <c r="Y35" s="41">
        <v>44572</v>
      </c>
      <c r="Z35" s="212">
        <v>32928633.305999998</v>
      </c>
      <c r="AA35" s="212">
        <f t="shared" si="22"/>
        <v>660858687.44639981</v>
      </c>
      <c r="AC35" s="32">
        <v>28</v>
      </c>
      <c r="AD35" s="39">
        <f t="shared" si="0"/>
        <v>0.72382888835999981</v>
      </c>
      <c r="AE35" s="39">
        <f t="shared" si="1"/>
        <v>0.58951585573559984</v>
      </c>
      <c r="AF35" s="39">
        <f t="shared" si="2"/>
        <v>0.59448624577559983</v>
      </c>
      <c r="AG35" s="39">
        <f t="shared" si="3"/>
        <v>0.58385010009960003</v>
      </c>
      <c r="AH35" s="39">
        <f t="shared" si="4"/>
        <v>0.66085868744639986</v>
      </c>
      <c r="AI35" s="39">
        <f t="shared" si="23"/>
        <v>0.77906177526949594</v>
      </c>
      <c r="AJ35" s="9"/>
      <c r="AK35" s="9"/>
      <c r="AL35" s="9"/>
      <c r="AT35" s="60"/>
      <c r="AU35" s="64" t="s">
        <v>86</v>
      </c>
      <c r="AV35" s="63">
        <f>AV22</f>
        <v>0.76174137554958854</v>
      </c>
      <c r="AW35" s="63">
        <f t="shared" ref="AW35:BB35" si="196">AW22</f>
        <v>0.71872871646197445</v>
      </c>
      <c r="AX35" s="63">
        <f t="shared" si="196"/>
        <v>0.76805370043418086</v>
      </c>
      <c r="AY35" s="63">
        <f t="shared" si="196"/>
        <v>0.90189161627526415</v>
      </c>
      <c r="AZ35" s="63">
        <f t="shared" si="196"/>
        <v>0.83367465348844649</v>
      </c>
      <c r="BA35" s="63">
        <f>BA22</f>
        <v>0.97380588396585999</v>
      </c>
      <c r="BB35" s="63">
        <f t="shared" si="196"/>
        <v>0.65723946065637839</v>
      </c>
      <c r="BM35" s="41">
        <f t="shared" si="60"/>
        <v>44572</v>
      </c>
      <c r="BN35" s="9">
        <f t="shared" si="5"/>
        <v>0.66085868744639986</v>
      </c>
      <c r="BO35" s="9">
        <f t="shared" si="140"/>
        <v>0.44890173649377874</v>
      </c>
      <c r="BP35" s="9">
        <f t="shared" si="140"/>
        <v>0.51024786631861507</v>
      </c>
      <c r="BQ35" s="9">
        <f t="shared" si="140"/>
        <v>0.54442438797539605</v>
      </c>
      <c r="BR35" s="9">
        <f t="shared" si="140"/>
        <v>0.5655957691288056</v>
      </c>
      <c r="BS35" s="9">
        <f t="shared" si="140"/>
        <v>0.6050786977335737</v>
      </c>
      <c r="BT35" s="9">
        <f t="shared" si="140"/>
        <v>0.65715461108014672</v>
      </c>
      <c r="BU35" s="9">
        <f t="shared" si="140"/>
        <v>0.71513626728123314</v>
      </c>
      <c r="BV35" s="9">
        <f t="shared" si="140"/>
        <v>0.77617176662815457</v>
      </c>
      <c r="BW35" s="9">
        <f t="shared" si="140"/>
        <v>0.81553529671308023</v>
      </c>
      <c r="BX35" s="9">
        <f t="shared" si="140"/>
        <v>0.89619442102335178</v>
      </c>
      <c r="BY35" s="9">
        <f t="shared" si="140"/>
        <v>1.1061004346982948</v>
      </c>
      <c r="BZ35" s="32"/>
      <c r="CA35" s="32"/>
      <c r="CL35" s="41">
        <f t="shared" si="61"/>
        <v>44936</v>
      </c>
      <c r="CM35" s="76">
        <v>0.62886922832989334</v>
      </c>
      <c r="CN35" s="9">
        <f t="shared" si="141"/>
        <v>0.49954413467791364</v>
      </c>
      <c r="CO35" s="9">
        <f t="shared" si="141"/>
        <v>0.56876969262205235</v>
      </c>
      <c r="CP35" s="9">
        <f t="shared" si="141"/>
        <v>0.61945486930722493</v>
      </c>
      <c r="CQ35" s="9">
        <f t="shared" si="141"/>
        <v>0.64621758627030634</v>
      </c>
      <c r="CR35" s="9">
        <f t="shared" si="141"/>
        <v>0.70239101732844844</v>
      </c>
      <c r="CS35" s="9">
        <f t="shared" si="141"/>
        <v>0.77979377267091954</v>
      </c>
      <c r="CT35" s="9">
        <f t="shared" si="141"/>
        <v>0.86595178684673613</v>
      </c>
      <c r="CU35" s="9">
        <f t="shared" si="141"/>
        <v>0.95994982070028578</v>
      </c>
      <c r="CV35" s="9">
        <f t="shared" si="141"/>
        <v>1.0228598956010944</v>
      </c>
      <c r="CW35" s="9">
        <f t="shared" si="141"/>
        <v>1.1502800261964012</v>
      </c>
      <c r="CX35" s="9">
        <f t="shared" si="141"/>
        <v>1.4281673786104407</v>
      </c>
      <c r="CY35" s="32"/>
      <c r="CZ35" s="32"/>
      <c r="DA35" s="32">
        <f t="shared" si="26"/>
        <v>0.62886922832989334</v>
      </c>
      <c r="DB35" s="32">
        <v>628869228.32989335</v>
      </c>
      <c r="DC35" s="32"/>
      <c r="DD35" s="41">
        <v>45300</v>
      </c>
      <c r="DE35" s="76">
        <v>0.87542508291681687</v>
      </c>
      <c r="DF35" s="9">
        <f t="shared" ref="DF35:DP35" si="197">DF34+DF$2</f>
        <v>0.49518541133466548</v>
      </c>
      <c r="DG35" s="9">
        <f t="shared" si="197"/>
        <v>0.55151396242534911</v>
      </c>
      <c r="DH35" s="9">
        <f t="shared" si="197"/>
        <v>0.58621314170201944</v>
      </c>
      <c r="DI35" s="9">
        <f t="shared" si="197"/>
        <v>0.60964112293702277</v>
      </c>
      <c r="DJ35" s="9">
        <f t="shared" si="197"/>
        <v>0.65485848447426287</v>
      </c>
      <c r="DK35" s="9">
        <f t="shared" si="197"/>
        <v>0.71479657778048911</v>
      </c>
      <c r="DL35" s="9">
        <f t="shared" si="197"/>
        <v>0.78969085495917613</v>
      </c>
      <c r="DM35" s="9">
        <f t="shared" si="197"/>
        <v>0.8705602588969179</v>
      </c>
      <c r="DN35" s="9">
        <f t="shared" si="197"/>
        <v>0.91939940413161581</v>
      </c>
      <c r="DO35" s="9">
        <f t="shared" si="197"/>
        <v>1.0275651261648864</v>
      </c>
      <c r="DP35" s="9">
        <f t="shared" si="197"/>
        <v>1.2876693014704814</v>
      </c>
      <c r="DQ35" s="32"/>
      <c r="DR35" s="32"/>
      <c r="DS35" s="32">
        <f t="shared" si="28"/>
        <v>0.62886922832989334</v>
      </c>
      <c r="DT35" s="32">
        <v>628869228.32989335</v>
      </c>
      <c r="DU35" s="32"/>
      <c r="EF35" s="32"/>
      <c r="EG35" s="41">
        <v>45664</v>
      </c>
      <c r="EH35" s="76">
        <v>0.70092431992700388</v>
      </c>
      <c r="EI35" s="9">
        <f t="shared" ref="EI35:ES35" si="198">EI34+EI$2</f>
        <v>0.56812883495980593</v>
      </c>
      <c r="EJ35" s="9">
        <f t="shared" si="198"/>
        <v>0.61656137898703234</v>
      </c>
      <c r="EK35" s="9">
        <f t="shared" si="198"/>
        <v>0.65873186261087191</v>
      </c>
      <c r="EL35" s="9">
        <f t="shared" si="198"/>
        <v>0.6862713801818785</v>
      </c>
      <c r="EM35" s="9">
        <f t="shared" si="198"/>
        <v>0.73711890931645152</v>
      </c>
      <c r="EN35" s="9">
        <f t="shared" si="198"/>
        <v>0.80759035012843072</v>
      </c>
      <c r="EO35" s="9">
        <f t="shared" si="198"/>
        <v>0.88960716964655684</v>
      </c>
      <c r="EP35" s="9">
        <f t="shared" si="198"/>
        <v>0.97726050986208413</v>
      </c>
      <c r="EQ35" s="9">
        <f t="shared" si="198"/>
        <v>1.0297724108357256</v>
      </c>
      <c r="ER35" s="9">
        <f t="shared" si="198"/>
        <v>1.1450066641159042</v>
      </c>
      <c r="ES35" s="9">
        <f t="shared" si="198"/>
        <v>1.3813757024495485</v>
      </c>
      <c r="ET35" s="32"/>
      <c r="EU35" s="32"/>
      <c r="EV35" s="32">
        <f t="shared" si="30"/>
        <v>0.62886922832989334</v>
      </c>
      <c r="EW35" s="32">
        <v>628869228.32989335</v>
      </c>
      <c r="EX35" s="32"/>
      <c r="FG35" s="32"/>
      <c r="FH35" s="32"/>
      <c r="FI35" s="41">
        <v>46028</v>
      </c>
      <c r="FJ35" s="76">
        <v>0.63560844937658822</v>
      </c>
      <c r="FK35" s="9">
        <f t="shared" ref="FK35:FU35" si="199">FK34+FK$2</f>
        <v>0.56812883495980593</v>
      </c>
      <c r="FL35" s="9">
        <f t="shared" si="199"/>
        <v>0.61656137898703234</v>
      </c>
      <c r="FM35" s="9">
        <f t="shared" si="199"/>
        <v>0.65873186261087191</v>
      </c>
      <c r="FN35" s="9">
        <f t="shared" si="199"/>
        <v>0.6862713801818785</v>
      </c>
      <c r="FO35" s="9">
        <f t="shared" si="199"/>
        <v>0.73711890931645152</v>
      </c>
      <c r="FP35" s="9">
        <f t="shared" si="199"/>
        <v>0.80759035012843072</v>
      </c>
      <c r="FQ35" s="9">
        <f t="shared" si="199"/>
        <v>0.88960716964655684</v>
      </c>
      <c r="FR35" s="9">
        <f t="shared" si="199"/>
        <v>0.97726050986208413</v>
      </c>
      <c r="FS35" s="9">
        <f t="shared" si="199"/>
        <v>1.0297724108357256</v>
      </c>
      <c r="FT35" s="9">
        <f t="shared" si="199"/>
        <v>1.1450066641159042</v>
      </c>
      <c r="FU35" s="9">
        <f t="shared" si="199"/>
        <v>1.3813757024495485</v>
      </c>
      <c r="FV35" s="32"/>
      <c r="FW35" s="32"/>
      <c r="FX35" s="32">
        <f t="shared" si="32"/>
        <v>0.62886922832989334</v>
      </c>
      <c r="FY35" s="32">
        <v>628869228.32989335</v>
      </c>
      <c r="FZ35" s="32"/>
      <c r="GI35" s="32"/>
      <c r="GJ35" s="41"/>
      <c r="GK35" s="76"/>
      <c r="GL35" s="9">
        <f t="shared" ref="GL35:GV35" si="200">GL34+GL$2</f>
        <v>0.46888697262113982</v>
      </c>
      <c r="GM35" s="9">
        <f t="shared" si="200"/>
        <v>0.53982462156524236</v>
      </c>
      <c r="GN35" s="9">
        <f t="shared" si="200"/>
        <v>0.5803762344922957</v>
      </c>
      <c r="GO35" s="9">
        <f t="shared" si="200"/>
        <v>0.60328313894596419</v>
      </c>
      <c r="GP35" s="9">
        <f t="shared" si="200"/>
        <v>0.65072618288727357</v>
      </c>
      <c r="GQ35" s="9">
        <f t="shared" si="200"/>
        <v>0.72930041182910976</v>
      </c>
      <c r="GR35" s="9">
        <f t="shared" si="200"/>
        <v>0.83133135949380632</v>
      </c>
      <c r="GS35" s="9">
        <f t="shared" si="200"/>
        <v>0.95119606789491107</v>
      </c>
      <c r="GT35" s="9">
        <f t="shared" si="200"/>
        <v>1.0468273047610059</v>
      </c>
      <c r="GU35" s="9">
        <f t="shared" si="200"/>
        <v>1.2281713478997538</v>
      </c>
      <c r="GV35" s="9">
        <f t="shared" si="200"/>
        <v>1.5962914579215299</v>
      </c>
      <c r="GW35" s="32"/>
      <c r="GX35" s="32"/>
      <c r="GY35" s="32">
        <f t="shared" si="34"/>
        <v>0.62886922832989334</v>
      </c>
      <c r="GZ35" s="32">
        <v>628869228.32989335</v>
      </c>
      <c r="HA35" s="32"/>
      <c r="HB35" s="41"/>
      <c r="HC35" s="76"/>
      <c r="HD35" s="9"/>
      <c r="HE35" s="9"/>
      <c r="HF35" s="9"/>
      <c r="HG35" s="9"/>
      <c r="HH35" s="9"/>
      <c r="HI35" s="9"/>
      <c r="HJ35" s="9"/>
      <c r="HK35" s="9"/>
      <c r="HL35" s="9"/>
      <c r="HM35" s="9"/>
      <c r="HN35" s="9"/>
      <c r="HO35" s="32"/>
      <c r="HP35" s="32"/>
      <c r="HQ35" s="32"/>
      <c r="HR35" s="32"/>
      <c r="IC35" s="41">
        <f t="shared" si="67"/>
        <v>44936</v>
      </c>
      <c r="ID35" s="9">
        <v>0.64339242555769993</v>
      </c>
      <c r="IE35" s="9"/>
      <c r="IF35" s="9"/>
      <c r="IG35" s="9"/>
      <c r="IH35" s="9"/>
      <c r="II35" s="9"/>
      <c r="IJ35" s="9"/>
      <c r="IK35" s="9"/>
      <c r="IL35" s="9"/>
      <c r="IM35" s="9"/>
      <c r="IN35" s="9"/>
      <c r="IO35" s="9"/>
      <c r="IP35" s="32"/>
      <c r="IQ35" s="32"/>
      <c r="JB35" s="41">
        <f t="shared" si="13"/>
        <v>44572</v>
      </c>
      <c r="JC35" s="9">
        <f t="shared" si="14"/>
        <v>0.66085868744639986</v>
      </c>
      <c r="JD35" s="9"/>
      <c r="JE35" s="9"/>
      <c r="JF35" s="9"/>
      <c r="JG35" s="9"/>
      <c r="JH35" s="9"/>
      <c r="JI35" s="9"/>
      <c r="JJ35" s="9"/>
      <c r="JK35" s="9"/>
      <c r="JL35" s="9"/>
      <c r="JM35" s="9"/>
      <c r="JN35" s="9"/>
      <c r="JO35" s="9"/>
      <c r="JZ35" s="41">
        <f t="shared" si="15"/>
        <v>44572</v>
      </c>
      <c r="KA35" s="9">
        <f t="shared" si="37"/>
        <v>0.66085868744639986</v>
      </c>
      <c r="KB35" s="9"/>
      <c r="KC35" s="9"/>
      <c r="KP35" s="212"/>
      <c r="KR35" s="41"/>
      <c r="KS35" s="212"/>
      <c r="KT35" s="212"/>
      <c r="KV35" s="41"/>
      <c r="KW35" s="212"/>
      <c r="KX35" s="212"/>
      <c r="KZ35" s="41"/>
      <c r="LA35" s="212"/>
      <c r="LB35" s="212"/>
      <c r="LD35" s="41"/>
      <c r="LE35" s="212"/>
      <c r="LF35" s="212"/>
      <c r="LL35" s="41"/>
      <c r="LM35" s="212"/>
      <c r="LN35" s="212"/>
      <c r="MB35" s="32"/>
      <c r="MC35" s="32"/>
      <c r="MD35" s="32"/>
      <c r="ME35" s="32"/>
      <c r="MF35" s="32"/>
      <c r="MG35" s="32"/>
      <c r="MH35" s="32"/>
      <c r="MI35" s="39"/>
      <c r="MJ35" s="39"/>
      <c r="MK35" s="39"/>
      <c r="ML35" s="39"/>
      <c r="MM35" s="9"/>
      <c r="MN35" s="9"/>
      <c r="MO35" s="9"/>
      <c r="MW35" s="60"/>
      <c r="MX35" s="62" t="s">
        <v>92</v>
      </c>
      <c r="MY35" s="63">
        <f>MY23-MY21</f>
        <v>6.8916393976500068E-2</v>
      </c>
      <c r="MZ35" s="63">
        <f t="shared" ref="MZ35:NH35" si="201">MZ23-MZ21</f>
        <v>6.9973500246857223E-2</v>
      </c>
      <c r="NA35" s="63">
        <f t="shared" si="201"/>
        <v>9.3587077150268538E-2</v>
      </c>
      <c r="NB35" s="63">
        <f t="shared" si="201"/>
        <v>5.3623735738200007E-2</v>
      </c>
      <c r="NC35" s="63">
        <f t="shared" si="201"/>
        <v>6.50080822469144E-2</v>
      </c>
      <c r="ND35" s="63">
        <f t="shared" si="201"/>
        <v>8.0752635640049975E-2</v>
      </c>
      <c r="NE35" s="63">
        <f>NE23-NE21</f>
        <v>8.8016862217600189E-2</v>
      </c>
      <c r="NF35" s="63">
        <f t="shared" si="201"/>
        <v>7.4879807714999913E-2</v>
      </c>
      <c r="NG35" s="63">
        <f t="shared" si="201"/>
        <v>7.6929869167628562E-2</v>
      </c>
      <c r="NH35" s="63">
        <f t="shared" si="201"/>
        <v>6.4590574694729952E-2</v>
      </c>
      <c r="NI35" s="63">
        <f>NI23-NI21</f>
        <v>4.6220147273939999E-2</v>
      </c>
      <c r="OG35" s="32"/>
      <c r="OH35" s="32"/>
      <c r="OY35" s="9"/>
      <c r="OZ35" s="9"/>
      <c r="PA35" s="9"/>
      <c r="PB35" s="9"/>
      <c r="PC35" s="9"/>
      <c r="PD35" s="9"/>
      <c r="PE35" s="9"/>
      <c r="PF35" s="9"/>
    </row>
    <row r="36" spans="2:424" x14ac:dyDescent="0.25">
      <c r="B36" s="48">
        <v>42941</v>
      </c>
      <c r="C36" s="214">
        <v>11683983.315599998</v>
      </c>
      <c r="D36" s="214">
        <v>8908191</v>
      </c>
      <c r="E36" s="215">
        <v>2000000</v>
      </c>
      <c r="F36" s="215"/>
      <c r="G36" s="215"/>
      <c r="H36" s="215"/>
      <c r="I36" s="41">
        <v>43116</v>
      </c>
      <c r="J36" s="212">
        <v>11157939.9036</v>
      </c>
      <c r="K36" s="212">
        <f t="shared" si="18"/>
        <v>734986828.26359975</v>
      </c>
      <c r="M36" s="41">
        <v>43480</v>
      </c>
      <c r="N36" s="212">
        <v>15659890.171199998</v>
      </c>
      <c r="O36" s="212">
        <f t="shared" si="19"/>
        <v>605175745.90679991</v>
      </c>
      <c r="Q36" s="41">
        <v>43844</v>
      </c>
      <c r="R36" s="212">
        <v>21438647.009999998</v>
      </c>
      <c r="S36" s="212">
        <f t="shared" si="20"/>
        <v>615924892.78559983</v>
      </c>
      <c r="U36" s="41">
        <v>44215</v>
      </c>
      <c r="V36" s="212">
        <v>23683328.337599996</v>
      </c>
      <c r="W36" s="212">
        <f t="shared" si="21"/>
        <v>607533428.43720007</v>
      </c>
      <c r="Y36" s="41">
        <v>44579</v>
      </c>
      <c r="Z36" s="212">
        <v>41949159.228</v>
      </c>
      <c r="AA36" s="212">
        <f t="shared" si="22"/>
        <v>702807846.67439985</v>
      </c>
      <c r="AC36" s="32">
        <v>29</v>
      </c>
      <c r="AD36" s="39">
        <f t="shared" si="0"/>
        <v>0.73498682826359973</v>
      </c>
      <c r="AE36" s="39">
        <f t="shared" si="1"/>
        <v>0.6051757459067999</v>
      </c>
      <c r="AF36" s="39">
        <f t="shared" si="2"/>
        <v>0.61592489278559981</v>
      </c>
      <c r="AG36" s="39">
        <f t="shared" si="3"/>
        <v>0.60753342843720004</v>
      </c>
      <c r="AH36" s="39">
        <f t="shared" si="4"/>
        <v>0.70280784667439988</v>
      </c>
      <c r="AI36" s="39">
        <f t="shared" si="23"/>
        <v>0.80688541010054937</v>
      </c>
      <c r="AJ36" s="9"/>
      <c r="AK36" s="9"/>
      <c r="AL36" s="9"/>
      <c r="AT36" s="60"/>
      <c r="AU36" s="62" t="s">
        <v>92</v>
      </c>
      <c r="AV36" s="63">
        <f>AV24-AV22</f>
        <v>0.15948032521748401</v>
      </c>
      <c r="AW36" s="63">
        <f t="shared" ref="AW36:BB36" si="202">AW24-AW22</f>
        <v>0.14077698804332384</v>
      </c>
      <c r="AX36" s="63">
        <f t="shared" si="202"/>
        <v>0.14639246001383122</v>
      </c>
      <c r="AY36" s="63">
        <f t="shared" si="202"/>
        <v>0.15367455947218311</v>
      </c>
      <c r="AZ36" s="63">
        <f t="shared" si="202"/>
        <v>0.17739920989443214</v>
      </c>
      <c r="BA36" s="63">
        <f>BA24-BA22</f>
        <v>0.19244025299021927</v>
      </c>
      <c r="BB36" s="63">
        <f t="shared" si="202"/>
        <v>0.16043075333189538</v>
      </c>
      <c r="BM36" s="41">
        <f t="shared" si="60"/>
        <v>44579</v>
      </c>
      <c r="BN36" s="9">
        <f t="shared" si="5"/>
        <v>0.70280784667439988</v>
      </c>
      <c r="BO36" s="9">
        <f t="shared" si="140"/>
        <v>0.46493394136855654</v>
      </c>
      <c r="BP36" s="9">
        <f t="shared" si="140"/>
        <v>0.52847100440142281</v>
      </c>
      <c r="BQ36" s="9">
        <f t="shared" si="140"/>
        <v>0.56386811611737453</v>
      </c>
      <c r="BR36" s="9">
        <f t="shared" si="140"/>
        <v>0.5857956180262629</v>
      </c>
      <c r="BS36" s="9">
        <f t="shared" si="140"/>
        <v>0.62668865122405848</v>
      </c>
      <c r="BT36" s="9">
        <f t="shared" si="140"/>
        <v>0.68062441861872336</v>
      </c>
      <c r="BU36" s="9">
        <f t="shared" si="140"/>
        <v>0.7406768482555629</v>
      </c>
      <c r="BV36" s="9">
        <f t="shared" si="140"/>
        <v>0.8038921868648744</v>
      </c>
      <c r="BW36" s="9">
        <f t="shared" si="140"/>
        <v>0.84466155730997594</v>
      </c>
      <c r="BX36" s="9">
        <f t="shared" si="140"/>
        <v>0.92820136463132863</v>
      </c>
      <c r="BY36" s="9">
        <f t="shared" si="140"/>
        <v>1.1456040216518053</v>
      </c>
      <c r="BZ36" s="32"/>
      <c r="CA36" s="32"/>
      <c r="CL36" s="41">
        <f t="shared" si="61"/>
        <v>44943</v>
      </c>
      <c r="CM36" s="76">
        <v>0.6415368150007642</v>
      </c>
      <c r="CN36" s="9">
        <f t="shared" si="141"/>
        <v>0.51738499663069626</v>
      </c>
      <c r="CO36" s="9">
        <f t="shared" si="141"/>
        <v>0.58908289592998275</v>
      </c>
      <c r="CP36" s="9">
        <f t="shared" si="141"/>
        <v>0.64157825749676867</v>
      </c>
      <c r="CQ36" s="9">
        <f t="shared" si="141"/>
        <v>0.6692967857799601</v>
      </c>
      <c r="CR36" s="9">
        <f t="shared" si="141"/>
        <v>0.72747641080446446</v>
      </c>
      <c r="CS36" s="9">
        <f t="shared" si="141"/>
        <v>0.80764355026630952</v>
      </c>
      <c r="CT36" s="9">
        <f t="shared" si="141"/>
        <v>0.89687863637697673</v>
      </c>
      <c r="CU36" s="9">
        <f t="shared" si="141"/>
        <v>0.99423374286815314</v>
      </c>
      <c r="CV36" s="9">
        <f t="shared" si="141"/>
        <v>1.0593906061582763</v>
      </c>
      <c r="CW36" s="9">
        <f t="shared" si="141"/>
        <v>1.1913614557034156</v>
      </c>
      <c r="CX36" s="9">
        <f t="shared" si="141"/>
        <v>1.4791733564179566</v>
      </c>
      <c r="CY36" s="32"/>
      <c r="CZ36" s="32"/>
      <c r="DA36" s="32">
        <f t="shared" si="26"/>
        <v>0.6415368150007642</v>
      </c>
      <c r="DB36" s="32">
        <v>641536815.00076425</v>
      </c>
      <c r="DC36" s="32"/>
      <c r="DD36" s="41">
        <v>45307</v>
      </c>
      <c r="DE36" s="76">
        <v>0.89610277366366364</v>
      </c>
      <c r="DF36" s="9">
        <f t="shared" ref="DF36:DP36" si="203">DF35+DF$2</f>
        <v>0.51287060459661782</v>
      </c>
      <c r="DG36" s="9">
        <f t="shared" si="203"/>
        <v>0.57121088965482592</v>
      </c>
      <c r="DH36" s="9">
        <f t="shared" si="203"/>
        <v>0.60714932533423438</v>
      </c>
      <c r="DI36" s="9">
        <f t="shared" si="203"/>
        <v>0.63141402018477355</v>
      </c>
      <c r="DJ36" s="9">
        <f t="shared" si="203"/>
        <v>0.67824628749120086</v>
      </c>
      <c r="DK36" s="9">
        <f t="shared" si="203"/>
        <v>0.74032502698693514</v>
      </c>
      <c r="DL36" s="9">
        <f t="shared" si="203"/>
        <v>0.81789409977914673</v>
      </c>
      <c r="DM36" s="9">
        <f t="shared" si="203"/>
        <v>0.90165169671466494</v>
      </c>
      <c r="DN36" s="9">
        <f t="shared" si="203"/>
        <v>0.95223509713631638</v>
      </c>
      <c r="DO36" s="9">
        <f t="shared" si="203"/>
        <v>1.0642638806707752</v>
      </c>
      <c r="DP36" s="9">
        <f t="shared" si="203"/>
        <v>1.3336574908087129</v>
      </c>
      <c r="DQ36" s="32"/>
      <c r="DR36" s="32"/>
      <c r="DS36" s="32">
        <f t="shared" si="28"/>
        <v>0.6415368150007642</v>
      </c>
      <c r="DT36" s="32">
        <v>641536815.00076425</v>
      </c>
      <c r="DU36" s="32"/>
      <c r="EF36" s="32"/>
      <c r="EG36" s="41">
        <v>45671</v>
      </c>
      <c r="EH36" s="76">
        <v>0.74284245290808482</v>
      </c>
      <c r="EI36" s="9">
        <f t="shared" ref="EI36:ES36" si="204">EI35+EI$2</f>
        <v>0.58841915049408466</v>
      </c>
      <c r="EJ36" s="9">
        <f t="shared" si="204"/>
        <v>0.63858142823656916</v>
      </c>
      <c r="EK36" s="9">
        <f t="shared" si="204"/>
        <v>0.68225800056126018</v>
      </c>
      <c r="EL36" s="9">
        <f t="shared" si="204"/>
        <v>0.71078107233123133</v>
      </c>
      <c r="EM36" s="9">
        <f t="shared" si="204"/>
        <v>0.76344458464918197</v>
      </c>
      <c r="EN36" s="9">
        <f t="shared" si="204"/>
        <v>0.83643286263301753</v>
      </c>
      <c r="EO36" s="9">
        <f t="shared" si="204"/>
        <v>0.921378854276791</v>
      </c>
      <c r="EP36" s="9">
        <f t="shared" si="204"/>
        <v>1.0121626709285871</v>
      </c>
      <c r="EQ36" s="9">
        <f t="shared" si="204"/>
        <v>1.0665499969370016</v>
      </c>
      <c r="ER36" s="9">
        <f t="shared" si="204"/>
        <v>1.1858997592629008</v>
      </c>
      <c r="ES36" s="9">
        <f t="shared" si="204"/>
        <v>1.4307105489656038</v>
      </c>
      <c r="ET36" s="32"/>
      <c r="EU36" s="32"/>
      <c r="EV36" s="32">
        <f t="shared" si="30"/>
        <v>0.6415368150007642</v>
      </c>
      <c r="EW36" s="32">
        <v>641536815.00076425</v>
      </c>
      <c r="EX36" s="32"/>
      <c r="FG36" s="32"/>
      <c r="FH36" s="32"/>
      <c r="FI36" s="41">
        <v>46035</v>
      </c>
      <c r="FJ36" s="76">
        <v>0.65435791742313476</v>
      </c>
      <c r="FK36" s="9">
        <f t="shared" ref="FK36:FU36" si="205">FK35+FK$2</f>
        <v>0.58841915049408466</v>
      </c>
      <c r="FL36" s="9">
        <f t="shared" si="205"/>
        <v>0.63858142823656916</v>
      </c>
      <c r="FM36" s="9">
        <f t="shared" si="205"/>
        <v>0.68225800056126018</v>
      </c>
      <c r="FN36" s="9">
        <f t="shared" si="205"/>
        <v>0.71078107233123133</v>
      </c>
      <c r="FO36" s="9">
        <f t="shared" si="205"/>
        <v>0.76344458464918197</v>
      </c>
      <c r="FP36" s="9">
        <f t="shared" si="205"/>
        <v>0.83643286263301753</v>
      </c>
      <c r="FQ36" s="9">
        <f t="shared" si="205"/>
        <v>0.921378854276791</v>
      </c>
      <c r="FR36" s="9">
        <f t="shared" si="205"/>
        <v>1.0121626709285871</v>
      </c>
      <c r="FS36" s="9">
        <f t="shared" si="205"/>
        <v>1.0665499969370016</v>
      </c>
      <c r="FT36" s="9">
        <f t="shared" si="205"/>
        <v>1.1858997592629008</v>
      </c>
      <c r="FU36" s="9">
        <f t="shared" si="205"/>
        <v>1.4307105489656038</v>
      </c>
      <c r="FV36" s="32"/>
      <c r="FW36" s="32"/>
      <c r="FX36" s="32">
        <f t="shared" si="32"/>
        <v>0.6415368150007642</v>
      </c>
      <c r="FY36" s="32">
        <v>641536815.00076425</v>
      </c>
      <c r="FZ36" s="32"/>
      <c r="GI36" s="32"/>
      <c r="GJ36" s="41"/>
      <c r="GK36" s="76"/>
      <c r="GL36" s="9">
        <f t="shared" ref="GL36:GV36" si="206">GL35+GL$2</f>
        <v>0.48563293592903767</v>
      </c>
      <c r="GM36" s="9">
        <f t="shared" si="206"/>
        <v>0.55910407233542958</v>
      </c>
      <c r="GN36" s="9">
        <f t="shared" si="206"/>
        <v>0.60110395715273479</v>
      </c>
      <c r="GO36" s="9">
        <f t="shared" si="206"/>
        <v>0.62482896533689147</v>
      </c>
      <c r="GP36" s="9">
        <f t="shared" si="206"/>
        <v>0.6739664037046762</v>
      </c>
      <c r="GQ36" s="9">
        <f t="shared" si="206"/>
        <v>0.75534685510872079</v>
      </c>
      <c r="GR36" s="9">
        <f t="shared" si="206"/>
        <v>0.86102176519001372</v>
      </c>
      <c r="GS36" s="9">
        <f t="shared" si="206"/>
        <v>0.98516735603401506</v>
      </c>
      <c r="GT36" s="9">
        <f t="shared" si="206"/>
        <v>1.0842139942167561</v>
      </c>
      <c r="GU36" s="9">
        <f t="shared" si="206"/>
        <v>1.2720346103247451</v>
      </c>
      <c r="GV36" s="9">
        <f t="shared" si="206"/>
        <v>1.6533018671330131</v>
      </c>
      <c r="GW36" s="32"/>
      <c r="GX36" s="32"/>
      <c r="GY36" s="32">
        <f t="shared" si="34"/>
        <v>0.6415368150007642</v>
      </c>
      <c r="GZ36" s="32">
        <v>641536815.00076425</v>
      </c>
      <c r="HA36" s="32"/>
      <c r="HB36" s="41"/>
      <c r="HC36" s="76"/>
      <c r="HD36" s="9"/>
      <c r="HE36" s="9"/>
      <c r="HF36" s="9"/>
      <c r="HG36" s="9"/>
      <c r="HH36" s="9"/>
      <c r="HI36" s="9"/>
      <c r="HJ36" s="9"/>
      <c r="HK36" s="9"/>
      <c r="HL36" s="9"/>
      <c r="HM36" s="9"/>
      <c r="HN36" s="9"/>
      <c r="HO36" s="32"/>
      <c r="HP36" s="32"/>
      <c r="HQ36" s="32"/>
      <c r="HR36" s="32"/>
      <c r="IC36" s="41">
        <f t="shared" si="67"/>
        <v>44943</v>
      </c>
      <c r="ID36" s="9">
        <v>0.65445578138069982</v>
      </c>
      <c r="IE36" s="9">
        <f>$ID$36</f>
        <v>0.65445578138069982</v>
      </c>
      <c r="IF36" s="9">
        <f t="shared" ref="IF36:IO36" si="207">$ID$36</f>
        <v>0.65445578138069982</v>
      </c>
      <c r="IG36" s="9">
        <f t="shared" si="207"/>
        <v>0.65445578138069982</v>
      </c>
      <c r="IH36" s="9">
        <f t="shared" si="207"/>
        <v>0.65445578138069982</v>
      </c>
      <c r="II36" s="9">
        <f t="shared" si="207"/>
        <v>0.65445578138069982</v>
      </c>
      <c r="IJ36" s="9">
        <f t="shared" si="207"/>
        <v>0.65445578138069982</v>
      </c>
      <c r="IK36" s="9">
        <f t="shared" si="207"/>
        <v>0.65445578138069982</v>
      </c>
      <c r="IL36" s="9">
        <f t="shared" si="207"/>
        <v>0.65445578138069982</v>
      </c>
      <c r="IM36" s="9">
        <f t="shared" si="207"/>
        <v>0.65445578138069982</v>
      </c>
      <c r="IN36" s="9">
        <f t="shared" si="207"/>
        <v>0.65445578138069982</v>
      </c>
      <c r="IO36" s="9">
        <f t="shared" si="207"/>
        <v>0.65445578138069982</v>
      </c>
      <c r="IP36" s="32"/>
      <c r="IQ36" s="32"/>
      <c r="JB36" s="41">
        <f t="shared" si="13"/>
        <v>44579</v>
      </c>
      <c r="JC36" s="9">
        <f t="shared" si="14"/>
        <v>0.70280784667439988</v>
      </c>
      <c r="JD36" s="9"/>
      <c r="JE36" s="9"/>
      <c r="JF36" s="9"/>
      <c r="JG36" s="9"/>
      <c r="JH36" s="9"/>
      <c r="JI36" s="9"/>
      <c r="JJ36" s="9"/>
      <c r="JK36" s="9"/>
      <c r="JL36" s="9"/>
      <c r="JM36" s="9"/>
      <c r="JN36" s="9"/>
      <c r="JO36" s="9"/>
      <c r="JZ36" s="41">
        <f t="shared" si="15"/>
        <v>44579</v>
      </c>
      <c r="KA36" s="9">
        <f t="shared" si="37"/>
        <v>0.70280784667439988</v>
      </c>
      <c r="KB36" s="9"/>
      <c r="KC36" s="9"/>
      <c r="KM36" s="70"/>
      <c r="KN36" s="70" t="s">
        <v>68</v>
      </c>
      <c r="KP36" s="71">
        <f>COUNT(KP8:KP34)</f>
        <v>26</v>
      </c>
      <c r="KS36" s="212"/>
      <c r="KT36" s="71">
        <f>COUNT(KT8:KT34)</f>
        <v>26</v>
      </c>
      <c r="KW36" s="212"/>
      <c r="KX36" s="71">
        <f>COUNT(KX8:KX34)</f>
        <v>26</v>
      </c>
      <c r="LA36" s="212"/>
      <c r="LB36" s="71">
        <f>COUNT(LB8:LB34)</f>
        <v>26</v>
      </c>
      <c r="LE36" s="212"/>
      <c r="LF36" s="71">
        <f>COUNT(LF8:LF34)</f>
        <v>27</v>
      </c>
      <c r="LJ36" s="71">
        <f>COUNT(LJ8:LJ34)</f>
        <v>26</v>
      </c>
      <c r="LL36" s="41"/>
      <c r="LM36" s="212"/>
      <c r="LN36" s="71">
        <f>COUNT(LN8:LN34)</f>
        <v>26</v>
      </c>
      <c r="LR36" s="71">
        <f>COUNT(LR8:LR34)</f>
        <v>26</v>
      </c>
      <c r="LV36" s="71">
        <f>COUNT(LV8:LV34)</f>
        <v>26</v>
      </c>
      <c r="LZ36" s="71">
        <f>COUNT(LZ8:LZ34)</f>
        <v>17</v>
      </c>
      <c r="MB36" s="32"/>
      <c r="MC36" s="32"/>
      <c r="MD36" s="32"/>
      <c r="ME36" s="32"/>
      <c r="MF36" s="32"/>
      <c r="MG36" s="32"/>
      <c r="MH36" s="32"/>
      <c r="MI36" s="39"/>
      <c r="MJ36" s="39"/>
      <c r="MK36" s="39"/>
      <c r="ML36" s="39"/>
      <c r="MM36" s="9"/>
      <c r="MN36" s="9"/>
      <c r="MO36" s="9"/>
      <c r="MW36" s="60"/>
      <c r="MX36" s="62" t="s">
        <v>93</v>
      </c>
      <c r="MY36" s="63">
        <f>MY25-MY23</f>
        <v>6.6600308133179964E-2</v>
      </c>
      <c r="MZ36" s="63">
        <f t="shared" ref="MZ36:NH36" si="208">MZ25-MZ23</f>
        <v>6.499801310057135E-2</v>
      </c>
      <c r="NA36" s="63">
        <f t="shared" si="208"/>
        <v>5.2504647795599935E-2</v>
      </c>
      <c r="NB36" s="63">
        <f t="shared" si="208"/>
        <v>5.543889930989998E-2</v>
      </c>
      <c r="NC36" s="63">
        <f t="shared" si="208"/>
        <v>5.5728578526068495E-2</v>
      </c>
      <c r="ND36" s="63">
        <f t="shared" si="208"/>
        <v>5.7010567518042843E-2</v>
      </c>
      <c r="NE36" s="63">
        <f>NE25-NE23</f>
        <v>6.3172917572000054E-2</v>
      </c>
      <c r="NF36" s="63">
        <f t="shared" si="208"/>
        <v>5.2430099158542798E-2</v>
      </c>
      <c r="NG36" s="63">
        <f t="shared" si="208"/>
        <v>6.8200584880628523E-2</v>
      </c>
      <c r="NH36" s="63">
        <f t="shared" si="208"/>
        <v>6.4430947409670147E-2</v>
      </c>
      <c r="NI36" s="63">
        <f>NI25-NI23</f>
        <v>4.3259416479660029E-2</v>
      </c>
      <c r="OG36" s="32"/>
      <c r="OH36" s="32"/>
      <c r="OY36" s="9"/>
      <c r="OZ36" s="9"/>
      <c r="PA36" s="9"/>
      <c r="PB36" s="9"/>
      <c r="PC36" s="9"/>
      <c r="PD36" s="9"/>
      <c r="PE36" s="9"/>
      <c r="PF36" s="9"/>
    </row>
    <row r="37" spans="2:424" x14ac:dyDescent="0.25">
      <c r="B37" s="48">
        <v>42948</v>
      </c>
      <c r="C37" s="214">
        <v>14036458.582799999</v>
      </c>
      <c r="D37" s="214">
        <v>10701783</v>
      </c>
      <c r="E37" s="215">
        <v>5000000</v>
      </c>
      <c r="F37" s="215"/>
      <c r="G37" s="215"/>
      <c r="H37" s="215"/>
      <c r="I37" s="41">
        <v>43123</v>
      </c>
      <c r="J37" s="212">
        <v>14017402.346399998</v>
      </c>
      <c r="K37" s="212">
        <f t="shared" si="18"/>
        <v>749004230.60999978</v>
      </c>
      <c r="M37" s="41">
        <v>43487</v>
      </c>
      <c r="N37" s="212">
        <v>26925092.722799998</v>
      </c>
      <c r="O37" s="212">
        <f t="shared" si="19"/>
        <v>632100838.62959993</v>
      </c>
      <c r="Q37" s="41">
        <v>43851</v>
      </c>
      <c r="R37" s="212">
        <v>10596627.770399999</v>
      </c>
      <c r="S37" s="212">
        <f t="shared" si="20"/>
        <v>626521520.55599988</v>
      </c>
      <c r="U37" s="41">
        <v>44222</v>
      </c>
      <c r="V37" s="212">
        <v>34214549.090399995</v>
      </c>
      <c r="W37" s="212">
        <f t="shared" si="21"/>
        <v>641747977.52760005</v>
      </c>
      <c r="Y37" s="41">
        <v>44586</v>
      </c>
      <c r="Z37" s="212">
        <v>63666937.594799995</v>
      </c>
      <c r="AA37" s="212">
        <f t="shared" si="22"/>
        <v>766474784.26919985</v>
      </c>
      <c r="AC37" s="32">
        <v>30</v>
      </c>
      <c r="AD37" s="39">
        <f t="shared" si="0"/>
        <v>0.74900423060999977</v>
      </c>
      <c r="AE37" s="39">
        <f t="shared" si="1"/>
        <v>0.63210083862959998</v>
      </c>
      <c r="AF37" s="39">
        <f t="shared" si="2"/>
        <v>0.62652152055599986</v>
      </c>
      <c r="AG37" s="39">
        <f t="shared" si="3"/>
        <v>0.64174797752760004</v>
      </c>
      <c r="AH37" s="39">
        <f t="shared" si="4"/>
        <v>0.76647478426919979</v>
      </c>
      <c r="AI37" s="39">
        <f t="shared" si="23"/>
        <v>0.83470904493160281</v>
      </c>
      <c r="AJ37" s="9"/>
      <c r="AK37" s="9"/>
      <c r="AL37" s="9"/>
      <c r="AT37" s="60"/>
      <c r="AU37" s="62" t="s">
        <v>93</v>
      </c>
      <c r="AV37" s="63">
        <f>AV26-AV24</f>
        <v>9.9903886222913907E-2</v>
      </c>
      <c r="AW37" s="63">
        <f t="shared" ref="AW37:BB37" si="209">AW26-AW24</f>
        <v>9.1422518042371226E-2</v>
      </c>
      <c r="AX37" s="63">
        <f t="shared" si="209"/>
        <v>8.558899365793593E-2</v>
      </c>
      <c r="AY37" s="63">
        <f t="shared" si="209"/>
        <v>9.9761151835173756E-2</v>
      </c>
      <c r="AZ37" s="63">
        <f t="shared" si="209"/>
        <v>0.11264371812232965</v>
      </c>
      <c r="BA37" s="63">
        <f>BA26-BA24</f>
        <v>0.15366082768637801</v>
      </c>
      <c r="BB37" s="63">
        <f t="shared" si="209"/>
        <v>9.176618195003805E-2</v>
      </c>
      <c r="BM37" s="41">
        <f t="shared" si="60"/>
        <v>44586</v>
      </c>
      <c r="BN37" s="9">
        <f t="shared" si="5"/>
        <v>0.76647478426919979</v>
      </c>
      <c r="BO37" s="9">
        <f t="shared" si="140"/>
        <v>0.48096614624333434</v>
      </c>
      <c r="BP37" s="9">
        <f t="shared" si="140"/>
        <v>0.54669414248423054</v>
      </c>
      <c r="BQ37" s="9">
        <f t="shared" si="140"/>
        <v>0.58331184425935301</v>
      </c>
      <c r="BR37" s="9">
        <f t="shared" si="140"/>
        <v>0.60599546692372019</v>
      </c>
      <c r="BS37" s="9">
        <f t="shared" si="140"/>
        <v>0.64829860471454326</v>
      </c>
      <c r="BT37" s="9">
        <f t="shared" si="140"/>
        <v>0.7040942261573</v>
      </c>
      <c r="BU37" s="9">
        <f t="shared" si="140"/>
        <v>0.76621742922989267</v>
      </c>
      <c r="BV37" s="9">
        <f t="shared" si="140"/>
        <v>0.83161260710159424</v>
      </c>
      <c r="BW37" s="9">
        <f t="shared" si="140"/>
        <v>0.87378781790687166</v>
      </c>
      <c r="BX37" s="9">
        <f t="shared" si="140"/>
        <v>0.96020830823930547</v>
      </c>
      <c r="BY37" s="9">
        <f t="shared" si="140"/>
        <v>1.1851076086053158</v>
      </c>
      <c r="BZ37" s="32"/>
      <c r="CA37" s="32"/>
      <c r="CL37" s="41">
        <f t="shared" si="61"/>
        <v>44950</v>
      </c>
      <c r="CM37" s="76">
        <v>0.65570691274325665</v>
      </c>
      <c r="CN37" s="9">
        <f t="shared" si="141"/>
        <v>0.53522585858347893</v>
      </c>
      <c r="CO37" s="9">
        <f t="shared" si="141"/>
        <v>0.60939609923791316</v>
      </c>
      <c r="CP37" s="9">
        <f t="shared" si="141"/>
        <v>0.6637016456863124</v>
      </c>
      <c r="CQ37" s="9">
        <f t="shared" si="141"/>
        <v>0.69237598528961386</v>
      </c>
      <c r="CR37" s="9">
        <f t="shared" si="141"/>
        <v>0.75256180428048047</v>
      </c>
      <c r="CS37" s="9">
        <f t="shared" si="141"/>
        <v>0.8354933278616995</v>
      </c>
      <c r="CT37" s="9">
        <f t="shared" si="141"/>
        <v>0.92780548590721734</v>
      </c>
      <c r="CU37" s="9">
        <f t="shared" si="141"/>
        <v>1.0285176650360204</v>
      </c>
      <c r="CV37" s="9">
        <f t="shared" si="141"/>
        <v>1.0959213167154582</v>
      </c>
      <c r="CW37" s="9">
        <f t="shared" si="141"/>
        <v>1.2324428852104299</v>
      </c>
      <c r="CX37" s="9">
        <f t="shared" si="141"/>
        <v>1.5301793342254724</v>
      </c>
      <c r="CY37" s="32"/>
      <c r="CZ37" s="32"/>
      <c r="DA37" s="32">
        <f t="shared" si="26"/>
        <v>0.65570691274325665</v>
      </c>
      <c r="DB37" s="32">
        <v>655706912.74325669</v>
      </c>
      <c r="DC37" s="32"/>
      <c r="DD37" s="41">
        <v>45314</v>
      </c>
      <c r="DE37" s="76">
        <v>0.90855240106891877</v>
      </c>
      <c r="DF37" s="9">
        <f t="shared" ref="DF37:DP37" si="210">DF36+DF$2</f>
        <v>0.53055579785857021</v>
      </c>
      <c r="DG37" s="9">
        <f t="shared" si="210"/>
        <v>0.59090781688430272</v>
      </c>
      <c r="DH37" s="9">
        <f t="shared" si="210"/>
        <v>0.62808550896644932</v>
      </c>
      <c r="DI37" s="9">
        <f t="shared" si="210"/>
        <v>0.65318691743252433</v>
      </c>
      <c r="DJ37" s="9">
        <f t="shared" si="210"/>
        <v>0.70163409050813885</v>
      </c>
      <c r="DK37" s="9">
        <f t="shared" si="210"/>
        <v>0.76585347619338118</v>
      </c>
      <c r="DL37" s="9">
        <f t="shared" si="210"/>
        <v>0.84609734459911734</v>
      </c>
      <c r="DM37" s="9">
        <f t="shared" si="210"/>
        <v>0.93274313453241198</v>
      </c>
      <c r="DN37" s="9">
        <f t="shared" si="210"/>
        <v>0.98507079014101695</v>
      </c>
      <c r="DO37" s="9">
        <f t="shared" si="210"/>
        <v>1.1009626351766639</v>
      </c>
      <c r="DP37" s="9">
        <f t="shared" si="210"/>
        <v>1.3796456801469443</v>
      </c>
      <c r="DQ37" s="32"/>
      <c r="DR37" s="32"/>
      <c r="DS37" s="32">
        <f t="shared" si="28"/>
        <v>0.65570691274325665</v>
      </c>
      <c r="DT37" s="32">
        <v>655706912.74325669</v>
      </c>
      <c r="DU37" s="32"/>
      <c r="EF37" s="32"/>
      <c r="EG37" s="41">
        <v>45678</v>
      </c>
      <c r="EH37" s="76">
        <v>0.80674230373015687</v>
      </c>
      <c r="EI37" s="9">
        <f t="shared" ref="EI37:ES37" si="211">EI36+EI$2</f>
        <v>0.6087094660283634</v>
      </c>
      <c r="EJ37" s="9">
        <f t="shared" si="211"/>
        <v>0.66060147748610598</v>
      </c>
      <c r="EK37" s="9">
        <f t="shared" si="211"/>
        <v>0.70578413851164845</v>
      </c>
      <c r="EL37" s="9">
        <f t="shared" si="211"/>
        <v>0.73529076448058417</v>
      </c>
      <c r="EM37" s="9">
        <f t="shared" si="211"/>
        <v>0.78977025998191241</v>
      </c>
      <c r="EN37" s="9">
        <f t="shared" si="211"/>
        <v>0.86527537513760433</v>
      </c>
      <c r="EO37" s="9">
        <f t="shared" si="211"/>
        <v>0.95315053890702517</v>
      </c>
      <c r="EP37" s="9">
        <f t="shared" si="211"/>
        <v>1.0470648319950902</v>
      </c>
      <c r="EQ37" s="9">
        <f t="shared" si="211"/>
        <v>1.1033275830382776</v>
      </c>
      <c r="ER37" s="9">
        <f t="shared" si="211"/>
        <v>1.2267928544098974</v>
      </c>
      <c r="ES37" s="9">
        <f t="shared" si="211"/>
        <v>1.480045395481659</v>
      </c>
      <c r="ET37" s="32"/>
      <c r="EU37" s="32"/>
      <c r="EV37" s="32">
        <f t="shared" si="30"/>
        <v>0.65570691274325665</v>
      </c>
      <c r="EW37" s="32">
        <v>655706912.74325669</v>
      </c>
      <c r="EX37" s="32"/>
      <c r="FG37" s="32"/>
      <c r="FH37" s="32"/>
      <c r="FI37" s="41">
        <v>46042</v>
      </c>
      <c r="FJ37" s="76">
        <v>0.66780905545091263</v>
      </c>
      <c r="FK37" s="9">
        <f t="shared" ref="FK37:FU37" si="212">FK36+FK$2</f>
        <v>0.6087094660283634</v>
      </c>
      <c r="FL37" s="9">
        <f t="shared" si="212"/>
        <v>0.66060147748610598</v>
      </c>
      <c r="FM37" s="9">
        <f t="shared" si="212"/>
        <v>0.70578413851164845</v>
      </c>
      <c r="FN37" s="9">
        <f t="shared" si="212"/>
        <v>0.73529076448058417</v>
      </c>
      <c r="FO37" s="9">
        <f t="shared" si="212"/>
        <v>0.78977025998191241</v>
      </c>
      <c r="FP37" s="9">
        <f t="shared" si="212"/>
        <v>0.86527537513760433</v>
      </c>
      <c r="FQ37" s="9">
        <f t="shared" si="212"/>
        <v>0.95315053890702517</v>
      </c>
      <c r="FR37" s="9">
        <f t="shared" si="212"/>
        <v>1.0470648319950902</v>
      </c>
      <c r="FS37" s="9">
        <f t="shared" si="212"/>
        <v>1.1033275830382776</v>
      </c>
      <c r="FT37" s="9">
        <f t="shared" si="212"/>
        <v>1.2267928544098974</v>
      </c>
      <c r="FU37" s="9">
        <f t="shared" si="212"/>
        <v>1.480045395481659</v>
      </c>
      <c r="FV37" s="32"/>
      <c r="FW37" s="32"/>
      <c r="FX37" s="32">
        <f t="shared" si="32"/>
        <v>0.65570691274325665</v>
      </c>
      <c r="FY37" s="32">
        <v>655706912.74325669</v>
      </c>
      <c r="FZ37" s="32"/>
      <c r="GI37" s="32"/>
      <c r="GJ37" s="41"/>
      <c r="GK37" s="76"/>
      <c r="GL37" s="9">
        <f t="shared" ref="GL37:GV37" si="213">GL36+GL$2</f>
        <v>0.50237889923693557</v>
      </c>
      <c r="GM37" s="9">
        <f t="shared" si="213"/>
        <v>0.5783835231056168</v>
      </c>
      <c r="GN37" s="9">
        <f t="shared" si="213"/>
        <v>0.62183167981317389</v>
      </c>
      <c r="GO37" s="9">
        <f t="shared" si="213"/>
        <v>0.64637479172781875</v>
      </c>
      <c r="GP37" s="9">
        <f t="shared" si="213"/>
        <v>0.69720662452207882</v>
      </c>
      <c r="GQ37" s="9">
        <f t="shared" si="213"/>
        <v>0.78139329838833183</v>
      </c>
      <c r="GR37" s="9">
        <f t="shared" si="213"/>
        <v>0.89071217088622112</v>
      </c>
      <c r="GS37" s="9">
        <f t="shared" si="213"/>
        <v>1.0191386441731189</v>
      </c>
      <c r="GT37" s="9">
        <f t="shared" si="213"/>
        <v>1.1216006836725063</v>
      </c>
      <c r="GU37" s="9">
        <f t="shared" si="213"/>
        <v>1.3158978727497364</v>
      </c>
      <c r="GV37" s="9">
        <f t="shared" si="213"/>
        <v>1.7103122763444962</v>
      </c>
      <c r="GW37" s="32"/>
      <c r="GX37" s="32"/>
      <c r="GY37" s="32">
        <f t="shared" si="34"/>
        <v>0.65570691274325665</v>
      </c>
      <c r="GZ37" s="32">
        <v>655706912.74325669</v>
      </c>
      <c r="HA37" s="32"/>
      <c r="HB37" s="41"/>
      <c r="HC37" s="76"/>
      <c r="HD37" s="9"/>
      <c r="HE37" s="9"/>
      <c r="HF37" s="9"/>
      <c r="HG37" s="9"/>
      <c r="HH37" s="9"/>
      <c r="HI37" s="9"/>
      <c r="HJ37" s="9"/>
      <c r="HK37" s="9"/>
      <c r="HL37" s="9"/>
      <c r="HM37" s="9"/>
      <c r="HN37" s="9"/>
      <c r="HO37" s="32"/>
      <c r="HP37" s="32"/>
      <c r="HQ37" s="32"/>
      <c r="HR37" s="32"/>
      <c r="IC37" s="41">
        <f t="shared" si="67"/>
        <v>44950</v>
      </c>
      <c r="ID37" s="9"/>
      <c r="IE37" s="9">
        <f t="shared" ref="IE37:IO52" si="214">IE36+IE$2</f>
        <v>0.66954728550701115</v>
      </c>
      <c r="IF37" s="9">
        <f t="shared" si="214"/>
        <v>0.67156195934987506</v>
      </c>
      <c r="IG37" s="9">
        <f t="shared" si="214"/>
        <v>0.67343574913369175</v>
      </c>
      <c r="IH37" s="9">
        <f t="shared" si="214"/>
        <v>0.67446115974217169</v>
      </c>
      <c r="II37" s="9">
        <f t="shared" si="214"/>
        <v>0.67655113723923099</v>
      </c>
      <c r="IJ37" s="9">
        <f t="shared" si="214"/>
        <v>0.67957776864770059</v>
      </c>
      <c r="IK37" s="9">
        <f t="shared" si="214"/>
        <v>0.68342354845416431</v>
      </c>
      <c r="IL37" s="9">
        <f t="shared" si="214"/>
        <v>0.68781998683674495</v>
      </c>
      <c r="IM37" s="9">
        <f t="shared" si="214"/>
        <v>0.69074369165374738</v>
      </c>
      <c r="IN37" s="9">
        <f t="shared" si="214"/>
        <v>0.6977191005083343</v>
      </c>
      <c r="IO37" s="9">
        <f t="shared" si="214"/>
        <v>0.70608380732587828</v>
      </c>
      <c r="IP37" s="32"/>
      <c r="IQ37" s="32"/>
      <c r="JB37" s="41">
        <f t="shared" si="13"/>
        <v>44586</v>
      </c>
      <c r="JC37" s="9">
        <f t="shared" si="14"/>
        <v>0.76647478426919979</v>
      </c>
      <c r="JD37" s="9"/>
      <c r="JE37" s="9"/>
      <c r="JF37" s="9"/>
      <c r="JG37" s="9"/>
      <c r="JH37" s="9"/>
      <c r="JI37" s="9"/>
      <c r="JJ37" s="9"/>
      <c r="JK37" s="9"/>
      <c r="JL37" s="9"/>
      <c r="JM37" s="9"/>
      <c r="JN37" s="9"/>
      <c r="JO37" s="9"/>
      <c r="JZ37" s="41">
        <f t="shared" si="15"/>
        <v>44586</v>
      </c>
      <c r="KA37" s="9">
        <f t="shared" si="37"/>
        <v>0.76647478426919979</v>
      </c>
      <c r="KB37" s="9"/>
      <c r="KC37" s="9"/>
      <c r="KM37" s="70"/>
      <c r="KN37" s="70" t="s">
        <v>94</v>
      </c>
      <c r="KP37" s="212">
        <f ca="1">OFFSET(KP$7,KP36,0)</f>
        <v>660716915.58719981</v>
      </c>
      <c r="KS37" s="212"/>
      <c r="KT37" s="212">
        <f ca="1">OFFSET(KT$7,KT36,0)</f>
        <v>458830126.36079997</v>
      </c>
      <c r="KW37" s="212"/>
      <c r="KX37" s="212">
        <f ca="1">OFFSET(KX$7,KX36,0)</f>
        <v>569903793.42239988</v>
      </c>
      <c r="LA37" s="212"/>
      <c r="LB37" s="212">
        <f ca="1">OFFSET(LB$7,LB36,0)</f>
        <v>810364398.9443996</v>
      </c>
      <c r="LE37" s="212"/>
      <c r="LF37" s="212">
        <f ca="1">OFFSET(LF$7,LF36,0)</f>
        <v>579561009.2171998</v>
      </c>
      <c r="LG37" s="212"/>
      <c r="LH37" s="212"/>
      <c r="LI37" s="212"/>
      <c r="LJ37" s="212">
        <f ca="1">OFFSET(LJ$7,LJ36,0)</f>
        <v>467211999.58559996</v>
      </c>
      <c r="LK37" s="212"/>
      <c r="LL37" s="212"/>
      <c r="LM37" s="212"/>
      <c r="LN37" s="212">
        <f ca="1">OFFSET(LN$7,LN36,0)</f>
        <v>554455288.19520009</v>
      </c>
      <c r="LO37" s="212"/>
      <c r="LP37" s="212"/>
      <c r="LQ37" s="212"/>
      <c r="LR37" s="212">
        <f ca="1">OFFSET(LR$7,LR36,0)</f>
        <v>547981951.05719984</v>
      </c>
      <c r="LS37" s="212"/>
      <c r="LT37" s="212"/>
      <c r="LU37" s="212"/>
      <c r="LV37" s="212">
        <f ca="1">OFFSET(LV$7,LV36,0)</f>
        <v>609538245.64919984</v>
      </c>
      <c r="LX37" s="212"/>
      <c r="LY37" s="212"/>
      <c r="LZ37" s="212">
        <f ca="1">OFFSET(LZ$7,LZ36,0)</f>
        <v>373469464.69239998</v>
      </c>
      <c r="MB37" s="32"/>
      <c r="MC37" s="32"/>
      <c r="MD37" s="32"/>
      <c r="ME37" s="32"/>
      <c r="MF37" s="32"/>
      <c r="MG37" s="32"/>
      <c r="MH37" s="32"/>
      <c r="MI37" s="39"/>
      <c r="MJ37" s="39"/>
      <c r="MK37" s="39"/>
      <c r="ML37" s="39"/>
      <c r="MM37" s="9"/>
      <c r="MN37" s="9"/>
      <c r="MO37" s="9"/>
      <c r="MW37" s="60"/>
      <c r="MX37" s="62" t="s">
        <v>95</v>
      </c>
      <c r="MY37" s="63">
        <f>MY27-MY25</f>
        <v>0.1367428168746001</v>
      </c>
      <c r="MZ37" s="63">
        <f t="shared" ref="MZ37:NH37" si="215">MZ27-MZ25</f>
        <v>0.12453552192874273</v>
      </c>
      <c r="NA37" s="63">
        <f t="shared" si="215"/>
        <v>0.11164202651197719</v>
      </c>
      <c r="NB37" s="63">
        <f t="shared" si="215"/>
        <v>0.10821463252829999</v>
      </c>
      <c r="NC37" s="63">
        <f t="shared" si="215"/>
        <v>0.11157341437758866</v>
      </c>
      <c r="ND37" s="63">
        <f t="shared" si="215"/>
        <v>0.11147507563742148</v>
      </c>
      <c r="NE37" s="63">
        <f>NE27-NE25</f>
        <v>0.13923460280239985</v>
      </c>
      <c r="NF37" s="63">
        <f t="shared" si="215"/>
        <v>0.10837034051468564</v>
      </c>
      <c r="NG37" s="63">
        <f t="shared" si="215"/>
        <v>0.13832864911980003</v>
      </c>
      <c r="NH37" s="63">
        <f t="shared" si="215"/>
        <v>0.12730832242979984</v>
      </c>
      <c r="NI37" s="63">
        <f>NI27-NI25</f>
        <v>0.10517663382720005</v>
      </c>
      <c r="NT37" t="s">
        <v>87</v>
      </c>
      <c r="NU37" t="s">
        <v>57</v>
      </c>
      <c r="NV37" t="s">
        <v>88</v>
      </c>
      <c r="NW37" t="s">
        <v>89</v>
      </c>
      <c r="NY37" t="s">
        <v>90</v>
      </c>
      <c r="OA37" t="s">
        <v>91</v>
      </c>
      <c r="OD37" s="6">
        <v>10</v>
      </c>
      <c r="OG37" s="32"/>
      <c r="OH37" s="32"/>
      <c r="OS37" t="s">
        <v>87</v>
      </c>
      <c r="OT37" t="s">
        <v>57</v>
      </c>
      <c r="OU37" t="s">
        <v>88</v>
      </c>
      <c r="OV37" t="s">
        <v>89</v>
      </c>
      <c r="OX37" t="s">
        <v>90</v>
      </c>
      <c r="OZ37" t="s">
        <v>91</v>
      </c>
      <c r="PC37" s="6">
        <v>2</v>
      </c>
      <c r="PD37" s="9"/>
      <c r="PE37" s="9"/>
      <c r="PF37" s="9"/>
    </row>
    <row r="38" spans="2:424" x14ac:dyDescent="0.25">
      <c r="B38" s="48">
        <v>42955</v>
      </c>
      <c r="C38" s="214">
        <v>10483326.313199999</v>
      </c>
      <c r="D38" s="214">
        <v>7992777</v>
      </c>
      <c r="E38" s="215">
        <v>2000000</v>
      </c>
      <c r="F38" s="215"/>
      <c r="G38" s="215"/>
      <c r="H38" s="215"/>
      <c r="I38" s="41">
        <v>43130</v>
      </c>
      <c r="J38" s="212">
        <v>21733010.013599999</v>
      </c>
      <c r="K38" s="212">
        <f t="shared" si="18"/>
        <v>770737240.62359977</v>
      </c>
      <c r="M38" s="41">
        <v>43494</v>
      </c>
      <c r="N38" s="212">
        <v>30702677.788799997</v>
      </c>
      <c r="O38" s="212">
        <f t="shared" si="19"/>
        <v>662803516.41839993</v>
      </c>
      <c r="Q38" s="41">
        <v>43858</v>
      </c>
      <c r="R38" s="212">
        <v>12495849.498</v>
      </c>
      <c r="S38" s="212">
        <f t="shared" si="20"/>
        <v>639017370.0539999</v>
      </c>
      <c r="U38" s="41">
        <v>44229</v>
      </c>
      <c r="V38" s="212">
        <v>42505579.490399994</v>
      </c>
      <c r="W38" s="212">
        <f t="shared" si="21"/>
        <v>684253557.01800001</v>
      </c>
      <c r="Y38" s="41">
        <v>44593</v>
      </c>
      <c r="Z38" s="212">
        <v>12281203.9332</v>
      </c>
      <c r="AA38" s="212">
        <f t="shared" si="22"/>
        <v>778755988.20239985</v>
      </c>
      <c r="AC38" s="32">
        <v>31</v>
      </c>
      <c r="AD38" s="39">
        <f t="shared" si="0"/>
        <v>0.77073724062359972</v>
      </c>
      <c r="AE38" s="39">
        <f t="shared" si="1"/>
        <v>0.66280351641839996</v>
      </c>
      <c r="AF38" s="39">
        <f t="shared" si="2"/>
        <v>0.63901737005399994</v>
      </c>
      <c r="AG38" s="39">
        <f t="shared" si="3"/>
        <v>0.68425355701800006</v>
      </c>
      <c r="AH38" s="39">
        <f t="shared" si="4"/>
        <v>0.77875598820239988</v>
      </c>
      <c r="AI38" s="39">
        <f t="shared" si="23"/>
        <v>0.86253267976265624</v>
      </c>
      <c r="AJ38" s="9"/>
      <c r="AK38" s="9"/>
      <c r="AL38" s="9"/>
      <c r="AT38" s="60"/>
      <c r="AU38" s="62" t="s">
        <v>95</v>
      </c>
      <c r="AV38" s="63">
        <f>AV28-AV26</f>
        <v>0.19267649666427378</v>
      </c>
      <c r="AW38" s="63">
        <f t="shared" ref="AW38:BB38" si="216">AW28-AW26</f>
        <v>0.16283776369781211</v>
      </c>
      <c r="AX38" s="63">
        <f t="shared" si="216"/>
        <v>0.16245939450841829</v>
      </c>
      <c r="AY38" s="63">
        <f t="shared" si="216"/>
        <v>0.18268252175515731</v>
      </c>
      <c r="AZ38" s="63">
        <f t="shared" si="216"/>
        <v>0.2043926291599385</v>
      </c>
      <c r="BA38" s="63">
        <f>BA28-BA26</f>
        <v>0.27707676534095316</v>
      </c>
      <c r="BB38" s="63">
        <f t="shared" si="216"/>
        <v>0.17808815537966338</v>
      </c>
      <c r="BM38" s="41">
        <f t="shared" si="60"/>
        <v>44593</v>
      </c>
      <c r="BN38" s="9">
        <f t="shared" si="5"/>
        <v>0.77875598820239988</v>
      </c>
      <c r="BO38" s="9">
        <f t="shared" si="140"/>
        <v>0.49699835111811214</v>
      </c>
      <c r="BP38" s="9">
        <f t="shared" si="140"/>
        <v>0.56491728056703827</v>
      </c>
      <c r="BQ38" s="9">
        <f t="shared" si="140"/>
        <v>0.60275557240133149</v>
      </c>
      <c r="BR38" s="9">
        <f t="shared" si="140"/>
        <v>0.62619531582117749</v>
      </c>
      <c r="BS38" s="9">
        <f t="shared" si="140"/>
        <v>0.66990855820502804</v>
      </c>
      <c r="BT38" s="9">
        <f t="shared" si="140"/>
        <v>0.72756403369587663</v>
      </c>
      <c r="BU38" s="9">
        <f t="shared" si="140"/>
        <v>0.79175801020422243</v>
      </c>
      <c r="BV38" s="9">
        <f t="shared" si="140"/>
        <v>0.85933302733831407</v>
      </c>
      <c r="BW38" s="9">
        <f t="shared" si="140"/>
        <v>0.90291407850376737</v>
      </c>
      <c r="BX38" s="9">
        <f t="shared" si="140"/>
        <v>0.99221525184728232</v>
      </c>
      <c r="BY38" s="9">
        <f t="shared" si="140"/>
        <v>1.2246111955588264</v>
      </c>
      <c r="BZ38" s="32"/>
      <c r="CA38" s="32"/>
      <c r="CL38" s="41">
        <f t="shared" si="61"/>
        <v>44957</v>
      </c>
      <c r="CM38" s="76">
        <v>0.6741108383910045</v>
      </c>
      <c r="CN38" s="9">
        <f t="shared" si="141"/>
        <v>0.5530667205362616</v>
      </c>
      <c r="CO38" s="9">
        <f t="shared" si="141"/>
        <v>0.62970930254584356</v>
      </c>
      <c r="CP38" s="9">
        <f t="shared" si="141"/>
        <v>0.68582503387585614</v>
      </c>
      <c r="CQ38" s="9">
        <f t="shared" si="141"/>
        <v>0.71545518479926762</v>
      </c>
      <c r="CR38" s="9">
        <f t="shared" si="141"/>
        <v>0.77764719775649649</v>
      </c>
      <c r="CS38" s="9">
        <f t="shared" si="141"/>
        <v>0.86334310545708948</v>
      </c>
      <c r="CT38" s="9">
        <f t="shared" si="141"/>
        <v>0.95873233543745795</v>
      </c>
      <c r="CU38" s="9">
        <f t="shared" si="141"/>
        <v>1.0628015872038876</v>
      </c>
      <c r="CV38" s="9">
        <f t="shared" si="141"/>
        <v>1.1324520272726402</v>
      </c>
      <c r="CW38" s="9">
        <f t="shared" si="141"/>
        <v>1.2735243147174442</v>
      </c>
      <c r="CX38" s="9">
        <f t="shared" si="141"/>
        <v>1.5811853120329882</v>
      </c>
      <c r="CY38" s="32"/>
      <c r="CZ38" s="32"/>
      <c r="DA38" s="32">
        <f t="shared" si="26"/>
        <v>0.6741108383910045</v>
      </c>
      <c r="DB38" s="32">
        <v>674110838.39100444</v>
      </c>
      <c r="DC38" s="32"/>
      <c r="DD38" s="41">
        <v>45321</v>
      </c>
      <c r="DE38" s="76">
        <v>0.92225984529864857</v>
      </c>
      <c r="DF38" s="9">
        <f t="shared" ref="DF38:DP38" si="217">DF37+DF$2</f>
        <v>0.5482409911205226</v>
      </c>
      <c r="DG38" s="9">
        <f t="shared" si="217"/>
        <v>0.61060474411377952</v>
      </c>
      <c r="DH38" s="9">
        <f t="shared" si="217"/>
        <v>0.64902169259866427</v>
      </c>
      <c r="DI38" s="9">
        <f t="shared" si="217"/>
        <v>0.67495981468027511</v>
      </c>
      <c r="DJ38" s="9">
        <f t="shared" si="217"/>
        <v>0.72502189352507684</v>
      </c>
      <c r="DK38" s="9">
        <f t="shared" si="217"/>
        <v>0.79138192539982721</v>
      </c>
      <c r="DL38" s="9">
        <f t="shared" si="217"/>
        <v>0.87430058941908795</v>
      </c>
      <c r="DM38" s="9">
        <f t="shared" si="217"/>
        <v>0.96383457235015901</v>
      </c>
      <c r="DN38" s="9">
        <f t="shared" si="217"/>
        <v>1.0179064831457174</v>
      </c>
      <c r="DO38" s="9">
        <f t="shared" si="217"/>
        <v>1.1376613896825527</v>
      </c>
      <c r="DP38" s="9">
        <f t="shared" si="217"/>
        <v>1.4256338694851758</v>
      </c>
      <c r="DQ38" s="32"/>
      <c r="DR38" s="32"/>
      <c r="DS38" s="32">
        <f t="shared" si="28"/>
        <v>0.6741108383910045</v>
      </c>
      <c r="DT38" s="32">
        <v>674110838.39100444</v>
      </c>
      <c r="DU38" s="32"/>
      <c r="EF38" s="32"/>
      <c r="EG38" s="41">
        <v>45685</v>
      </c>
      <c r="EH38" s="76">
        <v>0.89623676438661337</v>
      </c>
      <c r="EI38" s="9">
        <f t="shared" ref="EI38:ES38" si="218">EI37+EI$2</f>
        <v>0.62899978156264214</v>
      </c>
      <c r="EJ38" s="9">
        <f t="shared" si="218"/>
        <v>0.6826215267356428</v>
      </c>
      <c r="EK38" s="9">
        <f t="shared" si="218"/>
        <v>0.72931027646203672</v>
      </c>
      <c r="EL38" s="9">
        <f t="shared" si="218"/>
        <v>0.759800456629937</v>
      </c>
      <c r="EM38" s="9">
        <f t="shared" si="218"/>
        <v>0.81609593531464286</v>
      </c>
      <c r="EN38" s="9">
        <f t="shared" si="218"/>
        <v>0.89411788764219113</v>
      </c>
      <c r="EO38" s="9">
        <f t="shared" si="218"/>
        <v>0.98492222353725933</v>
      </c>
      <c r="EP38" s="9">
        <f t="shared" si="218"/>
        <v>1.0819669930615932</v>
      </c>
      <c r="EQ38" s="9">
        <f t="shared" si="218"/>
        <v>1.1401051691395536</v>
      </c>
      <c r="ER38" s="9">
        <f t="shared" si="218"/>
        <v>1.267685949556894</v>
      </c>
      <c r="ES38" s="9">
        <f t="shared" si="218"/>
        <v>1.5293802419977143</v>
      </c>
      <c r="ET38" s="32"/>
      <c r="EU38" s="32"/>
      <c r="EV38" s="32">
        <f t="shared" si="30"/>
        <v>0.6741108383910045</v>
      </c>
      <c r="EW38" s="32">
        <v>674110838.39100444</v>
      </c>
      <c r="EX38" s="32"/>
      <c r="FG38" s="32"/>
      <c r="FH38" s="32"/>
      <c r="FI38" s="41">
        <v>46049</v>
      </c>
      <c r="FJ38" s="76">
        <v>0.68436247372808978</v>
      </c>
      <c r="FK38" s="9">
        <f t="shared" ref="FK38:FU38" si="219">FK37+FK$2</f>
        <v>0.62899978156264214</v>
      </c>
      <c r="FL38" s="9">
        <f t="shared" si="219"/>
        <v>0.6826215267356428</v>
      </c>
      <c r="FM38" s="9">
        <f t="shared" si="219"/>
        <v>0.72931027646203672</v>
      </c>
      <c r="FN38" s="9">
        <f t="shared" si="219"/>
        <v>0.759800456629937</v>
      </c>
      <c r="FO38" s="9">
        <f t="shared" si="219"/>
        <v>0.81609593531464286</v>
      </c>
      <c r="FP38" s="9">
        <f t="shared" si="219"/>
        <v>0.89411788764219113</v>
      </c>
      <c r="FQ38" s="9">
        <f t="shared" si="219"/>
        <v>0.98492222353725933</v>
      </c>
      <c r="FR38" s="9">
        <f t="shared" si="219"/>
        <v>1.0819669930615932</v>
      </c>
      <c r="FS38" s="9">
        <f t="shared" si="219"/>
        <v>1.1401051691395536</v>
      </c>
      <c r="FT38" s="9">
        <f t="shared" si="219"/>
        <v>1.267685949556894</v>
      </c>
      <c r="FU38" s="9">
        <f t="shared" si="219"/>
        <v>1.5293802419977143</v>
      </c>
      <c r="FV38" s="32"/>
      <c r="FW38" s="32"/>
      <c r="FX38" s="32">
        <f t="shared" si="32"/>
        <v>0.6741108383910045</v>
      </c>
      <c r="FY38" s="32">
        <v>674110838.39100444</v>
      </c>
      <c r="FZ38" s="32"/>
      <c r="GI38" s="32"/>
      <c r="GJ38" s="41"/>
      <c r="GK38" s="76"/>
      <c r="GL38" s="9">
        <f t="shared" ref="GL38:GV38" si="220">GL37+GL$2</f>
        <v>0.51912486254483348</v>
      </c>
      <c r="GM38" s="9">
        <f t="shared" si="220"/>
        <v>0.59766297387580403</v>
      </c>
      <c r="GN38" s="9">
        <f t="shared" si="220"/>
        <v>0.64255940247361298</v>
      </c>
      <c r="GO38" s="9">
        <f t="shared" si="220"/>
        <v>0.66792061811874603</v>
      </c>
      <c r="GP38" s="9">
        <f t="shared" si="220"/>
        <v>0.72044684533948145</v>
      </c>
      <c r="GQ38" s="9">
        <f t="shared" si="220"/>
        <v>0.80743974166794286</v>
      </c>
      <c r="GR38" s="9">
        <f t="shared" si="220"/>
        <v>0.92040257658242852</v>
      </c>
      <c r="GS38" s="9">
        <f t="shared" si="220"/>
        <v>1.0531099323122228</v>
      </c>
      <c r="GT38" s="9">
        <f t="shared" si="220"/>
        <v>1.1589873731282565</v>
      </c>
      <c r="GU38" s="9">
        <f t="shared" si="220"/>
        <v>1.3597611351747276</v>
      </c>
      <c r="GV38" s="9">
        <f t="shared" si="220"/>
        <v>1.7673226855559794</v>
      </c>
      <c r="GW38" s="32"/>
      <c r="GX38" s="32"/>
      <c r="GY38" s="32">
        <f t="shared" si="34"/>
        <v>0.6741108383910045</v>
      </c>
      <c r="GZ38" s="32">
        <v>674110838.39100444</v>
      </c>
      <c r="HA38" s="32"/>
      <c r="HB38" s="41"/>
      <c r="HC38" s="76"/>
      <c r="HD38" s="9"/>
      <c r="HE38" s="9"/>
      <c r="HF38" s="9"/>
      <c r="HG38" s="9"/>
      <c r="HH38" s="9"/>
      <c r="HI38" s="9"/>
      <c r="HJ38" s="9"/>
      <c r="HK38" s="9"/>
      <c r="HL38" s="9"/>
      <c r="HM38" s="9"/>
      <c r="HN38" s="9"/>
      <c r="HO38" s="32"/>
      <c r="HP38" s="32"/>
      <c r="HQ38" s="32"/>
      <c r="HR38" s="32"/>
      <c r="IC38" s="41">
        <f t="shared" si="67"/>
        <v>44957</v>
      </c>
      <c r="ID38" s="9"/>
      <c r="IE38" s="9">
        <f t="shared" si="214"/>
        <v>0.68463878963332248</v>
      </c>
      <c r="IF38" s="9">
        <f t="shared" si="214"/>
        <v>0.6886681373190503</v>
      </c>
      <c r="IG38" s="9">
        <f t="shared" si="214"/>
        <v>0.69241571688668369</v>
      </c>
      <c r="IH38" s="9">
        <f t="shared" si="214"/>
        <v>0.69446653810364356</v>
      </c>
      <c r="II38" s="9">
        <f t="shared" si="214"/>
        <v>0.69864649309776217</v>
      </c>
      <c r="IJ38" s="9">
        <f t="shared" si="214"/>
        <v>0.70469975591470135</v>
      </c>
      <c r="IK38" s="9">
        <f t="shared" si="214"/>
        <v>0.7123913155276288</v>
      </c>
      <c r="IL38" s="9">
        <f t="shared" si="214"/>
        <v>0.72118419229279007</v>
      </c>
      <c r="IM38" s="9">
        <f t="shared" si="214"/>
        <v>0.72703160192679495</v>
      </c>
      <c r="IN38" s="9">
        <f t="shared" si="214"/>
        <v>0.74098241963596889</v>
      </c>
      <c r="IO38" s="9">
        <f t="shared" si="214"/>
        <v>0.75771183327105673</v>
      </c>
      <c r="IP38" s="32"/>
      <c r="IQ38" s="32"/>
      <c r="JB38" s="41">
        <f t="shared" si="13"/>
        <v>44593</v>
      </c>
      <c r="JC38" s="9">
        <f t="shared" si="14"/>
        <v>0.77875598820239988</v>
      </c>
      <c r="JD38" s="9"/>
      <c r="JE38" s="9"/>
      <c r="JF38" s="9"/>
      <c r="JG38" s="9"/>
      <c r="JH38" s="9"/>
      <c r="JI38" s="9"/>
      <c r="JJ38" s="9"/>
      <c r="JK38" s="9"/>
      <c r="JL38" s="9"/>
      <c r="JM38" s="9"/>
      <c r="JN38" s="9"/>
      <c r="JO38" s="9"/>
      <c r="JZ38" s="41">
        <f t="shared" si="15"/>
        <v>44593</v>
      </c>
      <c r="KA38" s="9">
        <f t="shared" si="37"/>
        <v>0.77875598820239988</v>
      </c>
      <c r="KB38" s="9"/>
      <c r="KC38" s="9"/>
      <c r="KM38" s="70"/>
      <c r="KN38" s="70" t="s">
        <v>96</v>
      </c>
      <c r="KP38" s="212">
        <f ca="1">KP37/KP36*26</f>
        <v>660716915.58719981</v>
      </c>
      <c r="KR38" s="41"/>
      <c r="KS38" s="212"/>
      <c r="KT38" s="212">
        <f ca="1">KT37/KT36*26</f>
        <v>458830126.36079991</v>
      </c>
      <c r="KV38" s="41"/>
      <c r="KW38" s="212"/>
      <c r="KX38" s="212">
        <f ca="1">KX37/KX36*26</f>
        <v>569903793.42239988</v>
      </c>
      <c r="KZ38" s="41"/>
      <c r="LA38" s="212"/>
      <c r="LB38" s="212">
        <f ca="1">LB37/LB36*26</f>
        <v>810364398.9443996</v>
      </c>
      <c r="LD38" s="41"/>
      <c r="LE38" s="212"/>
      <c r="LF38" s="212">
        <f ca="1">LF37/LF36*26</f>
        <v>558095786.65359986</v>
      </c>
      <c r="LG38" s="212"/>
      <c r="LH38" s="212"/>
      <c r="LI38" s="212"/>
      <c r="LJ38" s="212">
        <f ca="1">LJ37/LJ36*26</f>
        <v>467211999.5855999</v>
      </c>
      <c r="LK38" s="212"/>
      <c r="LL38" s="212"/>
      <c r="LM38" s="212"/>
      <c r="LN38" s="212">
        <f ca="1">LN37/LN36*26</f>
        <v>554455288.19520009</v>
      </c>
      <c r="LO38" s="212"/>
      <c r="LP38" s="212"/>
      <c r="LQ38" s="212"/>
      <c r="LR38" s="212">
        <f ca="1">LR37/LR36*26</f>
        <v>547981951.05719984</v>
      </c>
      <c r="LS38" s="212"/>
      <c r="LT38" s="212"/>
      <c r="LU38" s="212"/>
      <c r="LV38" s="212">
        <f ca="1">LV37/LV36*26</f>
        <v>609538245.64919984</v>
      </c>
      <c r="LX38" s="212"/>
      <c r="LY38" s="212"/>
      <c r="LZ38" s="212">
        <f ca="1">LZ37/LZ36*26</f>
        <v>571188593.05896473</v>
      </c>
      <c r="MB38" s="32"/>
      <c r="MC38" s="32"/>
      <c r="MD38" s="32"/>
      <c r="ME38" s="32"/>
      <c r="MF38" s="32"/>
      <c r="MG38" s="32"/>
      <c r="MH38" s="32"/>
      <c r="MI38" s="39"/>
      <c r="MJ38" s="39"/>
      <c r="MK38" s="39"/>
      <c r="ML38" s="39"/>
      <c r="MM38" s="9"/>
      <c r="MN38" s="9"/>
      <c r="MO38" s="9"/>
      <c r="MW38" s="60"/>
      <c r="MX38" s="62" t="s">
        <v>97</v>
      </c>
      <c r="MY38" s="63">
        <f t="shared" ref="MY38:NH38" si="221">MY29-MY27</f>
        <v>0.13962173493599994</v>
      </c>
      <c r="MZ38" s="63">
        <f t="shared" si="221"/>
        <v>0.12106394925668595</v>
      </c>
      <c r="NA38" s="63">
        <f t="shared" si="221"/>
        <v>0.11583358562777157</v>
      </c>
      <c r="NB38" s="63">
        <f t="shared" si="221"/>
        <v>0.12207718869030004</v>
      </c>
      <c r="NC38" s="63">
        <f t="shared" si="221"/>
        <v>0.11350555803822848</v>
      </c>
      <c r="ND38" s="63">
        <f t="shared" si="221"/>
        <v>0.1176879009488998</v>
      </c>
      <c r="NE38" s="63">
        <f t="shared" si="221"/>
        <v>0.13364246595336038</v>
      </c>
      <c r="NF38" s="63">
        <f t="shared" si="221"/>
        <v>0.11203993272003454</v>
      </c>
      <c r="NG38" s="63">
        <f t="shared" si="221"/>
        <v>0.13519378600114274</v>
      </c>
      <c r="NH38" s="63">
        <f t="shared" si="221"/>
        <v>0.13586710982999994</v>
      </c>
      <c r="NI38" s="63">
        <f>NI29-NI27</f>
        <v>9.9177528009599947E-2</v>
      </c>
      <c r="NT38" s="67" t="s">
        <v>30</v>
      </c>
      <c r="NU38" s="7">
        <v>0.40126193868659998</v>
      </c>
      <c r="NV38" s="68">
        <v>26</v>
      </c>
      <c r="NW38" s="69">
        <f>NU38/NV38</f>
        <v>1.5433151487946153E-2</v>
      </c>
      <c r="NX38" s="69"/>
      <c r="NY38" s="7">
        <v>1.5433151487946153E-2</v>
      </c>
      <c r="OA38" t="s">
        <v>76</v>
      </c>
      <c r="OD38" s="6">
        <v>2</v>
      </c>
      <c r="OG38" s="32"/>
      <c r="OH38" s="32"/>
      <c r="OS38" s="67" t="s">
        <v>30</v>
      </c>
      <c r="OT38" s="7">
        <v>0.11459718277379997</v>
      </c>
      <c r="OU38" s="84">
        <f>COUNTBLANK($OT$8:$OT$33)</f>
        <v>9</v>
      </c>
      <c r="OV38" s="69">
        <f>OT38/OU38</f>
        <v>1.2733020308199998E-2</v>
      </c>
      <c r="OW38" s="69"/>
      <c r="OX38" s="10">
        <v>1.2733020308199998E-2</v>
      </c>
      <c r="OZ38" t="s">
        <v>76</v>
      </c>
      <c r="PC38" s="6">
        <v>20</v>
      </c>
      <c r="PD38" s="9"/>
      <c r="PE38" s="9"/>
      <c r="PF38" s="9"/>
    </row>
    <row r="39" spans="2:424" x14ac:dyDescent="0.25">
      <c r="B39" s="48">
        <v>42962</v>
      </c>
      <c r="C39" s="214">
        <v>15806862.820799999</v>
      </c>
      <c r="D39" s="214">
        <v>12051588</v>
      </c>
      <c r="E39" s="215">
        <v>5000000</v>
      </c>
      <c r="F39" s="215"/>
      <c r="G39" s="215"/>
      <c r="H39" s="215"/>
      <c r="I39" s="41">
        <v>43137</v>
      </c>
      <c r="J39" s="212">
        <v>9985924.3103999998</v>
      </c>
      <c r="K39" s="212">
        <f t="shared" si="18"/>
        <v>780723164.93399978</v>
      </c>
      <c r="M39" s="41">
        <v>43501</v>
      </c>
      <c r="N39" s="212">
        <v>11134433.408399999</v>
      </c>
      <c r="O39" s="212">
        <f t="shared" si="19"/>
        <v>673937949.82679987</v>
      </c>
      <c r="Q39" s="41">
        <v>43865</v>
      </c>
      <c r="R39" s="212">
        <v>20349528.044399999</v>
      </c>
      <c r="S39" s="212">
        <f t="shared" si="20"/>
        <v>659366898.09839988</v>
      </c>
      <c r="U39" s="41">
        <v>44236</v>
      </c>
      <c r="V39" s="212">
        <v>12332907.719999999</v>
      </c>
      <c r="W39" s="212">
        <f t="shared" si="21"/>
        <v>696586464.73800004</v>
      </c>
      <c r="Y39" s="41">
        <v>44600</v>
      </c>
      <c r="Z39" s="212">
        <v>14661996.343199998</v>
      </c>
      <c r="AA39" s="212">
        <f t="shared" si="22"/>
        <v>793417984.54559982</v>
      </c>
      <c r="AC39" s="32">
        <v>32</v>
      </c>
      <c r="AD39" s="39">
        <f t="shared" si="0"/>
        <v>0.78072316493399974</v>
      </c>
      <c r="AE39" s="39">
        <f t="shared" si="1"/>
        <v>0.67393794982679989</v>
      </c>
      <c r="AF39" s="39">
        <f t="shared" si="2"/>
        <v>0.65936689809839988</v>
      </c>
      <c r="AG39" s="39">
        <f t="shared" si="3"/>
        <v>0.69658646473800001</v>
      </c>
      <c r="AH39" s="39">
        <f t="shared" si="4"/>
        <v>0.79341798454559986</v>
      </c>
      <c r="AI39" s="39">
        <f t="shared" si="23"/>
        <v>0.89035631459370967</v>
      </c>
      <c r="AJ39" s="9"/>
      <c r="AK39" s="9"/>
      <c r="AL39" s="9"/>
      <c r="AT39" s="60"/>
      <c r="AU39" s="62" t="s">
        <v>97</v>
      </c>
      <c r="AV39" s="63">
        <f>AV30-AV28</f>
        <v>0.17901908097471653</v>
      </c>
      <c r="AW39" s="63">
        <f t="shared" ref="AW39:BB39" si="222">AW30-AW28</f>
        <v>0.1599011797819252</v>
      </c>
      <c r="AX39" s="63">
        <f t="shared" si="222"/>
        <v>0.14349100196326336</v>
      </c>
      <c r="AY39" s="63">
        <f t="shared" si="222"/>
        <v>0.17120772999244105</v>
      </c>
      <c r="AZ39" s="63">
        <f t="shared" si="222"/>
        <v>0.1864553403734317</v>
      </c>
      <c r="BA39" s="63">
        <f>BA30-BA28</f>
        <v>0.2538507008590476</v>
      </c>
      <c r="BB39" s="63">
        <f t="shared" si="222"/>
        <v>0.16666778281438188</v>
      </c>
      <c r="BM39" s="41">
        <f t="shared" si="60"/>
        <v>44600</v>
      </c>
      <c r="BN39" s="9">
        <f t="shared" si="5"/>
        <v>0.79341798454559986</v>
      </c>
      <c r="BO39" s="9">
        <f t="shared" si="140"/>
        <v>0.51303055599288994</v>
      </c>
      <c r="BP39" s="9">
        <f t="shared" si="140"/>
        <v>0.583140418649846</v>
      </c>
      <c r="BQ39" s="9">
        <f t="shared" si="140"/>
        <v>0.62219930054330996</v>
      </c>
      <c r="BR39" s="9">
        <f t="shared" si="140"/>
        <v>0.64639516471863478</v>
      </c>
      <c r="BS39" s="9">
        <f t="shared" si="140"/>
        <v>0.69151851169551282</v>
      </c>
      <c r="BT39" s="9">
        <f t="shared" si="140"/>
        <v>0.75103384123445327</v>
      </c>
      <c r="BU39" s="9">
        <f t="shared" si="140"/>
        <v>0.81729859117855219</v>
      </c>
      <c r="BV39" s="9">
        <f t="shared" si="140"/>
        <v>0.8870534475750339</v>
      </c>
      <c r="BW39" s="9">
        <f t="shared" si="140"/>
        <v>0.93204033910066308</v>
      </c>
      <c r="BX39" s="9">
        <f t="shared" si="140"/>
        <v>1.0242221954552593</v>
      </c>
      <c r="BY39" s="9">
        <f t="shared" si="140"/>
        <v>1.2641147825123369</v>
      </c>
      <c r="BZ39" s="32"/>
      <c r="CA39" s="32"/>
      <c r="CL39" s="41">
        <f t="shared" si="61"/>
        <v>44964</v>
      </c>
      <c r="CM39" s="76">
        <v>0.70317383110091436</v>
      </c>
      <c r="CN39" s="9">
        <f t="shared" si="141"/>
        <v>0.57090758248904427</v>
      </c>
      <c r="CO39" s="9">
        <f t="shared" si="141"/>
        <v>0.65002250585377397</v>
      </c>
      <c r="CP39" s="9">
        <f t="shared" si="141"/>
        <v>0.70794842206539987</v>
      </c>
      <c r="CQ39" s="9">
        <f t="shared" si="141"/>
        <v>0.73853438430892138</v>
      </c>
      <c r="CR39" s="9">
        <f t="shared" si="141"/>
        <v>0.8027325912325125</v>
      </c>
      <c r="CS39" s="9">
        <f t="shared" si="141"/>
        <v>0.89119288305247946</v>
      </c>
      <c r="CT39" s="9">
        <f t="shared" si="141"/>
        <v>0.98965918496769856</v>
      </c>
      <c r="CU39" s="9">
        <f t="shared" si="141"/>
        <v>1.0970855093717549</v>
      </c>
      <c r="CV39" s="9">
        <f t="shared" si="141"/>
        <v>1.1689827378298221</v>
      </c>
      <c r="CW39" s="9">
        <f t="shared" si="141"/>
        <v>1.3146057442244585</v>
      </c>
      <c r="CX39" s="9">
        <f t="shared" si="141"/>
        <v>1.632191289840504</v>
      </c>
      <c r="CY39" s="32"/>
      <c r="CZ39" s="32"/>
      <c r="DA39" s="32">
        <f t="shared" si="26"/>
        <v>0.70317383110091436</v>
      </c>
      <c r="DB39" s="32">
        <v>703173831.10091436</v>
      </c>
      <c r="DC39" s="32"/>
      <c r="DD39" s="41">
        <v>45328</v>
      </c>
      <c r="DE39" s="76">
        <v>0.94865806179249235</v>
      </c>
      <c r="DF39" s="9">
        <f t="shared" ref="DF39:DP39" si="223">DF38+DF$2</f>
        <v>0.56592618438247499</v>
      </c>
      <c r="DG39" s="9">
        <f t="shared" si="223"/>
        <v>0.63030167134325632</v>
      </c>
      <c r="DH39" s="9">
        <f t="shared" si="223"/>
        <v>0.66995787623087921</v>
      </c>
      <c r="DI39" s="9">
        <f t="shared" si="223"/>
        <v>0.69673271192802588</v>
      </c>
      <c r="DJ39" s="9">
        <f t="shared" si="223"/>
        <v>0.74840969654201484</v>
      </c>
      <c r="DK39" s="9">
        <f t="shared" si="223"/>
        <v>0.81691037460627325</v>
      </c>
      <c r="DL39" s="9">
        <f t="shared" si="223"/>
        <v>0.90250383423905856</v>
      </c>
      <c r="DM39" s="9">
        <f t="shared" si="223"/>
        <v>0.99492601016790605</v>
      </c>
      <c r="DN39" s="9">
        <f t="shared" si="223"/>
        <v>1.0507421761504179</v>
      </c>
      <c r="DO39" s="9">
        <f t="shared" si="223"/>
        <v>1.1743601441884415</v>
      </c>
      <c r="DP39" s="9">
        <f t="shared" si="223"/>
        <v>1.4716220588234072</v>
      </c>
      <c r="DQ39" s="32"/>
      <c r="DR39" s="32"/>
      <c r="DS39" s="32">
        <f t="shared" si="28"/>
        <v>0.70317383110091436</v>
      </c>
      <c r="DT39" s="32">
        <v>703173831.10091436</v>
      </c>
      <c r="DU39" s="32"/>
      <c r="EF39" s="32"/>
      <c r="EG39" s="41">
        <v>45692</v>
      </c>
      <c r="EH39" s="76">
        <v>1.0386717627059827</v>
      </c>
      <c r="EI39" s="9">
        <f t="shared" ref="EI39:ES39" si="224">EI38+EI$2</f>
        <v>0.64929009709692087</v>
      </c>
      <c r="EJ39" s="9">
        <f t="shared" si="224"/>
        <v>0.70464157598517962</v>
      </c>
      <c r="EK39" s="9">
        <f t="shared" si="224"/>
        <v>0.75283641441242499</v>
      </c>
      <c r="EL39" s="9">
        <f t="shared" si="224"/>
        <v>0.78431014877928984</v>
      </c>
      <c r="EM39" s="9">
        <f t="shared" si="224"/>
        <v>0.84242161064737331</v>
      </c>
      <c r="EN39" s="9">
        <f t="shared" si="224"/>
        <v>0.92296040014677794</v>
      </c>
      <c r="EO39" s="9">
        <f t="shared" si="224"/>
        <v>1.0166939081674935</v>
      </c>
      <c r="EP39" s="9">
        <f t="shared" si="224"/>
        <v>1.1168691541280962</v>
      </c>
      <c r="EQ39" s="9">
        <f t="shared" si="224"/>
        <v>1.1768827552408296</v>
      </c>
      <c r="ER39" s="9">
        <f t="shared" si="224"/>
        <v>1.3085790447038905</v>
      </c>
      <c r="ES39" s="9">
        <f t="shared" si="224"/>
        <v>1.5787150885137695</v>
      </c>
      <c r="ET39" s="32"/>
      <c r="EU39" s="32"/>
      <c r="EV39" s="32">
        <f t="shared" si="30"/>
        <v>0.70317383110091436</v>
      </c>
      <c r="EW39" s="32">
        <v>703173831.10091436</v>
      </c>
      <c r="EX39" s="32"/>
      <c r="FG39" s="32"/>
      <c r="FH39" s="32"/>
      <c r="FI39" s="41">
        <v>46056</v>
      </c>
      <c r="FJ39" s="76">
        <v>0.7072535721821438</v>
      </c>
      <c r="FK39" s="9">
        <f t="shared" ref="FK39:FU39" si="225">FK38+FK$2</f>
        <v>0.64929009709692087</v>
      </c>
      <c r="FL39" s="9">
        <f t="shared" si="225"/>
        <v>0.70464157598517962</v>
      </c>
      <c r="FM39" s="9">
        <f t="shared" si="225"/>
        <v>0.75283641441242499</v>
      </c>
      <c r="FN39" s="9">
        <f t="shared" si="225"/>
        <v>0.78431014877928984</v>
      </c>
      <c r="FO39" s="9">
        <f t="shared" si="225"/>
        <v>0.84242161064737331</v>
      </c>
      <c r="FP39" s="9">
        <f t="shared" si="225"/>
        <v>0.92296040014677794</v>
      </c>
      <c r="FQ39" s="9">
        <f t="shared" si="225"/>
        <v>1.0166939081674935</v>
      </c>
      <c r="FR39" s="9">
        <f t="shared" si="225"/>
        <v>1.1168691541280962</v>
      </c>
      <c r="FS39" s="9">
        <f t="shared" si="225"/>
        <v>1.1768827552408296</v>
      </c>
      <c r="FT39" s="9">
        <f t="shared" si="225"/>
        <v>1.3085790447038905</v>
      </c>
      <c r="FU39" s="9">
        <f t="shared" si="225"/>
        <v>1.5787150885137695</v>
      </c>
      <c r="FV39" s="32"/>
      <c r="FW39" s="32"/>
      <c r="FX39" s="32">
        <f t="shared" si="32"/>
        <v>0.70317383110091436</v>
      </c>
      <c r="FY39" s="32">
        <v>703173831.10091436</v>
      </c>
      <c r="FZ39" s="32"/>
      <c r="GI39" s="32"/>
      <c r="GJ39" s="41"/>
      <c r="GK39" s="76"/>
      <c r="GL39" s="9">
        <f t="shared" ref="GL39:GV39" si="226">GL38+GL$2</f>
        <v>0.53587082585273138</v>
      </c>
      <c r="GM39" s="9">
        <f t="shared" si="226"/>
        <v>0.61694242464599125</v>
      </c>
      <c r="GN39" s="9">
        <f t="shared" si="226"/>
        <v>0.66328712513405208</v>
      </c>
      <c r="GO39" s="9">
        <f t="shared" si="226"/>
        <v>0.68946644450967332</v>
      </c>
      <c r="GP39" s="9">
        <f t="shared" si="226"/>
        <v>0.74368706615688407</v>
      </c>
      <c r="GQ39" s="9">
        <f t="shared" si="226"/>
        <v>0.83348618494755389</v>
      </c>
      <c r="GR39" s="9">
        <f t="shared" si="226"/>
        <v>0.95009298227863592</v>
      </c>
      <c r="GS39" s="9">
        <f t="shared" si="226"/>
        <v>1.0870812204513267</v>
      </c>
      <c r="GT39" s="9">
        <f t="shared" si="226"/>
        <v>1.1963740625840067</v>
      </c>
      <c r="GU39" s="9">
        <f t="shared" si="226"/>
        <v>1.4036243975997189</v>
      </c>
      <c r="GV39" s="9">
        <f t="shared" si="226"/>
        <v>1.8243330947674625</v>
      </c>
      <c r="GW39" s="32"/>
      <c r="GX39" s="32"/>
      <c r="GY39" s="32">
        <f t="shared" si="34"/>
        <v>0.70317383110091436</v>
      </c>
      <c r="GZ39" s="32">
        <v>703173831.10091436</v>
      </c>
      <c r="HA39" s="32"/>
      <c r="HB39" s="41"/>
      <c r="HC39" s="76"/>
      <c r="HD39" s="9"/>
      <c r="HE39" s="9"/>
      <c r="HF39" s="9"/>
      <c r="HG39" s="9"/>
      <c r="HH39" s="9"/>
      <c r="HI39" s="9"/>
      <c r="HJ39" s="9"/>
      <c r="HK39" s="9"/>
      <c r="HL39" s="9"/>
      <c r="HM39" s="9"/>
      <c r="HN39" s="9"/>
      <c r="HO39" s="32"/>
      <c r="HP39" s="32"/>
      <c r="HQ39" s="32"/>
      <c r="HR39" s="32"/>
      <c r="IC39" s="41">
        <f t="shared" si="67"/>
        <v>44964</v>
      </c>
      <c r="ID39" s="9"/>
      <c r="IE39" s="9">
        <f t="shared" si="214"/>
        <v>0.6997302937596338</v>
      </c>
      <c r="IF39" s="9">
        <f t="shared" si="214"/>
        <v>0.70577431528822554</v>
      </c>
      <c r="IG39" s="9">
        <f t="shared" si="214"/>
        <v>0.71139568463967562</v>
      </c>
      <c r="IH39" s="9">
        <f t="shared" si="214"/>
        <v>0.71447191646511543</v>
      </c>
      <c r="II39" s="9">
        <f t="shared" si="214"/>
        <v>0.72074184895629334</v>
      </c>
      <c r="IJ39" s="9">
        <f t="shared" si="214"/>
        <v>0.72982174318170212</v>
      </c>
      <c r="IK39" s="9">
        <f t="shared" si="214"/>
        <v>0.74135908260109329</v>
      </c>
      <c r="IL39" s="9">
        <f t="shared" si="214"/>
        <v>0.7545483977488352</v>
      </c>
      <c r="IM39" s="9">
        <f t="shared" si="214"/>
        <v>0.76331951219984251</v>
      </c>
      <c r="IN39" s="9">
        <f t="shared" si="214"/>
        <v>0.78424573876360348</v>
      </c>
      <c r="IO39" s="9">
        <f t="shared" si="214"/>
        <v>0.80933985921623519</v>
      </c>
      <c r="IP39" s="32"/>
      <c r="IQ39" s="32"/>
      <c r="JB39" s="41">
        <f t="shared" si="13"/>
        <v>44600</v>
      </c>
      <c r="JC39" s="9">
        <f t="shared" si="14"/>
        <v>0.79341798454559986</v>
      </c>
      <c r="JD39" s="9"/>
      <c r="JE39" s="9"/>
      <c r="JF39" s="9"/>
      <c r="JG39" s="9"/>
      <c r="JH39" s="9"/>
      <c r="JI39" s="9"/>
      <c r="JJ39" s="9"/>
      <c r="JK39" s="9"/>
      <c r="JL39" s="9"/>
      <c r="JM39" s="9"/>
      <c r="JN39" s="9"/>
      <c r="JO39" s="9"/>
      <c r="JZ39" s="41">
        <f t="shared" si="15"/>
        <v>44600</v>
      </c>
      <c r="KA39" s="9">
        <f t="shared" si="37"/>
        <v>0.79341798454559986</v>
      </c>
      <c r="KB39" s="9"/>
      <c r="KC39" s="9"/>
      <c r="KP39" s="212"/>
      <c r="KR39" s="41"/>
      <c r="KS39" s="212"/>
      <c r="KT39" s="212"/>
      <c r="KV39" s="41"/>
      <c r="KW39" s="212"/>
      <c r="KX39" s="212"/>
      <c r="KZ39" s="41"/>
      <c r="LA39" s="212"/>
      <c r="LB39" s="212"/>
      <c r="LD39" s="41"/>
      <c r="LE39" s="212"/>
      <c r="LF39" s="212"/>
      <c r="LL39" s="41"/>
      <c r="LM39" s="212"/>
      <c r="LN39" s="212"/>
      <c r="MB39" s="32"/>
      <c r="MC39" s="32"/>
      <c r="MD39" s="32"/>
      <c r="ME39" s="32"/>
      <c r="MF39" s="32"/>
      <c r="MG39" s="32"/>
      <c r="MH39" s="32"/>
      <c r="MI39" s="39"/>
      <c r="MJ39" s="39"/>
      <c r="MK39" s="39"/>
      <c r="ML39" s="39"/>
      <c r="MM39" s="9"/>
      <c r="MN39" s="9"/>
      <c r="MO39" s="9"/>
      <c r="MW39" s="72"/>
      <c r="MX39" s="62" t="s">
        <v>98</v>
      </c>
      <c r="MY39" s="63">
        <f t="shared" ref="MY39:NH39" si="227">MY31-MY29</f>
        <v>0.42989840453453987</v>
      </c>
      <c r="MZ39" s="63">
        <f t="shared" si="227"/>
        <v>0.41843274705394273</v>
      </c>
      <c r="NA39" s="63">
        <f t="shared" si="227"/>
        <v>0.35995218516483451</v>
      </c>
      <c r="NB39" s="63">
        <f t="shared" si="227"/>
        <v>0.32140573818569984</v>
      </c>
      <c r="NC39" s="63">
        <f t="shared" si="227"/>
        <v>0.31903729082526844</v>
      </c>
      <c r="ND39" s="63">
        <f t="shared" si="227"/>
        <v>0.34620242509579302</v>
      </c>
      <c r="NE39" s="63">
        <f t="shared" si="227"/>
        <v>0.36842780367023942</v>
      </c>
      <c r="NF39" s="63">
        <f t="shared" si="227"/>
        <v>0.30913892357619377</v>
      </c>
      <c r="NG39" s="63">
        <f t="shared" si="227"/>
        <v>0.4178275890210853</v>
      </c>
      <c r="NH39" s="63">
        <f t="shared" si="227"/>
        <v>0.31526836010699999</v>
      </c>
      <c r="NI39" s="63">
        <f>NI31-NI29</f>
        <v>0.41266944683399986</v>
      </c>
      <c r="NT39" s="67">
        <v>0.01</v>
      </c>
      <c r="NU39" s="7">
        <v>0.43855954197720004</v>
      </c>
      <c r="NV39" s="68">
        <v>26</v>
      </c>
      <c r="NW39" s="69">
        <f>NU39/NV39</f>
        <v>1.6867674691430769E-2</v>
      </c>
      <c r="NX39" s="69"/>
      <c r="NY39" s="7">
        <v>1.6867674691430769E-2</v>
      </c>
      <c r="NZ39" s="11"/>
      <c r="OG39" s="32"/>
      <c r="OH39" s="32"/>
      <c r="OS39" s="67">
        <v>0.01</v>
      </c>
      <c r="OT39" s="7">
        <v>0.12369614721719997</v>
      </c>
      <c r="OU39" s="84">
        <f t="shared" ref="OU39:OU48" si="228">COUNTBLANK($OT$8:$OT$33)</f>
        <v>9</v>
      </c>
      <c r="OV39" s="69">
        <f>OT39/OU39</f>
        <v>1.3744016357466663E-2</v>
      </c>
      <c r="OW39" s="69"/>
      <c r="OX39" s="10">
        <v>1.3744016357466663E-2</v>
      </c>
      <c r="OY39" s="11"/>
      <c r="PD39" s="9"/>
      <c r="PE39" s="9"/>
      <c r="PF39" s="9"/>
    </row>
    <row r="40" spans="2:424" x14ac:dyDescent="0.25">
      <c r="B40" s="48">
        <v>42969</v>
      </c>
      <c r="C40" s="214">
        <v>19461209.950799998</v>
      </c>
      <c r="D40" s="214">
        <v>14837763</v>
      </c>
      <c r="E40" s="215">
        <v>10000000</v>
      </c>
      <c r="F40" s="215"/>
      <c r="G40" s="215"/>
      <c r="H40" s="215"/>
      <c r="I40" s="41">
        <v>43144</v>
      </c>
      <c r="J40" s="212">
        <v>12615000.278399998</v>
      </c>
      <c r="K40" s="212">
        <f t="shared" si="18"/>
        <v>793338165.21239972</v>
      </c>
      <c r="M40" s="41">
        <v>43508</v>
      </c>
      <c r="N40" s="212">
        <v>13438526.374799998</v>
      </c>
      <c r="O40" s="212">
        <f t="shared" si="19"/>
        <v>687376476.20159984</v>
      </c>
      <c r="Q40" s="41">
        <v>43872</v>
      </c>
      <c r="R40" s="212">
        <v>12212687.779199999</v>
      </c>
      <c r="S40" s="212">
        <f t="shared" si="20"/>
        <v>671579585.87759984</v>
      </c>
      <c r="U40" s="41">
        <v>44243</v>
      </c>
      <c r="V40" s="212">
        <v>14137358.363999998</v>
      </c>
      <c r="W40" s="212">
        <f t="shared" si="21"/>
        <v>710723823.102</v>
      </c>
      <c r="Y40" s="41">
        <v>44607</v>
      </c>
      <c r="Z40" s="212">
        <v>19117158.498</v>
      </c>
      <c r="AA40" s="212">
        <f t="shared" si="22"/>
        <v>812535143.04359984</v>
      </c>
      <c r="AC40" s="32">
        <v>33</v>
      </c>
      <c r="AD40" s="39">
        <f t="shared" si="0"/>
        <v>0.79333816521239975</v>
      </c>
      <c r="AE40" s="39">
        <f t="shared" si="1"/>
        <v>0.68737647620159981</v>
      </c>
      <c r="AF40" s="39">
        <f t="shared" si="2"/>
        <v>0.67157958587759981</v>
      </c>
      <c r="AG40" s="39">
        <f t="shared" si="3"/>
        <v>0.710723823102</v>
      </c>
      <c r="AH40" s="39">
        <f t="shared" si="4"/>
        <v>0.81253514304359986</v>
      </c>
      <c r="AI40" s="39">
        <f t="shared" si="23"/>
        <v>0.91817994942476311</v>
      </c>
      <c r="AJ40" s="9"/>
      <c r="AK40" s="9"/>
      <c r="AL40" s="9"/>
      <c r="AT40" s="72"/>
      <c r="AU40" s="62" t="s">
        <v>98</v>
      </c>
      <c r="AV40" s="63">
        <f>AV32-AV30</f>
        <v>0.43596418486710631</v>
      </c>
      <c r="AW40" s="63">
        <f t="shared" ref="AW40:BB40" si="229">AW32-AW30</f>
        <v>0.48858819941143383</v>
      </c>
      <c r="AX40" s="63">
        <f t="shared" si="229"/>
        <v>0.34072685698909888</v>
      </c>
      <c r="AY40" s="63">
        <f t="shared" si="229"/>
        <v>0.4013026160746942</v>
      </c>
      <c r="AZ40" s="63">
        <f t="shared" si="229"/>
        <v>0.53962097054396896</v>
      </c>
      <c r="BA40" s="63">
        <f>BA32-BA30</f>
        <v>0.69941576722402576</v>
      </c>
      <c r="BB40" s="63">
        <f t="shared" si="229"/>
        <v>0.39552976371872139</v>
      </c>
      <c r="BM40" s="41">
        <f t="shared" si="60"/>
        <v>44607</v>
      </c>
      <c r="BN40" s="9">
        <f t="shared" si="5"/>
        <v>0.81253514304359986</v>
      </c>
      <c r="BO40" s="9">
        <f t="shared" si="140"/>
        <v>0.52906276086766779</v>
      </c>
      <c r="BP40" s="9">
        <f t="shared" si="140"/>
        <v>0.60136355673265374</v>
      </c>
      <c r="BQ40" s="9">
        <f t="shared" si="140"/>
        <v>0.64164302868528844</v>
      </c>
      <c r="BR40" s="9">
        <f t="shared" si="140"/>
        <v>0.66659501361609208</v>
      </c>
      <c r="BS40" s="9">
        <f t="shared" si="140"/>
        <v>0.7131284651859976</v>
      </c>
      <c r="BT40" s="9">
        <f t="shared" si="140"/>
        <v>0.77450364877302991</v>
      </c>
      <c r="BU40" s="9">
        <f t="shared" si="140"/>
        <v>0.84283917215288195</v>
      </c>
      <c r="BV40" s="9">
        <f t="shared" si="140"/>
        <v>0.91477386781175374</v>
      </c>
      <c r="BW40" s="9">
        <f t="shared" si="140"/>
        <v>0.9611665996975588</v>
      </c>
      <c r="BX40" s="9">
        <f t="shared" si="140"/>
        <v>1.0562291390632361</v>
      </c>
      <c r="BY40" s="9">
        <f t="shared" si="140"/>
        <v>1.3036183694658474</v>
      </c>
      <c r="BZ40" s="32"/>
      <c r="CA40" s="32"/>
      <c r="CL40" s="41">
        <f t="shared" si="61"/>
        <v>44971</v>
      </c>
      <c r="CM40" s="76">
        <v>0.7164699629842477</v>
      </c>
      <c r="CN40" s="9">
        <f t="shared" si="141"/>
        <v>0.58874844444182695</v>
      </c>
      <c r="CO40" s="9">
        <f t="shared" si="141"/>
        <v>0.67033570916170437</v>
      </c>
      <c r="CP40" s="9">
        <f t="shared" si="141"/>
        <v>0.73007181025494361</v>
      </c>
      <c r="CQ40" s="9">
        <f t="shared" si="141"/>
        <v>0.76161358381857513</v>
      </c>
      <c r="CR40" s="9">
        <f t="shared" si="141"/>
        <v>0.82781798470852852</v>
      </c>
      <c r="CS40" s="9">
        <f t="shared" si="141"/>
        <v>0.91904266064786944</v>
      </c>
      <c r="CT40" s="9">
        <f t="shared" si="141"/>
        <v>1.0205860344979392</v>
      </c>
      <c r="CU40" s="9">
        <f t="shared" si="141"/>
        <v>1.1313694315396221</v>
      </c>
      <c r="CV40" s="9">
        <f t="shared" si="141"/>
        <v>1.205513448387004</v>
      </c>
      <c r="CW40" s="9">
        <f t="shared" si="141"/>
        <v>1.3556871737314728</v>
      </c>
      <c r="CX40" s="9">
        <f t="shared" si="141"/>
        <v>1.6831972676480198</v>
      </c>
      <c r="CY40" s="32"/>
      <c r="CZ40" s="32"/>
      <c r="DA40" s="32">
        <f t="shared" si="26"/>
        <v>0.7164699629842477</v>
      </c>
      <c r="DB40" s="32">
        <v>716469962.98424768</v>
      </c>
      <c r="DC40" s="32"/>
      <c r="DD40" s="41">
        <v>45335</v>
      </c>
      <c r="DE40" s="76">
        <v>0.98391875349894886</v>
      </c>
      <c r="DF40" s="9">
        <f t="shared" ref="DF40:DP40" si="230">DF39+DF$2</f>
        <v>0.58361137764442739</v>
      </c>
      <c r="DG40" s="9">
        <f t="shared" si="230"/>
        <v>0.64999859857273312</v>
      </c>
      <c r="DH40" s="9">
        <f t="shared" si="230"/>
        <v>0.69089405986309416</v>
      </c>
      <c r="DI40" s="9">
        <f t="shared" si="230"/>
        <v>0.71850560917577666</v>
      </c>
      <c r="DJ40" s="9">
        <f t="shared" si="230"/>
        <v>0.77179749955895283</v>
      </c>
      <c r="DK40" s="9">
        <f t="shared" si="230"/>
        <v>0.84243882381271928</v>
      </c>
      <c r="DL40" s="9">
        <f t="shared" si="230"/>
        <v>0.93070707905902916</v>
      </c>
      <c r="DM40" s="9">
        <f t="shared" si="230"/>
        <v>1.0260174479856532</v>
      </c>
      <c r="DN40" s="9">
        <f t="shared" si="230"/>
        <v>1.0835778691551183</v>
      </c>
      <c r="DO40" s="9">
        <f t="shared" si="230"/>
        <v>1.2110588986943303</v>
      </c>
      <c r="DP40" s="9">
        <f t="shared" si="230"/>
        <v>1.5176102481616387</v>
      </c>
      <c r="DQ40" s="32"/>
      <c r="DR40" s="32"/>
      <c r="DS40" s="32">
        <f t="shared" si="28"/>
        <v>0.7164699629842477</v>
      </c>
      <c r="DT40" s="32">
        <v>716469962.98424768</v>
      </c>
      <c r="DU40" s="32"/>
      <c r="EF40" s="32"/>
      <c r="EG40" s="41">
        <v>45699</v>
      </c>
      <c r="EH40" s="76">
        <v>1.0531361473807574</v>
      </c>
      <c r="EI40" s="9">
        <f t="shared" ref="EI40:ES40" si="231">EI39+EI$2</f>
        <v>0.66958041263119961</v>
      </c>
      <c r="EJ40" s="9">
        <f t="shared" si="231"/>
        <v>0.72666162523471645</v>
      </c>
      <c r="EK40" s="9">
        <f t="shared" si="231"/>
        <v>0.77636255236281326</v>
      </c>
      <c r="EL40" s="9">
        <f t="shared" si="231"/>
        <v>0.80881984092864267</v>
      </c>
      <c r="EM40" s="9">
        <f t="shared" si="231"/>
        <v>0.86874728598010376</v>
      </c>
      <c r="EN40" s="9">
        <f t="shared" si="231"/>
        <v>0.95180291265136474</v>
      </c>
      <c r="EO40" s="9">
        <f t="shared" si="231"/>
        <v>1.0484655927977278</v>
      </c>
      <c r="EP40" s="9">
        <f t="shared" si="231"/>
        <v>1.1517713151945992</v>
      </c>
      <c r="EQ40" s="9">
        <f t="shared" si="231"/>
        <v>1.2136603413421057</v>
      </c>
      <c r="ER40" s="9">
        <f t="shared" si="231"/>
        <v>1.3494721398508871</v>
      </c>
      <c r="ES40" s="9">
        <f t="shared" si="231"/>
        <v>1.6280499350298248</v>
      </c>
      <c r="ET40" s="32"/>
      <c r="EU40" s="32"/>
      <c r="EV40" s="32">
        <f t="shared" si="30"/>
        <v>0.7164699629842477</v>
      </c>
      <c r="EW40" s="32">
        <v>716469962.98424768</v>
      </c>
      <c r="EX40" s="32"/>
      <c r="FG40" s="32"/>
      <c r="FH40" s="32"/>
      <c r="FI40" s="41">
        <v>46063</v>
      </c>
      <c r="FJ40" s="76">
        <v>0.733245554723435</v>
      </c>
      <c r="FK40" s="9">
        <f t="shared" ref="FK40:FU40" si="232">FK39+FK$2</f>
        <v>0.66958041263119961</v>
      </c>
      <c r="FL40" s="9">
        <f t="shared" si="232"/>
        <v>0.72666162523471645</v>
      </c>
      <c r="FM40" s="9">
        <f t="shared" si="232"/>
        <v>0.77636255236281326</v>
      </c>
      <c r="FN40" s="9">
        <f t="shared" si="232"/>
        <v>0.80881984092864267</v>
      </c>
      <c r="FO40" s="9">
        <f t="shared" si="232"/>
        <v>0.86874728598010376</v>
      </c>
      <c r="FP40" s="9">
        <f t="shared" si="232"/>
        <v>0.95180291265136474</v>
      </c>
      <c r="FQ40" s="9">
        <f t="shared" si="232"/>
        <v>1.0484655927977278</v>
      </c>
      <c r="FR40" s="9">
        <f t="shared" si="232"/>
        <v>1.1517713151945992</v>
      </c>
      <c r="FS40" s="9">
        <f t="shared" si="232"/>
        <v>1.2136603413421057</v>
      </c>
      <c r="FT40" s="9">
        <f t="shared" si="232"/>
        <v>1.3494721398508871</v>
      </c>
      <c r="FU40" s="9">
        <f t="shared" si="232"/>
        <v>1.6280499350298248</v>
      </c>
      <c r="FV40" s="32"/>
      <c r="FW40" s="32"/>
      <c r="FX40" s="32">
        <f t="shared" si="32"/>
        <v>0.7164699629842477</v>
      </c>
      <c r="FY40" s="32">
        <v>716469962.98424768</v>
      </c>
      <c r="FZ40" s="32"/>
      <c r="GI40" s="32"/>
      <c r="GJ40" s="41"/>
      <c r="GK40" s="76"/>
      <c r="GL40" s="9">
        <f t="shared" ref="GL40:GV40" si="233">GL39+GL$2</f>
        <v>0.55261678916062928</v>
      </c>
      <c r="GM40" s="9">
        <f t="shared" si="233"/>
        <v>0.63622187541617847</v>
      </c>
      <c r="GN40" s="9">
        <f t="shared" si="233"/>
        <v>0.68401484779449118</v>
      </c>
      <c r="GO40" s="9">
        <f t="shared" si="233"/>
        <v>0.7110122709006006</v>
      </c>
      <c r="GP40" s="9">
        <f t="shared" si="233"/>
        <v>0.76692728697428669</v>
      </c>
      <c r="GQ40" s="9">
        <f t="shared" si="233"/>
        <v>0.85953262822716492</v>
      </c>
      <c r="GR40" s="9">
        <f t="shared" si="233"/>
        <v>0.97978338797484332</v>
      </c>
      <c r="GS40" s="9">
        <f t="shared" si="233"/>
        <v>1.1210525085904306</v>
      </c>
      <c r="GT40" s="9">
        <f t="shared" si="233"/>
        <v>1.2337607520397569</v>
      </c>
      <c r="GU40" s="9">
        <f t="shared" si="233"/>
        <v>1.4474876600247102</v>
      </c>
      <c r="GV40" s="9">
        <f t="shared" si="233"/>
        <v>1.8813435039789457</v>
      </c>
      <c r="GW40" s="32"/>
      <c r="GX40" s="32"/>
      <c r="GY40" s="32">
        <f t="shared" si="34"/>
        <v>0.7164699629842477</v>
      </c>
      <c r="GZ40" s="32">
        <v>716469962.98424768</v>
      </c>
      <c r="HA40" s="32"/>
      <c r="HB40" s="41"/>
      <c r="HC40" s="76"/>
      <c r="HD40" s="9"/>
      <c r="HE40" s="9"/>
      <c r="HF40" s="9"/>
      <c r="HG40" s="9"/>
      <c r="HH40" s="9"/>
      <c r="HI40" s="9"/>
      <c r="HJ40" s="9"/>
      <c r="HK40" s="9"/>
      <c r="HL40" s="9"/>
      <c r="HM40" s="9"/>
      <c r="HN40" s="9"/>
      <c r="HO40" s="32"/>
      <c r="HP40" s="32"/>
      <c r="HQ40" s="32"/>
      <c r="HR40" s="32"/>
      <c r="IC40" s="41">
        <f t="shared" si="67"/>
        <v>44971</v>
      </c>
      <c r="ID40" s="9"/>
      <c r="IE40" s="9">
        <f t="shared" si="214"/>
        <v>0.71482179788594513</v>
      </c>
      <c r="IF40" s="9">
        <f t="shared" si="214"/>
        <v>0.72288049325740078</v>
      </c>
      <c r="IG40" s="9">
        <f t="shared" si="214"/>
        <v>0.73037565239266755</v>
      </c>
      <c r="IH40" s="9">
        <f t="shared" si="214"/>
        <v>0.7344772948265873</v>
      </c>
      <c r="II40" s="9">
        <f t="shared" si="214"/>
        <v>0.74283720481482451</v>
      </c>
      <c r="IJ40" s="9">
        <f t="shared" si="214"/>
        <v>0.75494373044870289</v>
      </c>
      <c r="IK40" s="9">
        <f t="shared" si="214"/>
        <v>0.77032684967455778</v>
      </c>
      <c r="IL40" s="9">
        <f t="shared" si="214"/>
        <v>0.78791260320488032</v>
      </c>
      <c r="IM40" s="9">
        <f t="shared" si="214"/>
        <v>0.79960742247289007</v>
      </c>
      <c r="IN40" s="9">
        <f t="shared" si="214"/>
        <v>0.82750905789123808</v>
      </c>
      <c r="IO40" s="9">
        <f t="shared" si="214"/>
        <v>0.86096788516141365</v>
      </c>
      <c r="IP40" s="32"/>
      <c r="IQ40" s="32"/>
      <c r="JB40" s="41">
        <f t="shared" si="13"/>
        <v>44607</v>
      </c>
      <c r="JC40" s="9">
        <f t="shared" si="14"/>
        <v>0.81253514304359986</v>
      </c>
      <c r="JD40" s="9"/>
      <c r="JE40" s="9"/>
      <c r="JF40" s="9"/>
      <c r="JG40" s="9"/>
      <c r="JH40" s="9"/>
      <c r="JI40" s="9"/>
      <c r="JJ40" s="9"/>
      <c r="JK40" s="9"/>
      <c r="JL40" s="9"/>
      <c r="JM40" s="9"/>
      <c r="JN40" s="9"/>
      <c r="JO40" s="9"/>
      <c r="JZ40" s="41">
        <f t="shared" ref="JZ40:JZ59" si="234">BM40</f>
        <v>44607</v>
      </c>
      <c r="KA40" s="9">
        <f t="shared" si="37"/>
        <v>0.81253514304359986</v>
      </c>
      <c r="KB40" s="9"/>
      <c r="KC40" s="9"/>
      <c r="KP40" s="212"/>
      <c r="KR40" s="41"/>
      <c r="KS40" s="212"/>
      <c r="KT40" s="212"/>
      <c r="KV40" s="41"/>
      <c r="KW40" s="212"/>
      <c r="KX40" s="212"/>
      <c r="KZ40" s="41"/>
      <c r="LA40" s="212"/>
      <c r="LB40" s="212"/>
      <c r="LD40" s="41"/>
      <c r="LE40" s="212"/>
      <c r="LF40" s="212"/>
      <c r="LL40" s="41"/>
      <c r="LM40" s="212"/>
      <c r="LN40" s="212"/>
      <c r="MB40" s="32"/>
      <c r="MC40" s="32"/>
      <c r="MD40" s="32"/>
      <c r="ME40" s="32"/>
      <c r="MF40" s="32"/>
      <c r="MG40" s="32"/>
      <c r="MH40" s="32"/>
      <c r="MI40" s="39"/>
      <c r="MJ40" s="39"/>
      <c r="MK40" s="39"/>
      <c r="ML40" s="39"/>
      <c r="MM40" s="9"/>
      <c r="MN40" s="9"/>
      <c r="MO40" s="9"/>
      <c r="MW40" s="72"/>
      <c r="MX40" s="73"/>
      <c r="NT40" s="67">
        <v>0.05</v>
      </c>
      <c r="NU40" s="7">
        <v>0.46585251338132994</v>
      </c>
      <c r="NV40" s="68">
        <v>26</v>
      </c>
      <c r="NW40" s="69">
        <f t="shared" ref="NW40:NW47" si="235">NU40/NV40</f>
        <v>1.7917404360820382E-2</v>
      </c>
      <c r="NX40" s="69"/>
      <c r="NY40" s="7">
        <v>1.7917404360820382E-2</v>
      </c>
      <c r="NZ40" s="11"/>
      <c r="OG40" s="32"/>
      <c r="OH40" s="32"/>
      <c r="OS40" s="67">
        <v>0.05</v>
      </c>
      <c r="OT40" s="7">
        <v>0.12926466808619999</v>
      </c>
      <c r="OU40" s="84">
        <f t="shared" si="228"/>
        <v>9</v>
      </c>
      <c r="OV40" s="69">
        <f t="shared" ref="OV40:OV47" si="236">OT40/OU40</f>
        <v>1.4362740898466666E-2</v>
      </c>
      <c r="OW40" s="69"/>
      <c r="OX40" s="10">
        <v>1.4362740898466666E-2</v>
      </c>
      <c r="OY40" s="11"/>
      <c r="PD40" s="9"/>
      <c r="PE40" s="9"/>
      <c r="PF40" s="9"/>
    </row>
    <row r="41" spans="2:424" x14ac:dyDescent="0.25">
      <c r="B41" s="48">
        <v>42976</v>
      </c>
      <c r="C41" s="214">
        <v>23568570.604799997</v>
      </c>
      <c r="D41" s="214">
        <v>17969328</v>
      </c>
      <c r="E41" s="215">
        <v>15000000</v>
      </c>
      <c r="F41" s="215"/>
      <c r="G41" s="215"/>
      <c r="H41" s="215"/>
      <c r="I41" s="41">
        <v>43151</v>
      </c>
      <c r="J41" s="212">
        <v>24491599.923599999</v>
      </c>
      <c r="K41" s="212">
        <f t="shared" si="18"/>
        <v>817829765.13599968</v>
      </c>
      <c r="M41" s="41">
        <v>43515</v>
      </c>
      <c r="N41" s="212">
        <v>15193639.979999999</v>
      </c>
      <c r="O41" s="212">
        <f t="shared" si="19"/>
        <v>702570116.18159986</v>
      </c>
      <c r="Q41" s="41">
        <v>43879</v>
      </c>
      <c r="R41" s="212">
        <v>13876536.365999999</v>
      </c>
      <c r="S41" s="212">
        <f t="shared" si="20"/>
        <v>685456122.24359989</v>
      </c>
      <c r="U41" s="41">
        <v>44250</v>
      </c>
      <c r="V41" s="212">
        <v>25465324.107599996</v>
      </c>
      <c r="W41" s="212">
        <f t="shared" si="21"/>
        <v>736189147.20959997</v>
      </c>
      <c r="Y41" s="41">
        <v>44614</v>
      </c>
      <c r="Z41" s="212">
        <v>10870922.692799998</v>
      </c>
      <c r="AA41" s="212">
        <f t="shared" si="22"/>
        <v>823406065.73639989</v>
      </c>
      <c r="AC41" s="32">
        <v>34</v>
      </c>
      <c r="AD41" s="39">
        <f t="shared" si="0"/>
        <v>0.8178297651359997</v>
      </c>
      <c r="AE41" s="39">
        <f t="shared" si="1"/>
        <v>0.70257011618159981</v>
      </c>
      <c r="AF41" s="39">
        <f t="shared" si="2"/>
        <v>0.68545612224359986</v>
      </c>
      <c r="AG41" s="39">
        <f t="shared" si="3"/>
        <v>0.73618914720959994</v>
      </c>
      <c r="AH41" s="39">
        <f t="shared" si="4"/>
        <v>0.82340606573639985</v>
      </c>
      <c r="AI41" s="39">
        <f t="shared" si="23"/>
        <v>0.94600358425581654</v>
      </c>
      <c r="AJ41" s="9"/>
      <c r="AK41" s="9"/>
      <c r="AL41" s="9"/>
      <c r="AT41" s="72"/>
      <c r="AU41" s="73"/>
      <c r="BM41" s="41">
        <f t="shared" si="60"/>
        <v>44614</v>
      </c>
      <c r="BN41" s="9">
        <f t="shared" si="5"/>
        <v>0.82340606573639985</v>
      </c>
      <c r="BO41" s="9">
        <f t="shared" ref="BO41:BY56" si="237">BO40+BO$2</f>
        <v>0.54509496574244565</v>
      </c>
      <c r="BP41" s="9">
        <f t="shared" si="237"/>
        <v>0.61958669481546147</v>
      </c>
      <c r="BQ41" s="9">
        <f t="shared" si="237"/>
        <v>0.66108675682726692</v>
      </c>
      <c r="BR41" s="9">
        <f t="shared" si="237"/>
        <v>0.68679486251354938</v>
      </c>
      <c r="BS41" s="9">
        <f t="shared" si="237"/>
        <v>0.73473841867648237</v>
      </c>
      <c r="BT41" s="9">
        <f t="shared" si="237"/>
        <v>0.79797345631160654</v>
      </c>
      <c r="BU41" s="9">
        <f t="shared" si="237"/>
        <v>0.86837975312721172</v>
      </c>
      <c r="BV41" s="9">
        <f t="shared" si="237"/>
        <v>0.94249428804847357</v>
      </c>
      <c r="BW41" s="9">
        <f t="shared" si="237"/>
        <v>0.99029286029445451</v>
      </c>
      <c r="BX41" s="9">
        <f t="shared" si="237"/>
        <v>1.088236082671213</v>
      </c>
      <c r="BY41" s="9">
        <f t="shared" si="237"/>
        <v>1.3431219564193579</v>
      </c>
      <c r="BZ41" s="32"/>
      <c r="CA41" s="32"/>
      <c r="CL41" s="41">
        <f t="shared" si="61"/>
        <v>44978</v>
      </c>
      <c r="CM41" s="76">
        <v>0.73040874440271619</v>
      </c>
      <c r="CN41" s="9">
        <f t="shared" ref="CN41:CX56" si="238">CN40+CN$2</f>
        <v>0.60658930639460962</v>
      </c>
      <c r="CO41" s="9">
        <f t="shared" si="238"/>
        <v>0.69064891246963478</v>
      </c>
      <c r="CP41" s="9">
        <f t="shared" si="238"/>
        <v>0.75219519844448735</v>
      </c>
      <c r="CQ41" s="9">
        <f t="shared" si="238"/>
        <v>0.78469278332822889</v>
      </c>
      <c r="CR41" s="9">
        <f t="shared" si="238"/>
        <v>0.85290337818454454</v>
      </c>
      <c r="CS41" s="9">
        <f t="shared" si="238"/>
        <v>0.94689243824325942</v>
      </c>
      <c r="CT41" s="9">
        <f t="shared" si="238"/>
        <v>1.0515128840281798</v>
      </c>
      <c r="CU41" s="9">
        <f t="shared" si="238"/>
        <v>1.1656533537074893</v>
      </c>
      <c r="CV41" s="9">
        <f t="shared" si="238"/>
        <v>1.242044158944186</v>
      </c>
      <c r="CW41" s="9">
        <f t="shared" si="238"/>
        <v>1.3967686032384872</v>
      </c>
      <c r="CX41" s="9">
        <f t="shared" si="238"/>
        <v>1.7342032454555356</v>
      </c>
      <c r="CY41" s="32"/>
      <c r="CZ41" s="32"/>
      <c r="DA41" s="32">
        <f t="shared" si="26"/>
        <v>0.73040874440271619</v>
      </c>
      <c r="DB41" s="32">
        <v>730408744.40271616</v>
      </c>
      <c r="DC41" s="32"/>
      <c r="DD41" s="41">
        <v>45342</v>
      </c>
      <c r="DE41" s="76">
        <v>1.0293222006148648</v>
      </c>
      <c r="DF41" s="9">
        <f t="shared" ref="DF41:DP41" si="239">DF40+DF$2</f>
        <v>0.60129657090637978</v>
      </c>
      <c r="DG41" s="9">
        <f t="shared" si="239"/>
        <v>0.66969552580220992</v>
      </c>
      <c r="DH41" s="9">
        <f t="shared" si="239"/>
        <v>0.7118302434953091</v>
      </c>
      <c r="DI41" s="9">
        <f t="shared" si="239"/>
        <v>0.74027850642352744</v>
      </c>
      <c r="DJ41" s="9">
        <f t="shared" si="239"/>
        <v>0.79518530257589082</v>
      </c>
      <c r="DK41" s="9">
        <f t="shared" si="239"/>
        <v>0.86796727301916532</v>
      </c>
      <c r="DL41" s="9">
        <f t="shared" si="239"/>
        <v>0.95891032387899977</v>
      </c>
      <c r="DM41" s="9">
        <f t="shared" si="239"/>
        <v>1.0571088858034003</v>
      </c>
      <c r="DN41" s="9">
        <f t="shared" si="239"/>
        <v>1.1164135621598188</v>
      </c>
      <c r="DO41" s="9">
        <f t="shared" si="239"/>
        <v>1.247757653200219</v>
      </c>
      <c r="DP41" s="9">
        <f t="shared" si="239"/>
        <v>1.5635984374998702</v>
      </c>
      <c r="DQ41" s="32"/>
      <c r="DR41" s="32"/>
      <c r="DS41" s="32">
        <f t="shared" si="28"/>
        <v>0.73040874440271619</v>
      </c>
      <c r="DT41" s="32">
        <v>730408744.40271616</v>
      </c>
      <c r="DU41" s="32"/>
      <c r="EF41" s="32"/>
      <c r="EG41" s="41">
        <v>45706</v>
      </c>
      <c r="EH41" s="76">
        <v>1.07430977734091</v>
      </c>
      <c r="EI41" s="9">
        <f t="shared" ref="EI41:ES41" si="240">EI40+EI$2</f>
        <v>0.68987072816547834</v>
      </c>
      <c r="EJ41" s="9">
        <f t="shared" si="240"/>
        <v>0.74868167448425327</v>
      </c>
      <c r="EK41" s="9">
        <f t="shared" si="240"/>
        <v>0.79988869031320153</v>
      </c>
      <c r="EL41" s="9">
        <f t="shared" si="240"/>
        <v>0.83332953307799551</v>
      </c>
      <c r="EM41" s="9">
        <f t="shared" si="240"/>
        <v>0.8950729613128342</v>
      </c>
      <c r="EN41" s="9">
        <f t="shared" si="240"/>
        <v>0.98064542515595154</v>
      </c>
      <c r="EO41" s="9">
        <f t="shared" si="240"/>
        <v>1.0802372774279621</v>
      </c>
      <c r="EP41" s="9">
        <f t="shared" si="240"/>
        <v>1.1866734762611022</v>
      </c>
      <c r="EQ41" s="9">
        <f t="shared" si="240"/>
        <v>1.2504379274433817</v>
      </c>
      <c r="ER41" s="9">
        <f t="shared" si="240"/>
        <v>1.3903652349978837</v>
      </c>
      <c r="ES41" s="9">
        <f t="shared" si="240"/>
        <v>1.67738478154588</v>
      </c>
      <c r="ET41" s="32"/>
      <c r="EU41" s="32"/>
      <c r="EV41" s="32">
        <f t="shared" si="30"/>
        <v>0.73040874440271619</v>
      </c>
      <c r="EW41" s="32">
        <v>730408744.40271616</v>
      </c>
      <c r="EX41" s="32"/>
      <c r="FG41" s="32"/>
      <c r="FH41" s="32"/>
      <c r="FI41" s="41">
        <v>46070</v>
      </c>
      <c r="FJ41" s="76">
        <v>0.7715283142965581</v>
      </c>
      <c r="FK41" s="9">
        <f t="shared" ref="FK41:FU41" si="241">FK40+FK$2</f>
        <v>0.68987072816547834</v>
      </c>
      <c r="FL41" s="9">
        <f t="shared" si="241"/>
        <v>0.74868167448425327</v>
      </c>
      <c r="FM41" s="9">
        <f t="shared" si="241"/>
        <v>0.79988869031320153</v>
      </c>
      <c r="FN41" s="9">
        <f t="shared" si="241"/>
        <v>0.83332953307799551</v>
      </c>
      <c r="FO41" s="9">
        <f t="shared" si="241"/>
        <v>0.8950729613128342</v>
      </c>
      <c r="FP41" s="9">
        <f t="shared" si="241"/>
        <v>0.98064542515595154</v>
      </c>
      <c r="FQ41" s="9">
        <f t="shared" si="241"/>
        <v>1.0802372774279621</v>
      </c>
      <c r="FR41" s="9">
        <f t="shared" si="241"/>
        <v>1.1866734762611022</v>
      </c>
      <c r="FS41" s="9">
        <f t="shared" si="241"/>
        <v>1.2504379274433817</v>
      </c>
      <c r="FT41" s="9">
        <f t="shared" si="241"/>
        <v>1.3903652349978837</v>
      </c>
      <c r="FU41" s="9">
        <f t="shared" si="241"/>
        <v>1.67738478154588</v>
      </c>
      <c r="FV41" s="32"/>
      <c r="FW41" s="32"/>
      <c r="FX41" s="32">
        <f t="shared" si="32"/>
        <v>0.73040874440271619</v>
      </c>
      <c r="FY41" s="32">
        <v>730408744.40271616</v>
      </c>
      <c r="FZ41" s="32"/>
      <c r="GI41" s="32"/>
      <c r="GJ41" s="41"/>
      <c r="GK41" s="76"/>
      <c r="GL41" s="9">
        <f t="shared" ref="GL41:GV41" si="242">GL40+GL$2</f>
        <v>0.56936275246852719</v>
      </c>
      <c r="GM41" s="9">
        <f t="shared" si="242"/>
        <v>0.6555013261863657</v>
      </c>
      <c r="GN41" s="9">
        <f t="shared" si="242"/>
        <v>0.70474257045493027</v>
      </c>
      <c r="GO41" s="9">
        <f t="shared" si="242"/>
        <v>0.73255809729152788</v>
      </c>
      <c r="GP41" s="9">
        <f t="shared" si="242"/>
        <v>0.79016750779168932</v>
      </c>
      <c r="GQ41" s="9">
        <f t="shared" si="242"/>
        <v>0.88557907150677595</v>
      </c>
      <c r="GR41" s="9">
        <f t="shared" si="242"/>
        <v>1.0094737936710507</v>
      </c>
      <c r="GS41" s="9">
        <f t="shared" si="242"/>
        <v>1.1550237967295345</v>
      </c>
      <c r="GT41" s="9">
        <f t="shared" si="242"/>
        <v>1.2711474414955071</v>
      </c>
      <c r="GU41" s="9">
        <f t="shared" si="242"/>
        <v>1.4913509224497015</v>
      </c>
      <c r="GV41" s="9">
        <f t="shared" si="242"/>
        <v>1.9383539131904288</v>
      </c>
      <c r="GW41" s="32"/>
      <c r="GX41" s="32"/>
      <c r="GY41" s="32">
        <f t="shared" si="34"/>
        <v>0.73040874440271619</v>
      </c>
      <c r="GZ41" s="32">
        <v>730408744.40271616</v>
      </c>
      <c r="HA41" s="32"/>
      <c r="HB41" s="41"/>
      <c r="HC41" s="76"/>
      <c r="HD41" s="9"/>
      <c r="HE41" s="9"/>
      <c r="HF41" s="9"/>
      <c r="HG41" s="9"/>
      <c r="HH41" s="9"/>
      <c r="HI41" s="9"/>
      <c r="HJ41" s="9"/>
      <c r="HK41" s="9"/>
      <c r="HL41" s="9"/>
      <c r="HM41" s="9"/>
      <c r="HN41" s="9"/>
      <c r="HO41" s="32"/>
      <c r="HP41" s="32"/>
      <c r="HQ41" s="32"/>
      <c r="HR41" s="32"/>
      <c r="IC41" s="41">
        <f t="shared" si="67"/>
        <v>44978</v>
      </c>
      <c r="ID41" s="9"/>
      <c r="IE41" s="9">
        <f t="shared" si="214"/>
        <v>0.72991330201225646</v>
      </c>
      <c r="IF41" s="9">
        <f t="shared" si="214"/>
        <v>0.73998667122657602</v>
      </c>
      <c r="IG41" s="9">
        <f t="shared" si="214"/>
        <v>0.74935562014565948</v>
      </c>
      <c r="IH41" s="9">
        <f t="shared" si="214"/>
        <v>0.75448267318805917</v>
      </c>
      <c r="II41" s="9">
        <f t="shared" si="214"/>
        <v>0.76493256067335569</v>
      </c>
      <c r="IJ41" s="9">
        <f t="shared" si="214"/>
        <v>0.78006571771570365</v>
      </c>
      <c r="IK41" s="9">
        <f t="shared" si="214"/>
        <v>0.79929461674802227</v>
      </c>
      <c r="IL41" s="9">
        <f t="shared" si="214"/>
        <v>0.82127680866092545</v>
      </c>
      <c r="IM41" s="9">
        <f t="shared" si="214"/>
        <v>0.83589533274593764</v>
      </c>
      <c r="IN41" s="9">
        <f t="shared" si="214"/>
        <v>0.87077237701887267</v>
      </c>
      <c r="IO41" s="9">
        <f t="shared" si="214"/>
        <v>0.91259591110659211</v>
      </c>
      <c r="IP41" s="32"/>
      <c r="IQ41" s="32"/>
      <c r="JB41" s="41">
        <f t="shared" si="13"/>
        <v>44614</v>
      </c>
      <c r="JC41" s="9">
        <f t="shared" si="14"/>
        <v>0.82340606573639985</v>
      </c>
      <c r="JD41" s="9"/>
      <c r="JE41" s="9"/>
      <c r="JF41" s="9"/>
      <c r="JG41" s="9"/>
      <c r="JH41" s="9"/>
      <c r="JI41" s="9"/>
      <c r="JJ41" s="9"/>
      <c r="JK41" s="9"/>
      <c r="JL41" s="9"/>
      <c r="JM41" s="9"/>
      <c r="JN41" s="9"/>
      <c r="JO41" s="9"/>
      <c r="JZ41" s="41">
        <f t="shared" si="234"/>
        <v>44614</v>
      </c>
      <c r="KA41" s="9">
        <f t="shared" si="37"/>
        <v>0.82340606573639985</v>
      </c>
      <c r="KB41" s="9"/>
      <c r="KC41" s="9"/>
      <c r="KP41" s="212"/>
      <c r="KR41" s="41"/>
      <c r="KS41" s="212"/>
      <c r="KT41" s="212"/>
      <c r="KV41" s="41"/>
      <c r="KW41" s="212"/>
      <c r="KX41" s="212"/>
      <c r="KZ41" s="41"/>
      <c r="LA41" s="212"/>
      <c r="LB41" s="212"/>
      <c r="LD41" s="41"/>
      <c r="LE41" s="212"/>
      <c r="LF41" s="212"/>
      <c r="LL41" s="41"/>
      <c r="LM41" s="212"/>
      <c r="LN41" s="212"/>
      <c r="MB41" s="32"/>
      <c r="MC41" s="32"/>
      <c r="MD41" s="32"/>
      <c r="ME41" s="32"/>
      <c r="MF41" s="32"/>
      <c r="MG41" s="32"/>
      <c r="MH41" s="32"/>
      <c r="MI41" s="39"/>
      <c r="MJ41" s="39"/>
      <c r="MK41" s="39"/>
      <c r="ML41" s="39"/>
      <c r="MM41" s="9"/>
      <c r="MN41" s="9"/>
      <c r="MO41" s="9"/>
      <c r="MW41" s="72"/>
      <c r="MX41" s="64" t="s">
        <v>86</v>
      </c>
      <c r="MY41" s="63">
        <f>MY21</f>
        <v>0.36670223228814003</v>
      </c>
      <c r="MZ41" s="63">
        <f t="shared" ref="MZ41:NH41" si="243">MZ21</f>
        <v>0.37127926012302853</v>
      </c>
      <c r="NA41" s="63">
        <f t="shared" si="243"/>
        <v>0.31761858401399984</v>
      </c>
      <c r="NB41" s="63">
        <f t="shared" si="243"/>
        <v>0.32348451958559998</v>
      </c>
      <c r="NC41" s="63">
        <f t="shared" si="243"/>
        <v>0.35713337259291411</v>
      </c>
      <c r="ND41" s="63">
        <f t="shared" si="243"/>
        <v>0.34789663857927866</v>
      </c>
      <c r="NE41" s="63">
        <f t="shared" si="243"/>
        <v>0.43473146576519983</v>
      </c>
      <c r="NF41" s="63">
        <f t="shared" si="243"/>
        <v>0.3786386174889429</v>
      </c>
      <c r="NG41" s="63">
        <f t="shared" si="243"/>
        <v>0.39560607685714289</v>
      </c>
      <c r="NH41" s="63">
        <f t="shared" si="243"/>
        <v>0.40126193868659998</v>
      </c>
      <c r="NI41" s="63">
        <f>NI21</f>
        <v>0.24703376494619997</v>
      </c>
      <c r="NT41" s="67">
        <v>0.1</v>
      </c>
      <c r="NU41" s="7">
        <v>0.48721105886580002</v>
      </c>
      <c r="NV41" s="68">
        <v>26</v>
      </c>
      <c r="NW41" s="69">
        <f t="shared" si="235"/>
        <v>1.8738886879453846E-2</v>
      </c>
      <c r="NX41" s="69"/>
      <c r="NY41" s="7">
        <v>1.8738886879453846E-2</v>
      </c>
      <c r="NZ41" s="11"/>
      <c r="OG41" s="32"/>
      <c r="OH41" s="32"/>
      <c r="OS41" s="67">
        <v>0.1</v>
      </c>
      <c r="OT41" s="7">
        <v>0.13836363252959999</v>
      </c>
      <c r="OU41" s="84">
        <f t="shared" si="228"/>
        <v>9</v>
      </c>
      <c r="OV41" s="69">
        <f t="shared" si="236"/>
        <v>1.5373736947733332E-2</v>
      </c>
      <c r="OW41" s="69"/>
      <c r="OX41" s="10">
        <v>1.5373736947733332E-2</v>
      </c>
      <c r="OY41" s="11"/>
      <c r="PD41" s="9"/>
      <c r="PE41" s="9"/>
      <c r="PF41" s="9"/>
    </row>
    <row r="42" spans="2:424" x14ac:dyDescent="0.25">
      <c r="B42" s="48">
        <v>42983</v>
      </c>
      <c r="C42" s="214">
        <v>40061686.154399998</v>
      </c>
      <c r="D42" s="214">
        <v>30544134</v>
      </c>
      <c r="E42" s="215">
        <v>30000000</v>
      </c>
      <c r="F42" s="215"/>
      <c r="G42" s="215"/>
      <c r="H42" s="215"/>
      <c r="I42" s="41">
        <v>43158</v>
      </c>
      <c r="J42" s="212">
        <v>23928471.021599997</v>
      </c>
      <c r="K42" s="212">
        <f t="shared" si="18"/>
        <v>841758236.15759969</v>
      </c>
      <c r="M42" s="41">
        <v>43522</v>
      </c>
      <c r="N42" s="212">
        <v>19297577.357999999</v>
      </c>
      <c r="O42" s="212">
        <f t="shared" si="19"/>
        <v>721867693.5395999</v>
      </c>
      <c r="Q42" s="41">
        <v>43886</v>
      </c>
      <c r="R42" s="212">
        <v>9221237.9495999999</v>
      </c>
      <c r="S42" s="212">
        <f t="shared" si="20"/>
        <v>694677360.19319987</v>
      </c>
      <c r="U42" s="41">
        <v>44257</v>
      </c>
      <c r="V42" s="212">
        <v>31767658.743599996</v>
      </c>
      <c r="W42" s="212">
        <f t="shared" si="21"/>
        <v>767956805.95319998</v>
      </c>
      <c r="Y42" s="41">
        <v>44621</v>
      </c>
      <c r="Z42" s="212">
        <v>16658637.677999999</v>
      </c>
      <c r="AA42" s="212">
        <f t="shared" si="22"/>
        <v>840064703.41439986</v>
      </c>
      <c r="AC42" s="32">
        <v>35</v>
      </c>
      <c r="AD42" s="39">
        <f t="shared" si="0"/>
        <v>0.8417582361575997</v>
      </c>
      <c r="AE42" s="39">
        <f t="shared" si="1"/>
        <v>0.7218676935395999</v>
      </c>
      <c r="AF42" s="39">
        <f t="shared" si="2"/>
        <v>0.69467736019319992</v>
      </c>
      <c r="AG42" s="39">
        <f t="shared" si="3"/>
        <v>0.76795680595319993</v>
      </c>
      <c r="AH42" s="39">
        <f t="shared" si="4"/>
        <v>0.84006470341439987</v>
      </c>
      <c r="AI42" s="39">
        <f t="shared" si="23"/>
        <v>0.97382721908686998</v>
      </c>
      <c r="AJ42" s="9"/>
      <c r="AK42" s="9"/>
      <c r="AL42" s="9"/>
      <c r="AT42" s="72"/>
      <c r="AU42" s="64" t="s">
        <v>86</v>
      </c>
      <c r="AV42" s="63">
        <f t="shared" ref="AV42:BB42" si="244">AV22</f>
        <v>0.76174137554958854</v>
      </c>
      <c r="AW42" s="63">
        <f t="shared" si="244"/>
        <v>0.71872871646197445</v>
      </c>
      <c r="AX42" s="63">
        <f t="shared" si="244"/>
        <v>0.76805370043418086</v>
      </c>
      <c r="AY42" s="63">
        <f t="shared" si="244"/>
        <v>0.90189161627526415</v>
      </c>
      <c r="AZ42" s="63">
        <f t="shared" si="244"/>
        <v>0.83367465348844649</v>
      </c>
      <c r="BA42" s="63">
        <f>BA22</f>
        <v>0.97380588396585999</v>
      </c>
      <c r="BB42" s="63">
        <f t="shared" si="244"/>
        <v>0.65723946065637839</v>
      </c>
      <c r="BM42" s="41">
        <f t="shared" si="60"/>
        <v>44621</v>
      </c>
      <c r="BN42" s="9">
        <f t="shared" si="5"/>
        <v>0.84006470341439987</v>
      </c>
      <c r="BO42" s="9">
        <f t="shared" si="237"/>
        <v>0.5611271706172235</v>
      </c>
      <c r="BP42" s="9">
        <f t="shared" si="237"/>
        <v>0.6378098328982692</v>
      </c>
      <c r="BQ42" s="9">
        <f t="shared" si="237"/>
        <v>0.6805304849692454</v>
      </c>
      <c r="BR42" s="9">
        <f t="shared" si="237"/>
        <v>0.70699471141100667</v>
      </c>
      <c r="BS42" s="9">
        <f t="shared" si="237"/>
        <v>0.75634837216696715</v>
      </c>
      <c r="BT42" s="9">
        <f t="shared" si="237"/>
        <v>0.82144326385018318</v>
      </c>
      <c r="BU42" s="9">
        <f t="shared" si="237"/>
        <v>0.89392033410154148</v>
      </c>
      <c r="BV42" s="9">
        <f t="shared" si="237"/>
        <v>0.97021470828519341</v>
      </c>
      <c r="BW42" s="9">
        <f t="shared" si="237"/>
        <v>1.0194191208913503</v>
      </c>
      <c r="BX42" s="9">
        <f t="shared" si="237"/>
        <v>1.1202430262791898</v>
      </c>
      <c r="BY42" s="9">
        <f t="shared" si="237"/>
        <v>1.3826255433728685</v>
      </c>
      <c r="BZ42" s="32"/>
      <c r="CA42" s="32"/>
      <c r="CL42" s="41">
        <f t="shared" si="61"/>
        <v>44985</v>
      </c>
      <c r="CM42" s="76">
        <v>0.74918997488349703</v>
      </c>
      <c r="CN42" s="9">
        <f t="shared" si="238"/>
        <v>0.62443016834739229</v>
      </c>
      <c r="CO42" s="9">
        <f t="shared" si="238"/>
        <v>0.71096211577756518</v>
      </c>
      <c r="CP42" s="9">
        <f t="shared" si="238"/>
        <v>0.77431858663403108</v>
      </c>
      <c r="CQ42" s="9">
        <f t="shared" si="238"/>
        <v>0.80777198283788265</v>
      </c>
      <c r="CR42" s="9">
        <f t="shared" si="238"/>
        <v>0.87798877166056055</v>
      </c>
      <c r="CS42" s="9">
        <f t="shared" si="238"/>
        <v>0.9747422158386494</v>
      </c>
      <c r="CT42" s="9">
        <f t="shared" si="238"/>
        <v>1.0824397335584204</v>
      </c>
      <c r="CU42" s="9">
        <f t="shared" si="238"/>
        <v>1.1999372758753566</v>
      </c>
      <c r="CV42" s="9">
        <f t="shared" si="238"/>
        <v>1.2785748695013679</v>
      </c>
      <c r="CW42" s="9">
        <f t="shared" si="238"/>
        <v>1.4378500327455015</v>
      </c>
      <c r="CX42" s="9">
        <f t="shared" si="238"/>
        <v>1.7852092232630514</v>
      </c>
      <c r="CY42" s="32"/>
      <c r="CZ42" s="32"/>
      <c r="DA42" s="32">
        <f t="shared" si="26"/>
        <v>0.74918997488349703</v>
      </c>
      <c r="DB42" s="32">
        <v>749189974.883497</v>
      </c>
      <c r="DC42" s="32"/>
      <c r="DD42" s="41">
        <v>45349</v>
      </c>
      <c r="DE42" s="76">
        <v>1.0426494069930929</v>
      </c>
      <c r="DF42" s="9">
        <f t="shared" ref="DF42:DP42" si="245">DF41+DF$2</f>
        <v>0.61898176416833217</v>
      </c>
      <c r="DG42" s="9">
        <f t="shared" si="245"/>
        <v>0.68939245303168672</v>
      </c>
      <c r="DH42" s="9">
        <f t="shared" si="245"/>
        <v>0.73276642712752404</v>
      </c>
      <c r="DI42" s="9">
        <f t="shared" si="245"/>
        <v>0.76205140367127822</v>
      </c>
      <c r="DJ42" s="9">
        <f t="shared" si="245"/>
        <v>0.81857310559282881</v>
      </c>
      <c r="DK42" s="9">
        <f t="shared" si="245"/>
        <v>0.89349572222561136</v>
      </c>
      <c r="DL42" s="9">
        <f t="shared" si="245"/>
        <v>0.98711356869897038</v>
      </c>
      <c r="DM42" s="9">
        <f t="shared" si="245"/>
        <v>1.0882003236211475</v>
      </c>
      <c r="DN42" s="9">
        <f t="shared" si="245"/>
        <v>1.1492492551645193</v>
      </c>
      <c r="DO42" s="9">
        <f t="shared" si="245"/>
        <v>1.2844564077061078</v>
      </c>
      <c r="DP42" s="9">
        <f t="shared" si="245"/>
        <v>1.6095866268381016</v>
      </c>
      <c r="DQ42" s="32"/>
      <c r="DR42" s="32"/>
      <c r="DS42" s="32">
        <f t="shared" si="28"/>
        <v>0.74918997488349703</v>
      </c>
      <c r="DT42" s="32">
        <v>749189974.883497</v>
      </c>
      <c r="DU42" s="32"/>
      <c r="EF42" s="32"/>
      <c r="EG42" s="41">
        <v>45713</v>
      </c>
      <c r="EH42" s="76">
        <v>1.1004901660643334</v>
      </c>
      <c r="EI42" s="9">
        <f t="shared" ref="EI42:ES42" si="246">EI41+EI$2</f>
        <v>0.71016104369975708</v>
      </c>
      <c r="EJ42" s="9">
        <f t="shared" si="246"/>
        <v>0.77070172373379009</v>
      </c>
      <c r="EK42" s="9">
        <f t="shared" si="246"/>
        <v>0.8234148282635898</v>
      </c>
      <c r="EL42" s="9">
        <f t="shared" si="246"/>
        <v>0.85783922522734835</v>
      </c>
      <c r="EM42" s="9">
        <f t="shared" si="246"/>
        <v>0.92139863664556465</v>
      </c>
      <c r="EN42" s="9">
        <f t="shared" si="246"/>
        <v>1.0094879376605383</v>
      </c>
      <c r="EO42" s="9">
        <f t="shared" si="246"/>
        <v>1.1120089620581963</v>
      </c>
      <c r="EP42" s="9">
        <f t="shared" si="246"/>
        <v>1.2215756373276052</v>
      </c>
      <c r="EQ42" s="9">
        <f t="shared" si="246"/>
        <v>1.2872155135446577</v>
      </c>
      <c r="ER42" s="9">
        <f t="shared" si="246"/>
        <v>1.4312583301448802</v>
      </c>
      <c r="ES42" s="9">
        <f t="shared" si="246"/>
        <v>1.7267196280619352</v>
      </c>
      <c r="ET42" s="32"/>
      <c r="EU42" s="32"/>
      <c r="EV42" s="32">
        <f t="shared" si="30"/>
        <v>0.74918997488349703</v>
      </c>
      <c r="EW42" s="32">
        <v>749189974.883497</v>
      </c>
      <c r="EX42" s="32"/>
      <c r="FG42" s="32"/>
      <c r="FH42" s="32"/>
      <c r="FI42" s="41">
        <v>46077</v>
      </c>
      <c r="FJ42" s="76">
        <v>0.81688261363784942</v>
      </c>
      <c r="FK42" s="9">
        <f t="shared" ref="FK42:FU42" si="247">FK41+FK$2</f>
        <v>0.71016104369975708</v>
      </c>
      <c r="FL42" s="9">
        <f t="shared" si="247"/>
        <v>0.77070172373379009</v>
      </c>
      <c r="FM42" s="9">
        <f t="shared" si="247"/>
        <v>0.8234148282635898</v>
      </c>
      <c r="FN42" s="9">
        <f t="shared" si="247"/>
        <v>0.85783922522734835</v>
      </c>
      <c r="FO42" s="9">
        <f t="shared" si="247"/>
        <v>0.92139863664556465</v>
      </c>
      <c r="FP42" s="9">
        <f t="shared" si="247"/>
        <v>1.0094879376605383</v>
      </c>
      <c r="FQ42" s="9">
        <f t="shared" si="247"/>
        <v>1.1120089620581963</v>
      </c>
      <c r="FR42" s="9">
        <f t="shared" si="247"/>
        <v>1.2215756373276052</v>
      </c>
      <c r="FS42" s="9">
        <f t="shared" si="247"/>
        <v>1.2872155135446577</v>
      </c>
      <c r="FT42" s="9">
        <f t="shared" si="247"/>
        <v>1.4312583301448802</v>
      </c>
      <c r="FU42" s="9">
        <f t="shared" si="247"/>
        <v>1.7267196280619352</v>
      </c>
      <c r="FV42" s="32"/>
      <c r="FW42" s="32"/>
      <c r="FX42" s="32">
        <f t="shared" si="32"/>
        <v>0.74918997488349703</v>
      </c>
      <c r="FY42" s="32">
        <v>749189974.883497</v>
      </c>
      <c r="FZ42" s="32"/>
      <c r="GI42" s="32"/>
      <c r="GJ42" s="41"/>
      <c r="GK42" s="76"/>
      <c r="GL42" s="9">
        <f t="shared" ref="GL42:GV42" si="248">GL41+GL$2</f>
        <v>0.58610871577642509</v>
      </c>
      <c r="GM42" s="9">
        <f t="shared" si="248"/>
        <v>0.67478077695655292</v>
      </c>
      <c r="GN42" s="9">
        <f t="shared" si="248"/>
        <v>0.72547029311536937</v>
      </c>
      <c r="GO42" s="9">
        <f t="shared" si="248"/>
        <v>0.75410392368245516</v>
      </c>
      <c r="GP42" s="9">
        <f t="shared" si="248"/>
        <v>0.81340772860909194</v>
      </c>
      <c r="GQ42" s="9">
        <f t="shared" si="248"/>
        <v>0.91162551478638698</v>
      </c>
      <c r="GR42" s="9">
        <f t="shared" si="248"/>
        <v>1.039164199367258</v>
      </c>
      <c r="GS42" s="9">
        <f t="shared" si="248"/>
        <v>1.1889950848686384</v>
      </c>
      <c r="GT42" s="9">
        <f t="shared" si="248"/>
        <v>1.3085341309512573</v>
      </c>
      <c r="GU42" s="9">
        <f t="shared" si="248"/>
        <v>1.5352141848746927</v>
      </c>
      <c r="GV42" s="9">
        <f t="shared" si="248"/>
        <v>1.995364322401912</v>
      </c>
      <c r="GW42" s="32"/>
      <c r="GX42" s="32"/>
      <c r="GY42" s="32">
        <f t="shared" si="34"/>
        <v>0.74918997488349703</v>
      </c>
      <c r="GZ42" s="32">
        <v>749189974.883497</v>
      </c>
      <c r="HA42" s="32"/>
      <c r="HB42" s="41"/>
      <c r="HC42" s="76"/>
      <c r="HD42" s="9"/>
      <c r="HE42" s="9"/>
      <c r="HF42" s="9"/>
      <c r="HG42" s="9"/>
      <c r="HH42" s="9"/>
      <c r="HI42" s="9"/>
      <c r="HJ42" s="9"/>
      <c r="HK42" s="9"/>
      <c r="HL42" s="9"/>
      <c r="HM42" s="9"/>
      <c r="HN42" s="9"/>
      <c r="HO42" s="32"/>
      <c r="HP42" s="32"/>
      <c r="HQ42" s="32"/>
      <c r="HR42" s="32"/>
      <c r="IC42" s="41">
        <f t="shared" si="67"/>
        <v>44985</v>
      </c>
      <c r="ID42" s="9"/>
      <c r="IE42" s="9">
        <f t="shared" si="214"/>
        <v>0.74500480613856779</v>
      </c>
      <c r="IF42" s="9">
        <f t="shared" si="214"/>
        <v>0.75709284919575126</v>
      </c>
      <c r="IG42" s="9">
        <f t="shared" si="214"/>
        <v>0.76833558789865142</v>
      </c>
      <c r="IH42" s="9">
        <f t="shared" si="214"/>
        <v>0.77448805154953104</v>
      </c>
      <c r="II42" s="9">
        <f t="shared" si="214"/>
        <v>0.78702791653188686</v>
      </c>
      <c r="IJ42" s="9">
        <f t="shared" si="214"/>
        <v>0.80518770498270442</v>
      </c>
      <c r="IK42" s="9">
        <f t="shared" si="214"/>
        <v>0.82826238382148676</v>
      </c>
      <c r="IL42" s="9">
        <f t="shared" si="214"/>
        <v>0.85464101411697058</v>
      </c>
      <c r="IM42" s="9">
        <f t="shared" si="214"/>
        <v>0.8721832430189852</v>
      </c>
      <c r="IN42" s="9">
        <f t="shared" si="214"/>
        <v>0.91403569614650726</v>
      </c>
      <c r="IO42" s="9">
        <f t="shared" si="214"/>
        <v>0.96422393705177056</v>
      </c>
      <c r="IP42" s="32"/>
      <c r="IQ42" s="32"/>
      <c r="JB42" s="41">
        <f t="shared" si="13"/>
        <v>44621</v>
      </c>
      <c r="JC42" s="9">
        <f t="shared" si="14"/>
        <v>0.84006470341439987</v>
      </c>
      <c r="JD42" s="9"/>
      <c r="JE42" s="9"/>
      <c r="JF42" s="9"/>
      <c r="JG42" s="9"/>
      <c r="JH42" s="9"/>
      <c r="JI42" s="9"/>
      <c r="JJ42" s="9"/>
      <c r="JK42" s="9"/>
      <c r="JL42" s="9"/>
      <c r="JM42" s="9"/>
      <c r="JN42" s="9"/>
      <c r="JO42" s="9"/>
      <c r="JZ42" s="41">
        <f t="shared" si="234"/>
        <v>44621</v>
      </c>
      <c r="KA42" s="9">
        <f t="shared" si="37"/>
        <v>0.84006470341439987</v>
      </c>
      <c r="KB42" s="9"/>
      <c r="KC42" s="9"/>
      <c r="KP42" s="212"/>
      <c r="KR42" s="41"/>
      <c r="KS42" s="212"/>
      <c r="KT42" s="212"/>
      <c r="KV42" s="41"/>
      <c r="KW42" s="212"/>
      <c r="KX42" s="212"/>
      <c r="KZ42" s="41"/>
      <c r="LA42" s="212"/>
      <c r="LB42" s="212"/>
      <c r="LD42" s="41"/>
      <c r="LE42" s="212"/>
      <c r="LF42" s="212"/>
      <c r="LL42" s="41"/>
      <c r="LM42" s="212"/>
      <c r="LN42" s="212"/>
      <c r="LT42" s="41"/>
      <c r="LU42" s="212"/>
      <c r="MB42" s="32"/>
      <c r="MC42" s="32"/>
      <c r="MD42" s="32"/>
      <c r="ME42" s="32"/>
      <c r="MF42" s="32"/>
      <c r="MG42" s="32"/>
      <c r="MH42" s="32"/>
      <c r="MI42" s="39"/>
      <c r="MJ42" s="39"/>
      <c r="MK42" s="39"/>
      <c r="ML42" s="39"/>
      <c r="MM42" s="9"/>
      <c r="MN42" s="9"/>
      <c r="MO42" s="9"/>
      <c r="MW42" s="72"/>
      <c r="MX42" s="62" t="s">
        <v>99</v>
      </c>
      <c r="MY42" s="63">
        <f>MY25-MY21</f>
        <v>0.13551670210968003</v>
      </c>
      <c r="MZ42" s="63">
        <f t="shared" ref="MZ42:NH42" si="249">MZ25-MZ21</f>
        <v>0.13497151334742857</v>
      </c>
      <c r="NA42" s="63">
        <f t="shared" si="249"/>
        <v>0.14609172494586847</v>
      </c>
      <c r="NB42" s="63">
        <f t="shared" si="249"/>
        <v>0.10906263504809999</v>
      </c>
      <c r="NC42" s="63">
        <f t="shared" si="249"/>
        <v>0.1207366607729829</v>
      </c>
      <c r="ND42" s="63">
        <f t="shared" si="249"/>
        <v>0.13776320315809282</v>
      </c>
      <c r="NE42" s="63">
        <f t="shared" si="249"/>
        <v>0.15118977978960024</v>
      </c>
      <c r="NF42" s="63">
        <f t="shared" si="249"/>
        <v>0.12730990687354271</v>
      </c>
      <c r="NG42" s="63">
        <f t="shared" si="249"/>
        <v>0.14513045404825708</v>
      </c>
      <c r="NH42" s="63">
        <f t="shared" si="249"/>
        <v>0.1290215221044001</v>
      </c>
      <c r="NI42" s="63">
        <f>NI25-NI21</f>
        <v>8.9479563753600028E-2</v>
      </c>
      <c r="NT42" s="67">
        <v>0.25</v>
      </c>
      <c r="NU42" s="7">
        <v>0.53028346079100008</v>
      </c>
      <c r="NV42" s="68">
        <v>26</v>
      </c>
      <c r="NW42" s="69">
        <f t="shared" si="235"/>
        <v>2.0395517722730773E-2</v>
      </c>
      <c r="NX42" s="69"/>
      <c r="NY42" s="7">
        <v>2.0395517722730773E-2</v>
      </c>
      <c r="NZ42" s="11"/>
      <c r="OG42" s="32"/>
      <c r="OH42" s="32"/>
      <c r="OS42" s="67">
        <v>0.25</v>
      </c>
      <c r="OT42" s="7">
        <v>0.15069773016599999</v>
      </c>
      <c r="OU42" s="84">
        <f t="shared" si="228"/>
        <v>9</v>
      </c>
      <c r="OV42" s="69">
        <f t="shared" si="236"/>
        <v>1.6744192240666665E-2</v>
      </c>
      <c r="OW42" s="69"/>
      <c r="OX42" s="10">
        <v>1.6744192240666665E-2</v>
      </c>
      <c r="OY42" s="11"/>
      <c r="PD42" s="9"/>
      <c r="PE42" s="9"/>
      <c r="PF42" s="9"/>
    </row>
    <row r="43" spans="2:424" x14ac:dyDescent="0.25">
      <c r="B43" s="48">
        <v>42990</v>
      </c>
      <c r="C43" s="214">
        <v>9142429.1039999984</v>
      </c>
      <c r="D43" s="214">
        <v>6970440</v>
      </c>
      <c r="E43" s="215">
        <v>2000000</v>
      </c>
      <c r="F43" s="215"/>
      <c r="G43" s="215"/>
      <c r="H43" s="215"/>
      <c r="I43" s="41">
        <v>43165</v>
      </c>
      <c r="J43" s="212">
        <v>37686617.265599996</v>
      </c>
      <c r="K43" s="212">
        <f t="shared" si="18"/>
        <v>879444853.42319965</v>
      </c>
      <c r="M43" s="41">
        <v>43529</v>
      </c>
      <c r="N43" s="212">
        <v>30415921.369199999</v>
      </c>
      <c r="O43" s="212">
        <f t="shared" si="19"/>
        <v>752283614.90879989</v>
      </c>
      <c r="Q43" s="41">
        <v>43893</v>
      </c>
      <c r="R43" s="212">
        <v>14172595.243199999</v>
      </c>
      <c r="S43" s="212">
        <f t="shared" si="20"/>
        <v>708849955.43639982</v>
      </c>
      <c r="U43" s="41">
        <v>44264</v>
      </c>
      <c r="V43" s="212">
        <v>40929477.641999997</v>
      </c>
      <c r="W43" s="212">
        <f t="shared" si="21"/>
        <v>808886283.59519994</v>
      </c>
      <c r="Y43" s="41">
        <v>44628</v>
      </c>
      <c r="Z43" s="212">
        <v>24274640.019599997</v>
      </c>
      <c r="AA43" s="212">
        <f t="shared" si="22"/>
        <v>864339343.4339999</v>
      </c>
      <c r="AC43" s="32">
        <v>36</v>
      </c>
      <c r="AD43" s="39">
        <f t="shared" si="0"/>
        <v>0.87944485342319967</v>
      </c>
      <c r="AE43" s="39">
        <f t="shared" si="1"/>
        <v>0.75228361490879991</v>
      </c>
      <c r="AF43" s="39">
        <f t="shared" si="2"/>
        <v>0.70884995543639984</v>
      </c>
      <c r="AG43" s="39">
        <f t="shared" si="3"/>
        <v>0.80888628359519998</v>
      </c>
      <c r="AH43" s="39">
        <f t="shared" si="4"/>
        <v>0.86433934343399987</v>
      </c>
      <c r="AI43" s="39">
        <f t="shared" si="23"/>
        <v>1.0016508539179234</v>
      </c>
      <c r="AJ43" s="9"/>
      <c r="AK43" s="9"/>
      <c r="AL43" s="9"/>
      <c r="AT43" s="72"/>
      <c r="AU43" s="62" t="s">
        <v>99</v>
      </c>
      <c r="AV43" s="63">
        <f t="shared" ref="AV43:BB43" si="250">AV26-AV22</f>
        <v>0.25938421144039792</v>
      </c>
      <c r="AW43" s="63">
        <f t="shared" si="250"/>
        <v>0.23219950608569506</v>
      </c>
      <c r="AX43" s="63">
        <f t="shared" si="250"/>
        <v>0.23198145367176715</v>
      </c>
      <c r="AY43" s="63">
        <f t="shared" si="250"/>
        <v>0.25343571130735687</v>
      </c>
      <c r="AZ43" s="63">
        <f t="shared" si="250"/>
        <v>0.29004292801676179</v>
      </c>
      <c r="BA43" s="63">
        <f>BA26-BA22</f>
        <v>0.34610108067659728</v>
      </c>
      <c r="BB43" s="63">
        <f t="shared" si="250"/>
        <v>0.25219693528193343</v>
      </c>
      <c r="BM43" s="41">
        <f t="shared" si="60"/>
        <v>44628</v>
      </c>
      <c r="BN43" s="9">
        <f t="shared" si="5"/>
        <v>0.86433934343399987</v>
      </c>
      <c r="BO43" s="9">
        <f t="shared" si="237"/>
        <v>0.57715937549200136</v>
      </c>
      <c r="BP43" s="9">
        <f t="shared" si="237"/>
        <v>0.65603297098107693</v>
      </c>
      <c r="BQ43" s="9">
        <f t="shared" si="237"/>
        <v>0.69997421311122388</v>
      </c>
      <c r="BR43" s="9">
        <f t="shared" si="237"/>
        <v>0.72719456030846397</v>
      </c>
      <c r="BS43" s="9">
        <f t="shared" si="237"/>
        <v>0.77795832565745193</v>
      </c>
      <c r="BT43" s="9">
        <f t="shared" si="237"/>
        <v>0.84491307138875982</v>
      </c>
      <c r="BU43" s="9">
        <f t="shared" si="237"/>
        <v>0.91946091507587124</v>
      </c>
      <c r="BV43" s="9">
        <f t="shared" si="237"/>
        <v>0.99793512852191324</v>
      </c>
      <c r="BW43" s="9">
        <f t="shared" si="237"/>
        <v>1.0485453814882462</v>
      </c>
      <c r="BX43" s="9">
        <f t="shared" si="237"/>
        <v>1.1522499698871667</v>
      </c>
      <c r="BY43" s="9">
        <f t="shared" si="237"/>
        <v>1.422129130326379</v>
      </c>
      <c r="BZ43" s="32"/>
      <c r="CA43" s="32"/>
      <c r="CL43" s="41">
        <f t="shared" si="61"/>
        <v>44992</v>
      </c>
      <c r="CM43" s="76">
        <v>0.7793860493513648</v>
      </c>
      <c r="CN43" s="9">
        <f t="shared" si="238"/>
        <v>0.64227103030017496</v>
      </c>
      <c r="CO43" s="9">
        <f t="shared" si="238"/>
        <v>0.73127531908549559</v>
      </c>
      <c r="CP43" s="9">
        <f t="shared" si="238"/>
        <v>0.79644197482357482</v>
      </c>
      <c r="CQ43" s="9">
        <f t="shared" si="238"/>
        <v>0.83085118234753641</v>
      </c>
      <c r="CR43" s="9">
        <f t="shared" si="238"/>
        <v>0.90307416513657657</v>
      </c>
      <c r="CS43" s="9">
        <f t="shared" si="238"/>
        <v>1.0025919934340395</v>
      </c>
      <c r="CT43" s="9">
        <f t="shared" si="238"/>
        <v>1.113366583088661</v>
      </c>
      <c r="CU43" s="9">
        <f t="shared" si="238"/>
        <v>1.2342211980432238</v>
      </c>
      <c r="CV43" s="9">
        <f t="shared" si="238"/>
        <v>1.3151055800585498</v>
      </c>
      <c r="CW43" s="9">
        <f t="shared" si="238"/>
        <v>1.4789314622525158</v>
      </c>
      <c r="CX43" s="9">
        <f t="shared" si="238"/>
        <v>1.8362152010705672</v>
      </c>
      <c r="CY43" s="32"/>
      <c r="CZ43" s="32"/>
      <c r="DA43" s="32">
        <f t="shared" si="26"/>
        <v>0.7793860493513648</v>
      </c>
      <c r="DB43" s="32">
        <v>779386049.35136485</v>
      </c>
      <c r="DC43" s="32"/>
      <c r="DD43" s="41">
        <v>45356</v>
      </c>
      <c r="DE43" s="76">
        <v>1.0601648432202699</v>
      </c>
      <c r="DF43" s="9">
        <f t="shared" ref="DF43:DP43" si="251">DF42+DF$2</f>
        <v>0.63666695743028456</v>
      </c>
      <c r="DG43" s="9">
        <f t="shared" si="251"/>
        <v>0.70908938026116353</v>
      </c>
      <c r="DH43" s="9">
        <f t="shared" si="251"/>
        <v>0.75370261075973899</v>
      </c>
      <c r="DI43" s="9">
        <f t="shared" si="251"/>
        <v>0.78382430091902899</v>
      </c>
      <c r="DJ43" s="9">
        <f t="shared" si="251"/>
        <v>0.8419609086097668</v>
      </c>
      <c r="DK43" s="9">
        <f t="shared" si="251"/>
        <v>0.91902417143205739</v>
      </c>
      <c r="DL43" s="9">
        <f t="shared" si="251"/>
        <v>1.015316813518941</v>
      </c>
      <c r="DM43" s="9">
        <f t="shared" si="251"/>
        <v>1.1192917614388946</v>
      </c>
      <c r="DN43" s="9">
        <f t="shared" si="251"/>
        <v>1.1820849481692197</v>
      </c>
      <c r="DO43" s="9">
        <f t="shared" si="251"/>
        <v>1.3211551622119966</v>
      </c>
      <c r="DP43" s="9">
        <f t="shared" si="251"/>
        <v>1.6555748161763331</v>
      </c>
      <c r="DQ43" s="32"/>
      <c r="DR43" s="32"/>
      <c r="DS43" s="32">
        <f t="shared" si="28"/>
        <v>0.7793860493513648</v>
      </c>
      <c r="DT43" s="32">
        <v>779386049.35136485</v>
      </c>
      <c r="DU43" s="32"/>
      <c r="EF43" s="32"/>
      <c r="EG43" s="41">
        <v>45720</v>
      </c>
      <c r="EH43" s="76">
        <v>1.1145955998078771</v>
      </c>
      <c r="EI43" s="9">
        <f t="shared" ref="EI43:ES43" si="252">EI42+EI$2</f>
        <v>0.73045135923403581</v>
      </c>
      <c r="EJ43" s="9">
        <f t="shared" si="252"/>
        <v>0.79272177298332691</v>
      </c>
      <c r="EK43" s="9">
        <f t="shared" si="252"/>
        <v>0.84694096621397807</v>
      </c>
      <c r="EL43" s="9">
        <f t="shared" si="252"/>
        <v>0.88234891737670118</v>
      </c>
      <c r="EM43" s="9">
        <f t="shared" si="252"/>
        <v>0.9477243119782951</v>
      </c>
      <c r="EN43" s="9">
        <f t="shared" si="252"/>
        <v>1.0383304501651252</v>
      </c>
      <c r="EO43" s="9">
        <f t="shared" si="252"/>
        <v>1.1437806466884306</v>
      </c>
      <c r="EP43" s="9">
        <f t="shared" si="252"/>
        <v>1.2564777983941082</v>
      </c>
      <c r="EQ43" s="9">
        <f t="shared" si="252"/>
        <v>1.3239930996459337</v>
      </c>
      <c r="ER43" s="9">
        <f t="shared" si="252"/>
        <v>1.4721514252918768</v>
      </c>
      <c r="ES43" s="9">
        <f t="shared" si="252"/>
        <v>1.7760544745779905</v>
      </c>
      <c r="ET43" s="32"/>
      <c r="EU43" s="32"/>
      <c r="EV43" s="32">
        <f t="shared" si="30"/>
        <v>0.7793860493513648</v>
      </c>
      <c r="EW43" s="32">
        <v>779386049.35136485</v>
      </c>
      <c r="EX43" s="32"/>
      <c r="FG43" s="32"/>
      <c r="FH43" s="32"/>
      <c r="FI43" s="41">
        <v>46084</v>
      </c>
      <c r="FJ43" s="76">
        <v>0.8314320844479095</v>
      </c>
      <c r="FK43" s="9">
        <f t="shared" ref="FK43:FU43" si="253">FK42+FK$2</f>
        <v>0.73045135923403581</v>
      </c>
      <c r="FL43" s="9">
        <f t="shared" si="253"/>
        <v>0.79272177298332691</v>
      </c>
      <c r="FM43" s="9">
        <f t="shared" si="253"/>
        <v>0.84694096621397807</v>
      </c>
      <c r="FN43" s="9">
        <f t="shared" si="253"/>
        <v>0.88234891737670118</v>
      </c>
      <c r="FO43" s="9">
        <f t="shared" si="253"/>
        <v>0.9477243119782951</v>
      </c>
      <c r="FP43" s="9">
        <f t="shared" si="253"/>
        <v>1.0383304501651252</v>
      </c>
      <c r="FQ43" s="9">
        <f t="shared" si="253"/>
        <v>1.1437806466884306</v>
      </c>
      <c r="FR43" s="9">
        <f t="shared" si="253"/>
        <v>1.2564777983941082</v>
      </c>
      <c r="FS43" s="9">
        <f t="shared" si="253"/>
        <v>1.3239930996459337</v>
      </c>
      <c r="FT43" s="9">
        <f t="shared" si="253"/>
        <v>1.4721514252918768</v>
      </c>
      <c r="FU43" s="9">
        <f t="shared" si="253"/>
        <v>1.7760544745779905</v>
      </c>
      <c r="FV43" s="32"/>
      <c r="FW43" s="32"/>
      <c r="FX43" s="32">
        <f t="shared" si="32"/>
        <v>0.7793860493513648</v>
      </c>
      <c r="FY43" s="32">
        <v>779386049.35136485</v>
      </c>
      <c r="FZ43" s="32"/>
      <c r="GI43" s="32"/>
      <c r="GJ43" s="41"/>
      <c r="GK43" s="76"/>
      <c r="GL43" s="9">
        <f t="shared" ref="GL43:GV43" si="254">GL42+GL$2</f>
        <v>0.602854679084323</v>
      </c>
      <c r="GM43" s="9">
        <f t="shared" si="254"/>
        <v>0.69406022772674014</v>
      </c>
      <c r="GN43" s="9">
        <f t="shared" si="254"/>
        <v>0.74619801577580847</v>
      </c>
      <c r="GO43" s="9">
        <f t="shared" si="254"/>
        <v>0.77564975007338244</v>
      </c>
      <c r="GP43" s="9">
        <f t="shared" si="254"/>
        <v>0.83664794942649456</v>
      </c>
      <c r="GQ43" s="9">
        <f t="shared" si="254"/>
        <v>0.93767195806599801</v>
      </c>
      <c r="GR43" s="9">
        <f t="shared" si="254"/>
        <v>1.0688546050634653</v>
      </c>
      <c r="GS43" s="9">
        <f t="shared" si="254"/>
        <v>1.2229663730077422</v>
      </c>
      <c r="GT43" s="9">
        <f t="shared" si="254"/>
        <v>1.3459208204070074</v>
      </c>
      <c r="GU43" s="9">
        <f t="shared" si="254"/>
        <v>1.579077447299684</v>
      </c>
      <c r="GV43" s="9">
        <f t="shared" si="254"/>
        <v>2.0523747316133951</v>
      </c>
      <c r="GW43" s="32"/>
      <c r="GX43" s="32"/>
      <c r="GY43" s="32">
        <f t="shared" si="34"/>
        <v>0.7793860493513648</v>
      </c>
      <c r="GZ43" s="32">
        <v>779386049.35136485</v>
      </c>
      <c r="HA43" s="32"/>
      <c r="HB43" s="41"/>
      <c r="HC43" s="76"/>
      <c r="HD43" s="9"/>
      <c r="HE43" s="9"/>
      <c r="HF43" s="9"/>
      <c r="HG43" s="9"/>
      <c r="HH43" s="9"/>
      <c r="HI43" s="9"/>
      <c r="HJ43" s="9"/>
      <c r="HK43" s="9"/>
      <c r="HL43" s="9"/>
      <c r="HM43" s="9"/>
      <c r="HN43" s="9"/>
      <c r="HO43" s="32"/>
      <c r="HP43" s="32"/>
      <c r="HQ43" s="32"/>
      <c r="HR43" s="32"/>
      <c r="IC43" s="41">
        <f t="shared" si="67"/>
        <v>44992</v>
      </c>
      <c r="ID43" s="9"/>
      <c r="IE43" s="9">
        <f t="shared" si="214"/>
        <v>0.76009631026487912</v>
      </c>
      <c r="IF43" s="9">
        <f t="shared" si="214"/>
        <v>0.7741990271649265</v>
      </c>
      <c r="IG43" s="9">
        <f t="shared" si="214"/>
        <v>0.78731555565164335</v>
      </c>
      <c r="IH43" s="9">
        <f t="shared" si="214"/>
        <v>0.79449342991100291</v>
      </c>
      <c r="II43" s="9">
        <f t="shared" si="214"/>
        <v>0.80912327239041804</v>
      </c>
      <c r="IJ43" s="9">
        <f t="shared" si="214"/>
        <v>0.83030969224970519</v>
      </c>
      <c r="IK43" s="9">
        <f t="shared" si="214"/>
        <v>0.85723015089495125</v>
      </c>
      <c r="IL43" s="9">
        <f t="shared" si="214"/>
        <v>0.8880052195730157</v>
      </c>
      <c r="IM43" s="9">
        <f t="shared" si="214"/>
        <v>0.90847115329203276</v>
      </c>
      <c r="IN43" s="9">
        <f t="shared" si="214"/>
        <v>0.95729901527414185</v>
      </c>
      <c r="IO43" s="9">
        <f t="shared" si="214"/>
        <v>1.0158519629969489</v>
      </c>
      <c r="IP43" s="32"/>
      <c r="IQ43" s="32"/>
      <c r="JB43" s="41">
        <f t="shared" si="13"/>
        <v>44628</v>
      </c>
      <c r="JC43" s="9">
        <f t="shared" si="14"/>
        <v>0.86433934343399987</v>
      </c>
      <c r="JD43" s="9"/>
      <c r="JE43" s="9"/>
      <c r="JF43" s="9"/>
      <c r="JG43" s="9"/>
      <c r="JH43" s="9"/>
      <c r="JI43" s="9"/>
      <c r="JJ43" s="9"/>
      <c r="JK43" s="9"/>
      <c r="JL43" s="9"/>
      <c r="JM43" s="9"/>
      <c r="JN43" s="9"/>
      <c r="JO43" s="9"/>
      <c r="JZ43" s="41">
        <f t="shared" si="234"/>
        <v>44628</v>
      </c>
      <c r="KA43" s="9">
        <f t="shared" si="37"/>
        <v>0.86433934343399987</v>
      </c>
      <c r="KB43" s="9"/>
      <c r="KC43" s="9"/>
      <c r="KP43" s="212"/>
      <c r="KR43" s="41"/>
      <c r="KS43" s="212"/>
      <c r="KT43" s="212"/>
      <c r="KV43" s="41"/>
      <c r="KW43" s="212"/>
      <c r="KX43" s="212"/>
      <c r="KZ43" s="41"/>
      <c r="LA43" s="212"/>
      <c r="LB43" s="212"/>
      <c r="LD43" s="41"/>
      <c r="LE43" s="212"/>
      <c r="LF43" s="212"/>
      <c r="LL43" s="41"/>
      <c r="LM43" s="212"/>
      <c r="LN43" s="212"/>
      <c r="LT43" s="41"/>
      <c r="LU43" s="212"/>
      <c r="MB43" s="32"/>
      <c r="MC43" s="32"/>
      <c r="MD43" s="32"/>
      <c r="ME43" s="32"/>
      <c r="MF43" s="32"/>
      <c r="MG43" s="32"/>
      <c r="MH43" s="32"/>
      <c r="MI43" s="39"/>
      <c r="MJ43" s="39"/>
      <c r="MK43" s="39"/>
      <c r="ML43" s="39"/>
      <c r="MM43" s="9"/>
      <c r="MN43" s="9"/>
      <c r="MO43" s="9"/>
      <c r="MW43" s="72"/>
      <c r="MX43" s="62" t="s">
        <v>100</v>
      </c>
      <c r="MY43" s="63">
        <f>MY26-MY25</f>
        <v>5.9148526641840116E-2</v>
      </c>
      <c r="MZ43" s="63">
        <f t="shared" ref="MZ43:NH44" si="255">MZ26-MZ25</f>
        <v>5.5978854535200129E-2</v>
      </c>
      <c r="NA43" s="63">
        <f t="shared" si="255"/>
        <v>4.7021670849857311E-2</v>
      </c>
      <c r="NB43" s="63">
        <f t="shared" si="255"/>
        <v>4.7037752096399932E-2</v>
      </c>
      <c r="NC43" s="63">
        <f t="shared" si="255"/>
        <v>4.6781567513588806E-2</v>
      </c>
      <c r="ND43" s="63">
        <f t="shared" si="255"/>
        <v>5.3002871529878537E-2</v>
      </c>
      <c r="NE43" s="63">
        <f t="shared" si="255"/>
        <v>6.46239886347999E-2</v>
      </c>
      <c r="NF43" s="63">
        <f t="shared" si="255"/>
        <v>4.9769428124999959E-2</v>
      </c>
      <c r="NG43" s="63">
        <f t="shared" si="255"/>
        <v>6.1428784356942878E-2</v>
      </c>
      <c r="NH43" s="63">
        <f t="shared" si="255"/>
        <v>5.5417093656000005E-2</v>
      </c>
      <c r="NI43" s="63">
        <f>NI26-NI25</f>
        <v>4.2787685638199957E-2</v>
      </c>
      <c r="NT43" s="67">
        <v>0.5</v>
      </c>
      <c r="NU43" s="7">
        <v>0.58570055444700009</v>
      </c>
      <c r="NV43" s="68">
        <v>26</v>
      </c>
      <c r="NW43" s="69">
        <f t="shared" si="235"/>
        <v>2.2526944401807695E-2</v>
      </c>
      <c r="NX43" s="69"/>
      <c r="NY43" s="7">
        <v>2.2526944401807695E-2</v>
      </c>
      <c r="NZ43" s="11"/>
      <c r="OG43" s="32"/>
      <c r="OH43" s="32"/>
      <c r="OS43" s="67">
        <v>0.5</v>
      </c>
      <c r="OT43" s="7">
        <v>0.17566123582019996</v>
      </c>
      <c r="OU43" s="84">
        <f t="shared" si="228"/>
        <v>9</v>
      </c>
      <c r="OV43" s="69">
        <f t="shared" si="236"/>
        <v>1.951791509113333E-2</v>
      </c>
      <c r="OW43" s="69"/>
      <c r="OX43" s="10">
        <v>1.951791509113333E-2</v>
      </c>
      <c r="OY43" s="11"/>
      <c r="PD43" s="9"/>
      <c r="PE43" s="9"/>
      <c r="PF43" s="9"/>
    </row>
    <row r="44" spans="2:424" x14ac:dyDescent="0.25">
      <c r="B44" s="48">
        <v>42997</v>
      </c>
      <c r="C44" s="214">
        <v>11116860.591599999</v>
      </c>
      <c r="D44" s="214">
        <v>8475801</v>
      </c>
      <c r="E44" s="215">
        <v>5000000</v>
      </c>
      <c r="F44" s="215"/>
      <c r="G44" s="215"/>
      <c r="H44" s="215"/>
      <c r="I44" s="41">
        <v>43172</v>
      </c>
      <c r="J44" s="212">
        <v>10682675.0856</v>
      </c>
      <c r="K44" s="212">
        <f t="shared" si="18"/>
        <v>890127528.50879967</v>
      </c>
      <c r="M44" s="41">
        <v>43536</v>
      </c>
      <c r="N44" s="212">
        <v>42990412.881599993</v>
      </c>
      <c r="O44" s="212">
        <f t="shared" si="19"/>
        <v>795274027.79039991</v>
      </c>
      <c r="Q44" s="41">
        <v>43900</v>
      </c>
      <c r="R44" s="212">
        <v>15937548.339599999</v>
      </c>
      <c r="S44" s="212">
        <f t="shared" si="20"/>
        <v>724787503.77599978</v>
      </c>
      <c r="U44" s="41">
        <v>44271</v>
      </c>
      <c r="V44" s="212">
        <v>11947144.499999998</v>
      </c>
      <c r="W44" s="212">
        <f t="shared" si="21"/>
        <v>820833428.09519994</v>
      </c>
      <c r="Y44" s="41">
        <v>44635</v>
      </c>
      <c r="Z44" s="212">
        <v>11446458.386399999</v>
      </c>
      <c r="AA44" s="212">
        <f>Z44+AA43</f>
        <v>875785801.82039988</v>
      </c>
      <c r="AC44" s="32">
        <v>37</v>
      </c>
      <c r="AD44" s="39">
        <f t="shared" si="0"/>
        <v>0.89012752850879973</v>
      </c>
      <c r="AE44" s="39">
        <f t="shared" si="1"/>
        <v>0.79527402779039991</v>
      </c>
      <c r="AF44" s="39">
        <f t="shared" si="2"/>
        <v>0.72478750377599976</v>
      </c>
      <c r="AG44" s="39">
        <f t="shared" si="3"/>
        <v>0.82083342809519999</v>
      </c>
      <c r="AH44" s="39">
        <f t="shared" si="4"/>
        <v>0.87578580182039989</v>
      </c>
      <c r="AI44" s="39">
        <f t="shared" si="23"/>
        <v>1.0294744887489768</v>
      </c>
      <c r="AJ44" s="9"/>
      <c r="AK44" s="9"/>
      <c r="AL44" s="9"/>
      <c r="AM44" s="74"/>
      <c r="AT44" s="72"/>
      <c r="AU44" s="62" t="s">
        <v>100</v>
      </c>
      <c r="AV44" s="63">
        <f t="shared" ref="AV44:BB45" si="256">AV27-AV26</f>
        <v>8.8060002975873797E-2</v>
      </c>
      <c r="AW44" s="63">
        <f t="shared" si="256"/>
        <v>7.3794275101680351E-2</v>
      </c>
      <c r="AX44" s="63">
        <f t="shared" si="256"/>
        <v>7.8687814150030455E-2</v>
      </c>
      <c r="AY44" s="63">
        <f t="shared" si="256"/>
        <v>8.5095945263260919E-2</v>
      </c>
      <c r="AZ44" s="63">
        <f t="shared" si="256"/>
        <v>9.6712410500778612E-2</v>
      </c>
      <c r="BA44" s="63">
        <f>BA27-BA26</f>
        <v>0.1269220465723202</v>
      </c>
      <c r="BB44" s="63">
        <f t="shared" si="256"/>
        <v>8.224997318072802E-2</v>
      </c>
      <c r="BM44" s="41">
        <f t="shared" si="60"/>
        <v>44635</v>
      </c>
      <c r="BN44" s="9">
        <f t="shared" si="5"/>
        <v>0.87578580182039989</v>
      </c>
      <c r="BO44" s="9">
        <f t="shared" si="237"/>
        <v>0.59319158036677921</v>
      </c>
      <c r="BP44" s="9">
        <f t="shared" si="237"/>
        <v>0.67425610906388467</v>
      </c>
      <c r="BQ44" s="9">
        <f t="shared" si="237"/>
        <v>0.71941794125320235</v>
      </c>
      <c r="BR44" s="9">
        <f t="shared" si="237"/>
        <v>0.74739440920592126</v>
      </c>
      <c r="BS44" s="9">
        <f t="shared" si="237"/>
        <v>0.79956827914793671</v>
      </c>
      <c r="BT44" s="9">
        <f t="shared" si="237"/>
        <v>0.86838287892733645</v>
      </c>
      <c r="BU44" s="9">
        <f t="shared" si="237"/>
        <v>0.94500149605020101</v>
      </c>
      <c r="BV44" s="9">
        <f t="shared" si="237"/>
        <v>1.025655548758633</v>
      </c>
      <c r="BW44" s="9">
        <f t="shared" si="237"/>
        <v>1.077671642085142</v>
      </c>
      <c r="BX44" s="9">
        <f t="shared" si="237"/>
        <v>1.1842569134951435</v>
      </c>
      <c r="BY44" s="9">
        <f t="shared" si="237"/>
        <v>1.4616327172798895</v>
      </c>
      <c r="BZ44" s="32"/>
      <c r="CA44" s="32"/>
      <c r="CC44" t="s">
        <v>81</v>
      </c>
      <c r="CL44" s="41">
        <f t="shared" si="61"/>
        <v>44999</v>
      </c>
      <c r="CM44" s="76">
        <v>0.792350734537551</v>
      </c>
      <c r="CN44" s="9">
        <f t="shared" si="238"/>
        <v>0.66011189225295763</v>
      </c>
      <c r="CO44" s="9">
        <f t="shared" si="238"/>
        <v>0.751588522393426</v>
      </c>
      <c r="CP44" s="9">
        <f t="shared" si="238"/>
        <v>0.81856536301311855</v>
      </c>
      <c r="CQ44" s="9">
        <f t="shared" si="238"/>
        <v>0.85393038185719017</v>
      </c>
      <c r="CR44" s="9">
        <f t="shared" si="238"/>
        <v>0.92815955861259258</v>
      </c>
      <c r="CS44" s="9">
        <f t="shared" si="238"/>
        <v>1.0304417710294296</v>
      </c>
      <c r="CT44" s="9">
        <f t="shared" si="238"/>
        <v>1.1442934326189016</v>
      </c>
      <c r="CU44" s="9">
        <f t="shared" si="238"/>
        <v>1.2685051202110911</v>
      </c>
      <c r="CV44" s="9">
        <f t="shared" si="238"/>
        <v>1.3516362906157318</v>
      </c>
      <c r="CW44" s="9">
        <f t="shared" si="238"/>
        <v>1.5200128917595301</v>
      </c>
      <c r="CX44" s="9">
        <f t="shared" si="238"/>
        <v>1.887221178878083</v>
      </c>
      <c r="CY44" s="32"/>
      <c r="CZ44" s="32"/>
      <c r="DA44" s="32">
        <f t="shared" si="26"/>
        <v>0.792350734537551</v>
      </c>
      <c r="DB44" s="32">
        <v>792350734.53755105</v>
      </c>
      <c r="DC44" s="32"/>
      <c r="DD44" s="41">
        <v>45363</v>
      </c>
      <c r="DE44" s="76">
        <v>1.081668836355405</v>
      </c>
      <c r="DF44" s="9">
        <f t="shared" ref="DF44:DP44" si="257">DF43+DF$2</f>
        <v>0.65435215069223696</v>
      </c>
      <c r="DG44" s="9">
        <f t="shared" si="257"/>
        <v>0.72878630749064033</v>
      </c>
      <c r="DH44" s="9">
        <f t="shared" si="257"/>
        <v>0.77463879439195393</v>
      </c>
      <c r="DI44" s="9">
        <f t="shared" si="257"/>
        <v>0.80559719816677977</v>
      </c>
      <c r="DJ44" s="9">
        <f t="shared" si="257"/>
        <v>0.86534871162670479</v>
      </c>
      <c r="DK44" s="9">
        <f t="shared" si="257"/>
        <v>0.94455262063850343</v>
      </c>
      <c r="DL44" s="9">
        <f t="shared" si="257"/>
        <v>1.0435200583389115</v>
      </c>
      <c r="DM44" s="9">
        <f t="shared" si="257"/>
        <v>1.1503831992566418</v>
      </c>
      <c r="DN44" s="9">
        <f t="shared" si="257"/>
        <v>1.2149206411739202</v>
      </c>
      <c r="DO44" s="9">
        <f t="shared" si="257"/>
        <v>1.3578539167178854</v>
      </c>
      <c r="DP44" s="9">
        <f t="shared" si="257"/>
        <v>1.7015630055145645</v>
      </c>
      <c r="DQ44" s="32"/>
      <c r="DR44" s="32"/>
      <c r="DS44" s="32">
        <f t="shared" si="28"/>
        <v>0.792350734537551</v>
      </c>
      <c r="DT44" s="32">
        <v>792350734.53755105</v>
      </c>
      <c r="DU44" s="32"/>
      <c r="DW44" t="s">
        <v>81</v>
      </c>
      <c r="EF44" s="32"/>
      <c r="EG44" s="41">
        <v>45727</v>
      </c>
      <c r="EH44" s="76">
        <v>1.1333614392047238</v>
      </c>
      <c r="EI44" s="9">
        <f t="shared" ref="EI44:ES44" si="258">EI43+EI$2</f>
        <v>0.75074167476831455</v>
      </c>
      <c r="EJ44" s="9">
        <f t="shared" si="258"/>
        <v>0.81474182223286373</v>
      </c>
      <c r="EK44" s="9">
        <f t="shared" si="258"/>
        <v>0.87046710416436635</v>
      </c>
      <c r="EL44" s="9">
        <f t="shared" si="258"/>
        <v>0.90685860952605402</v>
      </c>
      <c r="EM44" s="9">
        <f t="shared" si="258"/>
        <v>0.97404998731102554</v>
      </c>
      <c r="EN44" s="9">
        <f t="shared" si="258"/>
        <v>1.067172962669712</v>
      </c>
      <c r="EO44" s="9">
        <f t="shared" si="258"/>
        <v>1.1755523313186649</v>
      </c>
      <c r="EP44" s="9">
        <f t="shared" si="258"/>
        <v>1.2913799594606112</v>
      </c>
      <c r="EQ44" s="9">
        <f t="shared" si="258"/>
        <v>1.3607706857472097</v>
      </c>
      <c r="ER44" s="9">
        <f t="shared" si="258"/>
        <v>1.5130445204388734</v>
      </c>
      <c r="ES44" s="9">
        <f t="shared" si="258"/>
        <v>1.8253893210940457</v>
      </c>
      <c r="ET44" s="32"/>
      <c r="EU44" s="32"/>
      <c r="EV44" s="32">
        <f t="shared" si="30"/>
        <v>0.792350734537551</v>
      </c>
      <c r="EW44" s="32">
        <v>792350734.53755105</v>
      </c>
      <c r="EX44" s="32"/>
      <c r="EZ44" t="s">
        <v>81</v>
      </c>
      <c r="FG44" s="32"/>
      <c r="FH44" s="32"/>
      <c r="FI44" s="41">
        <v>46091</v>
      </c>
      <c r="FJ44" s="76">
        <v>0.84838592135872026</v>
      </c>
      <c r="FK44" s="9">
        <f t="shared" ref="FK44:FU44" si="259">FK43+FK$2</f>
        <v>0.75074167476831455</v>
      </c>
      <c r="FL44" s="9">
        <f t="shared" si="259"/>
        <v>0.81474182223286373</v>
      </c>
      <c r="FM44" s="9">
        <f t="shared" si="259"/>
        <v>0.87046710416436635</v>
      </c>
      <c r="FN44" s="9">
        <f t="shared" si="259"/>
        <v>0.90685860952605402</v>
      </c>
      <c r="FO44" s="9">
        <f t="shared" si="259"/>
        <v>0.97404998731102554</v>
      </c>
      <c r="FP44" s="9">
        <f t="shared" si="259"/>
        <v>1.067172962669712</v>
      </c>
      <c r="FQ44" s="9">
        <f t="shared" si="259"/>
        <v>1.1755523313186649</v>
      </c>
      <c r="FR44" s="9">
        <f t="shared" si="259"/>
        <v>1.2913799594606112</v>
      </c>
      <c r="FS44" s="9">
        <f t="shared" si="259"/>
        <v>1.3607706857472097</v>
      </c>
      <c r="FT44" s="9">
        <f t="shared" si="259"/>
        <v>1.5130445204388734</v>
      </c>
      <c r="FU44" s="9">
        <f t="shared" si="259"/>
        <v>1.8253893210940457</v>
      </c>
      <c r="FV44" s="32"/>
      <c r="FW44" s="32"/>
      <c r="FX44" s="32">
        <f t="shared" si="32"/>
        <v>0.792350734537551</v>
      </c>
      <c r="FY44" s="32">
        <v>792350734.53755105</v>
      </c>
      <c r="FZ44" s="32"/>
      <c r="GI44" s="32"/>
      <c r="GJ44" s="41"/>
      <c r="GK44" s="76"/>
      <c r="GL44" s="9">
        <f t="shared" ref="GL44:GV44" si="260">GL43+GL$2</f>
        <v>0.6196006423922209</v>
      </c>
      <c r="GM44" s="9">
        <f t="shared" si="260"/>
        <v>0.71333967849692737</v>
      </c>
      <c r="GN44" s="9">
        <f t="shared" si="260"/>
        <v>0.76692573843624756</v>
      </c>
      <c r="GO44" s="9">
        <f t="shared" si="260"/>
        <v>0.79719557646430972</v>
      </c>
      <c r="GP44" s="9">
        <f t="shared" si="260"/>
        <v>0.85988817024389719</v>
      </c>
      <c r="GQ44" s="9">
        <f t="shared" si="260"/>
        <v>0.96371840134560904</v>
      </c>
      <c r="GR44" s="9">
        <f t="shared" si="260"/>
        <v>1.0985450107596726</v>
      </c>
      <c r="GS44" s="9">
        <f t="shared" si="260"/>
        <v>1.2569376611468461</v>
      </c>
      <c r="GT44" s="9">
        <f t="shared" si="260"/>
        <v>1.3833075098627576</v>
      </c>
      <c r="GU44" s="9">
        <f t="shared" si="260"/>
        <v>1.6229407097246753</v>
      </c>
      <c r="GV44" s="9">
        <f t="shared" si="260"/>
        <v>2.1093851408248785</v>
      </c>
      <c r="GW44" s="32"/>
      <c r="GX44" s="32"/>
      <c r="GY44" s="32">
        <f t="shared" si="34"/>
        <v>0.792350734537551</v>
      </c>
      <c r="GZ44" s="32">
        <v>792350734.53755105</v>
      </c>
      <c r="HA44" s="32"/>
      <c r="HB44" s="41"/>
      <c r="HC44" s="76"/>
      <c r="HD44" s="9"/>
      <c r="HE44" s="9"/>
      <c r="HF44" s="9"/>
      <c r="HG44" s="9"/>
      <c r="HH44" s="9"/>
      <c r="HI44" s="9"/>
      <c r="HJ44" s="9"/>
      <c r="HK44" s="9"/>
      <c r="HL44" s="9"/>
      <c r="HM44" s="9"/>
      <c r="HN44" s="9"/>
      <c r="HO44" s="32"/>
      <c r="HP44" s="32"/>
      <c r="HQ44" s="32"/>
      <c r="HR44" s="32"/>
      <c r="IC44" s="41">
        <f t="shared" si="67"/>
        <v>44999</v>
      </c>
      <c r="ID44" s="9"/>
      <c r="IE44" s="9">
        <f t="shared" si="214"/>
        <v>0.77518781439119044</v>
      </c>
      <c r="IF44" s="9">
        <f t="shared" si="214"/>
        <v>0.79130520513410174</v>
      </c>
      <c r="IG44" s="9">
        <f t="shared" si="214"/>
        <v>0.80629552340463528</v>
      </c>
      <c r="IH44" s="9">
        <f t="shared" si="214"/>
        <v>0.81449880827247478</v>
      </c>
      <c r="II44" s="9">
        <f t="shared" si="214"/>
        <v>0.83121862824894921</v>
      </c>
      <c r="IJ44" s="9">
        <f t="shared" si="214"/>
        <v>0.85543167951670596</v>
      </c>
      <c r="IK44" s="9">
        <f t="shared" si="214"/>
        <v>0.88619791796841574</v>
      </c>
      <c r="IL44" s="9">
        <f t="shared" si="214"/>
        <v>0.92136942502906083</v>
      </c>
      <c r="IM44" s="9">
        <f t="shared" si="214"/>
        <v>0.94475906356508033</v>
      </c>
      <c r="IN44" s="9">
        <f t="shared" si="214"/>
        <v>1.0005623344017764</v>
      </c>
      <c r="IO44" s="9">
        <f t="shared" si="214"/>
        <v>1.0674799889421274</v>
      </c>
      <c r="IP44" s="32"/>
      <c r="IQ44" s="32"/>
      <c r="IS44" t="s">
        <v>81</v>
      </c>
      <c r="JB44" s="41">
        <f t="shared" si="13"/>
        <v>44635</v>
      </c>
      <c r="JC44" s="9">
        <f t="shared" si="14"/>
        <v>0.87578580182039989</v>
      </c>
      <c r="JD44" s="9"/>
      <c r="JE44" s="9"/>
      <c r="JF44" s="9"/>
      <c r="JG44" s="9"/>
      <c r="JH44" s="9"/>
      <c r="JI44" s="9"/>
      <c r="JJ44" s="9"/>
      <c r="JK44" s="9"/>
      <c r="JL44" s="9"/>
      <c r="JM44" s="9"/>
      <c r="JN44" s="9"/>
      <c r="JO44" s="9"/>
      <c r="JZ44" s="41">
        <f t="shared" si="234"/>
        <v>44635</v>
      </c>
      <c r="KA44" s="9">
        <f t="shared" si="37"/>
        <v>0.87578580182039989</v>
      </c>
      <c r="KB44" s="9"/>
      <c r="KC44" s="9"/>
      <c r="KP44" s="212"/>
      <c r="KR44" s="41"/>
      <c r="KS44" s="212"/>
      <c r="KT44" s="212"/>
      <c r="KV44" s="41"/>
      <c r="KW44" s="212"/>
      <c r="KX44" s="212"/>
      <c r="KZ44" s="41"/>
      <c r="LA44" s="212"/>
      <c r="LB44" s="212"/>
      <c r="LD44" s="41"/>
      <c r="LE44" s="212"/>
      <c r="LF44" s="212"/>
      <c r="LL44" s="41"/>
      <c r="LM44" s="212"/>
      <c r="LN44" s="212"/>
      <c r="LT44" s="41"/>
      <c r="LU44" s="212"/>
      <c r="MB44" s="32"/>
      <c r="MC44" s="32"/>
      <c r="MD44" s="32"/>
      <c r="ME44" s="32"/>
      <c r="MF44" s="32"/>
      <c r="MG44" s="32"/>
      <c r="MH44" s="32"/>
      <c r="MI44" s="39"/>
      <c r="MJ44" s="39"/>
      <c r="MK44" s="39"/>
      <c r="ML44" s="39"/>
      <c r="MM44" s="9"/>
      <c r="MN44" s="9"/>
      <c r="MO44" s="9"/>
      <c r="MP44" s="74"/>
      <c r="MW44" s="72"/>
      <c r="MX44" s="62" t="s">
        <v>101</v>
      </c>
      <c r="MY44" s="63">
        <f>MY27-MY26</f>
        <v>7.7594290232759988E-2</v>
      </c>
      <c r="MZ44" s="63">
        <f t="shared" si="255"/>
        <v>6.8556667393542603E-2</v>
      </c>
      <c r="NA44" s="63">
        <f t="shared" si="255"/>
        <v>6.4620355662119877E-2</v>
      </c>
      <c r="NB44" s="63">
        <f t="shared" si="255"/>
        <v>6.117688043190006E-2</v>
      </c>
      <c r="NC44" s="63">
        <f t="shared" si="255"/>
        <v>6.4791846863999858E-2</v>
      </c>
      <c r="ND44" s="63">
        <f t="shared" si="255"/>
        <v>5.8472204107542947E-2</v>
      </c>
      <c r="NE44" s="63">
        <f t="shared" si="255"/>
        <v>7.4610614167599953E-2</v>
      </c>
      <c r="NF44" s="63">
        <f t="shared" si="255"/>
        <v>5.8600912389685678E-2</v>
      </c>
      <c r="NG44" s="63">
        <f t="shared" si="255"/>
        <v>7.6899864762857151E-2</v>
      </c>
      <c r="NH44" s="63">
        <f t="shared" si="255"/>
        <v>7.1891228773799831E-2</v>
      </c>
      <c r="NI44" s="63">
        <f>NI27-NI26</f>
        <v>6.2388948189000093E-2</v>
      </c>
      <c r="NT44" s="67">
        <v>0.75</v>
      </c>
      <c r="NU44" s="7">
        <v>0.65759178322079992</v>
      </c>
      <c r="NV44" s="68">
        <v>26</v>
      </c>
      <c r="NW44" s="69">
        <f t="shared" si="235"/>
        <v>2.5291991662338458E-2</v>
      </c>
      <c r="NX44" s="69"/>
      <c r="NY44" s="7">
        <v>2.5291991662338458E-2</v>
      </c>
      <c r="NZ44" s="11"/>
      <c r="OG44" s="32"/>
      <c r="OH44" s="32"/>
      <c r="OJ44" t="s">
        <v>81</v>
      </c>
      <c r="OS44" s="67">
        <v>0.75</v>
      </c>
      <c r="OT44" s="7">
        <v>0.20611482382199997</v>
      </c>
      <c r="OU44" s="84">
        <f t="shared" si="228"/>
        <v>9</v>
      </c>
      <c r="OV44" s="69">
        <f t="shared" si="236"/>
        <v>2.290164709133333E-2</v>
      </c>
      <c r="OW44" s="69"/>
      <c r="OX44" s="10">
        <v>2.290164709133333E-2</v>
      </c>
      <c r="OY44" s="11"/>
    </row>
    <row r="45" spans="2:424" x14ac:dyDescent="0.25">
      <c r="B45" s="48">
        <v>43004</v>
      </c>
      <c r="C45" s="214">
        <v>19387038.970799997</v>
      </c>
      <c r="D45" s="214">
        <v>14781213</v>
      </c>
      <c r="E45" s="215">
        <v>10000000</v>
      </c>
      <c r="F45" s="215"/>
      <c r="G45" s="215"/>
      <c r="H45" s="215"/>
      <c r="I45" s="41">
        <v>43179</v>
      </c>
      <c r="J45" s="212">
        <v>12896279.4564</v>
      </c>
      <c r="K45" s="212">
        <f t="shared" si="18"/>
        <v>903023807.96519971</v>
      </c>
      <c r="M45" s="41">
        <v>43543</v>
      </c>
      <c r="N45" s="212">
        <v>56829006.111599997</v>
      </c>
      <c r="O45" s="212">
        <f t="shared" si="19"/>
        <v>852103033.90199995</v>
      </c>
      <c r="Q45" s="41">
        <v>43907</v>
      </c>
      <c r="R45" s="212">
        <v>20962143.068399999</v>
      </c>
      <c r="S45" s="212">
        <f t="shared" si="20"/>
        <v>745749646.84439981</v>
      </c>
      <c r="U45" s="41">
        <v>44278</v>
      </c>
      <c r="V45" s="212">
        <v>15634119.657599999</v>
      </c>
      <c r="W45" s="212">
        <f t="shared" si="21"/>
        <v>836467547.75279999</v>
      </c>
      <c r="Y45" s="41">
        <v>44642</v>
      </c>
      <c r="Z45" s="212">
        <v>19871642.264399998</v>
      </c>
      <c r="AA45" s="212">
        <f t="shared" ref="AA45:AA59" si="261">Z45+AA44</f>
        <v>895657444.08479989</v>
      </c>
      <c r="AC45" s="32">
        <v>38</v>
      </c>
      <c r="AD45" s="39">
        <f t="shared" si="0"/>
        <v>0.90302380796519965</v>
      </c>
      <c r="AE45" s="39">
        <f t="shared" si="1"/>
        <v>0.85210303390199993</v>
      </c>
      <c r="AF45" s="39">
        <f t="shared" si="2"/>
        <v>0.74574964684439982</v>
      </c>
      <c r="AG45" s="39">
        <f t="shared" si="3"/>
        <v>0.83646754775279997</v>
      </c>
      <c r="AH45" s="39">
        <f t="shared" si="4"/>
        <v>0.89565744408479986</v>
      </c>
      <c r="AI45" s="39">
        <f t="shared" si="23"/>
        <v>1.0572981235800303</v>
      </c>
      <c r="AJ45" s="9"/>
      <c r="AK45" s="9"/>
      <c r="AL45" s="9"/>
      <c r="AM45" s="74"/>
      <c r="AT45" s="72"/>
      <c r="AU45" s="62" t="s">
        <v>101</v>
      </c>
      <c r="AV45" s="63">
        <f t="shared" si="256"/>
        <v>0.10461649368839998</v>
      </c>
      <c r="AW45" s="63">
        <f t="shared" si="256"/>
        <v>8.9043488596131759E-2</v>
      </c>
      <c r="AX45" s="63">
        <f t="shared" si="256"/>
        <v>8.3771580358387832E-2</v>
      </c>
      <c r="AY45" s="63">
        <f t="shared" si="256"/>
        <v>9.7586576491896393E-2</v>
      </c>
      <c r="AZ45" s="63">
        <f t="shared" si="256"/>
        <v>0.10768021865915989</v>
      </c>
      <c r="BA45" s="63">
        <f>BA28-BA27</f>
        <v>0.15015471876863296</v>
      </c>
      <c r="BB45" s="63">
        <f t="shared" si="256"/>
        <v>9.5838182198935362E-2</v>
      </c>
      <c r="BM45" s="41">
        <f t="shared" si="60"/>
        <v>44642</v>
      </c>
      <c r="BN45" s="9">
        <f t="shared" si="5"/>
        <v>0.89565744408479986</v>
      </c>
      <c r="BO45" s="9">
        <f t="shared" si="237"/>
        <v>0.60922378524155707</v>
      </c>
      <c r="BP45" s="9">
        <f t="shared" si="237"/>
        <v>0.6924792471466924</v>
      </c>
      <c r="BQ45" s="9">
        <f t="shared" si="237"/>
        <v>0.73886166939518083</v>
      </c>
      <c r="BR45" s="9">
        <f t="shared" si="237"/>
        <v>0.76759425810337856</v>
      </c>
      <c r="BS45" s="9">
        <f t="shared" si="237"/>
        <v>0.82117823263842149</v>
      </c>
      <c r="BT45" s="9">
        <f t="shared" si="237"/>
        <v>0.89185268646591309</v>
      </c>
      <c r="BU45" s="9">
        <f t="shared" si="237"/>
        <v>0.97054207702453077</v>
      </c>
      <c r="BV45" s="9">
        <f t="shared" si="237"/>
        <v>1.0533759689953528</v>
      </c>
      <c r="BW45" s="9">
        <f t="shared" si="237"/>
        <v>1.1067979026820378</v>
      </c>
      <c r="BX45" s="9">
        <f t="shared" si="237"/>
        <v>1.2162638571031203</v>
      </c>
      <c r="BY45" s="9">
        <f t="shared" si="237"/>
        <v>1.5011363042334001</v>
      </c>
      <c r="BZ45" s="32"/>
      <c r="CA45" s="32"/>
      <c r="CL45" s="41">
        <f t="shared" si="61"/>
        <v>45006</v>
      </c>
      <c r="CM45" s="76">
        <v>0.8067648960380015</v>
      </c>
      <c r="CN45" s="9">
        <f t="shared" si="238"/>
        <v>0.6779527542057403</v>
      </c>
      <c r="CO45" s="9">
        <f t="shared" si="238"/>
        <v>0.7719017257013564</v>
      </c>
      <c r="CP45" s="9">
        <f t="shared" si="238"/>
        <v>0.84068875120266229</v>
      </c>
      <c r="CQ45" s="9">
        <f t="shared" si="238"/>
        <v>0.87700958136684393</v>
      </c>
      <c r="CR45" s="9">
        <f t="shared" si="238"/>
        <v>0.9532449520886086</v>
      </c>
      <c r="CS45" s="9">
        <f t="shared" si="238"/>
        <v>1.0582915486248197</v>
      </c>
      <c r="CT45" s="9">
        <f t="shared" si="238"/>
        <v>1.1752202821491422</v>
      </c>
      <c r="CU45" s="9">
        <f t="shared" si="238"/>
        <v>1.3027890423789583</v>
      </c>
      <c r="CV45" s="9">
        <f t="shared" si="238"/>
        <v>1.3881670011729137</v>
      </c>
      <c r="CW45" s="9">
        <f t="shared" si="238"/>
        <v>1.5610943212665445</v>
      </c>
      <c r="CX45" s="9">
        <f t="shared" si="238"/>
        <v>1.9382271566855989</v>
      </c>
      <c r="CY45" s="32"/>
      <c r="CZ45" s="32"/>
      <c r="DA45" s="32">
        <f t="shared" si="26"/>
        <v>0.8067648960380015</v>
      </c>
      <c r="DB45" s="32">
        <v>806764896.03800154</v>
      </c>
      <c r="DC45" s="32"/>
      <c r="DD45" s="41">
        <v>45370</v>
      </c>
      <c r="DE45" s="76">
        <v>1.1119433819259756</v>
      </c>
      <c r="DF45" s="9">
        <f t="shared" ref="DF45:DP45" si="262">DF44+DF$2</f>
        <v>0.67203734395418935</v>
      </c>
      <c r="DG45" s="9">
        <f t="shared" si="262"/>
        <v>0.74848323472011713</v>
      </c>
      <c r="DH45" s="9">
        <f t="shared" si="262"/>
        <v>0.79557497802416888</v>
      </c>
      <c r="DI45" s="9">
        <f t="shared" si="262"/>
        <v>0.82737009541453055</v>
      </c>
      <c r="DJ45" s="9">
        <f t="shared" si="262"/>
        <v>0.88873651464364278</v>
      </c>
      <c r="DK45" s="9">
        <f t="shared" si="262"/>
        <v>0.97008106984494946</v>
      </c>
      <c r="DL45" s="9">
        <f t="shared" si="262"/>
        <v>1.071723303158882</v>
      </c>
      <c r="DM45" s="9">
        <f t="shared" si="262"/>
        <v>1.1814746370743889</v>
      </c>
      <c r="DN45" s="9">
        <f t="shared" si="262"/>
        <v>1.2477563341786206</v>
      </c>
      <c r="DO45" s="9">
        <f t="shared" si="262"/>
        <v>1.3945526712237741</v>
      </c>
      <c r="DP45" s="9">
        <f t="shared" si="262"/>
        <v>1.747551194852796</v>
      </c>
      <c r="DQ45" s="32"/>
      <c r="DR45" s="32"/>
      <c r="DS45" s="32">
        <f t="shared" si="28"/>
        <v>0.8067648960380015</v>
      </c>
      <c r="DT45" s="32">
        <v>806764896.03800154</v>
      </c>
      <c r="DU45" s="32"/>
      <c r="EF45" s="32"/>
      <c r="EG45" s="41">
        <v>45734</v>
      </c>
      <c r="EH45" s="76">
        <v>1.1610167525215407</v>
      </c>
      <c r="EI45" s="9">
        <f t="shared" ref="EI45:ES45" si="263">EI44+EI$2</f>
        <v>0.77103199030259328</v>
      </c>
      <c r="EJ45" s="9">
        <f t="shared" si="263"/>
        <v>0.83676187148240055</v>
      </c>
      <c r="EK45" s="9">
        <f t="shared" si="263"/>
        <v>0.89399324211475462</v>
      </c>
      <c r="EL45" s="9">
        <f t="shared" si="263"/>
        <v>0.93136830167540685</v>
      </c>
      <c r="EM45" s="9">
        <f t="shared" si="263"/>
        <v>1.0003756626437559</v>
      </c>
      <c r="EN45" s="9">
        <f t="shared" si="263"/>
        <v>1.0960154751742988</v>
      </c>
      <c r="EO45" s="9">
        <f t="shared" si="263"/>
        <v>1.2073240159488992</v>
      </c>
      <c r="EP45" s="9">
        <f t="shared" si="263"/>
        <v>1.3262821205271142</v>
      </c>
      <c r="EQ45" s="9">
        <f t="shared" si="263"/>
        <v>1.3975482718484857</v>
      </c>
      <c r="ER45" s="9">
        <f t="shared" si="263"/>
        <v>1.55393761558587</v>
      </c>
      <c r="ES45" s="9">
        <f t="shared" si="263"/>
        <v>1.874724167610101</v>
      </c>
      <c r="ET45" s="32"/>
      <c r="EU45" s="32"/>
      <c r="EV45" s="32">
        <f t="shared" si="30"/>
        <v>0.8067648960380015</v>
      </c>
      <c r="EW45" s="32">
        <v>806764896.03800154</v>
      </c>
      <c r="EX45" s="32"/>
      <c r="FG45" s="32"/>
      <c r="FH45" s="32"/>
      <c r="FI45" s="41">
        <v>46098</v>
      </c>
      <c r="FJ45" s="76">
        <v>0.87349901172523681</v>
      </c>
      <c r="FK45" s="9">
        <f t="shared" ref="FK45:FU45" si="264">FK44+FK$2</f>
        <v>0.77103199030259328</v>
      </c>
      <c r="FL45" s="9">
        <f t="shared" si="264"/>
        <v>0.83676187148240055</v>
      </c>
      <c r="FM45" s="9">
        <f t="shared" si="264"/>
        <v>0.89399324211475462</v>
      </c>
      <c r="FN45" s="9">
        <f t="shared" si="264"/>
        <v>0.93136830167540685</v>
      </c>
      <c r="FO45" s="9">
        <f t="shared" si="264"/>
        <v>1.0003756626437559</v>
      </c>
      <c r="FP45" s="9">
        <f t="shared" si="264"/>
        <v>1.0960154751742988</v>
      </c>
      <c r="FQ45" s="9">
        <f t="shared" si="264"/>
        <v>1.2073240159488992</v>
      </c>
      <c r="FR45" s="9">
        <f t="shared" si="264"/>
        <v>1.3262821205271142</v>
      </c>
      <c r="FS45" s="9">
        <f t="shared" si="264"/>
        <v>1.3975482718484857</v>
      </c>
      <c r="FT45" s="9">
        <f t="shared" si="264"/>
        <v>1.55393761558587</v>
      </c>
      <c r="FU45" s="9">
        <f t="shared" si="264"/>
        <v>1.874724167610101</v>
      </c>
      <c r="FV45" s="32"/>
      <c r="FW45" s="32"/>
      <c r="FX45" s="32">
        <f t="shared" si="32"/>
        <v>0.8067648960380015</v>
      </c>
      <c r="FY45" s="32">
        <v>806764896.03800154</v>
      </c>
      <c r="FZ45" s="32"/>
      <c r="GI45" s="32"/>
      <c r="GJ45" s="41"/>
      <c r="GK45" s="76"/>
      <c r="GL45" s="9">
        <f t="shared" ref="GL45:GV45" si="265">GL44+GL$2</f>
        <v>0.63634660570011881</v>
      </c>
      <c r="GM45" s="9">
        <f t="shared" si="265"/>
        <v>0.73261912926711459</v>
      </c>
      <c r="GN45" s="9">
        <f t="shared" si="265"/>
        <v>0.78765346109668666</v>
      </c>
      <c r="GO45" s="9">
        <f t="shared" si="265"/>
        <v>0.818741402855237</v>
      </c>
      <c r="GP45" s="9">
        <f t="shared" si="265"/>
        <v>0.88312839106129981</v>
      </c>
      <c r="GQ45" s="9">
        <f t="shared" si="265"/>
        <v>0.98976484462522007</v>
      </c>
      <c r="GR45" s="9">
        <f t="shared" si="265"/>
        <v>1.1282354164558799</v>
      </c>
      <c r="GS45" s="9">
        <f t="shared" si="265"/>
        <v>1.29090894928595</v>
      </c>
      <c r="GT45" s="9">
        <f t="shared" si="265"/>
        <v>1.4206941993185078</v>
      </c>
      <c r="GU45" s="9">
        <f t="shared" si="265"/>
        <v>1.6668039721496666</v>
      </c>
      <c r="GV45" s="9">
        <f t="shared" si="265"/>
        <v>2.1663955500363619</v>
      </c>
      <c r="GW45" s="32"/>
      <c r="GX45" s="32"/>
      <c r="GY45" s="32">
        <f t="shared" si="34"/>
        <v>0.8067648960380015</v>
      </c>
      <c r="GZ45" s="32">
        <v>806764896.03800154</v>
      </c>
      <c r="HA45" s="32"/>
      <c r="HB45" s="41"/>
      <c r="HC45" s="76"/>
      <c r="HD45" s="9"/>
      <c r="HE45" s="9"/>
      <c r="HF45" s="9"/>
      <c r="HG45" s="9"/>
      <c r="HH45" s="9"/>
      <c r="HI45" s="9"/>
      <c r="HJ45" s="9"/>
      <c r="HK45" s="9"/>
      <c r="HL45" s="9"/>
      <c r="HM45" s="9"/>
      <c r="HN45" s="9"/>
      <c r="HO45" s="32"/>
      <c r="HP45" s="32"/>
      <c r="HQ45" s="32"/>
      <c r="HR45" s="32"/>
      <c r="IC45" s="41">
        <f t="shared" si="67"/>
        <v>45006</v>
      </c>
      <c r="ID45" s="9"/>
      <c r="IE45" s="9">
        <f t="shared" si="214"/>
        <v>0.79027931851750177</v>
      </c>
      <c r="IF45" s="9">
        <f t="shared" si="214"/>
        <v>0.80841138310327698</v>
      </c>
      <c r="IG45" s="9">
        <f t="shared" si="214"/>
        <v>0.82527549115762722</v>
      </c>
      <c r="IH45" s="9">
        <f t="shared" si="214"/>
        <v>0.83450418663394665</v>
      </c>
      <c r="II45" s="9">
        <f t="shared" si="214"/>
        <v>0.85331398410748038</v>
      </c>
      <c r="IJ45" s="9">
        <f t="shared" si="214"/>
        <v>0.88055366678370672</v>
      </c>
      <c r="IK45" s="9">
        <f t="shared" si="214"/>
        <v>0.91516568504188023</v>
      </c>
      <c r="IL45" s="9">
        <f t="shared" si="214"/>
        <v>0.95473363048510596</v>
      </c>
      <c r="IM45" s="9">
        <f t="shared" si="214"/>
        <v>0.98104697383812789</v>
      </c>
      <c r="IN45" s="9">
        <f t="shared" si="214"/>
        <v>1.043825653529411</v>
      </c>
      <c r="IO45" s="9">
        <f t="shared" si="214"/>
        <v>1.1191080148873058</v>
      </c>
      <c r="IP45" s="32"/>
      <c r="IQ45" s="32"/>
      <c r="JB45" s="41">
        <f t="shared" si="13"/>
        <v>44642</v>
      </c>
      <c r="JC45" s="9">
        <f t="shared" si="14"/>
        <v>0.89565744408479986</v>
      </c>
      <c r="JD45" s="9"/>
      <c r="JE45" s="9"/>
      <c r="JF45" s="9"/>
      <c r="JG45" s="9"/>
      <c r="JH45" s="9"/>
      <c r="JI45" s="9"/>
      <c r="JJ45" s="9"/>
      <c r="JK45" s="9"/>
      <c r="JL45" s="9"/>
      <c r="JM45" s="9"/>
      <c r="JN45" s="9"/>
      <c r="JO45" s="9"/>
      <c r="JZ45" s="41">
        <f t="shared" si="234"/>
        <v>44642</v>
      </c>
      <c r="KA45" s="9">
        <f t="shared" si="37"/>
        <v>0.89565744408479986</v>
      </c>
      <c r="KB45" s="9"/>
      <c r="KC45" s="9"/>
      <c r="KP45" s="212"/>
      <c r="KR45" s="41"/>
      <c r="KS45" s="212"/>
      <c r="KT45" s="212"/>
      <c r="KV45" s="41"/>
      <c r="KW45" s="212"/>
      <c r="KX45" s="212"/>
      <c r="KZ45" s="41"/>
      <c r="LA45" s="212"/>
      <c r="LB45" s="212"/>
      <c r="LD45" s="41"/>
      <c r="LE45" s="212"/>
      <c r="LF45" s="212"/>
      <c r="LL45" s="41"/>
      <c r="LM45" s="212"/>
      <c r="LN45" s="212"/>
      <c r="LT45" s="41"/>
      <c r="LU45" s="212"/>
      <c r="MB45" s="32"/>
      <c r="MC45" s="32"/>
      <c r="MD45" s="32"/>
      <c r="ME45" s="32"/>
      <c r="MF45" s="32"/>
      <c r="MG45" s="32"/>
      <c r="MH45" s="32"/>
      <c r="MI45" s="39"/>
      <c r="MJ45" s="39"/>
      <c r="MK45" s="39"/>
      <c r="ML45" s="39"/>
      <c r="MM45" s="9"/>
      <c r="MN45" s="9"/>
      <c r="MO45" s="9"/>
      <c r="MP45" s="74"/>
      <c r="MW45" s="72"/>
      <c r="MX45" s="62" t="s">
        <v>102</v>
      </c>
      <c r="MY45" s="63">
        <f>MY31-MY27</f>
        <v>0.56952013947053981</v>
      </c>
      <c r="MZ45" s="63">
        <f t="shared" ref="MZ45:NH45" si="266">MZ31-MZ27</f>
        <v>0.53949669631062869</v>
      </c>
      <c r="NA45" s="63">
        <f t="shared" si="266"/>
        <v>0.47578577079260609</v>
      </c>
      <c r="NB45" s="63">
        <f t="shared" si="266"/>
        <v>0.44348292687599988</v>
      </c>
      <c r="NC45" s="63">
        <f t="shared" si="266"/>
        <v>0.43254284886349692</v>
      </c>
      <c r="ND45" s="63">
        <f t="shared" si="266"/>
        <v>0.46389032604469282</v>
      </c>
      <c r="NE45" s="63">
        <f t="shared" si="266"/>
        <v>0.5020702696235998</v>
      </c>
      <c r="NF45" s="63">
        <f t="shared" si="266"/>
        <v>0.42117885629622831</v>
      </c>
      <c r="NG45" s="63">
        <f t="shared" si="266"/>
        <v>0.55302137502222803</v>
      </c>
      <c r="NH45" s="63">
        <f t="shared" si="266"/>
        <v>0.45113546993699993</v>
      </c>
      <c r="NI45" s="63">
        <f>NI31-NI27</f>
        <v>0.51184697484359987</v>
      </c>
      <c r="NK45" t="s">
        <v>81</v>
      </c>
      <c r="NT45" s="67">
        <v>0.9</v>
      </c>
      <c r="NU45" s="7">
        <v>0.74121693201293992</v>
      </c>
      <c r="NV45" s="68">
        <v>26</v>
      </c>
      <c r="NW45" s="69">
        <f t="shared" si="235"/>
        <v>2.8508343538959226E-2</v>
      </c>
      <c r="NX45" s="69"/>
      <c r="NY45" s="7">
        <v>2.8508343538959226E-2</v>
      </c>
      <c r="NZ45" s="11"/>
      <c r="OG45" s="32"/>
      <c r="OH45" s="32"/>
      <c r="OS45" s="67">
        <v>0.9</v>
      </c>
      <c r="OT45" s="7">
        <v>0.23685312811079998</v>
      </c>
      <c r="OU45" s="84">
        <f t="shared" si="228"/>
        <v>9</v>
      </c>
      <c r="OV45" s="69">
        <f t="shared" si="236"/>
        <v>2.631701423453333E-2</v>
      </c>
      <c r="OW45" s="69"/>
      <c r="OX45" s="10">
        <v>2.631701423453333E-2</v>
      </c>
      <c r="OY45" s="11"/>
    </row>
    <row r="46" spans="2:424" x14ac:dyDescent="0.25">
      <c r="B46" s="48">
        <v>43011</v>
      </c>
      <c r="C46" s="214">
        <v>22935492.763199996</v>
      </c>
      <c r="D46" s="214">
        <v>17486652</v>
      </c>
      <c r="E46" s="215">
        <v>15000000</v>
      </c>
      <c r="F46" s="215"/>
      <c r="G46" s="215"/>
      <c r="H46" s="215"/>
      <c r="I46" s="41">
        <v>43186</v>
      </c>
      <c r="J46" s="212">
        <v>20278117.713599999</v>
      </c>
      <c r="K46" s="212">
        <f t="shared" si="18"/>
        <v>923301925.67879975</v>
      </c>
      <c r="M46" s="41">
        <v>43550</v>
      </c>
      <c r="N46" s="212">
        <v>81933942.985199988</v>
      </c>
      <c r="O46" s="212">
        <f t="shared" si="19"/>
        <v>934036976.88719988</v>
      </c>
      <c r="Q46" s="41">
        <v>43914</v>
      </c>
      <c r="R46" s="212">
        <v>11302632.0396</v>
      </c>
      <c r="S46" s="212">
        <f t="shared" si="20"/>
        <v>757052278.88399982</v>
      </c>
      <c r="U46" s="41">
        <v>44285</v>
      </c>
      <c r="V46" s="212">
        <v>25531076.584799998</v>
      </c>
      <c r="W46" s="212">
        <f t="shared" si="21"/>
        <v>861998624.33759999</v>
      </c>
      <c r="Y46" s="41">
        <v>44649</v>
      </c>
      <c r="Z46" s="212">
        <v>12808375.282799998</v>
      </c>
      <c r="AA46" s="212">
        <f t="shared" si="261"/>
        <v>908465819.36759984</v>
      </c>
      <c r="AC46" s="32">
        <v>39</v>
      </c>
      <c r="AD46" s="39">
        <f t="shared" si="0"/>
        <v>0.92330192567879976</v>
      </c>
      <c r="AE46" s="39">
        <f t="shared" si="1"/>
        <v>0.93403697688719989</v>
      </c>
      <c r="AF46" s="39">
        <f t="shared" si="2"/>
        <v>0.75705227888399984</v>
      </c>
      <c r="AG46" s="39">
        <f t="shared" si="3"/>
        <v>0.86199862433759999</v>
      </c>
      <c r="AH46" s="39">
        <f t="shared" si="4"/>
        <v>0.90846581936759985</v>
      </c>
      <c r="AI46" s="39">
        <f t="shared" si="23"/>
        <v>1.0851217584110837</v>
      </c>
      <c r="AJ46" s="9"/>
      <c r="AK46" s="9"/>
      <c r="AL46" s="9"/>
      <c r="AM46" s="74"/>
      <c r="AN46" t="s">
        <v>81</v>
      </c>
      <c r="AQ46" s="74"/>
      <c r="AR46" s="74"/>
      <c r="AT46" s="72"/>
      <c r="AU46" s="62" t="s">
        <v>102</v>
      </c>
      <c r="AV46" s="63">
        <f t="shared" ref="AV46:BB46" si="267">AV32-AV28</f>
        <v>0.61498326584182283</v>
      </c>
      <c r="AW46" s="63">
        <f t="shared" si="267"/>
        <v>0.64848937919335903</v>
      </c>
      <c r="AX46" s="63">
        <f t="shared" si="267"/>
        <v>0.48421785895236225</v>
      </c>
      <c r="AY46" s="63">
        <f t="shared" si="267"/>
        <v>0.57251034606713525</v>
      </c>
      <c r="AZ46" s="63">
        <f t="shared" si="267"/>
        <v>0.72607631091740066</v>
      </c>
      <c r="BA46" s="63">
        <f>BA32-BA28</f>
        <v>0.95326646808307336</v>
      </c>
      <c r="BB46" s="63">
        <f t="shared" si="267"/>
        <v>0.56219754653310328</v>
      </c>
      <c r="BD46" t="s">
        <v>81</v>
      </c>
      <c r="BM46" s="41">
        <f t="shared" si="60"/>
        <v>44649</v>
      </c>
      <c r="BN46" s="9">
        <f t="shared" si="5"/>
        <v>0.90846581936759985</v>
      </c>
      <c r="BO46" s="9">
        <f t="shared" si="237"/>
        <v>0.62525599011633493</v>
      </c>
      <c r="BP46" s="9">
        <f t="shared" si="237"/>
        <v>0.71070238522950013</v>
      </c>
      <c r="BQ46" s="9">
        <f t="shared" si="237"/>
        <v>0.75830539753715931</v>
      </c>
      <c r="BR46" s="9">
        <f t="shared" si="237"/>
        <v>0.78779410700083585</v>
      </c>
      <c r="BS46" s="9">
        <f t="shared" si="237"/>
        <v>0.84278818612890627</v>
      </c>
      <c r="BT46" s="9">
        <f t="shared" si="237"/>
        <v>0.91532249400448973</v>
      </c>
      <c r="BU46" s="9">
        <f t="shared" si="237"/>
        <v>0.99608265799886053</v>
      </c>
      <c r="BV46" s="9">
        <f t="shared" si="237"/>
        <v>1.0810963892320726</v>
      </c>
      <c r="BW46" s="9">
        <f t="shared" si="237"/>
        <v>1.1359241632789336</v>
      </c>
      <c r="BX46" s="9">
        <f t="shared" si="237"/>
        <v>1.2482708007110972</v>
      </c>
      <c r="BY46" s="9">
        <f t="shared" si="237"/>
        <v>1.5406398911869106</v>
      </c>
      <c r="BZ46" s="32"/>
      <c r="CA46" s="32"/>
      <c r="CL46" s="41">
        <f t="shared" si="61"/>
        <v>45013</v>
      </c>
      <c r="CM46" s="76">
        <v>0.82797384641157512</v>
      </c>
      <c r="CN46" s="9">
        <f t="shared" si="238"/>
        <v>0.69579361615852298</v>
      </c>
      <c r="CO46" s="9">
        <f t="shared" si="238"/>
        <v>0.79221492900928681</v>
      </c>
      <c r="CP46" s="9">
        <f t="shared" si="238"/>
        <v>0.86281213939220602</v>
      </c>
      <c r="CQ46" s="9">
        <f t="shared" si="238"/>
        <v>0.90008878087649768</v>
      </c>
      <c r="CR46" s="9">
        <f t="shared" si="238"/>
        <v>0.97833034556462461</v>
      </c>
      <c r="CS46" s="9">
        <f t="shared" si="238"/>
        <v>1.0861413262202098</v>
      </c>
      <c r="CT46" s="9">
        <f t="shared" si="238"/>
        <v>1.2061471316793828</v>
      </c>
      <c r="CU46" s="9">
        <f t="shared" si="238"/>
        <v>1.3370729645468256</v>
      </c>
      <c r="CV46" s="9">
        <f t="shared" si="238"/>
        <v>1.4246977117300956</v>
      </c>
      <c r="CW46" s="9">
        <f t="shared" si="238"/>
        <v>1.6021757507735588</v>
      </c>
      <c r="CX46" s="9">
        <f t="shared" si="238"/>
        <v>1.9892331344931147</v>
      </c>
      <c r="CY46" s="32"/>
      <c r="CZ46" s="32"/>
      <c r="DA46" s="32">
        <f t="shared" si="26"/>
        <v>0.82797384641157512</v>
      </c>
      <c r="DB46" s="32">
        <v>827973846.41157508</v>
      </c>
      <c r="DC46" s="32"/>
      <c r="DD46" s="41">
        <v>45377</v>
      </c>
      <c r="DE46" s="76">
        <v>1.1513204716126122</v>
      </c>
      <c r="DF46" s="9">
        <f t="shared" ref="DF46:DP46" si="268">DF45+DF$2</f>
        <v>0.68972253721614174</v>
      </c>
      <c r="DG46" s="9">
        <f t="shared" si="268"/>
        <v>0.76818016194959393</v>
      </c>
      <c r="DH46" s="9">
        <f t="shared" si="268"/>
        <v>0.81651116165638382</v>
      </c>
      <c r="DI46" s="9">
        <f t="shared" si="268"/>
        <v>0.84914299266228133</v>
      </c>
      <c r="DJ46" s="9">
        <f t="shared" si="268"/>
        <v>0.91212431766058077</v>
      </c>
      <c r="DK46" s="9">
        <f t="shared" si="268"/>
        <v>0.9956095190513955</v>
      </c>
      <c r="DL46" s="9">
        <f t="shared" si="268"/>
        <v>1.0999265479788525</v>
      </c>
      <c r="DM46" s="9">
        <f t="shared" si="268"/>
        <v>1.2125660748921361</v>
      </c>
      <c r="DN46" s="9">
        <f t="shared" si="268"/>
        <v>1.2805920271833211</v>
      </c>
      <c r="DO46" s="9">
        <f t="shared" si="268"/>
        <v>1.4312514257296629</v>
      </c>
      <c r="DP46" s="9">
        <f t="shared" si="268"/>
        <v>1.7935393841910274</v>
      </c>
      <c r="DQ46" s="32"/>
      <c r="DR46" s="32"/>
      <c r="DS46" s="32">
        <f t="shared" si="28"/>
        <v>0.82797384641157512</v>
      </c>
      <c r="DT46" s="32">
        <v>827973846.41157508</v>
      </c>
      <c r="DU46" s="32"/>
      <c r="EF46" s="32"/>
      <c r="EG46" s="41">
        <v>45741</v>
      </c>
      <c r="EH46" s="76">
        <v>1.1921940346257449</v>
      </c>
      <c r="EI46" s="9">
        <f t="shared" ref="EI46:ES46" si="269">EI45+EI$2</f>
        <v>0.79132230583687202</v>
      </c>
      <c r="EJ46" s="9">
        <f t="shared" si="269"/>
        <v>0.85878192073193738</v>
      </c>
      <c r="EK46" s="9">
        <f t="shared" si="269"/>
        <v>0.91751938006514289</v>
      </c>
      <c r="EL46" s="9">
        <f t="shared" si="269"/>
        <v>0.95587799382475969</v>
      </c>
      <c r="EM46" s="9">
        <f t="shared" si="269"/>
        <v>1.0267013379764862</v>
      </c>
      <c r="EN46" s="9">
        <f t="shared" si="269"/>
        <v>1.1248579876788856</v>
      </c>
      <c r="EO46" s="9">
        <f t="shared" si="269"/>
        <v>1.2390957005791334</v>
      </c>
      <c r="EP46" s="9">
        <f t="shared" si="269"/>
        <v>1.3611842815936173</v>
      </c>
      <c r="EQ46" s="9">
        <f t="shared" si="269"/>
        <v>1.4343258579497618</v>
      </c>
      <c r="ER46" s="9">
        <f t="shared" si="269"/>
        <v>1.5948307107328665</v>
      </c>
      <c r="ES46" s="9">
        <f t="shared" si="269"/>
        <v>1.9240590141261562</v>
      </c>
      <c r="ET46" s="32"/>
      <c r="EU46" s="32"/>
      <c r="EV46" s="32">
        <f t="shared" si="30"/>
        <v>0.82797384641157512</v>
      </c>
      <c r="EW46" s="32">
        <v>827973846.41157508</v>
      </c>
      <c r="EX46" s="32"/>
      <c r="FG46" s="32"/>
      <c r="FH46" s="32"/>
      <c r="FI46" s="41">
        <v>46105</v>
      </c>
      <c r="FJ46" s="76">
        <v>0.88768345205977128</v>
      </c>
      <c r="FK46" s="9">
        <f t="shared" ref="FK46:FU46" si="270">FK45+FK$2</f>
        <v>0.79132230583687202</v>
      </c>
      <c r="FL46" s="9">
        <f t="shared" si="270"/>
        <v>0.85878192073193738</v>
      </c>
      <c r="FM46" s="9">
        <f t="shared" si="270"/>
        <v>0.91751938006514289</v>
      </c>
      <c r="FN46" s="9">
        <f t="shared" si="270"/>
        <v>0.95587799382475969</v>
      </c>
      <c r="FO46" s="9">
        <f t="shared" si="270"/>
        <v>1.0267013379764862</v>
      </c>
      <c r="FP46" s="9">
        <f t="shared" si="270"/>
        <v>1.1248579876788856</v>
      </c>
      <c r="FQ46" s="9">
        <f t="shared" si="270"/>
        <v>1.2390957005791334</v>
      </c>
      <c r="FR46" s="9">
        <f t="shared" si="270"/>
        <v>1.3611842815936173</v>
      </c>
      <c r="FS46" s="9">
        <f t="shared" si="270"/>
        <v>1.4343258579497618</v>
      </c>
      <c r="FT46" s="9">
        <f t="shared" si="270"/>
        <v>1.5948307107328665</v>
      </c>
      <c r="FU46" s="9">
        <f t="shared" si="270"/>
        <v>1.9240590141261562</v>
      </c>
      <c r="FV46" s="32"/>
      <c r="FW46" s="32"/>
      <c r="FX46" s="32">
        <f t="shared" si="32"/>
        <v>0.82797384641157512</v>
      </c>
      <c r="FY46" s="32">
        <v>827973846.41157508</v>
      </c>
      <c r="FZ46" s="32"/>
      <c r="GI46" s="32"/>
      <c r="GJ46" s="41"/>
      <c r="GK46" s="76"/>
      <c r="GL46" s="9">
        <f t="shared" ref="GL46:GV46" si="271">GL45+GL$2</f>
        <v>0.65309256900801671</v>
      </c>
      <c r="GM46" s="9">
        <f t="shared" si="271"/>
        <v>0.75189858003730181</v>
      </c>
      <c r="GN46" s="9">
        <f t="shared" si="271"/>
        <v>0.80838118375712575</v>
      </c>
      <c r="GO46" s="9">
        <f t="shared" si="271"/>
        <v>0.84028722924616428</v>
      </c>
      <c r="GP46" s="9">
        <f t="shared" si="271"/>
        <v>0.90636861187870243</v>
      </c>
      <c r="GQ46" s="9">
        <f t="shared" si="271"/>
        <v>1.0158112879048311</v>
      </c>
      <c r="GR46" s="9">
        <f t="shared" si="271"/>
        <v>1.1579258221520872</v>
      </c>
      <c r="GS46" s="9">
        <f t="shared" si="271"/>
        <v>1.3248802374250539</v>
      </c>
      <c r="GT46" s="9">
        <f t="shared" si="271"/>
        <v>1.458080888774258</v>
      </c>
      <c r="GU46" s="9">
        <f t="shared" si="271"/>
        <v>1.7106672345746579</v>
      </c>
      <c r="GV46" s="9">
        <f t="shared" si="271"/>
        <v>2.2234059592478452</v>
      </c>
      <c r="GW46" s="32"/>
      <c r="GX46" s="32"/>
      <c r="GY46" s="32">
        <f t="shared" si="34"/>
        <v>0.82797384641157512</v>
      </c>
      <c r="GZ46" s="32">
        <v>827973846.41157508</v>
      </c>
      <c r="HA46" s="32"/>
      <c r="HB46" s="41"/>
      <c r="HC46" s="76"/>
      <c r="HD46" s="9"/>
      <c r="HE46" s="9"/>
      <c r="HF46" s="9"/>
      <c r="HG46" s="9"/>
      <c r="HH46" s="9"/>
      <c r="HI46" s="9"/>
      <c r="HJ46" s="9"/>
      <c r="HK46" s="9"/>
      <c r="HL46" s="9"/>
      <c r="HM46" s="9"/>
      <c r="HN46" s="9"/>
      <c r="HO46" s="32"/>
      <c r="HP46" s="32"/>
      <c r="HQ46" s="32"/>
      <c r="HR46" s="32"/>
      <c r="IC46" s="41">
        <f t="shared" si="67"/>
        <v>45013</v>
      </c>
      <c r="ID46" s="9"/>
      <c r="IE46" s="9">
        <f t="shared" si="214"/>
        <v>0.8053708226438131</v>
      </c>
      <c r="IF46" s="9">
        <f t="shared" si="214"/>
        <v>0.82551756107245222</v>
      </c>
      <c r="IG46" s="9">
        <f t="shared" si="214"/>
        <v>0.84425545891061915</v>
      </c>
      <c r="IH46" s="9">
        <f t="shared" si="214"/>
        <v>0.85450956499541852</v>
      </c>
      <c r="II46" s="9">
        <f t="shared" si="214"/>
        <v>0.87540933996601156</v>
      </c>
      <c r="IJ46" s="9">
        <f t="shared" si="214"/>
        <v>0.90567565405070749</v>
      </c>
      <c r="IK46" s="9">
        <f t="shared" si="214"/>
        <v>0.94413345211534472</v>
      </c>
      <c r="IL46" s="9">
        <f t="shared" si="214"/>
        <v>0.98809783594115108</v>
      </c>
      <c r="IM46" s="9">
        <f t="shared" si="214"/>
        <v>1.0173348841111756</v>
      </c>
      <c r="IN46" s="9">
        <f t="shared" si="214"/>
        <v>1.0870889726570456</v>
      </c>
      <c r="IO46" s="9">
        <f t="shared" si="214"/>
        <v>1.1707360408324843</v>
      </c>
      <c r="IP46" s="32"/>
      <c r="IQ46" s="32"/>
      <c r="JB46" s="41">
        <f t="shared" si="13"/>
        <v>44649</v>
      </c>
      <c r="JC46" s="9">
        <f t="shared" si="14"/>
        <v>0.90846581936759985</v>
      </c>
      <c r="JD46" s="9"/>
      <c r="JE46" s="9"/>
      <c r="JF46" s="9"/>
      <c r="JG46" s="9"/>
      <c r="JH46" s="9"/>
      <c r="JI46" s="9"/>
      <c r="JJ46" s="9"/>
      <c r="JK46" s="9"/>
      <c r="JL46" s="9"/>
      <c r="JM46" s="9"/>
      <c r="JN46" s="9"/>
      <c r="JO46" s="9"/>
      <c r="JZ46" s="41">
        <f t="shared" si="234"/>
        <v>44649</v>
      </c>
      <c r="KA46" s="9">
        <f t="shared" si="37"/>
        <v>0.90846581936759985</v>
      </c>
      <c r="KB46" s="9"/>
      <c r="KC46" s="9"/>
      <c r="KP46" s="212"/>
      <c r="KR46" s="41"/>
      <c r="KS46" s="212"/>
      <c r="KT46" s="212"/>
      <c r="KV46" s="41"/>
      <c r="KW46" s="212"/>
      <c r="KX46" s="212"/>
      <c r="KZ46" s="41"/>
      <c r="LA46" s="212"/>
      <c r="LB46" s="212"/>
      <c r="LD46" s="41"/>
      <c r="LE46" s="212"/>
      <c r="LF46" s="212"/>
      <c r="LL46" s="41"/>
      <c r="LM46" s="212"/>
      <c r="LN46" s="212"/>
      <c r="LT46" s="41"/>
      <c r="LU46" s="212"/>
      <c r="LV46" s="75"/>
      <c r="MB46" s="32"/>
      <c r="MC46" s="32"/>
      <c r="MD46" s="32"/>
      <c r="ME46" s="32"/>
      <c r="MF46" s="32"/>
      <c r="MG46" s="32"/>
      <c r="MH46" s="32"/>
      <c r="MI46" s="39"/>
      <c r="MJ46" s="39"/>
      <c r="MK46" s="39"/>
      <c r="ML46" s="39"/>
      <c r="MM46" s="9"/>
      <c r="MN46" s="9"/>
      <c r="MO46" s="9"/>
      <c r="MP46" s="74"/>
      <c r="MQ46" t="s">
        <v>81</v>
      </c>
      <c r="MT46" s="74"/>
      <c r="MU46" s="74"/>
      <c r="MW46" s="72"/>
      <c r="MX46" s="73"/>
      <c r="NT46" s="67">
        <v>0.95</v>
      </c>
      <c r="NU46" s="7">
        <v>0.79345889305079986</v>
      </c>
      <c r="NV46" s="68">
        <v>26</v>
      </c>
      <c r="NW46" s="69">
        <f t="shared" si="235"/>
        <v>3.0517649732723071E-2</v>
      </c>
      <c r="NX46" s="69"/>
      <c r="NY46" s="7">
        <v>3.0517649732723071E-2</v>
      </c>
      <c r="NZ46" s="11"/>
      <c r="OG46" s="32"/>
      <c r="OH46" s="32"/>
      <c r="OS46" s="67">
        <v>0.95</v>
      </c>
      <c r="OT46" s="7">
        <v>0.29407687157219997</v>
      </c>
      <c r="OU46" s="84">
        <f t="shared" si="228"/>
        <v>9</v>
      </c>
      <c r="OV46" s="69">
        <f t="shared" si="236"/>
        <v>3.2675207952466666E-2</v>
      </c>
      <c r="OW46" s="69"/>
      <c r="OX46" s="10">
        <v>3.2675207952466666E-2</v>
      </c>
      <c r="OY46" s="11"/>
    </row>
    <row r="47" spans="2:424" x14ac:dyDescent="0.25">
      <c r="B47" s="48">
        <v>43018</v>
      </c>
      <c r="C47" s="214">
        <v>10891494.921599999</v>
      </c>
      <c r="D47" s="214">
        <v>8303976</v>
      </c>
      <c r="E47" s="215">
        <v>2000000</v>
      </c>
      <c r="F47" s="215"/>
      <c r="G47" s="215"/>
      <c r="H47" s="215"/>
      <c r="I47" s="41">
        <v>43193</v>
      </c>
      <c r="J47" s="212">
        <v>8838099.8675999995</v>
      </c>
      <c r="K47" s="212">
        <f t="shared" si="18"/>
        <v>932140025.54639971</v>
      </c>
      <c r="M47" s="41">
        <v>43557</v>
      </c>
      <c r="N47" s="212">
        <v>11122109.614799999</v>
      </c>
      <c r="O47" s="212">
        <f t="shared" si="19"/>
        <v>945159086.50199986</v>
      </c>
      <c r="Q47" s="41">
        <v>43921</v>
      </c>
      <c r="R47" s="212">
        <v>13280618.555999998</v>
      </c>
      <c r="S47" s="212">
        <f t="shared" si="20"/>
        <v>770332897.43999982</v>
      </c>
      <c r="U47" s="41">
        <v>44292</v>
      </c>
      <c r="V47" s="212">
        <v>29193984.723599996</v>
      </c>
      <c r="W47" s="212">
        <f t="shared" si="21"/>
        <v>891192609.06120002</v>
      </c>
      <c r="Y47" s="41">
        <v>44656</v>
      </c>
      <c r="Z47" s="212">
        <v>10120009</v>
      </c>
      <c r="AA47" s="212">
        <f t="shared" si="261"/>
        <v>918585828.36759984</v>
      </c>
      <c r="AC47" s="32">
        <v>40</v>
      </c>
      <c r="AD47" s="39">
        <f t="shared" si="0"/>
        <v>0.93214002554639974</v>
      </c>
      <c r="AE47" s="39">
        <f t="shared" si="1"/>
        <v>0.94515908650199987</v>
      </c>
      <c r="AF47" s="39">
        <f t="shared" si="2"/>
        <v>0.77033289743999978</v>
      </c>
      <c r="AG47" s="39">
        <f t="shared" si="3"/>
        <v>0.89119260906120001</v>
      </c>
      <c r="AH47" s="39">
        <f t="shared" si="4"/>
        <v>0.91858582836759983</v>
      </c>
      <c r="AI47" s="39">
        <f t="shared" si="23"/>
        <v>1.1129453932421371</v>
      </c>
      <c r="AJ47" s="217"/>
      <c r="AK47" s="9"/>
      <c r="AL47" s="9"/>
      <c r="AM47" s="74"/>
      <c r="AQ47" s="74"/>
      <c r="AR47" s="74"/>
      <c r="AT47" s="72"/>
      <c r="AU47" s="73"/>
      <c r="BM47" s="41">
        <f t="shared" si="60"/>
        <v>44656</v>
      </c>
      <c r="BN47" s="9">
        <f t="shared" si="5"/>
        <v>0.91858582836759983</v>
      </c>
      <c r="BO47" s="9">
        <f t="shared" si="237"/>
        <v>0.64128819499111278</v>
      </c>
      <c r="BP47" s="9">
        <f t="shared" si="237"/>
        <v>0.72892552331230787</v>
      </c>
      <c r="BQ47" s="9">
        <f t="shared" si="237"/>
        <v>0.77774912567913779</v>
      </c>
      <c r="BR47" s="9">
        <f t="shared" si="237"/>
        <v>0.80799395589829315</v>
      </c>
      <c r="BS47" s="9">
        <f t="shared" si="237"/>
        <v>0.86439813961939105</v>
      </c>
      <c r="BT47" s="9">
        <f t="shared" si="237"/>
        <v>0.93879230154306637</v>
      </c>
      <c r="BU47" s="9">
        <f t="shared" si="237"/>
        <v>1.0216232389731903</v>
      </c>
      <c r="BV47" s="9">
        <f t="shared" si="237"/>
        <v>1.1088168094687925</v>
      </c>
      <c r="BW47" s="9">
        <f t="shared" si="237"/>
        <v>1.1650504238758295</v>
      </c>
      <c r="BX47" s="9">
        <f t="shared" si="237"/>
        <v>1.280277744319074</v>
      </c>
      <c r="BY47" s="9">
        <f t="shared" si="237"/>
        <v>1.5801434781404211</v>
      </c>
      <c r="BZ47" s="32"/>
      <c r="CA47" s="32"/>
      <c r="CL47" s="41">
        <f t="shared" si="61"/>
        <v>45020</v>
      </c>
      <c r="CM47" s="76">
        <v>0.85720770309595939</v>
      </c>
      <c r="CN47" s="9">
        <f t="shared" si="238"/>
        <v>0.71363447811130565</v>
      </c>
      <c r="CO47" s="9">
        <f t="shared" si="238"/>
        <v>0.81252813231721721</v>
      </c>
      <c r="CP47" s="9">
        <f t="shared" si="238"/>
        <v>0.88493552758174976</v>
      </c>
      <c r="CQ47" s="9">
        <f t="shared" si="238"/>
        <v>0.92316798038615144</v>
      </c>
      <c r="CR47" s="9">
        <f t="shared" si="238"/>
        <v>1.0034157390406406</v>
      </c>
      <c r="CS47" s="9">
        <f t="shared" si="238"/>
        <v>1.1139911038155998</v>
      </c>
      <c r="CT47" s="9">
        <f t="shared" si="238"/>
        <v>1.2370739812096234</v>
      </c>
      <c r="CU47" s="9">
        <f t="shared" si="238"/>
        <v>1.3713568867146928</v>
      </c>
      <c r="CV47" s="9">
        <f t="shared" si="238"/>
        <v>1.4612284222872776</v>
      </c>
      <c r="CW47" s="9">
        <f t="shared" si="238"/>
        <v>1.6432571802805731</v>
      </c>
      <c r="CX47" s="9">
        <f t="shared" si="238"/>
        <v>2.0402391123006303</v>
      </c>
      <c r="CY47" s="32"/>
      <c r="CZ47" s="32"/>
      <c r="DA47" s="32">
        <f t="shared" si="26"/>
        <v>0.85720770309595939</v>
      </c>
      <c r="DB47" s="32">
        <v>857207703.09595942</v>
      </c>
      <c r="DC47" s="32"/>
      <c r="DD47" s="41">
        <v>45384</v>
      </c>
      <c r="DE47" s="76">
        <v>1.1961509602503</v>
      </c>
      <c r="DF47" s="9">
        <f t="shared" ref="DF47:DP47" si="272">DF46+DF$2</f>
        <v>0.70740773047809413</v>
      </c>
      <c r="DG47" s="9">
        <f t="shared" si="272"/>
        <v>0.78787708917907073</v>
      </c>
      <c r="DH47" s="9">
        <f t="shared" si="272"/>
        <v>0.83744734528859877</v>
      </c>
      <c r="DI47" s="9">
        <f t="shared" si="272"/>
        <v>0.8709158899100321</v>
      </c>
      <c r="DJ47" s="9">
        <f t="shared" si="272"/>
        <v>0.93551212067751877</v>
      </c>
      <c r="DK47" s="9">
        <f t="shared" si="272"/>
        <v>1.0211379682578416</v>
      </c>
      <c r="DL47" s="9">
        <f t="shared" si="272"/>
        <v>1.128129792798823</v>
      </c>
      <c r="DM47" s="9">
        <f t="shared" si="272"/>
        <v>1.2436575127098832</v>
      </c>
      <c r="DN47" s="9">
        <f t="shared" si="272"/>
        <v>1.3134277201880216</v>
      </c>
      <c r="DO47" s="9">
        <f t="shared" si="272"/>
        <v>1.4679501802355517</v>
      </c>
      <c r="DP47" s="9">
        <f t="shared" si="272"/>
        <v>1.8395275735292589</v>
      </c>
      <c r="DQ47" s="32"/>
      <c r="DR47" s="32"/>
      <c r="DS47" s="32">
        <f t="shared" si="28"/>
        <v>0.85720770309595939</v>
      </c>
      <c r="DT47" s="32">
        <v>857207703.09595942</v>
      </c>
      <c r="DU47" s="32"/>
      <c r="EF47" s="32"/>
      <c r="EG47" s="41">
        <v>45748</v>
      </c>
      <c r="EH47" s="76">
        <v>1.2320355377586276</v>
      </c>
      <c r="EI47" s="9">
        <f t="shared" ref="EI47:ES47" si="273">EI46+EI$2</f>
        <v>0.81161262137115076</v>
      </c>
      <c r="EJ47" s="9">
        <f t="shared" si="273"/>
        <v>0.8808019699814742</v>
      </c>
      <c r="EK47" s="9">
        <f t="shared" si="273"/>
        <v>0.94104551801553116</v>
      </c>
      <c r="EL47" s="9">
        <f t="shared" si="273"/>
        <v>0.98038768597411252</v>
      </c>
      <c r="EM47" s="9">
        <f t="shared" si="273"/>
        <v>1.0530270133092166</v>
      </c>
      <c r="EN47" s="9">
        <f t="shared" si="273"/>
        <v>1.1537005001834724</v>
      </c>
      <c r="EO47" s="9">
        <f t="shared" si="273"/>
        <v>1.2708673852093677</v>
      </c>
      <c r="EP47" s="9">
        <f t="shared" si="273"/>
        <v>1.3960864426601203</v>
      </c>
      <c r="EQ47" s="9">
        <f t="shared" si="273"/>
        <v>1.4711034440510378</v>
      </c>
      <c r="ER47" s="9">
        <f t="shared" si="273"/>
        <v>1.6357238058798631</v>
      </c>
      <c r="ES47" s="9">
        <f t="shared" si="273"/>
        <v>1.9733938606422115</v>
      </c>
      <c r="ET47" s="32"/>
      <c r="EU47" s="32"/>
      <c r="EV47" s="32">
        <f t="shared" si="30"/>
        <v>0.85720770309595939</v>
      </c>
      <c r="EW47" s="32">
        <v>857207703.09595942</v>
      </c>
      <c r="EX47" s="32"/>
      <c r="FG47" s="32"/>
      <c r="FH47" s="32"/>
      <c r="FI47" s="41">
        <v>46112</v>
      </c>
      <c r="FJ47" s="76">
        <v>0.90158148641998148</v>
      </c>
      <c r="FK47" s="9">
        <f t="shared" ref="FK47:FU47" si="274">FK46+FK$2</f>
        <v>0.81161262137115076</v>
      </c>
      <c r="FL47" s="9">
        <f t="shared" si="274"/>
        <v>0.8808019699814742</v>
      </c>
      <c r="FM47" s="9">
        <f t="shared" si="274"/>
        <v>0.94104551801553116</v>
      </c>
      <c r="FN47" s="9">
        <f t="shared" si="274"/>
        <v>0.98038768597411252</v>
      </c>
      <c r="FO47" s="9">
        <f t="shared" si="274"/>
        <v>1.0530270133092166</v>
      </c>
      <c r="FP47" s="9">
        <f t="shared" si="274"/>
        <v>1.1537005001834724</v>
      </c>
      <c r="FQ47" s="9">
        <f t="shared" si="274"/>
        <v>1.2708673852093677</v>
      </c>
      <c r="FR47" s="9">
        <f t="shared" si="274"/>
        <v>1.3960864426601203</v>
      </c>
      <c r="FS47" s="9">
        <f t="shared" si="274"/>
        <v>1.4711034440510378</v>
      </c>
      <c r="FT47" s="9">
        <f t="shared" si="274"/>
        <v>1.6357238058798631</v>
      </c>
      <c r="FU47" s="9">
        <f t="shared" si="274"/>
        <v>1.9733938606422115</v>
      </c>
      <c r="FV47" s="32"/>
      <c r="FW47" s="32"/>
      <c r="FX47" s="32">
        <f t="shared" si="32"/>
        <v>0.85720770309595939</v>
      </c>
      <c r="FY47" s="32">
        <v>857207703.09595942</v>
      </c>
      <c r="FZ47" s="32"/>
      <c r="GI47" s="32"/>
      <c r="GJ47" s="41"/>
      <c r="GK47" s="76"/>
      <c r="GL47" s="9">
        <f t="shared" ref="GL47:GV47" si="275">GL46+GL$2</f>
        <v>0.66983853231591461</v>
      </c>
      <c r="GM47" s="9">
        <f t="shared" si="275"/>
        <v>0.77117803080748903</v>
      </c>
      <c r="GN47" s="9">
        <f t="shared" si="275"/>
        <v>0.82910890641756485</v>
      </c>
      <c r="GO47" s="9">
        <f t="shared" si="275"/>
        <v>0.86183305563709156</v>
      </c>
      <c r="GP47" s="9">
        <f t="shared" si="275"/>
        <v>0.92960883269610506</v>
      </c>
      <c r="GQ47" s="9">
        <f t="shared" si="275"/>
        <v>1.0418577311844421</v>
      </c>
      <c r="GR47" s="9">
        <f t="shared" si="275"/>
        <v>1.1876162278482945</v>
      </c>
      <c r="GS47" s="9">
        <f t="shared" si="275"/>
        <v>1.3588515255641578</v>
      </c>
      <c r="GT47" s="9">
        <f t="shared" si="275"/>
        <v>1.4954675782300082</v>
      </c>
      <c r="GU47" s="9">
        <f t="shared" si="275"/>
        <v>1.7545304969996491</v>
      </c>
      <c r="GV47" s="9">
        <f t="shared" si="275"/>
        <v>2.2804163684593286</v>
      </c>
      <c r="GW47" s="32"/>
      <c r="GX47" s="32"/>
      <c r="GY47" s="32">
        <f t="shared" si="34"/>
        <v>0.85720770309595939</v>
      </c>
      <c r="GZ47" s="32">
        <v>857207703.09595942</v>
      </c>
      <c r="HA47" s="32"/>
      <c r="HB47" s="41"/>
      <c r="HC47" s="76"/>
      <c r="HD47" s="9"/>
      <c r="HE47" s="9"/>
      <c r="HF47" s="9"/>
      <c r="HG47" s="9"/>
      <c r="HH47" s="9"/>
      <c r="HI47" s="9"/>
      <c r="HJ47" s="9"/>
      <c r="HK47" s="9"/>
      <c r="HL47" s="9"/>
      <c r="HM47" s="9"/>
      <c r="HN47" s="9"/>
      <c r="HO47" s="32"/>
      <c r="HP47" s="32"/>
      <c r="HQ47" s="32"/>
      <c r="HR47" s="32"/>
      <c r="IC47" s="41">
        <f t="shared" si="67"/>
        <v>45020</v>
      </c>
      <c r="ID47" s="9"/>
      <c r="IE47" s="9">
        <f t="shared" si="214"/>
        <v>0.82046232677012443</v>
      </c>
      <c r="IF47" s="9">
        <f t="shared" si="214"/>
        <v>0.84262373904162746</v>
      </c>
      <c r="IG47" s="9">
        <f t="shared" si="214"/>
        <v>0.86323542666361108</v>
      </c>
      <c r="IH47" s="9">
        <f t="shared" si="214"/>
        <v>0.8745149433568904</v>
      </c>
      <c r="II47" s="9">
        <f t="shared" si="214"/>
        <v>0.89750469582454273</v>
      </c>
      <c r="IJ47" s="9">
        <f t="shared" si="214"/>
        <v>0.93079764131770826</v>
      </c>
      <c r="IK47" s="9">
        <f t="shared" si="214"/>
        <v>0.97310121918880921</v>
      </c>
      <c r="IL47" s="9">
        <f t="shared" si="214"/>
        <v>1.0214620413971962</v>
      </c>
      <c r="IM47" s="9">
        <f t="shared" si="214"/>
        <v>1.0536227943842231</v>
      </c>
      <c r="IN47" s="9">
        <f t="shared" si="214"/>
        <v>1.1303522917846802</v>
      </c>
      <c r="IO47" s="9">
        <f t="shared" si="214"/>
        <v>1.2223640667776627</v>
      </c>
      <c r="IP47" s="32"/>
      <c r="IQ47" s="32"/>
      <c r="JB47" s="41">
        <f t="shared" si="13"/>
        <v>44656</v>
      </c>
      <c r="JC47" s="9">
        <f t="shared" si="14"/>
        <v>0.91858582836759983</v>
      </c>
      <c r="JD47" s="9"/>
      <c r="JE47" s="9"/>
      <c r="JF47" s="9"/>
      <c r="JG47" s="9"/>
      <c r="JH47" s="9"/>
      <c r="JI47" s="9"/>
      <c r="JJ47" s="9"/>
      <c r="JK47" s="9"/>
      <c r="JL47" s="9"/>
      <c r="JM47" s="9"/>
      <c r="JN47" s="9"/>
      <c r="JO47" s="9"/>
      <c r="JQ47" t="s">
        <v>81</v>
      </c>
      <c r="JZ47" s="41">
        <f t="shared" si="234"/>
        <v>44656</v>
      </c>
      <c r="KA47" s="9">
        <f t="shared" si="37"/>
        <v>0.91858582836759983</v>
      </c>
      <c r="KB47" s="9"/>
      <c r="KC47" s="9"/>
      <c r="KE47" t="s">
        <v>81</v>
      </c>
      <c r="KP47" s="212"/>
      <c r="KR47" s="41"/>
      <c r="KS47" s="212"/>
      <c r="KT47" s="212"/>
      <c r="KV47" s="41"/>
      <c r="KW47" s="212"/>
      <c r="KX47" s="212"/>
      <c r="KZ47" s="41"/>
      <c r="LA47" s="212"/>
      <c r="LB47" s="212"/>
      <c r="LD47" s="41"/>
      <c r="LE47" s="212"/>
      <c r="LF47" s="212"/>
      <c r="LL47" s="41"/>
      <c r="LM47" s="212"/>
      <c r="LN47" s="212"/>
      <c r="LT47" s="41"/>
      <c r="LU47" s="212"/>
      <c r="LV47" s="75"/>
      <c r="MB47" s="32"/>
      <c r="MC47" s="32"/>
      <c r="MD47" s="32"/>
      <c r="ME47" s="32"/>
      <c r="MF47" s="32"/>
      <c r="MG47" s="32"/>
      <c r="MH47" s="32"/>
      <c r="MI47" s="39"/>
      <c r="MJ47" s="39"/>
      <c r="MK47" s="39"/>
      <c r="ML47" s="39"/>
      <c r="MM47" s="9"/>
      <c r="MN47" s="9"/>
      <c r="MO47" s="9"/>
      <c r="MP47" s="74"/>
      <c r="MT47" s="74"/>
      <c r="MU47" s="74"/>
      <c r="MW47" s="72"/>
      <c r="MX47" s="77" t="s">
        <v>103</v>
      </c>
      <c r="NT47" s="67">
        <v>0.99</v>
      </c>
      <c r="NU47" s="7">
        <v>0.89789994345779989</v>
      </c>
      <c r="NV47" s="68">
        <v>26</v>
      </c>
      <c r="NW47" s="69">
        <f t="shared" si="235"/>
        <v>3.4534613209915382E-2</v>
      </c>
      <c r="NX47" s="69"/>
      <c r="NY47" s="7">
        <v>3.4534613209915382E-2</v>
      </c>
      <c r="NZ47" s="11"/>
      <c r="OG47" s="32"/>
      <c r="OH47" s="32"/>
      <c r="OS47" s="67">
        <v>0.99</v>
      </c>
      <c r="OT47" s="7">
        <v>0.39244010034600002</v>
      </c>
      <c r="OU47" s="84">
        <f t="shared" si="228"/>
        <v>9</v>
      </c>
      <c r="OV47" s="69">
        <f t="shared" si="236"/>
        <v>4.3604455594000002E-2</v>
      </c>
      <c r="OW47" s="69"/>
      <c r="OX47" s="10">
        <v>4.3604455594000002E-2</v>
      </c>
      <c r="OY47" s="11"/>
      <c r="PH47" t="s">
        <v>81</v>
      </c>
    </row>
    <row r="48" spans="2:424" x14ac:dyDescent="0.25">
      <c r="B48" s="48">
        <v>43025</v>
      </c>
      <c r="C48" s="214">
        <v>11715705.673199998</v>
      </c>
      <c r="D48" s="214">
        <v>8932377</v>
      </c>
      <c r="E48" s="215">
        <v>5000000</v>
      </c>
      <c r="F48" s="215"/>
      <c r="G48" s="215"/>
      <c r="H48" s="215"/>
      <c r="I48" s="41">
        <v>43200</v>
      </c>
      <c r="J48" s="212">
        <v>13941063.291599998</v>
      </c>
      <c r="K48" s="212">
        <f t="shared" si="18"/>
        <v>946081088.8379997</v>
      </c>
      <c r="M48" s="41">
        <v>43564</v>
      </c>
      <c r="N48" s="212">
        <v>13100420.815199999</v>
      </c>
      <c r="O48" s="212">
        <f t="shared" si="19"/>
        <v>958259507.31719983</v>
      </c>
      <c r="Q48" s="41">
        <v>43928</v>
      </c>
      <c r="R48" s="212">
        <v>21400531.300799999</v>
      </c>
      <c r="S48" s="212">
        <f t="shared" si="20"/>
        <v>791733428.74079978</v>
      </c>
      <c r="U48" s="41">
        <v>44299</v>
      </c>
      <c r="V48" s="212">
        <v>35857900.407600001</v>
      </c>
      <c r="W48" s="212">
        <f t="shared" si="21"/>
        <v>927050509.46880007</v>
      </c>
      <c r="Y48" s="38">
        <v>44663</v>
      </c>
      <c r="Z48" s="214">
        <v>15115699.951199999</v>
      </c>
      <c r="AA48" s="212">
        <f t="shared" si="261"/>
        <v>933701528.31879985</v>
      </c>
      <c r="AC48" s="32">
        <v>41</v>
      </c>
      <c r="AD48" s="39">
        <f t="shared" si="0"/>
        <v>0.94608108883799968</v>
      </c>
      <c r="AE48" s="39">
        <f t="shared" si="1"/>
        <v>0.95825950731719978</v>
      </c>
      <c r="AF48" s="39">
        <f t="shared" si="2"/>
        <v>0.79173342874079977</v>
      </c>
      <c r="AG48" s="39">
        <f t="shared" si="3"/>
        <v>0.92705050946880008</v>
      </c>
      <c r="AH48" s="39">
        <f t="shared" si="4"/>
        <v>0.93370152831879982</v>
      </c>
      <c r="AI48" s="39">
        <f t="shared" si="23"/>
        <v>1.1407690280731906</v>
      </c>
      <c r="AJ48" s="217"/>
      <c r="AK48" s="9"/>
      <c r="AL48" s="9"/>
      <c r="AM48" s="74"/>
      <c r="AQ48" s="74"/>
      <c r="AR48" s="74"/>
      <c r="AT48" s="72"/>
      <c r="AU48" s="77" t="s">
        <v>103</v>
      </c>
      <c r="BM48" s="41">
        <f t="shared" si="60"/>
        <v>44663</v>
      </c>
      <c r="BN48" s="9">
        <f t="shared" si="5"/>
        <v>0.93370152831879982</v>
      </c>
      <c r="BO48" s="9">
        <f t="shared" si="237"/>
        <v>0.65732039986589064</v>
      </c>
      <c r="BP48" s="9">
        <f t="shared" si="237"/>
        <v>0.7471486613951156</v>
      </c>
      <c r="BQ48" s="9">
        <f t="shared" si="237"/>
        <v>0.79719285382111627</v>
      </c>
      <c r="BR48" s="9">
        <f t="shared" si="237"/>
        <v>0.82819380479575044</v>
      </c>
      <c r="BS48" s="9">
        <f t="shared" si="237"/>
        <v>0.88600809310987583</v>
      </c>
      <c r="BT48" s="9">
        <f t="shared" si="237"/>
        <v>0.962262109081643</v>
      </c>
      <c r="BU48" s="9">
        <f t="shared" si="237"/>
        <v>1.0471638199475199</v>
      </c>
      <c r="BV48" s="9">
        <f t="shared" si="237"/>
        <v>1.1365372297055123</v>
      </c>
      <c r="BW48" s="9">
        <f t="shared" si="237"/>
        <v>1.1941766844727253</v>
      </c>
      <c r="BX48" s="9">
        <f t="shared" si="237"/>
        <v>1.3122846879270509</v>
      </c>
      <c r="BY48" s="9">
        <f t="shared" si="237"/>
        <v>1.6196470650939316</v>
      </c>
      <c r="BZ48" s="32"/>
      <c r="CA48" s="32"/>
      <c r="CL48" s="41">
        <f t="shared" si="61"/>
        <v>45027</v>
      </c>
      <c r="CM48" s="76">
        <v>0.89207466557553894</v>
      </c>
      <c r="CN48" s="9">
        <f t="shared" si="238"/>
        <v>0.73147534006408832</v>
      </c>
      <c r="CO48" s="9">
        <f t="shared" si="238"/>
        <v>0.83284133562514762</v>
      </c>
      <c r="CP48" s="9">
        <f t="shared" si="238"/>
        <v>0.90705891577129349</v>
      </c>
      <c r="CQ48" s="9">
        <f t="shared" si="238"/>
        <v>0.9462471798958052</v>
      </c>
      <c r="CR48" s="9">
        <f t="shared" si="238"/>
        <v>1.0285011325166566</v>
      </c>
      <c r="CS48" s="9">
        <f t="shared" si="238"/>
        <v>1.1418408814109899</v>
      </c>
      <c r="CT48" s="9">
        <f t="shared" si="238"/>
        <v>1.268000830739864</v>
      </c>
      <c r="CU48" s="9">
        <f t="shared" si="238"/>
        <v>1.40564080888256</v>
      </c>
      <c r="CV48" s="9">
        <f t="shared" si="238"/>
        <v>1.4977591328444595</v>
      </c>
      <c r="CW48" s="9">
        <f t="shared" si="238"/>
        <v>1.6843386097875874</v>
      </c>
      <c r="CX48" s="9">
        <f t="shared" si="238"/>
        <v>2.0912450901081461</v>
      </c>
      <c r="CY48" s="32"/>
      <c r="CZ48" s="32"/>
      <c r="DA48" s="32">
        <f t="shared" si="26"/>
        <v>0.89207466557553894</v>
      </c>
      <c r="DB48" s="32">
        <v>892074665.57553899</v>
      </c>
      <c r="DC48" s="32"/>
      <c r="DD48" s="41">
        <v>45391</v>
      </c>
      <c r="DE48" s="76">
        <v>1.2604616697277775</v>
      </c>
      <c r="DF48" s="9">
        <f t="shared" ref="DF48:DP48" si="276">DF47+DF$2</f>
        <v>0.72509292374004652</v>
      </c>
      <c r="DG48" s="9">
        <f t="shared" si="276"/>
        <v>0.80757401640854753</v>
      </c>
      <c r="DH48" s="9">
        <f t="shared" si="276"/>
        <v>0.85838352892081371</v>
      </c>
      <c r="DI48" s="9">
        <f t="shared" si="276"/>
        <v>0.89268878715778288</v>
      </c>
      <c r="DJ48" s="9">
        <f t="shared" si="276"/>
        <v>0.95889992369445676</v>
      </c>
      <c r="DK48" s="9">
        <f t="shared" si="276"/>
        <v>1.0466664174642877</v>
      </c>
      <c r="DL48" s="9">
        <f t="shared" si="276"/>
        <v>1.1563330376187935</v>
      </c>
      <c r="DM48" s="9">
        <f t="shared" si="276"/>
        <v>1.2747489505276304</v>
      </c>
      <c r="DN48" s="9">
        <f t="shared" si="276"/>
        <v>1.346263413192722</v>
      </c>
      <c r="DO48" s="9">
        <f t="shared" si="276"/>
        <v>1.5046489347414405</v>
      </c>
      <c r="DP48" s="9">
        <f t="shared" si="276"/>
        <v>1.8855157628674903</v>
      </c>
      <c r="DQ48" s="32"/>
      <c r="DR48" s="32"/>
      <c r="DS48" s="32">
        <f t="shared" si="28"/>
        <v>0.89207466557553894</v>
      </c>
      <c r="DT48" s="32">
        <v>892074665.57553899</v>
      </c>
      <c r="DU48" s="32"/>
      <c r="EF48" s="32"/>
      <c r="EG48" s="41">
        <v>45755</v>
      </c>
      <c r="EH48" s="76">
        <v>1.2911850995924115</v>
      </c>
      <c r="EI48" s="9">
        <f t="shared" ref="EI48:ES48" si="277">EI47+EI$2</f>
        <v>0.83190293690542949</v>
      </c>
      <c r="EJ48" s="9">
        <f t="shared" si="277"/>
        <v>0.90282201923101102</v>
      </c>
      <c r="EK48" s="9">
        <f t="shared" si="277"/>
        <v>0.96457165596591943</v>
      </c>
      <c r="EL48" s="9">
        <f t="shared" si="277"/>
        <v>1.0048973781234654</v>
      </c>
      <c r="EM48" s="9">
        <f t="shared" si="277"/>
        <v>1.0793526886419469</v>
      </c>
      <c r="EN48" s="9">
        <f t="shared" si="277"/>
        <v>1.1825430126880592</v>
      </c>
      <c r="EO48" s="9">
        <f t="shared" si="277"/>
        <v>1.302639069839602</v>
      </c>
      <c r="EP48" s="9">
        <f t="shared" si="277"/>
        <v>1.4309886037266233</v>
      </c>
      <c r="EQ48" s="9">
        <f t="shared" si="277"/>
        <v>1.5078810301523138</v>
      </c>
      <c r="ER48" s="9">
        <f t="shared" si="277"/>
        <v>1.6766169010268597</v>
      </c>
      <c r="ES48" s="9">
        <f t="shared" si="277"/>
        <v>2.0227287071582669</v>
      </c>
      <c r="ET48" s="32"/>
      <c r="EU48" s="32"/>
      <c r="EV48" s="32">
        <f t="shared" si="30"/>
        <v>0.89207466557553894</v>
      </c>
      <c r="EW48" s="32">
        <v>892074665.57553899</v>
      </c>
      <c r="EX48" s="32"/>
      <c r="FG48" s="32"/>
      <c r="FH48" s="32"/>
      <c r="FI48" s="41">
        <v>46119</v>
      </c>
      <c r="FJ48" s="76">
        <v>0.91963838734398251</v>
      </c>
      <c r="FK48" s="9">
        <f t="shared" ref="FK48:FU48" si="278">FK47+FK$2</f>
        <v>0.83190293690542949</v>
      </c>
      <c r="FL48" s="9">
        <f t="shared" si="278"/>
        <v>0.90282201923101102</v>
      </c>
      <c r="FM48" s="9">
        <f t="shared" si="278"/>
        <v>0.96457165596591943</v>
      </c>
      <c r="FN48" s="9">
        <f t="shared" si="278"/>
        <v>1.0048973781234654</v>
      </c>
      <c r="FO48" s="9">
        <f t="shared" si="278"/>
        <v>1.0793526886419469</v>
      </c>
      <c r="FP48" s="9">
        <f t="shared" si="278"/>
        <v>1.1825430126880592</v>
      </c>
      <c r="FQ48" s="9">
        <f t="shared" si="278"/>
        <v>1.302639069839602</v>
      </c>
      <c r="FR48" s="9">
        <f t="shared" si="278"/>
        <v>1.4309886037266233</v>
      </c>
      <c r="FS48" s="9">
        <f t="shared" si="278"/>
        <v>1.5078810301523138</v>
      </c>
      <c r="FT48" s="9">
        <f t="shared" si="278"/>
        <v>1.6766169010268597</v>
      </c>
      <c r="FU48" s="9">
        <f t="shared" si="278"/>
        <v>2.0227287071582669</v>
      </c>
      <c r="FV48" s="32"/>
      <c r="FW48" s="32"/>
      <c r="FX48" s="32">
        <f t="shared" si="32"/>
        <v>0.89207466557553894</v>
      </c>
      <c r="FY48" s="32">
        <v>892074665.57553899</v>
      </c>
      <c r="FZ48" s="32"/>
      <c r="GI48" s="32"/>
      <c r="GJ48" s="41"/>
      <c r="GK48" s="76"/>
      <c r="GL48" s="9">
        <f t="shared" ref="GL48:GV48" si="279">GL47+GL$2</f>
        <v>0.68658449562381252</v>
      </c>
      <c r="GM48" s="9">
        <f t="shared" si="279"/>
        <v>0.79045748157767626</v>
      </c>
      <c r="GN48" s="9">
        <f t="shared" si="279"/>
        <v>0.84983662907800395</v>
      </c>
      <c r="GO48" s="9">
        <f t="shared" si="279"/>
        <v>0.88337888202801884</v>
      </c>
      <c r="GP48" s="9">
        <f t="shared" si="279"/>
        <v>0.95284905351350768</v>
      </c>
      <c r="GQ48" s="9">
        <f t="shared" si="279"/>
        <v>1.0679041744640532</v>
      </c>
      <c r="GR48" s="9">
        <f t="shared" si="279"/>
        <v>1.2173066335445017</v>
      </c>
      <c r="GS48" s="9">
        <f t="shared" si="279"/>
        <v>1.3928228137032617</v>
      </c>
      <c r="GT48" s="9">
        <f t="shared" si="279"/>
        <v>1.5328542676857584</v>
      </c>
      <c r="GU48" s="9">
        <f t="shared" si="279"/>
        <v>1.7983937594246404</v>
      </c>
      <c r="GV48" s="9">
        <f t="shared" si="279"/>
        <v>2.337426777670812</v>
      </c>
      <c r="GW48" s="32"/>
      <c r="GX48" s="32"/>
      <c r="GY48" s="32">
        <f t="shared" si="34"/>
        <v>0.89207466557553894</v>
      </c>
      <c r="GZ48" s="32">
        <v>892074665.57553899</v>
      </c>
      <c r="HA48" s="32"/>
      <c r="HB48" s="41"/>
      <c r="HC48" s="76"/>
      <c r="HD48" s="9"/>
      <c r="HE48" s="9"/>
      <c r="HF48" s="9"/>
      <c r="HG48" s="9"/>
      <c r="HH48" s="9"/>
      <c r="HI48" s="9"/>
      <c r="HJ48" s="9"/>
      <c r="HK48" s="9"/>
      <c r="HL48" s="9"/>
      <c r="HM48" s="9"/>
      <c r="HN48" s="9"/>
      <c r="HO48" s="32"/>
      <c r="HP48" s="32"/>
      <c r="HQ48" s="32"/>
      <c r="HR48" s="32"/>
      <c r="IC48" s="41">
        <f t="shared" si="67"/>
        <v>45027</v>
      </c>
      <c r="ID48" s="9"/>
      <c r="IE48" s="9">
        <f t="shared" si="214"/>
        <v>0.83555383089643576</v>
      </c>
      <c r="IF48" s="9">
        <f t="shared" si="214"/>
        <v>0.8597299170108027</v>
      </c>
      <c r="IG48" s="9">
        <f t="shared" si="214"/>
        <v>0.88221539441660302</v>
      </c>
      <c r="IH48" s="9">
        <f t="shared" si="214"/>
        <v>0.89452032171836227</v>
      </c>
      <c r="II48" s="9">
        <f t="shared" si="214"/>
        <v>0.9196000516830739</v>
      </c>
      <c r="IJ48" s="9">
        <f t="shared" si="214"/>
        <v>0.95591962858470902</v>
      </c>
      <c r="IK48" s="9">
        <f t="shared" si="214"/>
        <v>1.0020689862622736</v>
      </c>
      <c r="IL48" s="9">
        <f t="shared" si="214"/>
        <v>1.0548262468532414</v>
      </c>
      <c r="IM48" s="9">
        <f t="shared" si="214"/>
        <v>1.0899107046572707</v>
      </c>
      <c r="IN48" s="9">
        <f t="shared" si="214"/>
        <v>1.1736156109123148</v>
      </c>
      <c r="IO48" s="9">
        <f t="shared" si="214"/>
        <v>1.2739920927228412</v>
      </c>
      <c r="IP48" s="32"/>
      <c r="IQ48" s="32"/>
      <c r="JB48" s="41">
        <f t="shared" si="13"/>
        <v>44663</v>
      </c>
      <c r="JC48" s="9">
        <f t="shared" si="14"/>
        <v>0.93370152831879982</v>
      </c>
      <c r="JD48" s="9"/>
      <c r="JE48" s="9"/>
      <c r="JF48" s="9"/>
      <c r="JG48" s="9"/>
      <c r="JH48" s="9"/>
      <c r="JI48" s="9"/>
      <c r="JJ48" s="9"/>
      <c r="JK48" s="9"/>
      <c r="JL48" s="9"/>
      <c r="JM48" s="9"/>
      <c r="JN48" s="9"/>
      <c r="JO48" s="9"/>
      <c r="JZ48" s="41">
        <f t="shared" si="234"/>
        <v>44663</v>
      </c>
      <c r="KA48" s="9">
        <f t="shared" si="37"/>
        <v>0.93370152831879982</v>
      </c>
      <c r="KB48" s="9"/>
      <c r="KC48" s="9"/>
      <c r="KP48" s="212"/>
      <c r="KR48" s="41"/>
      <c r="KS48" s="212"/>
      <c r="KT48" s="212"/>
      <c r="KV48" s="41"/>
      <c r="KW48" s="212"/>
      <c r="KX48" s="212"/>
      <c r="KZ48" s="41"/>
      <c r="LA48" s="212"/>
      <c r="LB48" s="212"/>
      <c r="LD48" s="41"/>
      <c r="LE48" s="212"/>
      <c r="LF48" s="212"/>
      <c r="LL48" s="41"/>
      <c r="LM48" s="212"/>
      <c r="LN48" s="212"/>
      <c r="LT48" s="41"/>
      <c r="LU48" s="212"/>
      <c r="LV48" s="75"/>
      <c r="MB48" s="32"/>
      <c r="MC48" s="32"/>
      <c r="MD48" s="32"/>
      <c r="ME48" s="32"/>
      <c r="MF48" s="32"/>
      <c r="MG48" s="32"/>
      <c r="MH48" s="32"/>
      <c r="MI48" s="39"/>
      <c r="MJ48" s="39"/>
      <c r="MK48" s="39"/>
      <c r="ML48" s="39"/>
      <c r="MM48" s="9"/>
      <c r="MN48" s="9"/>
      <c r="MO48" s="9"/>
      <c r="MP48" s="74"/>
      <c r="MT48" s="74"/>
      <c r="MU48" s="74"/>
      <c r="MW48" s="72"/>
      <c r="MX48" s="78">
        <v>-3</v>
      </c>
      <c r="MY48" s="10">
        <v>0.25984883425282412</v>
      </c>
      <c r="MZ48" s="10">
        <v>0.28234732797992634</v>
      </c>
      <c r="NA48" s="10">
        <v>0.25981494388709325</v>
      </c>
      <c r="NB48" s="10">
        <v>0.23122928616165739</v>
      </c>
      <c r="NC48" s="10">
        <v>0.27769919619079503</v>
      </c>
      <c r="ND48" s="10">
        <v>0.28176777061038449</v>
      </c>
      <c r="NE48" s="10">
        <v>0.3477525735905781</v>
      </c>
      <c r="NF48" s="10">
        <v>0.31241663843312928</v>
      </c>
      <c r="NG48" s="10">
        <v>0.2988090725119269</v>
      </c>
      <c r="NH48" s="10">
        <v>0.30808845263540302</v>
      </c>
      <c r="NI48" s="10">
        <v>9.6133178123237212E-2</v>
      </c>
      <c r="NK48" s="40" t="s">
        <v>248</v>
      </c>
      <c r="NT48" s="67" t="s">
        <v>40</v>
      </c>
      <c r="NU48" s="7">
        <v>1.1087272531577999</v>
      </c>
      <c r="NV48" s="68">
        <v>26</v>
      </c>
      <c r="NW48" s="69">
        <f>NU48/NV48</f>
        <v>4.264335589068461E-2</v>
      </c>
      <c r="NX48" s="69"/>
      <c r="NY48" s="7">
        <v>4.264335589068461E-2</v>
      </c>
      <c r="OG48" s="32"/>
      <c r="OH48" s="32"/>
      <c r="OS48" s="67" t="s">
        <v>40</v>
      </c>
      <c r="OT48" s="7">
        <v>0.51859892911979999</v>
      </c>
      <c r="OU48" s="84">
        <f t="shared" si="228"/>
        <v>9</v>
      </c>
      <c r="OV48" s="69">
        <f>OT48/OU48</f>
        <v>5.762210323553333E-2</v>
      </c>
      <c r="OW48" s="69"/>
      <c r="OX48" s="10">
        <v>5.762210323553333E-2</v>
      </c>
    </row>
    <row r="49" spans="2:373" x14ac:dyDescent="0.25">
      <c r="B49" s="48">
        <v>43032</v>
      </c>
      <c r="C49" s="214">
        <v>16695317.051999999</v>
      </c>
      <c r="D49" s="214">
        <v>12728970</v>
      </c>
      <c r="E49" s="215">
        <v>10000000</v>
      </c>
      <c r="F49" s="215"/>
      <c r="G49" s="215"/>
      <c r="H49" s="215"/>
      <c r="I49" s="41">
        <v>43207</v>
      </c>
      <c r="J49" s="212">
        <v>22138097.673599999</v>
      </c>
      <c r="K49" s="212">
        <f t="shared" si="18"/>
        <v>968219186.51159966</v>
      </c>
      <c r="M49" s="41">
        <v>43571</v>
      </c>
      <c r="N49" s="212">
        <v>21846548.667599998</v>
      </c>
      <c r="O49" s="212">
        <f t="shared" si="19"/>
        <v>980106055.98479986</v>
      </c>
      <c r="Q49" s="41">
        <v>43935</v>
      </c>
      <c r="R49" s="212">
        <v>24208657.235999998</v>
      </c>
      <c r="S49" s="212">
        <f t="shared" si="20"/>
        <v>815942085.97679973</v>
      </c>
      <c r="U49" s="41">
        <v>44306</v>
      </c>
      <c r="V49" s="212">
        <v>11570248.076399999</v>
      </c>
      <c r="W49" s="212">
        <f t="shared" si="21"/>
        <v>938620757.54520011</v>
      </c>
      <c r="Y49" s="38">
        <v>44670</v>
      </c>
      <c r="Z49" s="214">
        <v>21888780.868799999</v>
      </c>
      <c r="AA49" s="212">
        <f t="shared" si="261"/>
        <v>955590309.1875999</v>
      </c>
      <c r="AC49" s="32">
        <v>42</v>
      </c>
      <c r="AD49" s="39">
        <f t="shared" si="0"/>
        <v>0.96821918651159966</v>
      </c>
      <c r="AE49" s="39">
        <f t="shared" si="1"/>
        <v>0.98010605598479983</v>
      </c>
      <c r="AF49" s="39">
        <f t="shared" si="2"/>
        <v>0.81594208597679974</v>
      </c>
      <c r="AG49" s="39">
        <f t="shared" si="3"/>
        <v>0.93862075754520014</v>
      </c>
      <c r="AH49" s="39">
        <f t="shared" si="4"/>
        <v>0.95559030918759991</v>
      </c>
      <c r="AI49" s="39">
        <f t="shared" si="23"/>
        <v>1.168592662904244</v>
      </c>
      <c r="AJ49" s="9"/>
      <c r="AK49" s="9"/>
      <c r="AL49" s="9"/>
      <c r="AM49" s="74"/>
      <c r="AN49" s="74"/>
      <c r="AO49" s="74"/>
      <c r="AP49" s="74"/>
      <c r="AQ49" s="74"/>
      <c r="AR49" s="74"/>
      <c r="AT49" s="72"/>
      <c r="AU49" s="78">
        <v>-3</v>
      </c>
      <c r="AV49" s="10">
        <v>0.68843488438637535</v>
      </c>
      <c r="AW49" s="10">
        <v>0.6556370749076974</v>
      </c>
      <c r="AX49" s="10">
        <v>0.7272846477008158</v>
      </c>
      <c r="AY49" s="10">
        <v>0.83607258012728436</v>
      </c>
      <c r="AZ49" s="10">
        <v>0.77395506067147513</v>
      </c>
      <c r="BA49" s="10"/>
      <c r="BB49" s="10">
        <v>0.52816115873553182</v>
      </c>
      <c r="BD49" s="40" t="s">
        <v>247</v>
      </c>
      <c r="BM49" s="41">
        <f t="shared" si="60"/>
        <v>44670</v>
      </c>
      <c r="BN49" s="9">
        <f t="shared" si="5"/>
        <v>0.95559030918759991</v>
      </c>
      <c r="BO49" s="9">
        <f t="shared" si="237"/>
        <v>0.67335260474066849</v>
      </c>
      <c r="BP49" s="9">
        <f t="shared" si="237"/>
        <v>0.76537179947792333</v>
      </c>
      <c r="BQ49" s="9">
        <f t="shared" si="237"/>
        <v>0.81663658196309474</v>
      </c>
      <c r="BR49" s="9">
        <f t="shared" si="237"/>
        <v>0.84839365369320774</v>
      </c>
      <c r="BS49" s="9">
        <f t="shared" si="237"/>
        <v>0.90761804660036061</v>
      </c>
      <c r="BT49" s="9">
        <f t="shared" si="237"/>
        <v>0.98573191662021964</v>
      </c>
      <c r="BU49" s="9">
        <f t="shared" si="237"/>
        <v>1.0727044009218496</v>
      </c>
      <c r="BV49" s="9">
        <f t="shared" si="237"/>
        <v>1.1642576499422321</v>
      </c>
      <c r="BW49" s="9">
        <f t="shared" si="237"/>
        <v>1.2233029450696211</v>
      </c>
      <c r="BX49" s="9">
        <f t="shared" si="237"/>
        <v>1.3442916315350277</v>
      </c>
      <c r="BY49" s="9">
        <f t="shared" si="237"/>
        <v>1.6591506520474422</v>
      </c>
      <c r="BZ49" s="32"/>
      <c r="CA49" s="32"/>
      <c r="CL49" s="41">
        <f t="shared" si="61"/>
        <v>45034</v>
      </c>
      <c r="CM49" s="76">
        <v>0.90536693215601949</v>
      </c>
      <c r="CN49" s="9">
        <f t="shared" si="238"/>
        <v>0.74931620201687099</v>
      </c>
      <c r="CO49" s="9">
        <f t="shared" si="238"/>
        <v>0.85315453893307802</v>
      </c>
      <c r="CP49" s="9">
        <f t="shared" si="238"/>
        <v>0.92918230396083723</v>
      </c>
      <c r="CQ49" s="9">
        <f t="shared" si="238"/>
        <v>0.96932637940545896</v>
      </c>
      <c r="CR49" s="9">
        <f t="shared" si="238"/>
        <v>1.0535865259926727</v>
      </c>
      <c r="CS49" s="9">
        <f t="shared" si="238"/>
        <v>1.16969065900638</v>
      </c>
      <c r="CT49" s="9">
        <f t="shared" si="238"/>
        <v>1.2989276802701046</v>
      </c>
      <c r="CU49" s="9">
        <f t="shared" si="238"/>
        <v>1.4399247310504273</v>
      </c>
      <c r="CV49" s="9">
        <f t="shared" si="238"/>
        <v>1.5342898434016414</v>
      </c>
      <c r="CW49" s="9">
        <f t="shared" si="238"/>
        <v>1.7254200392946017</v>
      </c>
      <c r="CX49" s="9">
        <f t="shared" si="238"/>
        <v>2.1422510679156619</v>
      </c>
      <c r="CY49" s="32"/>
      <c r="CZ49" s="32"/>
      <c r="DA49" s="32">
        <f t="shared" si="26"/>
        <v>0.90536693215601949</v>
      </c>
      <c r="DB49" s="32">
        <v>905366932.15601945</v>
      </c>
      <c r="DC49" s="32"/>
      <c r="DD49" s="41">
        <v>45398</v>
      </c>
      <c r="DE49" s="76">
        <v>1.2737338017241737</v>
      </c>
      <c r="DF49" s="9">
        <f t="shared" ref="DF49:DP49" si="280">DF48+DF$2</f>
        <v>0.74277811700199892</v>
      </c>
      <c r="DG49" s="9">
        <f t="shared" si="280"/>
        <v>0.82727094363802434</v>
      </c>
      <c r="DH49" s="9">
        <f t="shared" si="280"/>
        <v>0.87931971255302865</v>
      </c>
      <c r="DI49" s="9">
        <f t="shared" si="280"/>
        <v>0.91446168440553366</v>
      </c>
      <c r="DJ49" s="9">
        <f t="shared" si="280"/>
        <v>0.98228772671139475</v>
      </c>
      <c r="DK49" s="9">
        <f t="shared" si="280"/>
        <v>1.0721948666707337</v>
      </c>
      <c r="DL49" s="9">
        <f t="shared" si="280"/>
        <v>1.184536282438764</v>
      </c>
      <c r="DM49" s="9">
        <f t="shared" si="280"/>
        <v>1.3058403883453775</v>
      </c>
      <c r="DN49" s="9">
        <f t="shared" si="280"/>
        <v>1.3790991061974225</v>
      </c>
      <c r="DO49" s="9">
        <f t="shared" si="280"/>
        <v>1.5413476892473292</v>
      </c>
      <c r="DP49" s="9">
        <f t="shared" si="280"/>
        <v>1.9315039522057218</v>
      </c>
      <c r="DQ49" s="32"/>
      <c r="DR49" s="32"/>
      <c r="DS49" s="32">
        <f t="shared" si="28"/>
        <v>0.90536693215601949</v>
      </c>
      <c r="DT49" s="32">
        <v>905366932.15601945</v>
      </c>
      <c r="DU49" s="32"/>
      <c r="EF49" s="32"/>
      <c r="EG49" s="41">
        <v>45762</v>
      </c>
      <c r="EH49" s="76">
        <v>1.3831375546581774</v>
      </c>
      <c r="EI49" s="9">
        <f t="shared" ref="EI49:ES49" si="281">EI48+EI$2</f>
        <v>0.85219325243970823</v>
      </c>
      <c r="EJ49" s="9">
        <f t="shared" si="281"/>
        <v>0.92484206848054784</v>
      </c>
      <c r="EK49" s="9">
        <f t="shared" si="281"/>
        <v>0.9880977939163077</v>
      </c>
      <c r="EL49" s="9">
        <f t="shared" si="281"/>
        <v>1.0294070702728182</v>
      </c>
      <c r="EM49" s="9">
        <f t="shared" si="281"/>
        <v>1.1056783639746772</v>
      </c>
      <c r="EN49" s="9">
        <f t="shared" si="281"/>
        <v>1.211385525192646</v>
      </c>
      <c r="EO49" s="9">
        <f t="shared" si="281"/>
        <v>1.3344107544698363</v>
      </c>
      <c r="EP49" s="9">
        <f t="shared" si="281"/>
        <v>1.4658907647931263</v>
      </c>
      <c r="EQ49" s="9">
        <f t="shared" si="281"/>
        <v>1.5446586162535898</v>
      </c>
      <c r="ER49" s="9">
        <f t="shared" si="281"/>
        <v>1.7175099961738562</v>
      </c>
      <c r="ES49" s="9">
        <f t="shared" si="281"/>
        <v>2.0720635536743224</v>
      </c>
      <c r="ET49" s="32"/>
      <c r="EU49" s="32"/>
      <c r="EV49" s="32">
        <f t="shared" si="30"/>
        <v>0.90536693215601949</v>
      </c>
      <c r="EW49" s="32">
        <v>905366932.15601945</v>
      </c>
      <c r="EX49" s="32"/>
      <c r="FG49" s="32"/>
      <c r="FH49" s="32"/>
      <c r="FI49" s="41">
        <v>46126</v>
      </c>
      <c r="FJ49" s="76">
        <v>0.94182324543061913</v>
      </c>
      <c r="FK49" s="9">
        <f t="shared" ref="FK49:FU49" si="282">FK48+FK$2</f>
        <v>0.85219325243970823</v>
      </c>
      <c r="FL49" s="9">
        <f t="shared" si="282"/>
        <v>0.92484206848054784</v>
      </c>
      <c r="FM49" s="9">
        <f t="shared" si="282"/>
        <v>0.9880977939163077</v>
      </c>
      <c r="FN49" s="9">
        <f t="shared" si="282"/>
        <v>1.0294070702728182</v>
      </c>
      <c r="FO49" s="9">
        <f t="shared" si="282"/>
        <v>1.1056783639746772</v>
      </c>
      <c r="FP49" s="9">
        <f t="shared" si="282"/>
        <v>1.211385525192646</v>
      </c>
      <c r="FQ49" s="9">
        <f t="shared" si="282"/>
        <v>1.3344107544698363</v>
      </c>
      <c r="FR49" s="9">
        <f t="shared" si="282"/>
        <v>1.4658907647931263</v>
      </c>
      <c r="FS49" s="9">
        <f t="shared" si="282"/>
        <v>1.5446586162535898</v>
      </c>
      <c r="FT49" s="9">
        <f t="shared" si="282"/>
        <v>1.7175099961738562</v>
      </c>
      <c r="FU49" s="9">
        <f t="shared" si="282"/>
        <v>2.0720635536743224</v>
      </c>
      <c r="FV49" s="32"/>
      <c r="FW49" s="32"/>
      <c r="FX49" s="32">
        <f t="shared" si="32"/>
        <v>0.90536693215601949</v>
      </c>
      <c r="FY49" s="32">
        <v>905366932.15601945</v>
      </c>
      <c r="FZ49" s="32"/>
      <c r="GI49" s="32"/>
      <c r="GJ49" s="41"/>
      <c r="GK49" s="76"/>
      <c r="GL49" s="9">
        <f t="shared" ref="GL49:GV49" si="283">GL48+GL$2</f>
        <v>0.70333045893171042</v>
      </c>
      <c r="GM49" s="9">
        <f t="shared" si="283"/>
        <v>0.80973693234786348</v>
      </c>
      <c r="GN49" s="9">
        <f t="shared" si="283"/>
        <v>0.87056435173844304</v>
      </c>
      <c r="GO49" s="9">
        <f t="shared" si="283"/>
        <v>0.90492470841894612</v>
      </c>
      <c r="GP49" s="9">
        <f t="shared" si="283"/>
        <v>0.97608927433091031</v>
      </c>
      <c r="GQ49" s="9">
        <f t="shared" si="283"/>
        <v>1.0939506177436642</v>
      </c>
      <c r="GR49" s="9">
        <f t="shared" si="283"/>
        <v>1.246997039240709</v>
      </c>
      <c r="GS49" s="9">
        <f t="shared" si="283"/>
        <v>1.4267941018423655</v>
      </c>
      <c r="GT49" s="9">
        <f t="shared" si="283"/>
        <v>1.5702409571415086</v>
      </c>
      <c r="GU49" s="9">
        <f t="shared" si="283"/>
        <v>1.8422570218496317</v>
      </c>
      <c r="GV49" s="9">
        <f t="shared" si="283"/>
        <v>2.3944371868822953</v>
      </c>
      <c r="GW49" s="32"/>
      <c r="GX49" s="32"/>
      <c r="GY49" s="32">
        <f t="shared" si="34"/>
        <v>0.90536693215601949</v>
      </c>
      <c r="GZ49" s="32">
        <v>905366932.15601945</v>
      </c>
      <c r="HA49" s="32"/>
      <c r="HB49" s="41"/>
      <c r="HC49" s="76"/>
      <c r="HD49" s="9"/>
      <c r="HE49" s="9"/>
      <c r="HF49" s="9"/>
      <c r="HG49" s="9"/>
      <c r="HH49" s="9"/>
      <c r="HI49" s="9"/>
      <c r="HJ49" s="9"/>
      <c r="HK49" s="9"/>
      <c r="HL49" s="9"/>
      <c r="HM49" s="9"/>
      <c r="HN49" s="9"/>
      <c r="HO49" s="32"/>
      <c r="HP49" s="32"/>
      <c r="HQ49" s="32"/>
      <c r="HR49" s="32"/>
      <c r="IC49" s="41">
        <f t="shared" si="67"/>
        <v>45034</v>
      </c>
      <c r="ID49" s="9"/>
      <c r="IE49" s="9">
        <f t="shared" si="214"/>
        <v>0.85064533502274708</v>
      </c>
      <c r="IF49" s="9">
        <f t="shared" si="214"/>
        <v>0.87683609497997794</v>
      </c>
      <c r="IG49" s="9">
        <f t="shared" si="214"/>
        <v>0.90119536216959495</v>
      </c>
      <c r="IH49" s="9">
        <f t="shared" si="214"/>
        <v>0.91452570007983414</v>
      </c>
      <c r="II49" s="9">
        <f t="shared" si="214"/>
        <v>0.94169540754160508</v>
      </c>
      <c r="IJ49" s="9">
        <f t="shared" si="214"/>
        <v>0.98104161585170979</v>
      </c>
      <c r="IK49" s="9">
        <f t="shared" si="214"/>
        <v>1.0310367533357381</v>
      </c>
      <c r="IL49" s="9">
        <f t="shared" si="214"/>
        <v>1.0881904523092867</v>
      </c>
      <c r="IM49" s="9">
        <f t="shared" si="214"/>
        <v>1.1261986149303183</v>
      </c>
      <c r="IN49" s="9">
        <f t="shared" si="214"/>
        <v>1.2168789300399494</v>
      </c>
      <c r="IO49" s="9">
        <f t="shared" si="214"/>
        <v>1.3256201186680197</v>
      </c>
      <c r="IP49" s="32"/>
      <c r="IQ49" s="32"/>
      <c r="JB49" s="41">
        <f t="shared" si="13"/>
        <v>44670</v>
      </c>
      <c r="JC49" s="9">
        <f t="shared" si="14"/>
        <v>0.95559030918759991</v>
      </c>
      <c r="JD49" s="9"/>
      <c r="JE49" s="9"/>
      <c r="JF49" s="9"/>
      <c r="JG49" s="9"/>
      <c r="JH49" s="9"/>
      <c r="JI49" s="9"/>
      <c r="JJ49" s="9"/>
      <c r="JK49" s="9"/>
      <c r="JL49" s="9"/>
      <c r="JM49" s="9"/>
      <c r="JN49" s="9"/>
      <c r="JO49" s="9"/>
      <c r="JZ49" s="41">
        <f t="shared" si="234"/>
        <v>44670</v>
      </c>
      <c r="KA49" s="9">
        <f t="shared" si="37"/>
        <v>0.95559030918759991</v>
      </c>
      <c r="KB49" s="9"/>
      <c r="KC49" s="9"/>
      <c r="KP49" s="212"/>
      <c r="KR49" s="41"/>
      <c r="KS49" s="212"/>
      <c r="KT49" s="212"/>
      <c r="KV49" s="41"/>
      <c r="KW49" s="212"/>
      <c r="KX49" s="212"/>
      <c r="KZ49" s="41"/>
      <c r="LA49" s="212"/>
      <c r="LB49" s="212"/>
      <c r="LD49" s="41"/>
      <c r="LE49" s="212"/>
      <c r="LF49" s="212"/>
      <c r="LL49" s="41"/>
      <c r="LM49" s="212"/>
      <c r="LN49" s="212"/>
      <c r="LT49" s="41"/>
      <c r="LU49" s="212"/>
      <c r="LV49" s="75"/>
      <c r="MB49" s="32"/>
      <c r="MC49" s="32"/>
      <c r="MD49" s="32"/>
      <c r="ME49" s="32"/>
      <c r="MF49" s="32"/>
      <c r="MG49" s="32"/>
      <c r="MH49" s="32"/>
      <c r="MI49" s="39"/>
      <c r="MJ49" s="39"/>
      <c r="MK49" s="39"/>
      <c r="ML49" s="39"/>
      <c r="MM49" s="9"/>
      <c r="MN49" s="9"/>
      <c r="MO49" s="9"/>
      <c r="MP49" s="74"/>
      <c r="MQ49" s="74"/>
      <c r="MR49" s="74"/>
      <c r="MS49" s="74"/>
      <c r="MT49" s="74"/>
      <c r="MU49" s="74"/>
      <c r="MW49" s="72"/>
      <c r="MX49" s="78">
        <v>-2</v>
      </c>
      <c r="MY49" s="10">
        <v>0.36593021928844521</v>
      </c>
      <c r="MZ49" s="10">
        <v>0.38001795846875702</v>
      </c>
      <c r="NA49" s="10">
        <v>0.34869868910721263</v>
      </c>
      <c r="NB49" s="10">
        <v>0.31868998091883283</v>
      </c>
      <c r="NC49" s="10">
        <v>0.36436547259628627</v>
      </c>
      <c r="ND49" s="10">
        <v>0.37130029985148721</v>
      </c>
      <c r="NE49" s="10">
        <v>0.45334453067701413</v>
      </c>
      <c r="NF49" s="10">
        <v>0.39758953077620163</v>
      </c>
      <c r="NG49" s="10">
        <v>0.40531784497007933</v>
      </c>
      <c r="NH49" s="10">
        <v>0.40663081294862136</v>
      </c>
      <c r="NI49" s="10">
        <v>0.16571409780878743</v>
      </c>
    </row>
    <row r="50" spans="2:373" x14ac:dyDescent="0.25">
      <c r="B50" s="48">
        <v>43039</v>
      </c>
      <c r="C50" s="214">
        <v>22170504.686399996</v>
      </c>
      <c r="D50" s="214">
        <v>16903404</v>
      </c>
      <c r="E50" s="215">
        <v>15000000</v>
      </c>
      <c r="F50" s="215"/>
      <c r="G50" s="215"/>
      <c r="H50" s="215"/>
      <c r="I50" s="41">
        <v>43214</v>
      </c>
      <c r="J50" s="212">
        <v>10266062.396399999</v>
      </c>
      <c r="K50" s="212">
        <f t="shared" si="18"/>
        <v>978485248.90799963</v>
      </c>
      <c r="M50" s="41">
        <v>43578</v>
      </c>
      <c r="N50" s="212">
        <v>24409327.190399997</v>
      </c>
      <c r="O50" s="212">
        <f t="shared" si="19"/>
        <v>1004515383.1751999</v>
      </c>
      <c r="Q50" s="41">
        <v>43942</v>
      </c>
      <c r="R50" s="212">
        <v>12242627.611199999</v>
      </c>
      <c r="S50" s="212">
        <f t="shared" si="20"/>
        <v>828184713.5879997</v>
      </c>
      <c r="U50" s="41">
        <v>44313</v>
      </c>
      <c r="V50" s="212">
        <v>15618228.515999999</v>
      </c>
      <c r="W50" s="212">
        <f t="shared" si="21"/>
        <v>954238986.06120014</v>
      </c>
      <c r="Y50" s="38">
        <v>44677</v>
      </c>
      <c r="Z50" s="214">
        <v>27417401.153999999</v>
      </c>
      <c r="AA50" s="212">
        <f t="shared" si="261"/>
        <v>983007710.34159994</v>
      </c>
      <c r="AC50" s="32">
        <v>43</v>
      </c>
      <c r="AD50" s="39">
        <f t="shared" si="0"/>
        <v>0.97848524890799959</v>
      </c>
      <c r="AE50" s="39">
        <f t="shared" si="1"/>
        <v>1.0045153831751998</v>
      </c>
      <c r="AF50" s="39">
        <f t="shared" si="2"/>
        <v>0.82818471358799972</v>
      </c>
      <c r="AG50" s="39">
        <f t="shared" si="3"/>
        <v>0.95423898606120017</v>
      </c>
      <c r="AH50" s="39">
        <f t="shared" si="4"/>
        <v>0.98300771034159995</v>
      </c>
      <c r="AI50" s="39">
        <f t="shared" si="23"/>
        <v>1.1964162977352975</v>
      </c>
      <c r="AJ50" s="9">
        <f>AH50</f>
        <v>0.98300771034159995</v>
      </c>
      <c r="AK50" s="9">
        <f>AJ50</f>
        <v>0.98300771034159995</v>
      </c>
      <c r="AL50" s="9">
        <f>AK50</f>
        <v>0.98300771034159995</v>
      </c>
      <c r="AM50" s="74"/>
      <c r="AN50" s="74"/>
      <c r="AO50" s="74"/>
      <c r="AP50" s="74"/>
      <c r="AQ50" s="74"/>
      <c r="AR50" s="74"/>
      <c r="AT50" s="72"/>
      <c r="AU50" s="78">
        <v>-2</v>
      </c>
      <c r="AV50" s="10">
        <v>0.83434725629329232</v>
      </c>
      <c r="AW50" s="10">
        <v>0.78411309427637876</v>
      </c>
      <c r="AX50" s="10">
        <v>0.84790977059292738</v>
      </c>
      <c r="AY50" s="10">
        <v>0.97577819775722041</v>
      </c>
      <c r="AZ50" s="10">
        <v>0.92154517249453782</v>
      </c>
      <c r="BA50" s="10"/>
      <c r="BB50" s="10">
        <v>0.65850601468486625</v>
      </c>
      <c r="BM50" s="41">
        <f t="shared" si="60"/>
        <v>44677</v>
      </c>
      <c r="BN50" s="9">
        <f t="shared" si="5"/>
        <v>0.98300771034159995</v>
      </c>
      <c r="BO50" s="9">
        <f t="shared" si="237"/>
        <v>0.68938480961544635</v>
      </c>
      <c r="BP50" s="9">
        <f t="shared" si="237"/>
        <v>0.78359493756073106</v>
      </c>
      <c r="BQ50" s="9">
        <f t="shared" si="237"/>
        <v>0.83608031010507322</v>
      </c>
      <c r="BR50" s="9">
        <f t="shared" si="237"/>
        <v>0.86859350259066503</v>
      </c>
      <c r="BS50" s="9">
        <f t="shared" si="237"/>
        <v>0.92922800009084539</v>
      </c>
      <c r="BT50" s="9">
        <f t="shared" si="237"/>
        <v>1.0092017241587963</v>
      </c>
      <c r="BU50" s="9">
        <f t="shared" si="237"/>
        <v>1.0982449818961793</v>
      </c>
      <c r="BV50" s="9">
        <f t="shared" si="237"/>
        <v>1.191978070178952</v>
      </c>
      <c r="BW50" s="9">
        <f t="shared" si="237"/>
        <v>1.2524292056665169</v>
      </c>
      <c r="BX50" s="9">
        <f t="shared" si="237"/>
        <v>1.3762985751430046</v>
      </c>
      <c r="BY50" s="9">
        <f t="shared" si="237"/>
        <v>1.6986542390009527</v>
      </c>
      <c r="BZ50" s="32"/>
      <c r="CA50" s="32"/>
      <c r="CL50" s="41">
        <f t="shared" si="61"/>
        <v>45041</v>
      </c>
      <c r="CM50" s="76">
        <v>0.91931178785842182</v>
      </c>
      <c r="CN50" s="9">
        <f t="shared" si="238"/>
        <v>0.76715706396965366</v>
      </c>
      <c r="CO50" s="9">
        <f t="shared" si="238"/>
        <v>0.87346774224100843</v>
      </c>
      <c r="CP50" s="9">
        <f t="shared" si="238"/>
        <v>0.95130569215038097</v>
      </c>
      <c r="CQ50" s="9">
        <f t="shared" si="238"/>
        <v>0.99240557891511272</v>
      </c>
      <c r="CR50" s="9">
        <f t="shared" si="238"/>
        <v>1.0786719194686887</v>
      </c>
      <c r="CS50" s="9">
        <f t="shared" si="238"/>
        <v>1.1975404366017701</v>
      </c>
      <c r="CT50" s="9">
        <f t="shared" si="238"/>
        <v>1.3298545298003452</v>
      </c>
      <c r="CU50" s="9">
        <f t="shared" si="238"/>
        <v>1.4742086532182945</v>
      </c>
      <c r="CV50" s="9">
        <f t="shared" si="238"/>
        <v>1.5708205539588234</v>
      </c>
      <c r="CW50" s="9">
        <f t="shared" si="238"/>
        <v>1.7665014688016161</v>
      </c>
      <c r="CX50" s="9">
        <f t="shared" si="238"/>
        <v>2.1932570457231777</v>
      </c>
      <c r="CY50" s="32"/>
      <c r="CZ50" s="32"/>
      <c r="DA50" s="32">
        <f t="shared" si="26"/>
        <v>0.91931178785842182</v>
      </c>
      <c r="DB50" s="32">
        <v>919311787.8584218</v>
      </c>
      <c r="DC50" s="32"/>
      <c r="DD50" s="41">
        <v>45405</v>
      </c>
      <c r="DE50" s="76">
        <v>1.2865728512998496</v>
      </c>
      <c r="DF50" s="9">
        <f t="shared" ref="DF50:DP50" si="284">DF49+DF$2</f>
        <v>0.76046331026395131</v>
      </c>
      <c r="DG50" s="9">
        <f t="shared" si="284"/>
        <v>0.84696787086750114</v>
      </c>
      <c r="DH50" s="9">
        <f t="shared" si="284"/>
        <v>0.9002558961852436</v>
      </c>
      <c r="DI50" s="9">
        <f t="shared" si="284"/>
        <v>0.93623458165328444</v>
      </c>
      <c r="DJ50" s="9">
        <f t="shared" si="284"/>
        <v>1.0056755297283326</v>
      </c>
      <c r="DK50" s="9">
        <f t="shared" si="284"/>
        <v>1.0977233158771798</v>
      </c>
      <c r="DL50" s="9">
        <f t="shared" si="284"/>
        <v>1.2127395272587345</v>
      </c>
      <c r="DM50" s="9">
        <f t="shared" si="284"/>
        <v>1.3369318261631247</v>
      </c>
      <c r="DN50" s="9">
        <f t="shared" si="284"/>
        <v>1.4119347992021229</v>
      </c>
      <c r="DO50" s="9">
        <f t="shared" si="284"/>
        <v>1.578046443753218</v>
      </c>
      <c r="DP50" s="9">
        <f t="shared" si="284"/>
        <v>1.9774921415439533</v>
      </c>
      <c r="DQ50" s="32"/>
      <c r="DR50" s="32"/>
      <c r="DS50" s="32">
        <f t="shared" si="28"/>
        <v>0.91931178785842182</v>
      </c>
      <c r="DT50" s="32">
        <v>919311787.8584218</v>
      </c>
      <c r="DU50" s="32"/>
      <c r="EF50" s="32"/>
      <c r="EG50" s="41">
        <v>45769</v>
      </c>
      <c r="EH50" s="76">
        <v>1.3970265475194388</v>
      </c>
      <c r="EI50" s="9">
        <f t="shared" ref="EI50:ES50" si="285">EI49+EI$2</f>
        <v>0.87248356797398696</v>
      </c>
      <c r="EJ50" s="9">
        <f t="shared" si="285"/>
        <v>0.94686211773008466</v>
      </c>
      <c r="EK50" s="9">
        <f t="shared" si="285"/>
        <v>1.011623931866696</v>
      </c>
      <c r="EL50" s="9">
        <f t="shared" si="285"/>
        <v>1.053916762422171</v>
      </c>
      <c r="EM50" s="9">
        <f t="shared" si="285"/>
        <v>1.1320040393074076</v>
      </c>
      <c r="EN50" s="9">
        <f t="shared" si="285"/>
        <v>1.2402280376972328</v>
      </c>
      <c r="EO50" s="9">
        <f t="shared" si="285"/>
        <v>1.3661824391000705</v>
      </c>
      <c r="EP50" s="9">
        <f t="shared" si="285"/>
        <v>1.5007929258596293</v>
      </c>
      <c r="EQ50" s="9">
        <f t="shared" si="285"/>
        <v>1.5814362023548658</v>
      </c>
      <c r="ER50" s="9">
        <f t="shared" si="285"/>
        <v>1.7584030913208528</v>
      </c>
      <c r="ES50" s="9">
        <f t="shared" si="285"/>
        <v>2.1213984001903778</v>
      </c>
      <c r="ET50" s="32"/>
      <c r="EU50" s="32"/>
      <c r="EV50" s="32">
        <f t="shared" si="30"/>
        <v>0.91931178785842182</v>
      </c>
      <c r="EW50" s="32">
        <v>919311787.8584218</v>
      </c>
      <c r="EX50" s="32"/>
      <c r="FG50" s="32"/>
      <c r="FH50" s="32"/>
      <c r="FI50" s="41">
        <v>46133</v>
      </c>
      <c r="FJ50" s="76">
        <v>0.95660304674443297</v>
      </c>
      <c r="FK50" s="9">
        <f t="shared" ref="FK50:FU50" si="286">FK49+FK$2</f>
        <v>0.87248356797398696</v>
      </c>
      <c r="FL50" s="9">
        <f t="shared" si="286"/>
        <v>0.94686211773008466</v>
      </c>
      <c r="FM50" s="9">
        <f t="shared" si="286"/>
        <v>1.011623931866696</v>
      </c>
      <c r="FN50" s="9">
        <f t="shared" si="286"/>
        <v>1.053916762422171</v>
      </c>
      <c r="FO50" s="9">
        <f t="shared" si="286"/>
        <v>1.1320040393074076</v>
      </c>
      <c r="FP50" s="9">
        <f t="shared" si="286"/>
        <v>1.2402280376972328</v>
      </c>
      <c r="FQ50" s="9">
        <f t="shared" si="286"/>
        <v>1.3661824391000705</v>
      </c>
      <c r="FR50" s="9">
        <f t="shared" si="286"/>
        <v>1.5007929258596293</v>
      </c>
      <c r="FS50" s="9">
        <f t="shared" si="286"/>
        <v>1.5814362023548658</v>
      </c>
      <c r="FT50" s="9">
        <f t="shared" si="286"/>
        <v>1.7584030913208528</v>
      </c>
      <c r="FU50" s="9">
        <f t="shared" si="286"/>
        <v>2.1213984001903778</v>
      </c>
      <c r="FV50" s="32"/>
      <c r="FW50" s="32"/>
      <c r="FX50" s="32">
        <f t="shared" si="32"/>
        <v>0.91931178785842182</v>
      </c>
      <c r="FY50" s="32">
        <v>919311787.8584218</v>
      </c>
      <c r="FZ50" s="32"/>
      <c r="GI50" s="32"/>
      <c r="GJ50" s="41"/>
      <c r="GK50" s="76"/>
      <c r="GL50" s="9">
        <f t="shared" ref="GL50:GV50" si="287">GL49+GL$2</f>
        <v>0.72007642223960833</v>
      </c>
      <c r="GM50" s="9">
        <f t="shared" si="287"/>
        <v>0.8290163831180507</v>
      </c>
      <c r="GN50" s="9">
        <f t="shared" si="287"/>
        <v>0.89129207439888214</v>
      </c>
      <c r="GO50" s="9">
        <f t="shared" si="287"/>
        <v>0.9264705348098734</v>
      </c>
      <c r="GP50" s="9">
        <f t="shared" si="287"/>
        <v>0.99932949514831293</v>
      </c>
      <c r="GQ50" s="9">
        <f t="shared" si="287"/>
        <v>1.1199970610232752</v>
      </c>
      <c r="GR50" s="9">
        <f t="shared" si="287"/>
        <v>1.2766874449369163</v>
      </c>
      <c r="GS50" s="9">
        <f t="shared" si="287"/>
        <v>1.4607653899814694</v>
      </c>
      <c r="GT50" s="9">
        <f t="shared" si="287"/>
        <v>1.6076276465972588</v>
      </c>
      <c r="GU50" s="9">
        <f t="shared" si="287"/>
        <v>1.886120284274623</v>
      </c>
      <c r="GV50" s="9">
        <f t="shared" si="287"/>
        <v>2.4514475960937787</v>
      </c>
      <c r="GW50" s="32"/>
      <c r="GX50" s="32"/>
      <c r="GY50" s="32">
        <f t="shared" si="34"/>
        <v>0.91931178785842182</v>
      </c>
      <c r="GZ50" s="32">
        <v>919311787.8584218</v>
      </c>
      <c r="HA50" s="32"/>
      <c r="HB50" s="41"/>
      <c r="HC50" s="76"/>
      <c r="HD50" s="9"/>
      <c r="HE50" s="9"/>
      <c r="HF50" s="9"/>
      <c r="HG50" s="9"/>
      <c r="HH50" s="9"/>
      <c r="HI50" s="9"/>
      <c r="HJ50" s="9"/>
      <c r="HK50" s="9"/>
      <c r="HL50" s="9"/>
      <c r="HM50" s="9"/>
      <c r="HN50" s="9"/>
      <c r="HO50" s="32"/>
      <c r="HP50" s="32"/>
      <c r="HQ50" s="32"/>
      <c r="HR50" s="32"/>
      <c r="IC50" s="41">
        <f t="shared" si="67"/>
        <v>45041</v>
      </c>
      <c r="ID50" s="9"/>
      <c r="IE50" s="9">
        <f t="shared" si="214"/>
        <v>0.86573683914905841</v>
      </c>
      <c r="IF50" s="9">
        <f t="shared" si="214"/>
        <v>0.89394227294915318</v>
      </c>
      <c r="IG50" s="9">
        <f t="shared" si="214"/>
        <v>0.92017532992258688</v>
      </c>
      <c r="IH50" s="9">
        <f t="shared" si="214"/>
        <v>0.93453107844130601</v>
      </c>
      <c r="II50" s="9">
        <f t="shared" si="214"/>
        <v>0.96379076340013625</v>
      </c>
      <c r="IJ50" s="9">
        <f t="shared" si="214"/>
        <v>1.0061636031187107</v>
      </c>
      <c r="IK50" s="9">
        <f t="shared" si="214"/>
        <v>1.0600045204092026</v>
      </c>
      <c r="IL50" s="9">
        <f t="shared" si="214"/>
        <v>1.1215546577653319</v>
      </c>
      <c r="IM50" s="9">
        <f t="shared" si="214"/>
        <v>1.1624865252033658</v>
      </c>
      <c r="IN50" s="9">
        <f t="shared" si="214"/>
        <v>1.260142249167584</v>
      </c>
      <c r="IO50" s="9">
        <f t="shared" si="214"/>
        <v>1.3772481446131981</v>
      </c>
      <c r="IP50" s="32"/>
      <c r="IQ50" s="32"/>
      <c r="JB50" s="41">
        <f t="shared" si="13"/>
        <v>44677</v>
      </c>
      <c r="JC50" s="9">
        <f t="shared" si="14"/>
        <v>0.98300771034159995</v>
      </c>
      <c r="JD50" s="9">
        <f>$JC50</f>
        <v>0.98300771034159995</v>
      </c>
      <c r="JE50" s="9">
        <f t="shared" ref="JE50:JO50" si="288">$JC50</f>
        <v>0.98300771034159995</v>
      </c>
      <c r="JF50" s="9">
        <f t="shared" si="288"/>
        <v>0.98300771034159995</v>
      </c>
      <c r="JG50" s="9">
        <f t="shared" si="288"/>
        <v>0.98300771034159995</v>
      </c>
      <c r="JH50" s="9">
        <f t="shared" si="288"/>
        <v>0.98300771034159995</v>
      </c>
      <c r="JI50" s="9">
        <f t="shared" si="288"/>
        <v>0.98300771034159995</v>
      </c>
      <c r="JJ50" s="9">
        <f t="shared" si="288"/>
        <v>0.98300771034159995</v>
      </c>
      <c r="JK50" s="9">
        <f t="shared" si="288"/>
        <v>0.98300771034159995</v>
      </c>
      <c r="JL50" s="9">
        <f t="shared" si="288"/>
        <v>0.98300771034159995</v>
      </c>
      <c r="JM50" s="9">
        <f t="shared" si="288"/>
        <v>0.98300771034159995</v>
      </c>
      <c r="JN50" s="9">
        <f t="shared" si="288"/>
        <v>0.98300771034159995</v>
      </c>
      <c r="JO50" s="9">
        <f t="shared" si="288"/>
        <v>0.98300771034159995</v>
      </c>
      <c r="JZ50" s="41">
        <f t="shared" si="234"/>
        <v>44677</v>
      </c>
      <c r="KA50" s="9">
        <f t="shared" si="37"/>
        <v>0.98300771034159995</v>
      </c>
      <c r="KB50" s="9"/>
      <c r="KC50" s="9"/>
      <c r="KP50" s="212"/>
      <c r="KR50" s="41"/>
      <c r="KS50" s="212"/>
      <c r="KT50" s="212"/>
      <c r="KV50" s="41"/>
      <c r="KW50" s="212"/>
      <c r="KX50" s="212"/>
      <c r="KZ50" s="41"/>
      <c r="LA50" s="212"/>
      <c r="LB50" s="212"/>
      <c r="LD50" s="41"/>
      <c r="LE50" s="212"/>
      <c r="LF50" s="212"/>
      <c r="LL50" s="41"/>
      <c r="LM50" s="212"/>
      <c r="LN50" s="212"/>
      <c r="LT50" s="41"/>
      <c r="LU50" s="212"/>
      <c r="LV50" s="75"/>
      <c r="MB50" s="32"/>
      <c r="MC50" s="32"/>
      <c r="MD50" s="32"/>
      <c r="ME50" s="32"/>
      <c r="MF50" s="32"/>
      <c r="MG50" s="32"/>
      <c r="MH50" s="32"/>
      <c r="MI50" s="39"/>
      <c r="MJ50" s="39"/>
      <c r="MK50" s="39"/>
      <c r="ML50" s="39"/>
      <c r="MM50" s="9"/>
      <c r="MN50" s="9"/>
      <c r="MO50" s="9"/>
      <c r="MP50" s="74"/>
      <c r="MQ50" s="74"/>
      <c r="MR50" s="74"/>
      <c r="MS50" s="74"/>
      <c r="MT50" s="74"/>
      <c r="MU50" s="74"/>
      <c r="MW50" s="72"/>
      <c r="MX50" s="78">
        <v>-1</v>
      </c>
      <c r="MY50" s="10">
        <v>0.4720116043240663</v>
      </c>
      <c r="MZ50" s="10">
        <v>0.4776885889575877</v>
      </c>
      <c r="NA50" s="10">
        <v>0.43758243432733201</v>
      </c>
      <c r="NB50" s="10">
        <v>0.40615067567600821</v>
      </c>
      <c r="NC50" s="10">
        <v>0.45103174900177756</v>
      </c>
      <c r="ND50" s="10">
        <v>0.46083282909258994</v>
      </c>
      <c r="NE50" s="10">
        <v>0.55893648776345017</v>
      </c>
      <c r="NF50" s="10">
        <v>0.48276242311927398</v>
      </c>
      <c r="NG50" s="10">
        <v>0.51182661742823177</v>
      </c>
      <c r="NH50" s="10">
        <v>0.50517317326183964</v>
      </c>
      <c r="NI50" s="10">
        <v>0.23529501749433765</v>
      </c>
    </row>
    <row r="51" spans="2:373" x14ac:dyDescent="0.25">
      <c r="B51" s="48">
        <v>43046</v>
      </c>
      <c r="C51" s="214">
        <v>42039084.481199995</v>
      </c>
      <c r="D51" s="214">
        <v>32051757</v>
      </c>
      <c r="E51" s="215">
        <v>30000000</v>
      </c>
      <c r="F51" s="215"/>
      <c r="G51" s="215"/>
      <c r="H51" s="215"/>
      <c r="I51" s="41">
        <v>43221</v>
      </c>
      <c r="J51" s="212">
        <v>17002727.2368</v>
      </c>
      <c r="K51" s="212">
        <f t="shared" si="18"/>
        <v>995487976.14479959</v>
      </c>
      <c r="M51" s="41">
        <v>43585</v>
      </c>
      <c r="N51" s="212">
        <v>8739851.8463999983</v>
      </c>
      <c r="O51" s="212">
        <f t="shared" si="19"/>
        <v>1013255235.0215999</v>
      </c>
      <c r="Q51" s="41">
        <v>43949</v>
      </c>
      <c r="R51" s="212">
        <v>10423667.663999999</v>
      </c>
      <c r="S51" s="212">
        <f t="shared" si="20"/>
        <v>838608381.25199974</v>
      </c>
      <c r="U51" s="41">
        <v>44320</v>
      </c>
      <c r="V51" s="212">
        <v>23881967.6076</v>
      </c>
      <c r="W51" s="212">
        <f t="shared" si="21"/>
        <v>978120953.66880012</v>
      </c>
      <c r="Y51" s="38">
        <v>44684</v>
      </c>
      <c r="Z51" s="214">
        <v>10298956.748399999</v>
      </c>
      <c r="AA51" s="212">
        <f t="shared" si="261"/>
        <v>993306667.08999991</v>
      </c>
      <c r="AC51" s="32">
        <v>44</v>
      </c>
      <c r="AD51" s="39">
        <f t="shared" si="0"/>
        <v>0.99548797614479956</v>
      </c>
      <c r="AE51" s="39">
        <f t="shared" si="1"/>
        <v>1.0132552350216</v>
      </c>
      <c r="AF51" s="39">
        <f t="shared" si="2"/>
        <v>0.83860838125199977</v>
      </c>
      <c r="AG51" s="39">
        <f t="shared" si="3"/>
        <v>0.97812095366880014</v>
      </c>
      <c r="AH51" s="39">
        <f t="shared" si="4"/>
        <v>0.99330666708999993</v>
      </c>
      <c r="AI51" s="39">
        <f t="shared" si="23"/>
        <v>1.2242399325663509</v>
      </c>
      <c r="AJ51" s="9">
        <f t="shared" ref="AJ51:AL59" si="289">AJ50+AJ$3</f>
        <v>0.98300771034159995</v>
      </c>
      <c r="AK51" s="9">
        <f t="shared" si="289"/>
        <v>0.98300771034159995</v>
      </c>
      <c r="AL51" s="9">
        <f t="shared" si="289"/>
        <v>0.98300771034159995</v>
      </c>
      <c r="AM51" s="74"/>
      <c r="AN51" s="74"/>
      <c r="AO51" s="74"/>
      <c r="AP51" s="74"/>
      <c r="AQ51" s="74"/>
      <c r="AR51" s="74"/>
      <c r="AT51" s="72"/>
      <c r="AU51" s="78">
        <v>-1</v>
      </c>
      <c r="AV51" s="10">
        <v>0.98025962820020918</v>
      </c>
      <c r="AW51" s="10">
        <v>0.91258911364506023</v>
      </c>
      <c r="AX51" s="10">
        <v>0.96853489348503885</v>
      </c>
      <c r="AY51" s="10">
        <v>1.1154838153871565</v>
      </c>
      <c r="AZ51" s="10">
        <v>1.0691352843176005</v>
      </c>
      <c r="BA51" s="10"/>
      <c r="BB51" s="10">
        <v>0.78885087063420078</v>
      </c>
      <c r="BM51" s="41">
        <f t="shared" si="60"/>
        <v>44684</v>
      </c>
      <c r="BN51" s="9">
        <f t="shared" si="5"/>
        <v>0.99330666708999993</v>
      </c>
      <c r="BO51" s="9">
        <f t="shared" si="237"/>
        <v>0.7054170144902242</v>
      </c>
      <c r="BP51" s="9">
        <f t="shared" si="237"/>
        <v>0.8018180756435388</v>
      </c>
      <c r="BQ51" s="9">
        <f t="shared" si="237"/>
        <v>0.8555240382470517</v>
      </c>
      <c r="BR51" s="9">
        <f t="shared" si="237"/>
        <v>0.88879335148812233</v>
      </c>
      <c r="BS51" s="9">
        <f t="shared" si="237"/>
        <v>0.95083795358133016</v>
      </c>
      <c r="BT51" s="9">
        <f t="shared" si="237"/>
        <v>1.0326715316973729</v>
      </c>
      <c r="BU51" s="9">
        <f t="shared" si="237"/>
        <v>1.1237855628705089</v>
      </c>
      <c r="BV51" s="9">
        <f t="shared" si="237"/>
        <v>1.2196984904156718</v>
      </c>
      <c r="BW51" s="9">
        <f t="shared" si="237"/>
        <v>1.2815554662634128</v>
      </c>
      <c r="BX51" s="9">
        <f t="shared" si="237"/>
        <v>1.4083055187509814</v>
      </c>
      <c r="BY51" s="9">
        <f t="shared" si="237"/>
        <v>1.7381578259544632</v>
      </c>
      <c r="BZ51" s="32"/>
      <c r="CA51" s="32"/>
      <c r="CL51" s="41">
        <f t="shared" si="61"/>
        <v>45048</v>
      </c>
      <c r="CM51" s="76">
        <v>0.94029749152884223</v>
      </c>
      <c r="CN51" s="9">
        <f t="shared" si="238"/>
        <v>0.78499792592243633</v>
      </c>
      <c r="CO51" s="9">
        <f t="shared" si="238"/>
        <v>0.89378094554893883</v>
      </c>
      <c r="CP51" s="9">
        <f t="shared" si="238"/>
        <v>0.9734290803399247</v>
      </c>
      <c r="CQ51" s="9">
        <f t="shared" si="238"/>
        <v>1.0154847784247665</v>
      </c>
      <c r="CR51" s="9">
        <f t="shared" si="238"/>
        <v>1.1037573129447047</v>
      </c>
      <c r="CS51" s="9">
        <f t="shared" si="238"/>
        <v>1.2253902141971602</v>
      </c>
      <c r="CT51" s="9">
        <f t="shared" si="238"/>
        <v>1.3607813793305858</v>
      </c>
      <c r="CU51" s="9">
        <f t="shared" si="238"/>
        <v>1.5084925753861618</v>
      </c>
      <c r="CV51" s="9">
        <f t="shared" si="238"/>
        <v>1.6073512645160053</v>
      </c>
      <c r="CW51" s="9">
        <f t="shared" si="238"/>
        <v>1.8075828983086304</v>
      </c>
      <c r="CX51" s="9">
        <f t="shared" si="238"/>
        <v>2.2442630235306935</v>
      </c>
      <c r="CY51" s="32"/>
      <c r="CZ51" s="32"/>
      <c r="DA51" s="32">
        <f t="shared" si="26"/>
        <v>0.94029749152884223</v>
      </c>
      <c r="DB51" s="32">
        <v>940297491.52884221</v>
      </c>
      <c r="DC51" s="32"/>
      <c r="DD51" s="41">
        <v>45412</v>
      </c>
      <c r="DE51" s="76">
        <v>1.3040094062196694</v>
      </c>
      <c r="DF51" s="9">
        <f t="shared" ref="DF51:DP51" si="290">DF50+DF$2</f>
        <v>0.7781485035259037</v>
      </c>
      <c r="DG51" s="9">
        <f t="shared" si="290"/>
        <v>0.86666479809697794</v>
      </c>
      <c r="DH51" s="9">
        <f t="shared" si="290"/>
        <v>0.92119207981745854</v>
      </c>
      <c r="DI51" s="9">
        <f t="shared" si="290"/>
        <v>0.95800747890103521</v>
      </c>
      <c r="DJ51" s="9">
        <f t="shared" si="290"/>
        <v>1.0290633327452705</v>
      </c>
      <c r="DK51" s="9">
        <f t="shared" si="290"/>
        <v>1.1232517650836258</v>
      </c>
      <c r="DL51" s="9">
        <f t="shared" si="290"/>
        <v>1.240942772078705</v>
      </c>
      <c r="DM51" s="9">
        <f t="shared" si="290"/>
        <v>1.3680232639808718</v>
      </c>
      <c r="DN51" s="9">
        <f t="shared" si="290"/>
        <v>1.4447704922068234</v>
      </c>
      <c r="DO51" s="9">
        <f t="shared" si="290"/>
        <v>1.6147451982591068</v>
      </c>
      <c r="DP51" s="9">
        <f t="shared" si="290"/>
        <v>2.0234803308821849</v>
      </c>
      <c r="DQ51" s="32"/>
      <c r="DR51" s="32"/>
      <c r="DS51" s="32">
        <f t="shared" si="28"/>
        <v>0.94029749152884223</v>
      </c>
      <c r="DT51" s="32">
        <v>940297491.52884221</v>
      </c>
      <c r="DU51" s="32"/>
      <c r="EF51" s="32"/>
      <c r="EG51" s="41">
        <v>45776</v>
      </c>
      <c r="EH51" s="76">
        <v>1.4164729357078771</v>
      </c>
      <c r="EI51" s="9">
        <f t="shared" ref="EI51:ES51" si="291">EI50+EI$2</f>
        <v>0.8927738835082657</v>
      </c>
      <c r="EJ51" s="9">
        <f t="shared" si="291"/>
        <v>0.96888216697962148</v>
      </c>
      <c r="EK51" s="9">
        <f t="shared" si="291"/>
        <v>1.0351500698170844</v>
      </c>
      <c r="EL51" s="9">
        <f t="shared" si="291"/>
        <v>1.0784264545715239</v>
      </c>
      <c r="EM51" s="9">
        <f t="shared" si="291"/>
        <v>1.1583297146401379</v>
      </c>
      <c r="EN51" s="9">
        <f t="shared" si="291"/>
        <v>1.2690705502018196</v>
      </c>
      <c r="EO51" s="9">
        <f t="shared" si="291"/>
        <v>1.3979541237303048</v>
      </c>
      <c r="EP51" s="9">
        <f t="shared" si="291"/>
        <v>1.5356950869261323</v>
      </c>
      <c r="EQ51" s="9">
        <f t="shared" si="291"/>
        <v>1.6182137884561418</v>
      </c>
      <c r="ER51" s="9">
        <f t="shared" si="291"/>
        <v>1.7992961864678494</v>
      </c>
      <c r="ES51" s="9">
        <f t="shared" si="291"/>
        <v>2.1707332467064333</v>
      </c>
      <c r="ET51" s="32"/>
      <c r="EU51" s="32"/>
      <c r="EV51" s="32">
        <f t="shared" si="30"/>
        <v>0.94029749152884223</v>
      </c>
      <c r="EW51" s="32">
        <v>940297491.52884221</v>
      </c>
      <c r="EX51" s="32"/>
      <c r="FG51" s="32"/>
      <c r="FH51" s="32"/>
      <c r="FI51" s="41">
        <v>46140</v>
      </c>
      <c r="FJ51" s="76">
        <v>0.9760312342391777</v>
      </c>
      <c r="FK51" s="9">
        <f t="shared" ref="FK51:FU51" si="292">FK50+FK$2</f>
        <v>0.8927738835082657</v>
      </c>
      <c r="FL51" s="9">
        <f t="shared" si="292"/>
        <v>0.96888216697962148</v>
      </c>
      <c r="FM51" s="9">
        <f t="shared" si="292"/>
        <v>1.0351500698170844</v>
      </c>
      <c r="FN51" s="9">
        <f t="shared" si="292"/>
        <v>1.0784264545715239</v>
      </c>
      <c r="FO51" s="9">
        <f t="shared" si="292"/>
        <v>1.1583297146401379</v>
      </c>
      <c r="FP51" s="9">
        <f t="shared" si="292"/>
        <v>1.2690705502018196</v>
      </c>
      <c r="FQ51" s="9">
        <f t="shared" si="292"/>
        <v>1.3979541237303048</v>
      </c>
      <c r="FR51" s="9">
        <f t="shared" si="292"/>
        <v>1.5356950869261323</v>
      </c>
      <c r="FS51" s="9">
        <f t="shared" si="292"/>
        <v>1.6182137884561418</v>
      </c>
      <c r="FT51" s="9">
        <f t="shared" si="292"/>
        <v>1.7992961864678494</v>
      </c>
      <c r="FU51" s="9">
        <f t="shared" si="292"/>
        <v>2.1707332467064333</v>
      </c>
      <c r="FV51" s="32"/>
      <c r="FW51" s="32"/>
      <c r="FX51" s="32">
        <f t="shared" si="32"/>
        <v>0.94029749152884223</v>
      </c>
      <c r="FY51" s="32">
        <v>940297491.52884221</v>
      </c>
      <c r="FZ51" s="32"/>
      <c r="GI51" s="32"/>
      <c r="GJ51" s="41"/>
      <c r="GK51" s="76"/>
      <c r="GL51" s="9">
        <f t="shared" ref="GL51:GV51" si="293">GL50+GL$2</f>
        <v>0.73682238554750623</v>
      </c>
      <c r="GM51" s="9">
        <f t="shared" si="293"/>
        <v>0.84829583388823793</v>
      </c>
      <c r="GN51" s="9">
        <f t="shared" si="293"/>
        <v>0.91201979705932124</v>
      </c>
      <c r="GO51" s="9">
        <f t="shared" si="293"/>
        <v>0.94801636120080068</v>
      </c>
      <c r="GP51" s="9">
        <f t="shared" si="293"/>
        <v>1.0225697159657157</v>
      </c>
      <c r="GQ51" s="9">
        <f t="shared" si="293"/>
        <v>1.1460435043028863</v>
      </c>
      <c r="GR51" s="9">
        <f t="shared" si="293"/>
        <v>1.3063778506331236</v>
      </c>
      <c r="GS51" s="9">
        <f t="shared" si="293"/>
        <v>1.4947366781205733</v>
      </c>
      <c r="GT51" s="9">
        <f t="shared" si="293"/>
        <v>1.645014336053009</v>
      </c>
      <c r="GU51" s="9">
        <f t="shared" si="293"/>
        <v>1.9299835466996142</v>
      </c>
      <c r="GV51" s="9">
        <f t="shared" si="293"/>
        <v>2.5084580053052621</v>
      </c>
      <c r="GW51" s="32"/>
      <c r="GX51" s="32"/>
      <c r="GY51" s="32">
        <f t="shared" si="34"/>
        <v>0.94029749152884223</v>
      </c>
      <c r="GZ51" s="32">
        <v>940297491.52884221</v>
      </c>
      <c r="HA51" s="32"/>
      <c r="HB51" s="41"/>
      <c r="HC51" s="76"/>
      <c r="HD51" s="9"/>
      <c r="HE51" s="9"/>
      <c r="HF51" s="9"/>
      <c r="HG51" s="9"/>
      <c r="HH51" s="9"/>
      <c r="HI51" s="9"/>
      <c r="HJ51" s="9"/>
      <c r="HK51" s="9"/>
      <c r="HL51" s="9"/>
      <c r="HM51" s="9"/>
      <c r="HN51" s="9"/>
      <c r="HO51" s="32"/>
      <c r="HP51" s="32"/>
      <c r="HQ51" s="32"/>
      <c r="HR51" s="32"/>
      <c r="IC51" s="41">
        <f t="shared" si="67"/>
        <v>45048</v>
      </c>
      <c r="ID51" s="9"/>
      <c r="IE51" s="9">
        <f t="shared" si="214"/>
        <v>0.88082834327536974</v>
      </c>
      <c r="IF51" s="9">
        <f t="shared" si="214"/>
        <v>0.91104845091832842</v>
      </c>
      <c r="IG51" s="9">
        <f t="shared" si="214"/>
        <v>0.93915529767557882</v>
      </c>
      <c r="IH51" s="9">
        <f t="shared" si="214"/>
        <v>0.95453645680277788</v>
      </c>
      <c r="II51" s="9">
        <f t="shared" si="214"/>
        <v>0.98588611925866743</v>
      </c>
      <c r="IJ51" s="9">
        <f t="shared" si="214"/>
        <v>1.0312855903857114</v>
      </c>
      <c r="IK51" s="9">
        <f t="shared" si="214"/>
        <v>1.0889722874826671</v>
      </c>
      <c r="IL51" s="9">
        <f t="shared" si="214"/>
        <v>1.1549188632213772</v>
      </c>
      <c r="IM51" s="9">
        <f t="shared" si="214"/>
        <v>1.1987744354764134</v>
      </c>
      <c r="IN51" s="9">
        <f t="shared" si="214"/>
        <v>1.3034055682952186</v>
      </c>
      <c r="IO51" s="9">
        <f t="shared" si="214"/>
        <v>1.4288761705583766</v>
      </c>
      <c r="IP51" s="32"/>
      <c r="IQ51" s="32"/>
      <c r="JB51" s="41">
        <f t="shared" ref="JB51:JB59" si="294">BM51</f>
        <v>44684</v>
      </c>
      <c r="JC51" s="9"/>
      <c r="JD51" s="9">
        <f t="shared" ref="JD51:JO59" si="295">JD50+JD$2</f>
        <v>0.99574073064979995</v>
      </c>
      <c r="JE51" s="9">
        <f t="shared" si="295"/>
        <v>0.99675172669906664</v>
      </c>
      <c r="JF51" s="9">
        <f t="shared" si="295"/>
        <v>0.99737045124006662</v>
      </c>
      <c r="JG51" s="9">
        <f t="shared" si="295"/>
        <v>0.99838144728933331</v>
      </c>
      <c r="JH51" s="9">
        <f t="shared" si="295"/>
        <v>0.99975190258226665</v>
      </c>
      <c r="JI51" s="9">
        <f t="shared" si="295"/>
        <v>1.0025256254327333</v>
      </c>
      <c r="JJ51" s="9">
        <f t="shared" si="295"/>
        <v>1.0059093574329332</v>
      </c>
      <c r="JK51" s="9">
        <f t="shared" si="295"/>
        <v>1.0093247245761332</v>
      </c>
      <c r="JL51" s="9">
        <f t="shared" si="295"/>
        <v>1.0156829182940665</v>
      </c>
      <c r="JM51" s="9">
        <f t="shared" si="295"/>
        <v>1.0266121659356</v>
      </c>
      <c r="JN51" s="9">
        <f t="shared" si="295"/>
        <v>1.0406298135771332</v>
      </c>
      <c r="JO51" s="9">
        <f t="shared" si="295"/>
        <v>0.98300771034159995</v>
      </c>
      <c r="JZ51" s="41">
        <f t="shared" si="234"/>
        <v>44684</v>
      </c>
      <c r="KA51" s="9">
        <f>KA50+'[4]HY''s'!K166/1000000000*1.3236</f>
        <v>0.99433233664239995</v>
      </c>
      <c r="KB51" s="9">
        <f>$KA51</f>
        <v>0.99433233664239995</v>
      </c>
      <c r="KC51" s="9">
        <f>$KA51</f>
        <v>0.99433233664239995</v>
      </c>
      <c r="KP51" s="212"/>
      <c r="KR51" s="41"/>
      <c r="KS51" s="212"/>
      <c r="KT51" s="212"/>
      <c r="KV51" s="41"/>
      <c r="KW51" s="212"/>
      <c r="KX51" s="212"/>
      <c r="KZ51" s="41"/>
      <c r="LA51" s="212"/>
      <c r="LB51" s="212"/>
      <c r="LD51" s="41"/>
      <c r="LE51" s="212"/>
      <c r="LF51" s="212"/>
      <c r="LL51" s="41"/>
      <c r="LM51" s="212"/>
      <c r="LN51" s="212"/>
      <c r="LT51" s="41"/>
      <c r="LU51" s="212"/>
      <c r="LV51" s="75"/>
      <c r="MB51" s="32"/>
      <c r="MC51" s="32"/>
      <c r="MD51" s="32"/>
      <c r="ME51" s="32"/>
      <c r="MF51" s="32"/>
      <c r="MG51" s="32"/>
      <c r="MH51" s="32"/>
      <c r="MI51" s="39"/>
      <c r="MJ51" s="39"/>
      <c r="MK51" s="39"/>
      <c r="ML51" s="39"/>
      <c r="MM51" s="9"/>
      <c r="MN51" s="9"/>
      <c r="MO51" s="9"/>
      <c r="MP51" s="74"/>
      <c r="MQ51" s="74"/>
      <c r="MR51" s="74"/>
      <c r="MS51" s="74"/>
      <c r="MT51" s="74"/>
      <c r="MU51" s="74"/>
      <c r="MW51" s="72"/>
      <c r="MX51" s="78">
        <v>0</v>
      </c>
      <c r="MY51" s="10">
        <v>0.57809298935968734</v>
      </c>
      <c r="MZ51" s="10">
        <v>0.57535921944641832</v>
      </c>
      <c r="NA51" s="10">
        <v>0.52646617954745134</v>
      </c>
      <c r="NB51" s="10">
        <v>0.49361137043318365</v>
      </c>
      <c r="NC51" s="10">
        <v>0.53769802540726885</v>
      </c>
      <c r="ND51" s="10">
        <v>0.5503653583336926</v>
      </c>
      <c r="NE51" s="10">
        <v>0.66452844484988627</v>
      </c>
      <c r="NF51" s="10">
        <v>0.56793531546234632</v>
      </c>
      <c r="NG51" s="10">
        <v>0.61833538988638415</v>
      </c>
      <c r="NH51" s="10">
        <v>0.60371553357505792</v>
      </c>
      <c r="NI51" s="10">
        <v>0.30487593717988787</v>
      </c>
    </row>
    <row r="52" spans="2:373" x14ac:dyDescent="0.25">
      <c r="B52" s="48">
        <v>43053</v>
      </c>
      <c r="C52" s="214">
        <v>55819025.582399994</v>
      </c>
      <c r="D52" s="214">
        <v>42557964</v>
      </c>
      <c r="E52" s="216">
        <v>40000000</v>
      </c>
      <c r="F52" s="216" t="s">
        <v>83</v>
      </c>
      <c r="G52" s="215"/>
      <c r="H52" s="215"/>
      <c r="I52" s="41">
        <v>43228</v>
      </c>
      <c r="J52" s="212">
        <v>16704788.115599999</v>
      </c>
      <c r="K52" s="212">
        <f t="shared" si="18"/>
        <v>1012192764.2603996</v>
      </c>
      <c r="M52" s="41">
        <v>43592</v>
      </c>
      <c r="N52" s="212">
        <v>11764544.410799999</v>
      </c>
      <c r="O52" s="212">
        <f t="shared" si="19"/>
        <v>1025019779.4323999</v>
      </c>
      <c r="Q52" s="41">
        <v>43956</v>
      </c>
      <c r="R52" s="212">
        <v>14592098.350799998</v>
      </c>
      <c r="S52" s="212">
        <f t="shared" si="20"/>
        <v>853200479.60279977</v>
      </c>
      <c r="U52" s="41">
        <v>44327</v>
      </c>
      <c r="V52" s="212">
        <v>11398439.501999998</v>
      </c>
      <c r="W52" s="212">
        <f t="shared" si="21"/>
        <v>989519393.17080009</v>
      </c>
      <c r="Y52" s="38">
        <v>44691</v>
      </c>
      <c r="Z52" s="214">
        <v>14269554.237599999</v>
      </c>
      <c r="AA52" s="212">
        <f t="shared" si="261"/>
        <v>1007576221.3275999</v>
      </c>
      <c r="AC52" s="32">
        <v>45</v>
      </c>
      <c r="AD52" s="39">
        <f t="shared" si="0"/>
        <v>1.0121927642603996</v>
      </c>
      <c r="AE52" s="39">
        <f t="shared" si="1"/>
        <v>1.0250197794323999</v>
      </c>
      <c r="AF52" s="39">
        <f t="shared" si="2"/>
        <v>0.85320047960279977</v>
      </c>
      <c r="AG52" s="39">
        <f t="shared" si="3"/>
        <v>0.98951939317080007</v>
      </c>
      <c r="AH52" s="39">
        <f t="shared" si="4"/>
        <v>1.0075762213275998</v>
      </c>
      <c r="AI52" s="39">
        <f t="shared" si="23"/>
        <v>1.2520635673974043</v>
      </c>
      <c r="AJ52" s="9">
        <f t="shared" si="289"/>
        <v>0.98300771034159995</v>
      </c>
      <c r="AK52" s="9">
        <f t="shared" si="289"/>
        <v>0.98300771034159995</v>
      </c>
      <c r="AL52" s="9">
        <f t="shared" si="289"/>
        <v>0.98300771034159995</v>
      </c>
      <c r="AM52" s="74"/>
      <c r="AN52" s="74"/>
      <c r="AO52" s="74"/>
      <c r="AP52" s="74"/>
      <c r="AQ52" s="74"/>
      <c r="AR52" s="74"/>
      <c r="AT52" s="72"/>
      <c r="AU52" s="78">
        <v>0</v>
      </c>
      <c r="AV52" s="10">
        <v>1.126172000107126</v>
      </c>
      <c r="AW52" s="10">
        <v>1.0410651330137417</v>
      </c>
      <c r="AX52" s="10">
        <v>1.0891600163771504</v>
      </c>
      <c r="AY52" s="10">
        <v>1.2551894330170925</v>
      </c>
      <c r="AZ52" s="10">
        <v>1.2167253961406632</v>
      </c>
      <c r="BA52" s="10"/>
      <c r="BB52" s="10">
        <v>0.91919572658353532</v>
      </c>
      <c r="BM52" s="41">
        <f t="shared" si="60"/>
        <v>44691</v>
      </c>
      <c r="BN52" s="9">
        <f t="shared" si="5"/>
        <v>1.0075762213275998</v>
      </c>
      <c r="BO52" s="9">
        <f t="shared" si="237"/>
        <v>0.72144921936500206</v>
      </c>
      <c r="BP52" s="9">
        <f t="shared" si="237"/>
        <v>0.82004121372634653</v>
      </c>
      <c r="BQ52" s="9">
        <f t="shared" si="237"/>
        <v>0.87496776638903018</v>
      </c>
      <c r="BR52" s="9">
        <f t="shared" si="237"/>
        <v>0.90899320038557962</v>
      </c>
      <c r="BS52" s="9">
        <f t="shared" si="237"/>
        <v>0.97244790707181494</v>
      </c>
      <c r="BT52" s="9">
        <f t="shared" si="237"/>
        <v>1.0561413392359496</v>
      </c>
      <c r="BU52" s="9">
        <f t="shared" si="237"/>
        <v>1.1493261438448386</v>
      </c>
      <c r="BV52" s="9">
        <f t="shared" si="237"/>
        <v>1.2474189106523916</v>
      </c>
      <c r="BW52" s="9">
        <f t="shared" si="237"/>
        <v>1.3106817268603086</v>
      </c>
      <c r="BX52" s="9">
        <f t="shared" si="237"/>
        <v>1.4403124623589583</v>
      </c>
      <c r="BY52" s="9">
        <f t="shared" si="237"/>
        <v>1.7776614129079737</v>
      </c>
      <c r="BZ52" s="32"/>
      <c r="CA52" s="32"/>
      <c r="CL52" s="41">
        <f t="shared" si="61"/>
        <v>45055</v>
      </c>
      <c r="CM52" s="76">
        <v>0.97126155342974319</v>
      </c>
      <c r="CN52" s="9">
        <f t="shared" si="238"/>
        <v>0.80283878787521901</v>
      </c>
      <c r="CO52" s="9">
        <f t="shared" si="238"/>
        <v>0.91409414885686924</v>
      </c>
      <c r="CP52" s="9">
        <f t="shared" si="238"/>
        <v>0.99555246852946844</v>
      </c>
      <c r="CQ52" s="9">
        <f t="shared" si="238"/>
        <v>1.0385639779344202</v>
      </c>
      <c r="CR52" s="9">
        <f t="shared" si="238"/>
        <v>1.1288427064207207</v>
      </c>
      <c r="CS52" s="9">
        <f t="shared" si="238"/>
        <v>1.2532399917925503</v>
      </c>
      <c r="CT52" s="9">
        <f t="shared" si="238"/>
        <v>1.3917082288608265</v>
      </c>
      <c r="CU52" s="9">
        <f t="shared" si="238"/>
        <v>1.542776497554029</v>
      </c>
      <c r="CV52" s="9">
        <f t="shared" si="238"/>
        <v>1.6438819750731872</v>
      </c>
      <c r="CW52" s="9">
        <f t="shared" si="238"/>
        <v>1.8486643278156447</v>
      </c>
      <c r="CX52" s="9">
        <f t="shared" si="238"/>
        <v>2.2952690013382093</v>
      </c>
      <c r="CY52" s="32"/>
      <c r="CZ52" s="32"/>
      <c r="DA52" s="32">
        <f t="shared" si="26"/>
        <v>0.97126155342974319</v>
      </c>
      <c r="DB52" s="32">
        <v>971261553.42974317</v>
      </c>
      <c r="DC52" s="32"/>
      <c r="DD52" s="41">
        <v>45419</v>
      </c>
      <c r="DE52" s="76">
        <v>1.3257015241124621</v>
      </c>
      <c r="DF52" s="9">
        <f t="shared" ref="DF52:DP52" si="296">DF51+DF$2</f>
        <v>0.79583369678785609</v>
      </c>
      <c r="DG52" s="9">
        <f t="shared" si="296"/>
        <v>0.88636172532645474</v>
      </c>
      <c r="DH52" s="9">
        <f t="shared" si="296"/>
        <v>0.94212826344967349</v>
      </c>
      <c r="DI52" s="9">
        <f t="shared" si="296"/>
        <v>0.97978037614878599</v>
      </c>
      <c r="DJ52" s="9">
        <f t="shared" si="296"/>
        <v>1.0524511357622084</v>
      </c>
      <c r="DK52" s="9">
        <f t="shared" si="296"/>
        <v>1.1487802142900718</v>
      </c>
      <c r="DL52" s="9">
        <f t="shared" si="296"/>
        <v>1.2691460168986755</v>
      </c>
      <c r="DM52" s="9">
        <f t="shared" si="296"/>
        <v>1.399114701798619</v>
      </c>
      <c r="DN52" s="9">
        <f t="shared" si="296"/>
        <v>1.4776061852115239</v>
      </c>
      <c r="DO52" s="9">
        <f t="shared" si="296"/>
        <v>1.6514439527649956</v>
      </c>
      <c r="DP52" s="9">
        <f t="shared" si="296"/>
        <v>2.0694685202204166</v>
      </c>
      <c r="DQ52" s="32"/>
      <c r="DR52" s="32"/>
      <c r="DS52" s="32">
        <f t="shared" si="28"/>
        <v>0.97126155342974319</v>
      </c>
      <c r="DT52" s="32">
        <v>971261553.42974317</v>
      </c>
      <c r="DU52" s="32"/>
      <c r="EF52" s="32"/>
      <c r="EG52" s="41">
        <v>45783</v>
      </c>
      <c r="EH52" s="76">
        <v>1.440485679985805</v>
      </c>
      <c r="EI52" s="9">
        <f t="shared" ref="EI52:ES52" si="297">EI51+EI$2</f>
        <v>0.91306419904254443</v>
      </c>
      <c r="EJ52" s="9">
        <f t="shared" si="297"/>
        <v>0.99090221622915831</v>
      </c>
      <c r="EK52" s="9">
        <f t="shared" si="297"/>
        <v>1.0586762077674727</v>
      </c>
      <c r="EL52" s="9">
        <f t="shared" si="297"/>
        <v>1.1029361467208767</v>
      </c>
      <c r="EM52" s="9">
        <f t="shared" si="297"/>
        <v>1.1846553899728682</v>
      </c>
      <c r="EN52" s="9">
        <f t="shared" si="297"/>
        <v>1.2979130627064064</v>
      </c>
      <c r="EO52" s="9">
        <f t="shared" si="297"/>
        <v>1.4297258083605391</v>
      </c>
      <c r="EP52" s="9">
        <f t="shared" si="297"/>
        <v>1.5705972479926353</v>
      </c>
      <c r="EQ52" s="9">
        <f t="shared" si="297"/>
        <v>1.6549913745574178</v>
      </c>
      <c r="ER52" s="9">
        <f t="shared" si="297"/>
        <v>1.840189281614846</v>
      </c>
      <c r="ES52" s="9">
        <f t="shared" si="297"/>
        <v>2.2200680932224888</v>
      </c>
      <c r="ET52" s="32"/>
      <c r="EU52" s="32"/>
      <c r="EV52" s="32">
        <f t="shared" si="30"/>
        <v>0.97126155342974319</v>
      </c>
      <c r="EW52" s="32">
        <v>971261553.42974317</v>
      </c>
      <c r="EX52" s="32"/>
      <c r="FG52" s="32"/>
      <c r="FH52" s="32"/>
      <c r="FI52" s="41">
        <v>46147</v>
      </c>
      <c r="FJ52" s="76">
        <v>0.98966504929428278</v>
      </c>
      <c r="FK52" s="9">
        <f t="shared" ref="FK52:FU52" si="298">FK51+FK$2</f>
        <v>0.91306419904254443</v>
      </c>
      <c r="FL52" s="9">
        <f t="shared" si="298"/>
        <v>0.99090221622915831</v>
      </c>
      <c r="FM52" s="9">
        <f t="shared" si="298"/>
        <v>1.0586762077674727</v>
      </c>
      <c r="FN52" s="9">
        <f t="shared" si="298"/>
        <v>1.1029361467208767</v>
      </c>
      <c r="FO52" s="9">
        <f t="shared" si="298"/>
        <v>1.1846553899728682</v>
      </c>
      <c r="FP52" s="9">
        <f t="shared" si="298"/>
        <v>1.2979130627064064</v>
      </c>
      <c r="FQ52" s="9">
        <f t="shared" si="298"/>
        <v>1.4297258083605391</v>
      </c>
      <c r="FR52" s="9">
        <f t="shared" si="298"/>
        <v>1.5705972479926353</v>
      </c>
      <c r="FS52" s="9">
        <f t="shared" si="298"/>
        <v>1.6549913745574178</v>
      </c>
      <c r="FT52" s="9">
        <f t="shared" si="298"/>
        <v>1.840189281614846</v>
      </c>
      <c r="FU52" s="9">
        <f t="shared" si="298"/>
        <v>2.2200680932224888</v>
      </c>
      <c r="FV52" s="32"/>
      <c r="FW52" s="32"/>
      <c r="FX52" s="32">
        <f t="shared" si="32"/>
        <v>0.97126155342974319</v>
      </c>
      <c r="FY52" s="32">
        <v>971261553.42974317</v>
      </c>
      <c r="FZ52" s="32"/>
      <c r="GI52" s="32"/>
      <c r="GJ52" s="41"/>
      <c r="GK52" s="76"/>
      <c r="GL52" s="9">
        <f t="shared" ref="GL52:GV52" si="299">GL51+GL$2</f>
        <v>0.75356834885540414</v>
      </c>
      <c r="GM52" s="9">
        <f t="shared" si="299"/>
        <v>0.86757528465842515</v>
      </c>
      <c r="GN52" s="9">
        <f t="shared" si="299"/>
        <v>0.93274751971976033</v>
      </c>
      <c r="GO52" s="9">
        <f t="shared" si="299"/>
        <v>0.96956218759172796</v>
      </c>
      <c r="GP52" s="9">
        <f t="shared" si="299"/>
        <v>1.0458099367831184</v>
      </c>
      <c r="GQ52" s="9">
        <f t="shared" si="299"/>
        <v>1.1720899475824973</v>
      </c>
      <c r="GR52" s="9">
        <f t="shared" si="299"/>
        <v>1.3360682563293309</v>
      </c>
      <c r="GS52" s="9">
        <f t="shared" si="299"/>
        <v>1.5287079662596772</v>
      </c>
      <c r="GT52" s="9">
        <f t="shared" si="299"/>
        <v>1.6824010255087591</v>
      </c>
      <c r="GU52" s="9">
        <f t="shared" si="299"/>
        <v>1.9738468091246055</v>
      </c>
      <c r="GV52" s="9">
        <f t="shared" si="299"/>
        <v>2.5654684145167455</v>
      </c>
      <c r="GW52" s="32"/>
      <c r="GX52" s="32"/>
      <c r="GY52" s="32">
        <f t="shared" si="34"/>
        <v>0.97126155342974319</v>
      </c>
      <c r="GZ52" s="32">
        <v>971261553.42974317</v>
      </c>
      <c r="HA52" s="32"/>
      <c r="HB52" s="41"/>
      <c r="HC52" s="76"/>
      <c r="HD52" s="9"/>
      <c r="HE52" s="9"/>
      <c r="HF52" s="9"/>
      <c r="HG52" s="9"/>
      <c r="HH52" s="9"/>
      <c r="HI52" s="9"/>
      <c r="HJ52" s="9"/>
      <c r="HK52" s="9"/>
      <c r="HL52" s="9"/>
      <c r="HM52" s="9"/>
      <c r="HN52" s="9"/>
      <c r="HO52" s="32"/>
      <c r="HP52" s="32"/>
      <c r="HQ52" s="32"/>
      <c r="HR52" s="32"/>
      <c r="IC52" s="41">
        <f t="shared" si="67"/>
        <v>45055</v>
      </c>
      <c r="ID52" s="9"/>
      <c r="IE52" s="9">
        <f t="shared" si="214"/>
        <v>0.89591984740168107</v>
      </c>
      <c r="IF52" s="9">
        <f t="shared" si="214"/>
        <v>0.92815462888750366</v>
      </c>
      <c r="IG52" s="9">
        <f t="shared" si="214"/>
        <v>0.95813526542857075</v>
      </c>
      <c r="IH52" s="9">
        <f t="shared" si="214"/>
        <v>0.97454183516424975</v>
      </c>
      <c r="II52" s="9">
        <f t="shared" si="214"/>
        <v>1.0079814751171985</v>
      </c>
      <c r="IJ52" s="9">
        <f t="shared" si="214"/>
        <v>1.0564075776527122</v>
      </c>
      <c r="IK52" s="9">
        <f t="shared" si="214"/>
        <v>1.1179400545561315</v>
      </c>
      <c r="IL52" s="9">
        <f t="shared" si="214"/>
        <v>1.1882830686774224</v>
      </c>
      <c r="IM52" s="9">
        <f t="shared" si="214"/>
        <v>1.2350623457494609</v>
      </c>
      <c r="IN52" s="9">
        <f t="shared" si="214"/>
        <v>1.3466688874228532</v>
      </c>
      <c r="IO52" s="9">
        <f t="shared" si="214"/>
        <v>1.480504196503555</v>
      </c>
      <c r="IP52" s="32"/>
      <c r="IQ52" s="32"/>
      <c r="JB52" s="41">
        <f t="shared" si="294"/>
        <v>44691</v>
      </c>
      <c r="JC52" s="9"/>
      <c r="JD52" s="9">
        <f t="shared" si="295"/>
        <v>1.008473750958</v>
      </c>
      <c r="JE52" s="9">
        <f t="shared" si="295"/>
        <v>1.0104957430565333</v>
      </c>
      <c r="JF52" s="9">
        <f t="shared" si="295"/>
        <v>1.0117331921385333</v>
      </c>
      <c r="JG52" s="9">
        <f t="shared" si="295"/>
        <v>1.0137551842370667</v>
      </c>
      <c r="JH52" s="9">
        <f t="shared" si="295"/>
        <v>1.0164960948229333</v>
      </c>
      <c r="JI52" s="9">
        <f t="shared" si="295"/>
        <v>1.0220435405238666</v>
      </c>
      <c r="JJ52" s="9">
        <f t="shared" si="295"/>
        <v>1.0288110045242664</v>
      </c>
      <c r="JK52" s="9">
        <f t="shared" si="295"/>
        <v>1.0356417388106665</v>
      </c>
      <c r="JL52" s="9">
        <f t="shared" si="295"/>
        <v>1.0483581262465331</v>
      </c>
      <c r="JM52" s="9">
        <f t="shared" si="295"/>
        <v>1.0702166215296001</v>
      </c>
      <c r="JN52" s="9">
        <f t="shared" si="295"/>
        <v>1.0982519168126665</v>
      </c>
      <c r="JO52" s="9">
        <f t="shared" si="295"/>
        <v>0.98300771034159995</v>
      </c>
      <c r="JZ52" s="41">
        <f t="shared" si="234"/>
        <v>44691</v>
      </c>
      <c r="KA52" s="9"/>
      <c r="KB52" s="9">
        <f t="shared" ref="KB52:KC59" si="300">KB51+KB$2</f>
        <v>1.0121739119566751</v>
      </c>
      <c r="KC52" s="9">
        <f t="shared" si="300"/>
        <v>1.0148530447166499</v>
      </c>
      <c r="KP52" s="212"/>
      <c r="KR52" s="41"/>
      <c r="KS52" s="212"/>
      <c r="KT52" s="212"/>
      <c r="KV52" s="41"/>
      <c r="KW52" s="212"/>
      <c r="KX52" s="212"/>
      <c r="KZ52" s="41"/>
      <c r="LA52" s="212"/>
      <c r="LB52" s="212"/>
      <c r="LD52" s="41"/>
      <c r="LE52" s="212"/>
      <c r="LF52" s="212"/>
      <c r="LL52" s="41"/>
      <c r="LM52" s="212"/>
      <c r="LN52" s="212"/>
      <c r="LT52" s="41"/>
      <c r="LU52" s="212"/>
      <c r="LV52" s="75"/>
      <c r="MB52" s="32"/>
      <c r="MC52" s="32"/>
      <c r="MD52" s="32"/>
      <c r="ME52" s="32"/>
      <c r="MF52" s="32"/>
      <c r="MG52" s="32"/>
      <c r="MH52" s="32"/>
      <c r="MI52" s="39"/>
      <c r="MJ52" s="39"/>
      <c r="MK52" s="39"/>
      <c r="ML52" s="39"/>
      <c r="MM52" s="9"/>
      <c r="MN52" s="9"/>
      <c r="MO52" s="9"/>
      <c r="MP52" s="74"/>
      <c r="MQ52" s="74"/>
      <c r="MR52" s="74"/>
      <c r="MS52" s="74"/>
      <c r="MT52" s="74"/>
      <c r="MU52" s="74"/>
      <c r="MW52" s="72"/>
      <c r="MX52" s="78">
        <v>1</v>
      </c>
      <c r="MY52" s="10">
        <v>0.68417437439530837</v>
      </c>
      <c r="MZ52" s="10">
        <v>0.67302984993524895</v>
      </c>
      <c r="NA52" s="10">
        <v>0.61534992476757067</v>
      </c>
      <c r="NB52" s="10">
        <v>0.58107206519035903</v>
      </c>
      <c r="NC52" s="10">
        <v>0.62436430181276015</v>
      </c>
      <c r="ND52" s="10">
        <v>0.63989788757479527</v>
      </c>
      <c r="NE52" s="10">
        <v>0.77012040193632236</v>
      </c>
      <c r="NF52" s="10">
        <v>0.65310820780541867</v>
      </c>
      <c r="NG52" s="10">
        <v>0.72484416234453652</v>
      </c>
      <c r="NH52" s="10">
        <v>0.7022578938882762</v>
      </c>
      <c r="NI52" s="10">
        <v>0.37445685686543806</v>
      </c>
    </row>
    <row r="53" spans="2:373" x14ac:dyDescent="0.25">
      <c r="B53" s="48">
        <v>43060</v>
      </c>
      <c r="C53" s="214">
        <v>9941079.3947999999</v>
      </c>
      <c r="D53" s="214">
        <v>7579353</v>
      </c>
      <c r="E53" s="215">
        <v>2000000</v>
      </c>
      <c r="F53" s="215"/>
      <c r="G53" s="215"/>
      <c r="H53" s="215"/>
      <c r="I53" s="41">
        <v>43235</v>
      </c>
      <c r="J53" s="212">
        <v>21062846.681999996</v>
      </c>
      <c r="K53" s="212">
        <f t="shared" si="18"/>
        <v>1033255610.9423996</v>
      </c>
      <c r="M53" s="41">
        <v>43599</v>
      </c>
      <c r="N53" s="212">
        <v>17807995.861199997</v>
      </c>
      <c r="O53" s="212">
        <f t="shared" si="19"/>
        <v>1042827775.2935998</v>
      </c>
      <c r="Q53" s="41">
        <v>43963</v>
      </c>
      <c r="R53" s="212">
        <v>26162576.733599998</v>
      </c>
      <c r="S53" s="212">
        <f t="shared" si="20"/>
        <v>879363056.33639979</v>
      </c>
      <c r="U53" s="41">
        <v>44334</v>
      </c>
      <c r="V53" s="212">
        <v>16140908.890799999</v>
      </c>
      <c r="W53" s="212">
        <f t="shared" si="21"/>
        <v>1005660302.0616001</v>
      </c>
      <c r="Y53" s="38">
        <v>44698</v>
      </c>
      <c r="Z53" s="214">
        <v>20544632.419999998</v>
      </c>
      <c r="AA53" s="212">
        <f t="shared" si="261"/>
        <v>1028120853.7475998</v>
      </c>
      <c r="AC53" s="32">
        <v>46</v>
      </c>
      <c r="AD53" s="39">
        <f t="shared" si="0"/>
        <v>1.0332556109423996</v>
      </c>
      <c r="AE53" s="39">
        <f t="shared" si="1"/>
        <v>1.0428277752935999</v>
      </c>
      <c r="AF53" s="39">
        <f t="shared" si="2"/>
        <v>0.87936305633639977</v>
      </c>
      <c r="AG53" s="39">
        <f t="shared" si="3"/>
        <v>1.0056603020616002</v>
      </c>
      <c r="AH53" s="39">
        <f t="shared" si="4"/>
        <v>1.0281208537475999</v>
      </c>
      <c r="AI53" s="39">
        <f t="shared" si="23"/>
        <v>1.2798872022284578</v>
      </c>
      <c r="AJ53" s="9">
        <f t="shared" si="289"/>
        <v>0.98300771034159995</v>
      </c>
      <c r="AK53" s="9">
        <f t="shared" si="289"/>
        <v>0.98300771034159995</v>
      </c>
      <c r="AL53" s="9">
        <f t="shared" si="289"/>
        <v>0.98300771034159995</v>
      </c>
      <c r="AM53" s="74"/>
      <c r="AN53" s="74"/>
      <c r="AO53" s="74"/>
      <c r="AP53" s="74"/>
      <c r="AQ53" s="74"/>
      <c r="AR53" s="74"/>
      <c r="AT53" s="72"/>
      <c r="AU53" s="78">
        <v>1</v>
      </c>
      <c r="AV53" s="10">
        <v>1.2720843720140429</v>
      </c>
      <c r="AW53" s="10">
        <v>1.1695411523824231</v>
      </c>
      <c r="AX53" s="10">
        <v>1.209785139269262</v>
      </c>
      <c r="AY53" s="10">
        <v>1.3948950506470286</v>
      </c>
      <c r="AZ53" s="10">
        <v>1.3643155079637259</v>
      </c>
      <c r="BA53" s="10"/>
      <c r="BB53" s="10">
        <v>1.0495405825328699</v>
      </c>
      <c r="BM53" s="41">
        <f t="shared" si="60"/>
        <v>44698</v>
      </c>
      <c r="BN53" s="9">
        <f t="shared" si="5"/>
        <v>1.0281208537475999</v>
      </c>
      <c r="BO53" s="9">
        <f t="shared" si="237"/>
        <v>0.73748142423977991</v>
      </c>
      <c r="BP53" s="9">
        <f t="shared" si="237"/>
        <v>0.83826435180915426</v>
      </c>
      <c r="BQ53" s="9">
        <f t="shared" si="237"/>
        <v>0.89441149453100866</v>
      </c>
      <c r="BR53" s="9">
        <f t="shared" si="237"/>
        <v>0.92919304928303692</v>
      </c>
      <c r="BS53" s="9">
        <f t="shared" si="237"/>
        <v>0.99405786056229972</v>
      </c>
      <c r="BT53" s="9">
        <f t="shared" si="237"/>
        <v>1.0796111467745262</v>
      </c>
      <c r="BU53" s="9">
        <f t="shared" si="237"/>
        <v>1.1748667248191682</v>
      </c>
      <c r="BV53" s="9">
        <f t="shared" si="237"/>
        <v>1.2751393308891115</v>
      </c>
      <c r="BW53" s="9">
        <f t="shared" si="237"/>
        <v>1.3398079874572044</v>
      </c>
      <c r="BX53" s="9">
        <f t="shared" si="237"/>
        <v>1.4723194059669351</v>
      </c>
      <c r="BY53" s="9">
        <f t="shared" si="237"/>
        <v>1.8171649998614843</v>
      </c>
      <c r="BZ53" s="32"/>
      <c r="CA53" s="32"/>
      <c r="CL53" s="41">
        <f t="shared" si="61"/>
        <v>45062</v>
      </c>
      <c r="CM53" s="76">
        <v>1.0131852031892026</v>
      </c>
      <c r="CN53" s="9">
        <f t="shared" si="238"/>
        <v>0.82067964982800168</v>
      </c>
      <c r="CO53" s="9">
        <f t="shared" si="238"/>
        <v>0.93440735216479964</v>
      </c>
      <c r="CP53" s="9">
        <f t="shared" si="238"/>
        <v>1.0176758567190123</v>
      </c>
      <c r="CQ53" s="9">
        <f t="shared" si="238"/>
        <v>1.061643177444074</v>
      </c>
      <c r="CR53" s="9">
        <f t="shared" si="238"/>
        <v>1.1539280998967367</v>
      </c>
      <c r="CS53" s="9">
        <f t="shared" si="238"/>
        <v>1.2810897693879404</v>
      </c>
      <c r="CT53" s="9">
        <f t="shared" si="238"/>
        <v>1.4226350783910671</v>
      </c>
      <c r="CU53" s="9">
        <f t="shared" si="238"/>
        <v>1.5770604197218963</v>
      </c>
      <c r="CV53" s="9">
        <f t="shared" si="238"/>
        <v>1.6804126856303692</v>
      </c>
      <c r="CW53" s="9">
        <f t="shared" si="238"/>
        <v>1.889745757322659</v>
      </c>
      <c r="CX53" s="9">
        <f t="shared" si="238"/>
        <v>2.3462749791457251</v>
      </c>
      <c r="CY53" s="32"/>
      <c r="CZ53" s="32"/>
      <c r="DA53" s="32">
        <f t="shared" si="26"/>
        <v>1.0131852031892026</v>
      </c>
      <c r="DB53" s="32">
        <v>1013185203.1892027</v>
      </c>
      <c r="DC53" s="32"/>
      <c r="DD53" s="41">
        <v>45426</v>
      </c>
      <c r="DE53" s="76">
        <v>1.3516030205072067</v>
      </c>
      <c r="DF53" s="9">
        <f t="shared" ref="DF53:DP53" si="301">DF52+DF$2</f>
        <v>0.81351889004980849</v>
      </c>
      <c r="DG53" s="9">
        <f t="shared" si="301"/>
        <v>0.90605865255593154</v>
      </c>
      <c r="DH53" s="9">
        <f t="shared" si="301"/>
        <v>0.96306444708188843</v>
      </c>
      <c r="DI53" s="9">
        <f t="shared" si="301"/>
        <v>1.0015532733965369</v>
      </c>
      <c r="DJ53" s="9">
        <f t="shared" si="301"/>
        <v>1.0758389387791463</v>
      </c>
      <c r="DK53" s="9">
        <f t="shared" si="301"/>
        <v>1.1743086634965179</v>
      </c>
      <c r="DL53" s="9">
        <f t="shared" si="301"/>
        <v>1.297349261718646</v>
      </c>
      <c r="DM53" s="9">
        <f t="shared" si="301"/>
        <v>1.4302061396163661</v>
      </c>
      <c r="DN53" s="9">
        <f t="shared" si="301"/>
        <v>1.5104418782162243</v>
      </c>
      <c r="DO53" s="9">
        <f t="shared" si="301"/>
        <v>1.6881427072708843</v>
      </c>
      <c r="DP53" s="9">
        <f t="shared" si="301"/>
        <v>2.1154567095586483</v>
      </c>
      <c r="DQ53" s="32"/>
      <c r="DR53" s="32"/>
      <c r="DS53" s="32">
        <f t="shared" si="28"/>
        <v>1.0131852031892026</v>
      </c>
      <c r="DT53" s="32">
        <v>1013185203.1892027</v>
      </c>
      <c r="DU53" s="32"/>
      <c r="EF53" s="32"/>
      <c r="EG53" s="41">
        <v>45790</v>
      </c>
      <c r="EH53" s="76">
        <v>1.4719336347668863</v>
      </c>
      <c r="EI53" s="9">
        <f t="shared" ref="EI53:ES53" si="302">EI52+EI$2</f>
        <v>0.93335451457682317</v>
      </c>
      <c r="EJ53" s="9">
        <f t="shared" si="302"/>
        <v>1.0129222654786951</v>
      </c>
      <c r="EK53" s="9">
        <f t="shared" si="302"/>
        <v>1.0822023457178611</v>
      </c>
      <c r="EL53" s="9">
        <f t="shared" si="302"/>
        <v>1.1274458388702295</v>
      </c>
      <c r="EM53" s="9">
        <f t="shared" si="302"/>
        <v>1.2109810653055986</v>
      </c>
      <c r="EN53" s="9">
        <f t="shared" si="302"/>
        <v>1.3267555752109932</v>
      </c>
      <c r="EO53" s="9">
        <f t="shared" si="302"/>
        <v>1.4614974929907734</v>
      </c>
      <c r="EP53" s="9">
        <f t="shared" si="302"/>
        <v>1.6054994090591383</v>
      </c>
      <c r="EQ53" s="9">
        <f t="shared" si="302"/>
        <v>1.6917689606586939</v>
      </c>
      <c r="ER53" s="9">
        <f t="shared" si="302"/>
        <v>1.8810823767618425</v>
      </c>
      <c r="ES53" s="9">
        <f t="shared" si="302"/>
        <v>2.2694029397385442</v>
      </c>
      <c r="ET53" s="32"/>
      <c r="EU53" s="32"/>
      <c r="EV53" s="32">
        <f t="shared" si="30"/>
        <v>1.0131852031892026</v>
      </c>
      <c r="EW53" s="32">
        <v>1013185203.1892027</v>
      </c>
      <c r="EX53" s="32"/>
      <c r="FG53" s="32"/>
      <c r="FH53" s="32"/>
      <c r="FI53" s="41">
        <v>46154</v>
      </c>
      <c r="FJ53" s="76">
        <v>1.0068224375429315</v>
      </c>
      <c r="FK53" s="9">
        <f t="shared" ref="FK53:FU53" si="303">FK52+FK$2</f>
        <v>0.93335451457682317</v>
      </c>
      <c r="FL53" s="9">
        <f t="shared" si="303"/>
        <v>1.0129222654786951</v>
      </c>
      <c r="FM53" s="9">
        <f t="shared" si="303"/>
        <v>1.0822023457178611</v>
      </c>
      <c r="FN53" s="9">
        <f t="shared" si="303"/>
        <v>1.1274458388702295</v>
      </c>
      <c r="FO53" s="9">
        <f t="shared" si="303"/>
        <v>1.2109810653055986</v>
      </c>
      <c r="FP53" s="9">
        <f t="shared" si="303"/>
        <v>1.3267555752109932</v>
      </c>
      <c r="FQ53" s="9">
        <f t="shared" si="303"/>
        <v>1.4614974929907734</v>
      </c>
      <c r="FR53" s="9">
        <f t="shared" si="303"/>
        <v>1.6054994090591383</v>
      </c>
      <c r="FS53" s="9">
        <f t="shared" si="303"/>
        <v>1.6917689606586939</v>
      </c>
      <c r="FT53" s="9">
        <f t="shared" si="303"/>
        <v>1.8810823767618425</v>
      </c>
      <c r="FU53" s="9">
        <f t="shared" si="303"/>
        <v>2.2694029397385442</v>
      </c>
      <c r="FV53" s="32"/>
      <c r="FW53" s="32"/>
      <c r="FX53" s="32">
        <f t="shared" si="32"/>
        <v>1.0131852031892026</v>
      </c>
      <c r="FY53" s="32">
        <v>1013185203.1892027</v>
      </c>
      <c r="FZ53" s="32"/>
      <c r="GI53" s="32"/>
      <c r="GJ53" s="41"/>
      <c r="GK53" s="76"/>
      <c r="GL53" s="9">
        <f t="shared" ref="GL53:GV53" si="304">GL52+GL$2</f>
        <v>0.77031431216330204</v>
      </c>
      <c r="GM53" s="9">
        <f t="shared" si="304"/>
        <v>0.88685473542861237</v>
      </c>
      <c r="GN53" s="9">
        <f t="shared" si="304"/>
        <v>0.95347524238019943</v>
      </c>
      <c r="GO53" s="9">
        <f t="shared" si="304"/>
        <v>0.99110801398265524</v>
      </c>
      <c r="GP53" s="9">
        <f t="shared" si="304"/>
        <v>1.0690501576005211</v>
      </c>
      <c r="GQ53" s="9">
        <f t="shared" si="304"/>
        <v>1.1981363908621083</v>
      </c>
      <c r="GR53" s="9">
        <f t="shared" si="304"/>
        <v>1.3657586620255382</v>
      </c>
      <c r="GS53" s="9">
        <f t="shared" si="304"/>
        <v>1.5626792543987811</v>
      </c>
      <c r="GT53" s="9">
        <f t="shared" si="304"/>
        <v>1.7197877149645093</v>
      </c>
      <c r="GU53" s="9">
        <f t="shared" si="304"/>
        <v>2.0177100715495966</v>
      </c>
      <c r="GV53" s="9">
        <f t="shared" si="304"/>
        <v>2.6224788237282288</v>
      </c>
      <c r="GW53" s="32"/>
      <c r="GX53" s="32"/>
      <c r="GY53" s="32">
        <f t="shared" si="34"/>
        <v>1.0131852031892026</v>
      </c>
      <c r="GZ53" s="32">
        <v>1013185203.1892027</v>
      </c>
      <c r="HA53" s="32"/>
      <c r="HB53" s="41"/>
      <c r="HC53" s="76"/>
      <c r="HD53" s="9"/>
      <c r="HE53" s="9"/>
      <c r="HF53" s="9"/>
      <c r="HG53" s="9"/>
      <c r="HH53" s="9"/>
      <c r="HI53" s="9"/>
      <c r="HJ53" s="9"/>
      <c r="HK53" s="9"/>
      <c r="HL53" s="9"/>
      <c r="HM53" s="9"/>
      <c r="HN53" s="9"/>
      <c r="HO53" s="32"/>
      <c r="HP53" s="32"/>
      <c r="HQ53" s="32"/>
      <c r="HR53" s="32"/>
      <c r="IC53" s="41">
        <f t="shared" si="67"/>
        <v>45062</v>
      </c>
      <c r="ID53" s="9"/>
      <c r="IE53" s="9">
        <f t="shared" ref="IE53:IO59" si="305">IE52+IE$2</f>
        <v>0.9110113515279924</v>
      </c>
      <c r="IF53" s="9">
        <f t="shared" si="305"/>
        <v>0.9452608068566789</v>
      </c>
      <c r="IG53" s="9">
        <f t="shared" si="305"/>
        <v>0.97711523318156268</v>
      </c>
      <c r="IH53" s="9">
        <f t="shared" si="305"/>
        <v>0.99454721352572162</v>
      </c>
      <c r="II53" s="9">
        <f t="shared" si="305"/>
        <v>1.0300768309757296</v>
      </c>
      <c r="IJ53" s="9">
        <f t="shared" si="305"/>
        <v>1.081529564919713</v>
      </c>
      <c r="IK53" s="9">
        <f t="shared" si="305"/>
        <v>1.146907821629596</v>
      </c>
      <c r="IL53" s="9">
        <f t="shared" si="305"/>
        <v>1.2216472741334676</v>
      </c>
      <c r="IM53" s="9">
        <f t="shared" si="305"/>
        <v>1.2713502560225085</v>
      </c>
      <c r="IN53" s="9">
        <f t="shared" si="305"/>
        <v>1.3899322065504878</v>
      </c>
      <c r="IO53" s="9">
        <f t="shared" si="305"/>
        <v>1.5321322224487335</v>
      </c>
      <c r="IP53" s="32"/>
      <c r="IQ53" s="32"/>
      <c r="JB53" s="41">
        <f t="shared" si="294"/>
        <v>44698</v>
      </c>
      <c r="JC53" s="9"/>
      <c r="JD53" s="9">
        <f t="shared" si="295"/>
        <v>1.0212067712661999</v>
      </c>
      <c r="JE53" s="9">
        <f t="shared" si="295"/>
        <v>1.024239759414</v>
      </c>
      <c r="JF53" s="9">
        <f t="shared" si="295"/>
        <v>1.0260959330369999</v>
      </c>
      <c r="JG53" s="9">
        <f t="shared" si="295"/>
        <v>1.0291289211848</v>
      </c>
      <c r="JH53" s="9">
        <f t="shared" si="295"/>
        <v>1.0332402870635999</v>
      </c>
      <c r="JI53" s="9">
        <f t="shared" si="295"/>
        <v>1.0415614556149999</v>
      </c>
      <c r="JJ53" s="9">
        <f t="shared" si="295"/>
        <v>1.0517126516155997</v>
      </c>
      <c r="JK53" s="9">
        <f t="shared" si="295"/>
        <v>1.0619587530451997</v>
      </c>
      <c r="JL53" s="9">
        <f t="shared" si="295"/>
        <v>1.0810333341989997</v>
      </c>
      <c r="JM53" s="9">
        <f t="shared" si="295"/>
        <v>1.1138210771236001</v>
      </c>
      <c r="JN53" s="9">
        <f t="shared" si="295"/>
        <v>1.1558740200481998</v>
      </c>
      <c r="JO53" s="9">
        <f t="shared" si="295"/>
        <v>0.98300771034159995</v>
      </c>
      <c r="JZ53" s="41">
        <f t="shared" si="234"/>
        <v>44698</v>
      </c>
      <c r="KA53" s="9"/>
      <c r="KB53" s="9">
        <f t="shared" si="300"/>
        <v>1.0300154872709502</v>
      </c>
      <c r="KC53" s="9">
        <f t="shared" si="300"/>
        <v>1.0353737527908999</v>
      </c>
      <c r="KP53" s="212"/>
      <c r="KR53" s="41"/>
      <c r="KS53" s="212"/>
      <c r="KT53" s="212"/>
      <c r="KV53" s="41"/>
      <c r="KW53" s="212"/>
      <c r="KX53" s="212"/>
      <c r="KZ53" s="41"/>
      <c r="LA53" s="212"/>
      <c r="LB53" s="212"/>
      <c r="LD53" s="41"/>
      <c r="LE53" s="212"/>
      <c r="LF53" s="212"/>
      <c r="LL53" s="41"/>
      <c r="LM53" s="212"/>
      <c r="LN53" s="212"/>
      <c r="LT53" s="41"/>
      <c r="LU53" s="212"/>
      <c r="LV53" s="75"/>
      <c r="MB53" s="32"/>
      <c r="MC53" s="32"/>
      <c r="MD53" s="32"/>
      <c r="ME53" s="32"/>
      <c r="MF53" s="32"/>
      <c r="MG53" s="32"/>
      <c r="MH53" s="32"/>
      <c r="MI53" s="39"/>
      <c r="MJ53" s="39"/>
      <c r="MK53" s="39"/>
      <c r="ML53" s="39"/>
      <c r="MM53" s="9"/>
      <c r="MN53" s="9"/>
      <c r="MO53" s="9"/>
      <c r="MP53" s="74"/>
      <c r="MQ53" s="74"/>
      <c r="MR53" s="74"/>
      <c r="MS53" s="74"/>
      <c r="MT53" s="74"/>
      <c r="MU53" s="74"/>
      <c r="MW53" s="72"/>
      <c r="MX53" s="78">
        <v>2</v>
      </c>
      <c r="MY53" s="10">
        <v>0.79025575943092941</v>
      </c>
      <c r="MZ53" s="10">
        <v>0.77070048042407957</v>
      </c>
      <c r="NA53" s="10">
        <v>0.7042336699876901</v>
      </c>
      <c r="NB53" s="10">
        <v>0.66853275994753447</v>
      </c>
      <c r="NC53" s="10">
        <v>0.71103057821825144</v>
      </c>
      <c r="ND53" s="10">
        <v>0.72943041681589804</v>
      </c>
      <c r="NE53" s="10">
        <v>0.87571235902275846</v>
      </c>
      <c r="NF53" s="10">
        <v>0.73828110014849102</v>
      </c>
      <c r="NG53" s="10">
        <v>0.8313529348026889</v>
      </c>
      <c r="NH53" s="10">
        <v>0.80080025420149448</v>
      </c>
      <c r="NI53" s="10">
        <v>0.44403777655098831</v>
      </c>
    </row>
    <row r="54" spans="2:373" x14ac:dyDescent="0.25">
      <c r="B54" s="48">
        <v>43067</v>
      </c>
      <c r="C54" s="214">
        <v>16653553.084799998</v>
      </c>
      <c r="D54" s="214">
        <v>12697128</v>
      </c>
      <c r="E54" s="215">
        <v>5000000</v>
      </c>
      <c r="F54" s="215"/>
      <c r="G54" s="215"/>
      <c r="H54" s="215"/>
      <c r="I54" s="41">
        <v>43242</v>
      </c>
      <c r="J54" s="212">
        <v>8972178.1776000001</v>
      </c>
      <c r="K54" s="212">
        <f t="shared" si="18"/>
        <v>1042227789.1199996</v>
      </c>
      <c r="M54" s="41">
        <v>43606</v>
      </c>
      <c r="N54" s="212">
        <v>22828001.896799996</v>
      </c>
      <c r="O54" s="212">
        <f t="shared" si="19"/>
        <v>1065655777.1903999</v>
      </c>
      <c r="Q54" s="41">
        <v>43970</v>
      </c>
      <c r="R54" s="212">
        <v>30905967.347999997</v>
      </c>
      <c r="S54" s="212">
        <f t="shared" si="20"/>
        <v>910269023.68439984</v>
      </c>
      <c r="U54" s="41">
        <v>44341</v>
      </c>
      <c r="V54" s="212">
        <v>10947384.417599998</v>
      </c>
      <c r="W54" s="212">
        <f t="shared" si="21"/>
        <v>1016607686.4792001</v>
      </c>
      <c r="Y54" s="38">
        <v>44705</v>
      </c>
      <c r="Z54" s="214">
        <v>10101687.8456</v>
      </c>
      <c r="AA54" s="212">
        <f t="shared" si="261"/>
        <v>1038222541.5931998</v>
      </c>
      <c r="AC54" s="32">
        <v>47</v>
      </c>
      <c r="AD54" s="39">
        <f t="shared" si="0"/>
        <v>1.0422277891199996</v>
      </c>
      <c r="AE54" s="39">
        <f t="shared" si="1"/>
        <v>1.0656557771903998</v>
      </c>
      <c r="AF54" s="39">
        <f t="shared" si="2"/>
        <v>0.91026902368439988</v>
      </c>
      <c r="AG54" s="39">
        <f t="shared" si="3"/>
        <v>1.0166076864792002</v>
      </c>
      <c r="AH54" s="39">
        <f t="shared" si="4"/>
        <v>1.0382225415931998</v>
      </c>
      <c r="AI54" s="39">
        <f t="shared" si="23"/>
        <v>1.3077108370595112</v>
      </c>
      <c r="AJ54" s="9">
        <f t="shared" si="289"/>
        <v>0.98300771034159995</v>
      </c>
      <c r="AK54" s="9">
        <f t="shared" si="289"/>
        <v>0.98300771034159995</v>
      </c>
      <c r="AL54" s="9">
        <f t="shared" si="289"/>
        <v>0.98300771034159995</v>
      </c>
      <c r="AM54" s="74"/>
      <c r="AN54" s="74"/>
      <c r="AO54" s="74"/>
      <c r="AP54" s="74"/>
      <c r="AQ54" s="74"/>
      <c r="AR54" s="74"/>
      <c r="AT54" s="72"/>
      <c r="AU54" s="78">
        <v>2</v>
      </c>
      <c r="AV54" s="10">
        <v>1.4179967439209598</v>
      </c>
      <c r="AW54" s="10">
        <v>1.2980171717511046</v>
      </c>
      <c r="AX54" s="10">
        <v>1.3304102621613736</v>
      </c>
      <c r="AY54" s="10">
        <v>1.5346006682769646</v>
      </c>
      <c r="AZ54" s="10">
        <v>1.5119056197867886</v>
      </c>
      <c r="BA54" s="10"/>
      <c r="BB54" s="10">
        <v>1.1798854384822044</v>
      </c>
      <c r="BM54" s="41">
        <f t="shared" si="60"/>
        <v>44705</v>
      </c>
      <c r="BN54" s="9">
        <f t="shared" si="5"/>
        <v>1.0382225415931998</v>
      </c>
      <c r="BO54" s="9">
        <f t="shared" si="237"/>
        <v>0.75351362911455777</v>
      </c>
      <c r="BP54" s="9">
        <f t="shared" si="237"/>
        <v>0.85648748989196199</v>
      </c>
      <c r="BQ54" s="9">
        <f t="shared" si="237"/>
        <v>0.91385522267298713</v>
      </c>
      <c r="BR54" s="9">
        <f t="shared" si="237"/>
        <v>0.94939289818049422</v>
      </c>
      <c r="BS54" s="9">
        <f t="shared" si="237"/>
        <v>1.0156678140527844</v>
      </c>
      <c r="BT54" s="9">
        <f t="shared" si="237"/>
        <v>1.1030809543131028</v>
      </c>
      <c r="BU54" s="9">
        <f t="shared" si="237"/>
        <v>1.2004073057934979</v>
      </c>
      <c r="BV54" s="9">
        <f t="shared" si="237"/>
        <v>1.3028597511258313</v>
      </c>
      <c r="BW54" s="9">
        <f t="shared" si="237"/>
        <v>1.3689342480541002</v>
      </c>
      <c r="BX54" s="9">
        <f t="shared" si="237"/>
        <v>1.504326349574912</v>
      </c>
      <c r="BY54" s="9">
        <f t="shared" si="237"/>
        <v>1.8566685868149948</v>
      </c>
      <c r="BZ54" s="32"/>
      <c r="CA54" s="32"/>
      <c r="CL54" s="41">
        <f t="shared" si="61"/>
        <v>45069</v>
      </c>
      <c r="CM54" s="76">
        <v>1.0256646046452087</v>
      </c>
      <c r="CN54" s="9">
        <f t="shared" si="238"/>
        <v>0.83852051178078435</v>
      </c>
      <c r="CO54" s="9">
        <f t="shared" si="238"/>
        <v>0.95472055547273005</v>
      </c>
      <c r="CP54" s="9">
        <f t="shared" si="238"/>
        <v>1.039799244908556</v>
      </c>
      <c r="CQ54" s="9">
        <f t="shared" si="238"/>
        <v>1.0847223769537278</v>
      </c>
      <c r="CR54" s="9">
        <f t="shared" si="238"/>
        <v>1.1790134933727527</v>
      </c>
      <c r="CS54" s="9">
        <f t="shared" si="238"/>
        <v>1.3089395469833305</v>
      </c>
      <c r="CT54" s="9">
        <f t="shared" si="238"/>
        <v>1.4535619279213077</v>
      </c>
      <c r="CU54" s="9">
        <f t="shared" si="238"/>
        <v>1.6113443418897635</v>
      </c>
      <c r="CV54" s="9">
        <f t="shared" si="238"/>
        <v>1.7169433961875511</v>
      </c>
      <c r="CW54" s="9">
        <f t="shared" si="238"/>
        <v>1.9308271868296734</v>
      </c>
      <c r="CX54" s="9">
        <f t="shared" si="238"/>
        <v>2.3972809569532409</v>
      </c>
      <c r="CY54" s="32"/>
      <c r="CZ54" s="32"/>
      <c r="DA54" s="32">
        <f t="shared" si="26"/>
        <v>1.0256646046452087</v>
      </c>
      <c r="DB54" s="32">
        <v>1025664604.6452087</v>
      </c>
      <c r="DC54" s="32"/>
      <c r="DD54" s="41">
        <v>45433</v>
      </c>
      <c r="DE54" s="76">
        <v>1.3826005229578073</v>
      </c>
      <c r="DF54" s="9">
        <f t="shared" ref="DF54:DP54" si="306">DF53+DF$2</f>
        <v>0.83120408331176088</v>
      </c>
      <c r="DG54" s="9">
        <f t="shared" si="306"/>
        <v>0.92575557978540834</v>
      </c>
      <c r="DH54" s="9">
        <f t="shared" si="306"/>
        <v>0.98400063071410337</v>
      </c>
      <c r="DI54" s="9">
        <f t="shared" si="306"/>
        <v>1.0233261706442878</v>
      </c>
      <c r="DJ54" s="9">
        <f t="shared" si="306"/>
        <v>1.0992267417960842</v>
      </c>
      <c r="DK54" s="9">
        <f t="shared" si="306"/>
        <v>1.1998371127029639</v>
      </c>
      <c r="DL54" s="9">
        <f t="shared" si="306"/>
        <v>1.3255525065386164</v>
      </c>
      <c r="DM54" s="9">
        <f t="shared" si="306"/>
        <v>1.4612975774341133</v>
      </c>
      <c r="DN54" s="9">
        <f t="shared" si="306"/>
        <v>1.5432775712209248</v>
      </c>
      <c r="DO54" s="9">
        <f t="shared" si="306"/>
        <v>1.7248414617767731</v>
      </c>
      <c r="DP54" s="9">
        <f t="shared" si="306"/>
        <v>2.16144489889688</v>
      </c>
      <c r="DQ54" s="32"/>
      <c r="DR54" s="32"/>
      <c r="DS54" s="32">
        <f t="shared" si="28"/>
        <v>1.0256646046452087</v>
      </c>
      <c r="DT54" s="32">
        <v>1025664604.6452087</v>
      </c>
      <c r="DU54" s="32"/>
      <c r="EF54" s="32"/>
      <c r="EG54" s="41">
        <v>45797</v>
      </c>
      <c r="EH54" s="76">
        <v>1.5113513657560753</v>
      </c>
      <c r="EI54" s="9">
        <f t="shared" ref="EI54:ES54" si="307">EI53+EI$2</f>
        <v>0.9536448301111019</v>
      </c>
      <c r="EJ54" s="9">
        <f t="shared" si="307"/>
        <v>1.0349423147282319</v>
      </c>
      <c r="EK54" s="9">
        <f t="shared" si="307"/>
        <v>1.1057284836682495</v>
      </c>
      <c r="EL54" s="9">
        <f t="shared" si="307"/>
        <v>1.1519555310195824</v>
      </c>
      <c r="EM54" s="9">
        <f t="shared" si="307"/>
        <v>1.2373067406383289</v>
      </c>
      <c r="EN54" s="9">
        <f t="shared" si="307"/>
        <v>1.35559808771558</v>
      </c>
      <c r="EO54" s="9">
        <f t="shared" si="307"/>
        <v>1.4932691776210076</v>
      </c>
      <c r="EP54" s="9">
        <f t="shared" si="307"/>
        <v>1.6404015701256414</v>
      </c>
      <c r="EQ54" s="9">
        <f t="shared" si="307"/>
        <v>1.7285465467599699</v>
      </c>
      <c r="ER54" s="9">
        <f t="shared" si="307"/>
        <v>1.9219754719088391</v>
      </c>
      <c r="ES54" s="9">
        <f t="shared" si="307"/>
        <v>2.3187377862545997</v>
      </c>
      <c r="ET54" s="32"/>
      <c r="EU54" s="32"/>
      <c r="EV54" s="32">
        <f t="shared" si="30"/>
        <v>1.0256646046452087</v>
      </c>
      <c r="EW54" s="32">
        <v>1025664604.6452087</v>
      </c>
      <c r="EX54" s="32"/>
      <c r="FG54" s="32"/>
      <c r="FH54" s="32"/>
      <c r="FI54" s="41">
        <v>46161</v>
      </c>
      <c r="FJ54" s="76">
        <v>1.028537310855544</v>
      </c>
      <c r="FK54" s="9">
        <f t="shared" ref="FK54:FU54" si="308">FK53+FK$2</f>
        <v>0.9536448301111019</v>
      </c>
      <c r="FL54" s="9">
        <f t="shared" si="308"/>
        <v>1.0349423147282319</v>
      </c>
      <c r="FM54" s="9">
        <f t="shared" si="308"/>
        <v>1.1057284836682495</v>
      </c>
      <c r="FN54" s="9">
        <f t="shared" si="308"/>
        <v>1.1519555310195824</v>
      </c>
      <c r="FO54" s="9">
        <f t="shared" si="308"/>
        <v>1.2373067406383289</v>
      </c>
      <c r="FP54" s="9">
        <f t="shared" si="308"/>
        <v>1.35559808771558</v>
      </c>
      <c r="FQ54" s="9">
        <f t="shared" si="308"/>
        <v>1.4932691776210076</v>
      </c>
      <c r="FR54" s="9">
        <f t="shared" si="308"/>
        <v>1.6404015701256414</v>
      </c>
      <c r="FS54" s="9">
        <f t="shared" si="308"/>
        <v>1.7285465467599699</v>
      </c>
      <c r="FT54" s="9">
        <f t="shared" si="308"/>
        <v>1.9219754719088391</v>
      </c>
      <c r="FU54" s="9">
        <f t="shared" si="308"/>
        <v>2.3187377862545997</v>
      </c>
      <c r="FV54" s="32"/>
      <c r="FW54" s="32"/>
      <c r="FX54" s="32">
        <f t="shared" si="32"/>
        <v>1.0256646046452087</v>
      </c>
      <c r="FY54" s="32">
        <v>1025664604.6452087</v>
      </c>
      <c r="FZ54" s="32"/>
      <c r="GI54" s="32"/>
      <c r="GJ54" s="41"/>
      <c r="GK54" s="76"/>
      <c r="GL54" s="9">
        <f t="shared" ref="GL54:GV54" si="309">GL53+GL$2</f>
        <v>0.78706027547119994</v>
      </c>
      <c r="GM54" s="9">
        <f t="shared" si="309"/>
        <v>0.9061341861987996</v>
      </c>
      <c r="GN54" s="9">
        <f t="shared" si="309"/>
        <v>0.97420296504063852</v>
      </c>
      <c r="GO54" s="9">
        <f t="shared" si="309"/>
        <v>1.0126538403735825</v>
      </c>
      <c r="GP54" s="9">
        <f t="shared" si="309"/>
        <v>1.0922903784179239</v>
      </c>
      <c r="GQ54" s="9">
        <f t="shared" si="309"/>
        <v>1.2241828341417194</v>
      </c>
      <c r="GR54" s="9">
        <f t="shared" si="309"/>
        <v>1.3954490677217455</v>
      </c>
      <c r="GS54" s="9">
        <f t="shared" si="309"/>
        <v>1.596650542537885</v>
      </c>
      <c r="GT54" s="9">
        <f t="shared" si="309"/>
        <v>1.7571744044202595</v>
      </c>
      <c r="GU54" s="9">
        <f t="shared" si="309"/>
        <v>2.0615733339745876</v>
      </c>
      <c r="GV54" s="9">
        <f t="shared" si="309"/>
        <v>2.6794892329397122</v>
      </c>
      <c r="GW54" s="32"/>
      <c r="GX54" s="32"/>
      <c r="GY54" s="32">
        <f t="shared" si="34"/>
        <v>1.0256646046452087</v>
      </c>
      <c r="GZ54" s="32">
        <v>1025664604.6452087</v>
      </c>
      <c r="HA54" s="32"/>
      <c r="HB54" s="41"/>
      <c r="HC54" s="76"/>
      <c r="HD54" s="9"/>
      <c r="HE54" s="9"/>
      <c r="HF54" s="9"/>
      <c r="HG54" s="9"/>
      <c r="HH54" s="9"/>
      <c r="HI54" s="9"/>
      <c r="HJ54" s="9"/>
      <c r="HK54" s="9"/>
      <c r="HL54" s="9"/>
      <c r="HM54" s="9"/>
      <c r="HN54" s="9"/>
      <c r="HO54" s="32"/>
      <c r="HP54" s="32"/>
      <c r="HQ54" s="32"/>
      <c r="HR54" s="32"/>
      <c r="IC54" s="41">
        <f t="shared" si="67"/>
        <v>45069</v>
      </c>
      <c r="ID54" s="9"/>
      <c r="IE54" s="9">
        <f t="shared" si="305"/>
        <v>0.92610285565430372</v>
      </c>
      <c r="IF54" s="9">
        <f t="shared" si="305"/>
        <v>0.96236698482585414</v>
      </c>
      <c r="IG54" s="9">
        <f t="shared" si="305"/>
        <v>0.99609520093455461</v>
      </c>
      <c r="IH54" s="9">
        <f t="shared" si="305"/>
        <v>1.0145525918871934</v>
      </c>
      <c r="II54" s="9">
        <f t="shared" si="305"/>
        <v>1.0521721868342606</v>
      </c>
      <c r="IJ54" s="9">
        <f t="shared" si="305"/>
        <v>1.1066515521867137</v>
      </c>
      <c r="IK54" s="9">
        <f t="shared" si="305"/>
        <v>1.1758755887030605</v>
      </c>
      <c r="IL54" s="9">
        <f t="shared" si="305"/>
        <v>1.2550114795895129</v>
      </c>
      <c r="IM54" s="9">
        <f t="shared" si="305"/>
        <v>1.3076381662955561</v>
      </c>
      <c r="IN54" s="9">
        <f t="shared" si="305"/>
        <v>1.4331955256781224</v>
      </c>
      <c r="IO54" s="9">
        <f t="shared" si="305"/>
        <v>1.5837602483939119</v>
      </c>
      <c r="IP54" s="32"/>
      <c r="IQ54" s="32"/>
      <c r="JB54" s="41">
        <f t="shared" si="294"/>
        <v>44705</v>
      </c>
      <c r="JC54" s="9"/>
      <c r="JD54" s="9">
        <f t="shared" si="295"/>
        <v>1.0339397915743997</v>
      </c>
      <c r="JE54" s="9">
        <f t="shared" si="295"/>
        <v>1.0379837757714667</v>
      </c>
      <c r="JF54" s="9">
        <f t="shared" si="295"/>
        <v>1.0404586739354664</v>
      </c>
      <c r="JG54" s="9">
        <f t="shared" si="295"/>
        <v>1.0445026581325334</v>
      </c>
      <c r="JH54" s="9">
        <f t="shared" si="295"/>
        <v>1.0499844793042665</v>
      </c>
      <c r="JI54" s="9">
        <f t="shared" si="295"/>
        <v>1.0610793707061332</v>
      </c>
      <c r="JJ54" s="9">
        <f t="shared" si="295"/>
        <v>1.0746142987069329</v>
      </c>
      <c r="JK54" s="9">
        <f t="shared" si="295"/>
        <v>1.088275767279733</v>
      </c>
      <c r="JL54" s="9">
        <f t="shared" si="295"/>
        <v>1.1137085421514663</v>
      </c>
      <c r="JM54" s="9">
        <f t="shared" si="295"/>
        <v>1.1574255327176002</v>
      </c>
      <c r="JN54" s="9">
        <f t="shared" si="295"/>
        <v>1.2134961232837331</v>
      </c>
      <c r="JO54" s="9">
        <f t="shared" si="295"/>
        <v>0.98300771034159995</v>
      </c>
      <c r="JZ54" s="41">
        <f t="shared" si="234"/>
        <v>44705</v>
      </c>
      <c r="KA54" s="9"/>
      <c r="KB54" s="9">
        <f t="shared" si="300"/>
        <v>1.0478570625852253</v>
      </c>
      <c r="KC54" s="9">
        <f t="shared" si="300"/>
        <v>1.0558944608651499</v>
      </c>
      <c r="KP54" s="212"/>
      <c r="KR54" s="41"/>
      <c r="KS54" s="212"/>
      <c r="KT54" s="212"/>
      <c r="KV54" s="41"/>
      <c r="KW54" s="212"/>
      <c r="KX54" s="212"/>
      <c r="KZ54" s="41"/>
      <c r="LA54" s="212"/>
      <c r="LB54" s="212"/>
      <c r="LD54" s="41"/>
      <c r="LE54" s="212"/>
      <c r="LF54" s="212"/>
      <c r="LL54" s="41"/>
      <c r="LM54" s="212"/>
      <c r="LN54" s="212"/>
      <c r="LT54" s="41"/>
      <c r="LU54" s="212"/>
      <c r="LV54" s="75"/>
      <c r="MB54" s="32"/>
      <c r="MC54" s="32"/>
      <c r="MD54" s="32"/>
      <c r="ME54" s="32"/>
      <c r="MF54" s="32"/>
      <c r="MG54" s="32"/>
      <c r="MH54" s="32"/>
      <c r="MI54" s="39"/>
      <c r="MJ54" s="39"/>
      <c r="MK54" s="39"/>
      <c r="ML54" s="39"/>
      <c r="MM54" s="9"/>
      <c r="MN54" s="9"/>
      <c r="MO54" s="9"/>
      <c r="MP54" s="74"/>
      <c r="MQ54" s="74"/>
      <c r="MR54" s="74"/>
      <c r="MS54" s="74"/>
      <c r="MT54" s="74"/>
      <c r="MU54" s="74"/>
      <c r="MW54" s="72"/>
      <c r="MX54" s="78">
        <v>3</v>
      </c>
      <c r="MY54" s="10">
        <v>0.89633714446655055</v>
      </c>
      <c r="MZ54" s="10">
        <v>0.8683711109129103</v>
      </c>
      <c r="NA54" s="10">
        <v>0.79311741520780943</v>
      </c>
      <c r="NB54" s="10">
        <v>0.75599345470470991</v>
      </c>
      <c r="NC54" s="10">
        <v>0.79769685462374262</v>
      </c>
      <c r="ND54" s="10">
        <v>0.81896294605700071</v>
      </c>
      <c r="NE54" s="10">
        <v>0.98130431610919444</v>
      </c>
      <c r="NF54" s="10">
        <v>0.82345399249156337</v>
      </c>
      <c r="NG54" s="10">
        <v>0.93786170726084139</v>
      </c>
      <c r="NH54" s="10">
        <v>0.89934261451471276</v>
      </c>
      <c r="NI54" s="10">
        <v>0.51361869623653855</v>
      </c>
    </row>
    <row r="55" spans="2:373" x14ac:dyDescent="0.25">
      <c r="B55" s="48">
        <v>43074</v>
      </c>
      <c r="C55" s="214">
        <v>21465538.048799999</v>
      </c>
      <c r="D55" s="214">
        <v>16365918</v>
      </c>
      <c r="E55" s="215">
        <v>10000000</v>
      </c>
      <c r="F55" s="215"/>
      <c r="G55" s="215"/>
      <c r="H55" s="215"/>
      <c r="I55" s="41">
        <v>43249</v>
      </c>
      <c r="J55" s="212">
        <v>12622075.048799999</v>
      </c>
      <c r="K55" s="212">
        <f t="shared" si="18"/>
        <v>1054849864.1687996</v>
      </c>
      <c r="M55" s="41">
        <v>43613</v>
      </c>
      <c r="N55" s="212">
        <v>37029462.382799998</v>
      </c>
      <c r="O55" s="212">
        <f t="shared" si="19"/>
        <v>1102685239.5732</v>
      </c>
      <c r="Q55" s="41">
        <v>43977</v>
      </c>
      <c r="R55" s="212">
        <v>12868485.253199998</v>
      </c>
      <c r="S55" s="212">
        <f t="shared" si="20"/>
        <v>923137508.9375999</v>
      </c>
      <c r="U55" s="41">
        <v>44348</v>
      </c>
      <c r="V55" s="212">
        <v>15397249.525199998</v>
      </c>
      <c r="W55" s="212">
        <f t="shared" si="21"/>
        <v>1032004936.0044001</v>
      </c>
      <c r="Y55" s="38">
        <v>44712</v>
      </c>
      <c r="Z55" s="214">
        <v>15935426.829399999</v>
      </c>
      <c r="AA55" s="212">
        <f t="shared" si="261"/>
        <v>1054157968.4225998</v>
      </c>
      <c r="AC55" s="32">
        <v>48</v>
      </c>
      <c r="AD55" s="39">
        <f t="shared" si="0"/>
        <v>1.0548498641687996</v>
      </c>
      <c r="AE55" s="39">
        <f t="shared" si="1"/>
        <v>1.1026852395732001</v>
      </c>
      <c r="AF55" s="39">
        <f t="shared" si="2"/>
        <v>0.92313750893759994</v>
      </c>
      <c r="AG55" s="39">
        <f t="shared" si="3"/>
        <v>1.0320049360044001</v>
      </c>
      <c r="AH55" s="39">
        <f t="shared" si="4"/>
        <v>1.0541579684225999</v>
      </c>
      <c r="AI55" s="39">
        <f t="shared" si="23"/>
        <v>1.3355344718905646</v>
      </c>
      <c r="AJ55" s="9">
        <f t="shared" si="289"/>
        <v>0.98300771034159995</v>
      </c>
      <c r="AK55" s="9">
        <f t="shared" si="289"/>
        <v>0.98300771034159995</v>
      </c>
      <c r="AL55" s="9">
        <f t="shared" si="289"/>
        <v>0.98300771034159995</v>
      </c>
      <c r="AM55" s="74"/>
      <c r="AN55" s="74"/>
      <c r="AO55" s="74"/>
      <c r="AP55" s="74"/>
      <c r="AQ55" s="74"/>
      <c r="AR55" s="74"/>
      <c r="AT55" s="72"/>
      <c r="AU55" s="78">
        <v>3</v>
      </c>
      <c r="AV55" s="10">
        <v>1.5639091158278768</v>
      </c>
      <c r="AW55" s="10">
        <v>1.426493191119786</v>
      </c>
      <c r="AX55" s="10">
        <v>1.4510353850534852</v>
      </c>
      <c r="AY55" s="10">
        <v>1.6743062859069007</v>
      </c>
      <c r="AZ55" s="10">
        <v>1.6594957316098513</v>
      </c>
      <c r="BA55" s="10"/>
      <c r="BB55" s="10">
        <v>1.3102302944315389</v>
      </c>
      <c r="BM55" s="41">
        <f t="shared" si="60"/>
        <v>44712</v>
      </c>
      <c r="BN55" s="9">
        <f t="shared" si="5"/>
        <v>1.0541579684225999</v>
      </c>
      <c r="BO55" s="9">
        <f t="shared" si="237"/>
        <v>0.76954583398933563</v>
      </c>
      <c r="BP55" s="9">
        <f t="shared" si="237"/>
        <v>0.87471062797476973</v>
      </c>
      <c r="BQ55" s="9">
        <f t="shared" si="237"/>
        <v>0.93329895081496561</v>
      </c>
      <c r="BR55" s="9">
        <f t="shared" si="237"/>
        <v>0.96959274707795151</v>
      </c>
      <c r="BS55" s="9">
        <f t="shared" si="237"/>
        <v>1.0372777675432692</v>
      </c>
      <c r="BT55" s="9">
        <f t="shared" si="237"/>
        <v>1.1265507618516795</v>
      </c>
      <c r="BU55" s="9">
        <f t="shared" si="237"/>
        <v>1.2259478867678275</v>
      </c>
      <c r="BV55" s="9">
        <f t="shared" si="237"/>
        <v>1.3305801713625511</v>
      </c>
      <c r="BW55" s="9">
        <f t="shared" si="237"/>
        <v>1.3980605086509961</v>
      </c>
      <c r="BX55" s="9">
        <f t="shared" si="237"/>
        <v>1.5363332931828888</v>
      </c>
      <c r="BY55" s="9">
        <f t="shared" si="237"/>
        <v>1.8961721737685053</v>
      </c>
      <c r="BZ55" s="32"/>
      <c r="CA55" s="32"/>
      <c r="CL55" s="41">
        <f t="shared" si="61"/>
        <v>45076</v>
      </c>
      <c r="CM55" s="76">
        <v>1.0400668378461095</v>
      </c>
      <c r="CN55" s="9">
        <f t="shared" si="238"/>
        <v>0.85636137373356702</v>
      </c>
      <c r="CO55" s="9">
        <f t="shared" si="238"/>
        <v>0.97503375878066045</v>
      </c>
      <c r="CP55" s="9">
        <f t="shared" si="238"/>
        <v>1.0619226330980998</v>
      </c>
      <c r="CQ55" s="9">
        <f t="shared" si="238"/>
        <v>1.1078015764633815</v>
      </c>
      <c r="CR55" s="9">
        <f t="shared" si="238"/>
        <v>1.2040988868487688</v>
      </c>
      <c r="CS55" s="9">
        <f t="shared" si="238"/>
        <v>1.3367893245787206</v>
      </c>
      <c r="CT55" s="9">
        <f t="shared" si="238"/>
        <v>1.4844887774515483</v>
      </c>
      <c r="CU55" s="9">
        <f t="shared" si="238"/>
        <v>1.6456282640576307</v>
      </c>
      <c r="CV55" s="9">
        <f t="shared" si="238"/>
        <v>1.753474106744733</v>
      </c>
      <c r="CW55" s="9">
        <f t="shared" si="238"/>
        <v>1.9719086163366877</v>
      </c>
      <c r="CX55" s="9">
        <f t="shared" si="238"/>
        <v>2.4482869347607568</v>
      </c>
      <c r="CY55" s="32"/>
      <c r="CZ55" s="32"/>
      <c r="DA55" s="32">
        <f t="shared" si="26"/>
        <v>1.0400668378461095</v>
      </c>
      <c r="DB55" s="32">
        <v>1040066837.8461096</v>
      </c>
      <c r="DC55" s="32"/>
      <c r="DD55" s="41">
        <v>45440</v>
      </c>
      <c r="DE55" s="76">
        <v>1.4324253431536031</v>
      </c>
      <c r="DF55" s="9">
        <f t="shared" ref="DF55:DP55" si="310">DF54+DF$2</f>
        <v>0.84888927657371327</v>
      </c>
      <c r="DG55" s="9">
        <f t="shared" si="310"/>
        <v>0.94545250701488515</v>
      </c>
      <c r="DH55" s="9">
        <f t="shared" si="310"/>
        <v>1.0049368143463184</v>
      </c>
      <c r="DI55" s="9">
        <f t="shared" si="310"/>
        <v>1.0450990678920387</v>
      </c>
      <c r="DJ55" s="9">
        <f t="shared" si="310"/>
        <v>1.122614544813022</v>
      </c>
      <c r="DK55" s="9">
        <f t="shared" si="310"/>
        <v>1.2253655619094099</v>
      </c>
      <c r="DL55" s="9">
        <f t="shared" si="310"/>
        <v>1.3537557513585869</v>
      </c>
      <c r="DM55" s="9">
        <f t="shared" si="310"/>
        <v>1.4923890152518604</v>
      </c>
      <c r="DN55" s="9">
        <f t="shared" si="310"/>
        <v>1.5761132642256253</v>
      </c>
      <c r="DO55" s="9">
        <f t="shared" si="310"/>
        <v>1.7615402162826619</v>
      </c>
      <c r="DP55" s="9">
        <f t="shared" si="310"/>
        <v>2.2074330882351116</v>
      </c>
      <c r="DQ55" s="32"/>
      <c r="DR55" s="32"/>
      <c r="DS55" s="32">
        <f t="shared" si="28"/>
        <v>1.0400668378461095</v>
      </c>
      <c r="DT55" s="32">
        <v>1040066837.8461096</v>
      </c>
      <c r="DU55" s="32"/>
      <c r="EF55" s="32"/>
      <c r="EG55" s="41">
        <v>45804</v>
      </c>
      <c r="EH55" s="76">
        <v>1.56822999446058</v>
      </c>
      <c r="EI55" s="9">
        <f t="shared" ref="EI55:ES55" si="311">EI54+EI$2</f>
        <v>0.97393514564538064</v>
      </c>
      <c r="EJ55" s="9">
        <f t="shared" si="311"/>
        <v>1.0569623639777688</v>
      </c>
      <c r="EK55" s="9">
        <f t="shared" si="311"/>
        <v>1.1292546216186379</v>
      </c>
      <c r="EL55" s="9">
        <f t="shared" si="311"/>
        <v>1.1764652231689352</v>
      </c>
      <c r="EM55" s="9">
        <f t="shared" si="311"/>
        <v>1.2636324159710592</v>
      </c>
      <c r="EN55" s="9">
        <f t="shared" si="311"/>
        <v>1.3844406002201668</v>
      </c>
      <c r="EO55" s="9">
        <f t="shared" si="311"/>
        <v>1.5250408622512419</v>
      </c>
      <c r="EP55" s="9">
        <f t="shared" si="311"/>
        <v>1.6753037311921444</v>
      </c>
      <c r="EQ55" s="9">
        <f t="shared" si="311"/>
        <v>1.7653241328612459</v>
      </c>
      <c r="ER55" s="9">
        <f t="shared" si="311"/>
        <v>1.9628685670558357</v>
      </c>
      <c r="ES55" s="9">
        <f t="shared" si="311"/>
        <v>2.3680726327706552</v>
      </c>
      <c r="ET55" s="32"/>
      <c r="EU55" s="32"/>
      <c r="EV55" s="32">
        <f t="shared" si="30"/>
        <v>1.0400668378461095</v>
      </c>
      <c r="EW55" s="32">
        <v>1040066837.8461096</v>
      </c>
      <c r="EX55" s="32"/>
      <c r="FG55" s="32"/>
      <c r="FH55" s="32"/>
      <c r="FI55" s="41">
        <v>46168</v>
      </c>
      <c r="FJ55" s="76">
        <v>1.0538284606285171</v>
      </c>
      <c r="FK55" s="9">
        <f t="shared" ref="FK55:FU55" si="312">FK54+FK$2</f>
        <v>0.97393514564538064</v>
      </c>
      <c r="FL55" s="9">
        <f t="shared" si="312"/>
        <v>1.0569623639777688</v>
      </c>
      <c r="FM55" s="9">
        <f t="shared" si="312"/>
        <v>1.1292546216186379</v>
      </c>
      <c r="FN55" s="9">
        <f t="shared" si="312"/>
        <v>1.1764652231689352</v>
      </c>
      <c r="FO55" s="9">
        <f t="shared" si="312"/>
        <v>1.2636324159710592</v>
      </c>
      <c r="FP55" s="9">
        <f t="shared" si="312"/>
        <v>1.3844406002201668</v>
      </c>
      <c r="FQ55" s="9">
        <f t="shared" si="312"/>
        <v>1.5250408622512419</v>
      </c>
      <c r="FR55" s="9">
        <f t="shared" si="312"/>
        <v>1.6753037311921444</v>
      </c>
      <c r="FS55" s="9">
        <f t="shared" si="312"/>
        <v>1.7653241328612459</v>
      </c>
      <c r="FT55" s="9">
        <f t="shared" si="312"/>
        <v>1.9628685670558357</v>
      </c>
      <c r="FU55" s="9">
        <f t="shared" si="312"/>
        <v>2.3680726327706552</v>
      </c>
      <c r="FV55" s="32"/>
      <c r="FW55" s="32"/>
      <c r="FX55" s="32">
        <f t="shared" si="32"/>
        <v>1.0400668378461095</v>
      </c>
      <c r="FY55" s="32">
        <v>1040066837.8461096</v>
      </c>
      <c r="FZ55" s="32"/>
      <c r="GI55" s="32"/>
      <c r="GJ55" s="41"/>
      <c r="GK55" s="76"/>
      <c r="GL55" s="9">
        <f t="shared" ref="GL55:GV55" si="313">GL54+GL$2</f>
        <v>0.80380623877909785</v>
      </c>
      <c r="GM55" s="9">
        <f t="shared" si="313"/>
        <v>0.92541363696898682</v>
      </c>
      <c r="GN55" s="9">
        <f t="shared" si="313"/>
        <v>0.99493068770107762</v>
      </c>
      <c r="GO55" s="9">
        <f t="shared" si="313"/>
        <v>1.0341996667645099</v>
      </c>
      <c r="GP55" s="9">
        <f t="shared" si="313"/>
        <v>1.1155305992353266</v>
      </c>
      <c r="GQ55" s="9">
        <f t="shared" si="313"/>
        <v>1.2502292774213304</v>
      </c>
      <c r="GR55" s="9">
        <f t="shared" si="313"/>
        <v>1.4251394734179528</v>
      </c>
      <c r="GS55" s="9">
        <f t="shared" si="313"/>
        <v>1.6306218306769888</v>
      </c>
      <c r="GT55" s="9">
        <f t="shared" si="313"/>
        <v>1.7945610938760097</v>
      </c>
      <c r="GU55" s="9">
        <f t="shared" si="313"/>
        <v>2.1054365963995787</v>
      </c>
      <c r="GV55" s="9">
        <f t="shared" si="313"/>
        <v>2.7364996421511956</v>
      </c>
      <c r="GW55" s="32"/>
      <c r="GX55" s="32"/>
      <c r="GY55" s="32">
        <f t="shared" si="34"/>
        <v>1.0400668378461095</v>
      </c>
      <c r="GZ55" s="32">
        <v>1040066837.8461096</v>
      </c>
      <c r="HA55" s="32"/>
      <c r="HB55" s="41"/>
      <c r="HC55" s="76"/>
      <c r="HD55" s="9"/>
      <c r="HE55" s="9"/>
      <c r="HF55" s="9"/>
      <c r="HG55" s="9"/>
      <c r="HH55" s="9"/>
      <c r="HI55" s="9"/>
      <c r="HJ55" s="9"/>
      <c r="HK55" s="9"/>
      <c r="HL55" s="9"/>
      <c r="HM55" s="9"/>
      <c r="HN55" s="9"/>
      <c r="HO55" s="32"/>
      <c r="HP55" s="32"/>
      <c r="HQ55" s="32"/>
      <c r="HR55" s="32"/>
      <c r="IC55" s="41">
        <f t="shared" si="67"/>
        <v>45076</v>
      </c>
      <c r="ID55" s="9"/>
      <c r="IE55" s="9">
        <f t="shared" si="305"/>
        <v>0.94119435978061505</v>
      </c>
      <c r="IF55" s="9">
        <f t="shared" si="305"/>
        <v>0.97947316279502938</v>
      </c>
      <c r="IG55" s="9">
        <f t="shared" si="305"/>
        <v>1.0150751686875465</v>
      </c>
      <c r="IH55" s="9">
        <f t="shared" si="305"/>
        <v>1.0345579702486651</v>
      </c>
      <c r="II55" s="9">
        <f t="shared" si="305"/>
        <v>1.0742675426927917</v>
      </c>
      <c r="IJ55" s="9">
        <f t="shared" si="305"/>
        <v>1.1317735394537145</v>
      </c>
      <c r="IK55" s="9">
        <f t="shared" si="305"/>
        <v>1.204843355776525</v>
      </c>
      <c r="IL55" s="9">
        <f t="shared" si="305"/>
        <v>1.2883756850455581</v>
      </c>
      <c r="IM55" s="9">
        <f t="shared" si="305"/>
        <v>1.3439260765686036</v>
      </c>
      <c r="IN55" s="9">
        <f t="shared" si="305"/>
        <v>1.476458844805757</v>
      </c>
      <c r="IO55" s="9">
        <f t="shared" si="305"/>
        <v>1.6353882743390904</v>
      </c>
      <c r="IP55" s="32"/>
      <c r="IQ55" s="32"/>
      <c r="JB55" s="41">
        <f t="shared" si="294"/>
        <v>44712</v>
      </c>
      <c r="JC55" s="9"/>
      <c r="JD55" s="9">
        <f t="shared" si="295"/>
        <v>1.0466728118825996</v>
      </c>
      <c r="JE55" s="9">
        <f t="shared" si="295"/>
        <v>1.0517277921289334</v>
      </c>
      <c r="JF55" s="9">
        <f t="shared" si="295"/>
        <v>1.054821414833933</v>
      </c>
      <c r="JG55" s="9">
        <f t="shared" si="295"/>
        <v>1.0598763950802668</v>
      </c>
      <c r="JH55" s="9">
        <f t="shared" si="295"/>
        <v>1.0667286715449331</v>
      </c>
      <c r="JI55" s="9">
        <f t="shared" si="295"/>
        <v>1.0805972857972665</v>
      </c>
      <c r="JJ55" s="9">
        <f t="shared" si="295"/>
        <v>1.0975159457982662</v>
      </c>
      <c r="JK55" s="9">
        <f t="shared" si="295"/>
        <v>1.1145927815142662</v>
      </c>
      <c r="JL55" s="9">
        <f t="shared" si="295"/>
        <v>1.1463837501039329</v>
      </c>
      <c r="JM55" s="9">
        <f t="shared" si="295"/>
        <v>1.2010299883116002</v>
      </c>
      <c r="JN55" s="9">
        <f t="shared" si="295"/>
        <v>1.2711182265192664</v>
      </c>
      <c r="JO55" s="9">
        <f t="shared" si="295"/>
        <v>0.98300771034159995</v>
      </c>
      <c r="JZ55" s="41">
        <f t="shared" si="234"/>
        <v>44712</v>
      </c>
      <c r="KA55" s="9"/>
      <c r="KB55" s="9">
        <f t="shared" si="300"/>
        <v>1.0656986378995004</v>
      </c>
      <c r="KC55" s="9">
        <f t="shared" si="300"/>
        <v>1.0764151689393999</v>
      </c>
      <c r="KP55" s="212"/>
      <c r="KR55" s="41"/>
      <c r="KS55" s="212"/>
      <c r="KT55" s="212"/>
      <c r="KV55" s="41"/>
      <c r="KW55" s="212"/>
      <c r="KX55" s="212"/>
      <c r="KZ55" s="41"/>
      <c r="LA55" s="212"/>
      <c r="LB55" s="212"/>
      <c r="LD55" s="41"/>
      <c r="LE55" s="212"/>
      <c r="LF55" s="212"/>
      <c r="LL55" s="41"/>
      <c r="LM55" s="212"/>
      <c r="LN55" s="212"/>
      <c r="LT55" s="41"/>
      <c r="LU55" s="212"/>
      <c r="LV55" s="75"/>
      <c r="MB55" s="32"/>
      <c r="MC55" s="32"/>
      <c r="MD55" s="32"/>
      <c r="ME55" s="32"/>
      <c r="MF55" s="32"/>
      <c r="MG55" s="32"/>
      <c r="MH55" s="32"/>
      <c r="MI55" s="39"/>
      <c r="MJ55" s="39"/>
      <c r="MK55" s="39"/>
      <c r="ML55" s="39"/>
      <c r="MM55" s="9"/>
      <c r="MN55" s="9"/>
      <c r="MO55" s="9"/>
      <c r="MP55" s="74"/>
      <c r="MQ55" s="74"/>
      <c r="MR55" s="74"/>
      <c r="MS55" s="74"/>
      <c r="MT55" s="74"/>
      <c r="MU55" s="74"/>
      <c r="MW55" s="72"/>
      <c r="MX55" s="73"/>
    </row>
    <row r="56" spans="2:373" x14ac:dyDescent="0.25">
      <c r="B56" s="48">
        <v>43081</v>
      </c>
      <c r="C56" s="214">
        <v>25498613.613599997</v>
      </c>
      <c r="D56" s="214">
        <v>19440846</v>
      </c>
      <c r="E56" s="215">
        <v>15000000</v>
      </c>
      <c r="F56" s="215"/>
      <c r="G56" s="215"/>
      <c r="H56" s="215"/>
      <c r="I56" s="41">
        <v>43256</v>
      </c>
      <c r="J56" s="212">
        <v>17316755.755199999</v>
      </c>
      <c r="K56" s="212">
        <f t="shared" si="18"/>
        <v>1072166619.9239997</v>
      </c>
      <c r="M56" s="41">
        <v>43620</v>
      </c>
      <c r="N56" s="212">
        <v>44897976.377999999</v>
      </c>
      <c r="O56" s="212">
        <f t="shared" si="19"/>
        <v>1147583215.9512</v>
      </c>
      <c r="Q56" s="41">
        <v>43984</v>
      </c>
      <c r="R56" s="212">
        <v>11586830.1372</v>
      </c>
      <c r="S56" s="212">
        <f t="shared" si="20"/>
        <v>934724339.0747999</v>
      </c>
      <c r="U56" s="41">
        <v>44355</v>
      </c>
      <c r="V56" s="212">
        <v>23553090.068399999</v>
      </c>
      <c r="W56" s="212">
        <f t="shared" si="21"/>
        <v>1055558026.0728002</v>
      </c>
      <c r="Y56" s="38">
        <v>44719</v>
      </c>
      <c r="Z56" s="214">
        <v>14605828.715399999</v>
      </c>
      <c r="AA56" s="212">
        <f t="shared" si="261"/>
        <v>1068763797.1379998</v>
      </c>
      <c r="AC56" s="32">
        <v>49</v>
      </c>
      <c r="AD56" s="39">
        <f t="shared" si="0"/>
        <v>1.0721666199239996</v>
      </c>
      <c r="AE56" s="39">
        <f t="shared" si="1"/>
        <v>1.1475832159512001</v>
      </c>
      <c r="AF56" s="39">
        <f t="shared" si="2"/>
        <v>0.9347243390747999</v>
      </c>
      <c r="AG56" s="39">
        <f t="shared" si="3"/>
        <v>1.0555580260728001</v>
      </c>
      <c r="AH56" s="39">
        <f t="shared" si="4"/>
        <v>1.0687637971379997</v>
      </c>
      <c r="AI56" s="39">
        <f t="shared" si="23"/>
        <v>1.3633581067216181</v>
      </c>
      <c r="AJ56" s="9">
        <f t="shared" si="289"/>
        <v>0.98300771034159995</v>
      </c>
      <c r="AK56" s="9">
        <f t="shared" si="289"/>
        <v>0.98300771034159995</v>
      </c>
      <c r="AL56" s="9">
        <f t="shared" si="289"/>
        <v>0.98300771034159995</v>
      </c>
      <c r="AM56" s="74"/>
      <c r="AN56" s="74"/>
      <c r="AO56" s="74"/>
      <c r="AP56" s="74"/>
      <c r="AQ56" s="74"/>
      <c r="AR56" s="74"/>
      <c r="AT56" s="72"/>
      <c r="AU56" s="73"/>
      <c r="BM56" s="41">
        <f t="shared" si="60"/>
        <v>44719</v>
      </c>
      <c r="BN56" s="9">
        <f t="shared" si="5"/>
        <v>1.0687637971379997</v>
      </c>
      <c r="BO56" s="9">
        <f t="shared" si="237"/>
        <v>0.78557803886411348</v>
      </c>
      <c r="BP56" s="9">
        <f t="shared" si="237"/>
        <v>0.89293376605757746</v>
      </c>
      <c r="BQ56" s="9">
        <f t="shared" si="237"/>
        <v>0.95274267895694409</v>
      </c>
      <c r="BR56" s="9">
        <f t="shared" si="237"/>
        <v>0.98979259597540881</v>
      </c>
      <c r="BS56" s="9">
        <f t="shared" si="237"/>
        <v>1.0588877210337539</v>
      </c>
      <c r="BT56" s="9">
        <f t="shared" si="237"/>
        <v>1.1500205693902561</v>
      </c>
      <c r="BU56" s="9">
        <f t="shared" si="237"/>
        <v>1.2514884677421572</v>
      </c>
      <c r="BV56" s="9">
        <f t="shared" si="237"/>
        <v>1.358300591599271</v>
      </c>
      <c r="BW56" s="9">
        <f t="shared" si="237"/>
        <v>1.4271867692478919</v>
      </c>
      <c r="BX56" s="9">
        <f t="shared" si="237"/>
        <v>1.5683402367908656</v>
      </c>
      <c r="BY56" s="9">
        <f t="shared" si="237"/>
        <v>1.9356757607220159</v>
      </c>
      <c r="BZ56" s="32"/>
      <c r="CA56" s="32"/>
      <c r="CL56" s="41">
        <f t="shared" si="61"/>
        <v>45083</v>
      </c>
      <c r="CM56" s="76">
        <v>1.0596253319545181</v>
      </c>
      <c r="CN56" s="9">
        <f t="shared" si="238"/>
        <v>0.87420223568634969</v>
      </c>
      <c r="CO56" s="9">
        <f t="shared" si="238"/>
        <v>0.99534696208859086</v>
      </c>
      <c r="CP56" s="9">
        <f t="shared" si="238"/>
        <v>1.0840460212876435</v>
      </c>
      <c r="CQ56" s="9">
        <f t="shared" si="238"/>
        <v>1.1308807759730353</v>
      </c>
      <c r="CR56" s="9">
        <f t="shared" si="238"/>
        <v>1.2291842803247848</v>
      </c>
      <c r="CS56" s="9">
        <f t="shared" si="238"/>
        <v>1.3646391021741107</v>
      </c>
      <c r="CT56" s="9">
        <f t="shared" si="238"/>
        <v>1.5154156269817889</v>
      </c>
      <c r="CU56" s="9">
        <f t="shared" si="238"/>
        <v>1.679912186225498</v>
      </c>
      <c r="CV56" s="9">
        <f t="shared" si="238"/>
        <v>1.790004817301915</v>
      </c>
      <c r="CW56" s="9">
        <f t="shared" si="238"/>
        <v>2.012990045843702</v>
      </c>
      <c r="CX56" s="9">
        <f t="shared" si="238"/>
        <v>2.4992929125682726</v>
      </c>
      <c r="CY56" s="32"/>
      <c r="CZ56" s="32"/>
      <c r="DA56" s="32">
        <f t="shared" si="26"/>
        <v>1.0596253319545181</v>
      </c>
      <c r="DB56" s="32">
        <v>1059625331.9545181</v>
      </c>
      <c r="DC56" s="32"/>
      <c r="DD56" s="41">
        <v>45447</v>
      </c>
      <c r="DE56" s="76">
        <v>1.4458507346358855</v>
      </c>
      <c r="DF56" s="9">
        <f t="shared" ref="DF56:DP56" si="314">DF55+DF$2</f>
        <v>0.86657446983566566</v>
      </c>
      <c r="DG56" s="9">
        <f t="shared" si="314"/>
        <v>0.96514943424436195</v>
      </c>
      <c r="DH56" s="9">
        <f t="shared" si="314"/>
        <v>1.0258729979785335</v>
      </c>
      <c r="DI56" s="9">
        <f t="shared" si="314"/>
        <v>1.0668719651397895</v>
      </c>
      <c r="DJ56" s="9">
        <f t="shared" si="314"/>
        <v>1.1460023478299599</v>
      </c>
      <c r="DK56" s="9">
        <f t="shared" si="314"/>
        <v>1.250894011115856</v>
      </c>
      <c r="DL56" s="9">
        <f t="shared" si="314"/>
        <v>1.3819589961785574</v>
      </c>
      <c r="DM56" s="9">
        <f t="shared" si="314"/>
        <v>1.5234804530696076</v>
      </c>
      <c r="DN56" s="9">
        <f t="shared" si="314"/>
        <v>1.6089489572303257</v>
      </c>
      <c r="DO56" s="9">
        <f t="shared" si="314"/>
        <v>1.7982389707885507</v>
      </c>
      <c r="DP56" s="9">
        <f t="shared" si="314"/>
        <v>2.2534212775733433</v>
      </c>
      <c r="DQ56" s="32"/>
      <c r="DR56" s="32"/>
      <c r="DS56" s="32">
        <f t="shared" si="28"/>
        <v>1.0596253319545181</v>
      </c>
      <c r="DT56" s="32">
        <v>1059625331.9545181</v>
      </c>
      <c r="DU56" s="32"/>
      <c r="EF56" s="32"/>
      <c r="EG56" s="41">
        <v>45811</v>
      </c>
      <c r="EH56" s="76">
        <v>1.6572116592560753</v>
      </c>
      <c r="EI56" s="9">
        <f t="shared" ref="EI56:ES56" si="315">EI55+EI$2</f>
        <v>0.99422546117965938</v>
      </c>
      <c r="EJ56" s="9">
        <f t="shared" si="315"/>
        <v>1.0789824132273056</v>
      </c>
      <c r="EK56" s="9">
        <f t="shared" si="315"/>
        <v>1.1527807595690263</v>
      </c>
      <c r="EL56" s="9">
        <f t="shared" si="315"/>
        <v>1.200974915318288</v>
      </c>
      <c r="EM56" s="9">
        <f t="shared" si="315"/>
        <v>1.2899580913037896</v>
      </c>
      <c r="EN56" s="9">
        <f t="shared" si="315"/>
        <v>1.4132831127247536</v>
      </c>
      <c r="EO56" s="9">
        <f t="shared" si="315"/>
        <v>1.5568125468814762</v>
      </c>
      <c r="EP56" s="9">
        <f t="shared" si="315"/>
        <v>1.7102058922586474</v>
      </c>
      <c r="EQ56" s="9">
        <f t="shared" si="315"/>
        <v>1.8021017189625219</v>
      </c>
      <c r="ER56" s="9">
        <f t="shared" si="315"/>
        <v>2.0037616622028325</v>
      </c>
      <c r="ES56" s="9">
        <f t="shared" si="315"/>
        <v>2.4174074792867106</v>
      </c>
      <c r="ET56" s="32"/>
      <c r="EU56" s="32"/>
      <c r="EV56" s="32">
        <f t="shared" si="30"/>
        <v>1.0596253319545181</v>
      </c>
      <c r="EW56" s="32">
        <v>1059625331.9545181</v>
      </c>
      <c r="EX56" s="32"/>
      <c r="FG56" s="32"/>
      <c r="FH56" s="32"/>
      <c r="FI56" s="41">
        <v>46175</v>
      </c>
      <c r="FJ56" s="76">
        <v>1.0683392292501386</v>
      </c>
      <c r="FK56" s="9">
        <f t="shared" ref="FK56:FU56" si="316">FK55+FK$2</f>
        <v>0.99422546117965938</v>
      </c>
      <c r="FL56" s="9">
        <f t="shared" si="316"/>
        <v>1.0789824132273056</v>
      </c>
      <c r="FM56" s="9">
        <f t="shared" si="316"/>
        <v>1.1527807595690263</v>
      </c>
      <c r="FN56" s="9">
        <f t="shared" si="316"/>
        <v>1.200974915318288</v>
      </c>
      <c r="FO56" s="9">
        <f t="shared" si="316"/>
        <v>1.2899580913037896</v>
      </c>
      <c r="FP56" s="9">
        <f t="shared" si="316"/>
        <v>1.4132831127247536</v>
      </c>
      <c r="FQ56" s="9">
        <f t="shared" si="316"/>
        <v>1.5568125468814762</v>
      </c>
      <c r="FR56" s="9">
        <f t="shared" si="316"/>
        <v>1.7102058922586474</v>
      </c>
      <c r="FS56" s="9">
        <f t="shared" si="316"/>
        <v>1.8021017189625219</v>
      </c>
      <c r="FT56" s="9">
        <f t="shared" si="316"/>
        <v>2.0037616622028325</v>
      </c>
      <c r="FU56" s="9">
        <f t="shared" si="316"/>
        <v>2.4174074792867106</v>
      </c>
      <c r="FV56" s="32"/>
      <c r="FW56" s="32"/>
      <c r="FX56" s="32">
        <f t="shared" si="32"/>
        <v>1.0596253319545181</v>
      </c>
      <c r="FY56" s="32">
        <v>1059625331.9545181</v>
      </c>
      <c r="FZ56" s="32"/>
      <c r="GI56" s="32"/>
      <c r="GJ56" s="41"/>
      <c r="GK56" s="76"/>
      <c r="GL56" s="9">
        <f t="shared" ref="GL56:GV56" si="317">GL55+GL$2</f>
        <v>0.82055220208699575</v>
      </c>
      <c r="GM56" s="9">
        <f t="shared" si="317"/>
        <v>0.94469308773917404</v>
      </c>
      <c r="GN56" s="9">
        <f t="shared" si="317"/>
        <v>1.0156584103615167</v>
      </c>
      <c r="GO56" s="9">
        <f t="shared" si="317"/>
        <v>1.0557454931554373</v>
      </c>
      <c r="GP56" s="9">
        <f t="shared" si="317"/>
        <v>1.1387708200527293</v>
      </c>
      <c r="GQ56" s="9">
        <f t="shared" si="317"/>
        <v>1.2762757207009414</v>
      </c>
      <c r="GR56" s="9">
        <f t="shared" si="317"/>
        <v>1.4548298791141601</v>
      </c>
      <c r="GS56" s="9">
        <f t="shared" si="317"/>
        <v>1.6645931188160927</v>
      </c>
      <c r="GT56" s="9">
        <f t="shared" si="317"/>
        <v>1.8319477833317599</v>
      </c>
      <c r="GU56" s="9">
        <f t="shared" si="317"/>
        <v>2.1492998588245698</v>
      </c>
      <c r="GV56" s="9">
        <f t="shared" si="317"/>
        <v>2.7935100513626789</v>
      </c>
      <c r="GW56" s="32"/>
      <c r="GX56" s="32"/>
      <c r="GY56" s="32">
        <f t="shared" si="34"/>
        <v>1.0596253319545181</v>
      </c>
      <c r="GZ56" s="32">
        <v>1059625331.9545181</v>
      </c>
      <c r="HA56" s="32"/>
      <c r="HB56" s="41"/>
      <c r="HC56" s="76"/>
      <c r="HD56" s="9"/>
      <c r="HE56" s="9"/>
      <c r="HF56" s="9"/>
      <c r="HG56" s="9"/>
      <c r="HH56" s="9"/>
      <c r="HI56" s="9"/>
      <c r="HJ56" s="9"/>
      <c r="HK56" s="9"/>
      <c r="HL56" s="9"/>
      <c r="HM56" s="9"/>
      <c r="HN56" s="9"/>
      <c r="HO56" s="32"/>
      <c r="HP56" s="32"/>
      <c r="HQ56" s="32"/>
      <c r="HR56" s="32"/>
      <c r="IC56" s="41">
        <f t="shared" si="67"/>
        <v>45083</v>
      </c>
      <c r="ID56" s="9"/>
      <c r="IE56" s="9">
        <f t="shared" si="305"/>
        <v>0.95628586390692638</v>
      </c>
      <c r="IF56" s="9">
        <f t="shared" si="305"/>
        <v>0.99657934076420462</v>
      </c>
      <c r="IG56" s="9">
        <f t="shared" si="305"/>
        <v>1.0340551364405384</v>
      </c>
      <c r="IH56" s="9">
        <f t="shared" si="305"/>
        <v>1.0545633486101369</v>
      </c>
      <c r="II56" s="9">
        <f t="shared" si="305"/>
        <v>1.0963628985513227</v>
      </c>
      <c r="IJ56" s="9">
        <f t="shared" si="305"/>
        <v>1.1568955267207153</v>
      </c>
      <c r="IK56" s="9">
        <f t="shared" si="305"/>
        <v>1.2338111228499895</v>
      </c>
      <c r="IL56" s="9">
        <f t="shared" si="305"/>
        <v>1.3217398905016033</v>
      </c>
      <c r="IM56" s="9">
        <f t="shared" si="305"/>
        <v>1.3802139868416512</v>
      </c>
      <c r="IN56" s="9">
        <f t="shared" si="305"/>
        <v>1.5197221639333915</v>
      </c>
      <c r="IO56" s="9">
        <f t="shared" si="305"/>
        <v>1.6870163002842689</v>
      </c>
      <c r="IP56" s="32"/>
      <c r="IQ56" s="32"/>
      <c r="JB56" s="41">
        <f t="shared" si="294"/>
        <v>44719</v>
      </c>
      <c r="JC56" s="9"/>
      <c r="JD56" s="9">
        <f t="shared" si="295"/>
        <v>1.0594058321907995</v>
      </c>
      <c r="JE56" s="9">
        <f t="shared" si="295"/>
        <v>1.0654718084864001</v>
      </c>
      <c r="JF56" s="9">
        <f t="shared" si="295"/>
        <v>1.0691841557323996</v>
      </c>
      <c r="JG56" s="9">
        <f t="shared" si="295"/>
        <v>1.0752501320280001</v>
      </c>
      <c r="JH56" s="9">
        <f t="shared" si="295"/>
        <v>1.0834728637855997</v>
      </c>
      <c r="JI56" s="9">
        <f t="shared" si="295"/>
        <v>1.1001152008883999</v>
      </c>
      <c r="JJ56" s="9">
        <f t="shared" si="295"/>
        <v>1.1204175928895994</v>
      </c>
      <c r="JK56" s="9">
        <f t="shared" si="295"/>
        <v>1.1409097957487995</v>
      </c>
      <c r="JL56" s="9">
        <f t="shared" si="295"/>
        <v>1.1790589580563995</v>
      </c>
      <c r="JM56" s="9">
        <f t="shared" si="295"/>
        <v>1.2446344439056003</v>
      </c>
      <c r="JN56" s="9">
        <f t="shared" si="295"/>
        <v>1.3287403297547997</v>
      </c>
      <c r="JO56" s="9">
        <f t="shared" si="295"/>
        <v>0.98300771034159995</v>
      </c>
      <c r="JZ56" s="41">
        <f t="shared" si="234"/>
        <v>44719</v>
      </c>
      <c r="KA56" s="9"/>
      <c r="KB56" s="9">
        <f t="shared" si="300"/>
        <v>1.0835402132137755</v>
      </c>
      <c r="KC56" s="9">
        <f t="shared" si="300"/>
        <v>1.0969358770136499</v>
      </c>
      <c r="KP56" s="212"/>
      <c r="KR56" s="41"/>
      <c r="KS56" s="212"/>
      <c r="KT56" s="212"/>
      <c r="KV56" s="41"/>
      <c r="KW56" s="212"/>
      <c r="KX56" s="212"/>
      <c r="KZ56" s="41"/>
      <c r="LA56" s="212"/>
      <c r="LB56" s="212"/>
      <c r="LD56" s="41"/>
      <c r="LE56" s="212"/>
      <c r="LF56" s="212"/>
      <c r="LL56" s="41"/>
      <c r="LM56" s="212"/>
      <c r="LN56" s="212"/>
      <c r="LT56" s="41"/>
      <c r="LU56" s="212"/>
      <c r="LV56" s="75"/>
      <c r="MB56" s="32"/>
      <c r="MC56" s="32"/>
      <c r="MD56" s="32"/>
      <c r="ME56" s="32"/>
      <c r="MF56" s="32"/>
      <c r="MG56" s="32"/>
      <c r="MH56" s="32"/>
      <c r="MI56" s="39"/>
      <c r="MJ56" s="39"/>
      <c r="MK56" s="39"/>
      <c r="ML56" s="39"/>
      <c r="MM56" s="9"/>
      <c r="MN56" s="9"/>
      <c r="MO56" s="9"/>
      <c r="MP56" s="74"/>
      <c r="MQ56" s="74"/>
      <c r="MR56" s="74"/>
      <c r="MS56" s="74"/>
      <c r="MT56" s="74"/>
      <c r="MU56" s="74"/>
      <c r="MW56" s="72"/>
      <c r="MX56" s="77" t="s">
        <v>108</v>
      </c>
    </row>
    <row r="57" spans="2:373" x14ac:dyDescent="0.25">
      <c r="B57" s="48">
        <v>43088</v>
      </c>
      <c r="C57" s="214">
        <v>27988134.029999997</v>
      </c>
      <c r="D57" s="214">
        <v>21338925</v>
      </c>
      <c r="E57" s="215">
        <v>20000000</v>
      </c>
      <c r="F57" s="215"/>
      <c r="G57" s="215"/>
      <c r="H57" s="215"/>
      <c r="I57" s="41">
        <v>43263</v>
      </c>
      <c r="J57" s="212">
        <v>24855037.725599997</v>
      </c>
      <c r="K57" s="212">
        <f t="shared" si="18"/>
        <v>1097021657.6495996</v>
      </c>
      <c r="M57" s="41">
        <v>43627</v>
      </c>
      <c r="N57" s="212">
        <v>51909644.390399992</v>
      </c>
      <c r="O57" s="212">
        <f t="shared" si="19"/>
        <v>1199492860.3415999</v>
      </c>
      <c r="Q57" s="41">
        <v>43991</v>
      </c>
      <c r="R57" s="212">
        <v>16221170.671199998</v>
      </c>
      <c r="S57" s="212">
        <f t="shared" si="20"/>
        <v>950945509.74599993</v>
      </c>
      <c r="U57" s="41">
        <v>44362</v>
      </c>
      <c r="V57" s="212">
        <v>12093389.063999999</v>
      </c>
      <c r="W57" s="212">
        <f t="shared" si="21"/>
        <v>1067651415.1368002</v>
      </c>
      <c r="Y57" s="38">
        <v>44726</v>
      </c>
      <c r="Z57" s="214">
        <v>12804661.0406</v>
      </c>
      <c r="AA57" s="212">
        <f t="shared" si="261"/>
        <v>1081568458.1785998</v>
      </c>
      <c r="AC57" s="32">
        <v>50</v>
      </c>
      <c r="AD57" s="39">
        <f t="shared" si="0"/>
        <v>1.0970216576495995</v>
      </c>
      <c r="AE57" s="39">
        <f t="shared" si="1"/>
        <v>1.1994928603416</v>
      </c>
      <c r="AF57" s="39">
        <f t="shared" si="2"/>
        <v>0.9509455097459999</v>
      </c>
      <c r="AG57" s="39">
        <f t="shared" si="3"/>
        <v>1.0676514151368002</v>
      </c>
      <c r="AH57" s="39">
        <f t="shared" si="4"/>
        <v>1.0815684581785998</v>
      </c>
      <c r="AI57" s="39">
        <f t="shared" si="23"/>
        <v>1.3911817415526715</v>
      </c>
      <c r="AJ57" s="9">
        <f t="shared" si="289"/>
        <v>0.98300771034159995</v>
      </c>
      <c r="AK57" s="9">
        <f t="shared" si="289"/>
        <v>0.98300771034159995</v>
      </c>
      <c r="AL57" s="9">
        <f t="shared" si="289"/>
        <v>0.98300771034159995</v>
      </c>
      <c r="AM57" s="74"/>
      <c r="AN57" s="74"/>
      <c r="AO57" s="74"/>
      <c r="AP57" s="74"/>
      <c r="AQ57" s="74"/>
      <c r="AR57" s="74"/>
      <c r="AT57" s="72"/>
      <c r="AU57" s="77" t="s">
        <v>108</v>
      </c>
      <c r="BM57" s="41">
        <f t="shared" si="60"/>
        <v>44726</v>
      </c>
      <c r="BN57" s="9">
        <f t="shared" si="5"/>
        <v>1.0815684581785998</v>
      </c>
      <c r="BO57" s="9">
        <f t="shared" ref="BO57:BY59" si="318">BO56+BO$2</f>
        <v>0.80161024373889134</v>
      </c>
      <c r="BP57" s="9">
        <f t="shared" si="318"/>
        <v>0.91115690414038519</v>
      </c>
      <c r="BQ57" s="9">
        <f t="shared" si="318"/>
        <v>0.97218640709892257</v>
      </c>
      <c r="BR57" s="9">
        <f t="shared" si="318"/>
        <v>1.0099924448728661</v>
      </c>
      <c r="BS57" s="9">
        <f t="shared" si="318"/>
        <v>1.0804976745242387</v>
      </c>
      <c r="BT57" s="9">
        <f t="shared" si="318"/>
        <v>1.1734903769288327</v>
      </c>
      <c r="BU57" s="9">
        <f t="shared" si="318"/>
        <v>1.2770290487164868</v>
      </c>
      <c r="BV57" s="9">
        <f t="shared" si="318"/>
        <v>1.3860210118359908</v>
      </c>
      <c r="BW57" s="9">
        <f t="shared" si="318"/>
        <v>1.4563130298447877</v>
      </c>
      <c r="BX57" s="9">
        <f t="shared" si="318"/>
        <v>1.6003471803988425</v>
      </c>
      <c r="BY57" s="9">
        <f t="shared" si="318"/>
        <v>1.9751793476755264</v>
      </c>
      <c r="BZ57" s="32"/>
      <c r="CA57" s="32"/>
      <c r="CL57" s="41">
        <f t="shared" si="61"/>
        <v>45090</v>
      </c>
      <c r="CM57" s="76">
        <v>1.0849019171256893</v>
      </c>
      <c r="CN57" s="9">
        <f t="shared" ref="CN57:CX59" si="319">CN56+CN$2</f>
        <v>0.89204309763913237</v>
      </c>
      <c r="CO57" s="9">
        <f t="shared" si="319"/>
        <v>1.0156601653965214</v>
      </c>
      <c r="CP57" s="9">
        <f t="shared" si="319"/>
        <v>1.1061694094771872</v>
      </c>
      <c r="CQ57" s="9">
        <f t="shared" si="319"/>
        <v>1.153959975482689</v>
      </c>
      <c r="CR57" s="9">
        <f t="shared" si="319"/>
        <v>1.2542696738008008</v>
      </c>
      <c r="CS57" s="9">
        <f t="shared" si="319"/>
        <v>1.3924888797695008</v>
      </c>
      <c r="CT57" s="9">
        <f t="shared" si="319"/>
        <v>1.5463424765120295</v>
      </c>
      <c r="CU57" s="9">
        <f t="shared" si="319"/>
        <v>1.7141961083933652</v>
      </c>
      <c r="CV57" s="9">
        <f t="shared" si="319"/>
        <v>1.8265355278590969</v>
      </c>
      <c r="CW57" s="9">
        <f t="shared" si="319"/>
        <v>2.0540714753507165</v>
      </c>
      <c r="CX57" s="9">
        <f t="shared" si="319"/>
        <v>2.5502988903757884</v>
      </c>
      <c r="CY57" s="32"/>
      <c r="CZ57" s="32"/>
      <c r="DA57" s="32">
        <f t="shared" si="26"/>
        <v>1.0849019171256893</v>
      </c>
      <c r="DB57" s="32">
        <v>1084901917.1256893</v>
      </c>
      <c r="DC57" s="32"/>
      <c r="DD57" s="41">
        <v>45454</v>
      </c>
      <c r="DE57" s="76">
        <v>1.4582475287693688</v>
      </c>
      <c r="DF57" s="9">
        <f t="shared" ref="DF57:DP57" si="320">DF56+DF$2</f>
        <v>0.88425966309761805</v>
      </c>
      <c r="DG57" s="9">
        <f t="shared" si="320"/>
        <v>0.98484636147383875</v>
      </c>
      <c r="DH57" s="9">
        <f t="shared" si="320"/>
        <v>1.0468091816107485</v>
      </c>
      <c r="DI57" s="9">
        <f t="shared" si="320"/>
        <v>1.0886448623875404</v>
      </c>
      <c r="DJ57" s="9">
        <f t="shared" si="320"/>
        <v>1.1693901508468978</v>
      </c>
      <c r="DK57" s="9">
        <f t="shared" si="320"/>
        <v>1.276422460322302</v>
      </c>
      <c r="DL57" s="9">
        <f t="shared" si="320"/>
        <v>1.4101622409985279</v>
      </c>
      <c r="DM57" s="9">
        <f t="shared" si="320"/>
        <v>1.5545718908873547</v>
      </c>
      <c r="DN57" s="9">
        <f t="shared" si="320"/>
        <v>1.6417846502350262</v>
      </c>
      <c r="DO57" s="9">
        <f t="shared" si="320"/>
        <v>1.8349377252944394</v>
      </c>
      <c r="DP57" s="9">
        <f t="shared" si="320"/>
        <v>2.299409466911575</v>
      </c>
      <c r="DQ57" s="32"/>
      <c r="DR57" s="32"/>
      <c r="DS57" s="32">
        <f t="shared" si="28"/>
        <v>1.0849019171256893</v>
      </c>
      <c r="DT57" s="32">
        <v>1084901917.1256893</v>
      </c>
      <c r="DU57" s="32"/>
      <c r="EF57" s="32"/>
      <c r="EG57" s="41">
        <v>45818</v>
      </c>
      <c r="EH57" s="76">
        <v>1.6706118098800993</v>
      </c>
      <c r="EI57" s="9">
        <f t="shared" ref="EI57:ES57" si="321">EI56+EI$2</f>
        <v>1.0145157767139381</v>
      </c>
      <c r="EJ57" s="9">
        <f t="shared" si="321"/>
        <v>1.1010024624768424</v>
      </c>
      <c r="EK57" s="9">
        <f t="shared" si="321"/>
        <v>1.1763068975194146</v>
      </c>
      <c r="EL57" s="9">
        <f t="shared" si="321"/>
        <v>1.2254846074676409</v>
      </c>
      <c r="EM57" s="9">
        <f t="shared" si="321"/>
        <v>1.3162837666365199</v>
      </c>
      <c r="EN57" s="9">
        <f t="shared" si="321"/>
        <v>1.4421256252293404</v>
      </c>
      <c r="EO57" s="9">
        <f t="shared" si="321"/>
        <v>1.5885842315117105</v>
      </c>
      <c r="EP57" s="9">
        <f t="shared" si="321"/>
        <v>1.7451080533251504</v>
      </c>
      <c r="EQ57" s="9">
        <f t="shared" si="321"/>
        <v>1.8388793050637979</v>
      </c>
      <c r="ER57" s="9">
        <f t="shared" si="321"/>
        <v>2.044654757349829</v>
      </c>
      <c r="ES57" s="9">
        <f t="shared" si="321"/>
        <v>2.4667423258027661</v>
      </c>
      <c r="ET57" s="32"/>
      <c r="EU57" s="32"/>
      <c r="EV57" s="32">
        <f t="shared" si="30"/>
        <v>1.0849019171256893</v>
      </c>
      <c r="EW57" s="32">
        <v>1084901917.1256893</v>
      </c>
      <c r="EX57" s="32"/>
      <c r="FG57" s="32"/>
      <c r="FH57" s="32"/>
      <c r="FI57" s="41">
        <v>46182</v>
      </c>
      <c r="FJ57" s="76">
        <v>1.0863203958349736</v>
      </c>
      <c r="FK57" s="9">
        <f t="shared" ref="FK57:FU57" si="322">FK56+FK$2</f>
        <v>1.0145157767139381</v>
      </c>
      <c r="FL57" s="9">
        <f t="shared" si="322"/>
        <v>1.1010024624768424</v>
      </c>
      <c r="FM57" s="9">
        <f t="shared" si="322"/>
        <v>1.1763068975194146</v>
      </c>
      <c r="FN57" s="9">
        <f t="shared" si="322"/>
        <v>1.2254846074676409</v>
      </c>
      <c r="FO57" s="9">
        <f t="shared" si="322"/>
        <v>1.3162837666365199</v>
      </c>
      <c r="FP57" s="9">
        <f t="shared" si="322"/>
        <v>1.4421256252293404</v>
      </c>
      <c r="FQ57" s="9">
        <f t="shared" si="322"/>
        <v>1.5885842315117105</v>
      </c>
      <c r="FR57" s="9">
        <f t="shared" si="322"/>
        <v>1.7451080533251504</v>
      </c>
      <c r="FS57" s="9">
        <f t="shared" si="322"/>
        <v>1.8388793050637979</v>
      </c>
      <c r="FT57" s="9">
        <f t="shared" si="322"/>
        <v>2.044654757349829</v>
      </c>
      <c r="FU57" s="9">
        <f t="shared" si="322"/>
        <v>2.4667423258027661</v>
      </c>
      <c r="FV57" s="32"/>
      <c r="FW57" s="32"/>
      <c r="FX57" s="32">
        <f t="shared" si="32"/>
        <v>1.0849019171256893</v>
      </c>
      <c r="FY57" s="32">
        <v>1084901917.1256893</v>
      </c>
      <c r="FZ57" s="32"/>
      <c r="GI57" s="32"/>
      <c r="GJ57" s="41"/>
      <c r="GK57" s="76"/>
      <c r="GL57" s="9">
        <f t="shared" ref="GL57:GV57" si="323">GL56+GL$2</f>
        <v>0.83729816539489366</v>
      </c>
      <c r="GM57" s="9">
        <f t="shared" si="323"/>
        <v>0.96397253850936127</v>
      </c>
      <c r="GN57" s="9">
        <f t="shared" si="323"/>
        <v>1.0363861330219559</v>
      </c>
      <c r="GO57" s="9">
        <f t="shared" si="323"/>
        <v>1.0772913195463647</v>
      </c>
      <c r="GP57" s="9">
        <f t="shared" si="323"/>
        <v>1.1620110408701321</v>
      </c>
      <c r="GQ57" s="9">
        <f t="shared" si="323"/>
        <v>1.3023221639805524</v>
      </c>
      <c r="GR57" s="9">
        <f t="shared" si="323"/>
        <v>1.4845202848103674</v>
      </c>
      <c r="GS57" s="9">
        <f t="shared" si="323"/>
        <v>1.6985644069551966</v>
      </c>
      <c r="GT57" s="9">
        <f t="shared" si="323"/>
        <v>1.8693344727875101</v>
      </c>
      <c r="GU57" s="9">
        <f t="shared" si="323"/>
        <v>2.1931631212495608</v>
      </c>
      <c r="GV57" s="9">
        <f t="shared" si="323"/>
        <v>2.8505204605741623</v>
      </c>
      <c r="GW57" s="32"/>
      <c r="GX57" s="32"/>
      <c r="GY57" s="32">
        <f t="shared" si="34"/>
        <v>1.0849019171256893</v>
      </c>
      <c r="GZ57" s="32">
        <v>1084901917.1256893</v>
      </c>
      <c r="HA57" s="32"/>
      <c r="HB57" s="41"/>
      <c r="HC57" s="76"/>
      <c r="HD57" s="9"/>
      <c r="HE57" s="9"/>
      <c r="HF57" s="9"/>
      <c r="HG57" s="9"/>
      <c r="HH57" s="9"/>
      <c r="HI57" s="9"/>
      <c r="HJ57" s="9"/>
      <c r="HK57" s="9"/>
      <c r="HL57" s="9"/>
      <c r="HM57" s="9"/>
      <c r="HN57" s="9"/>
      <c r="HO57" s="32"/>
      <c r="HP57" s="32"/>
      <c r="HQ57" s="32"/>
      <c r="HR57" s="32"/>
      <c r="IC57" s="41">
        <f t="shared" si="67"/>
        <v>45090</v>
      </c>
      <c r="ID57" s="9"/>
      <c r="IE57" s="9">
        <f t="shared" si="305"/>
        <v>0.97137736803323771</v>
      </c>
      <c r="IF57" s="9">
        <f t="shared" si="305"/>
        <v>1.0136855187333798</v>
      </c>
      <c r="IG57" s="9">
        <f t="shared" si="305"/>
        <v>1.0530351041935302</v>
      </c>
      <c r="IH57" s="9">
        <f t="shared" si="305"/>
        <v>1.0745687269716087</v>
      </c>
      <c r="II57" s="9">
        <f t="shared" si="305"/>
        <v>1.1184582544098538</v>
      </c>
      <c r="IJ57" s="9">
        <f t="shared" si="305"/>
        <v>1.182017513987716</v>
      </c>
      <c r="IK57" s="9">
        <f t="shared" si="305"/>
        <v>1.262778889923454</v>
      </c>
      <c r="IL57" s="9">
        <f t="shared" si="305"/>
        <v>1.3551040959576486</v>
      </c>
      <c r="IM57" s="9">
        <f t="shared" si="305"/>
        <v>1.4165018971146988</v>
      </c>
      <c r="IN57" s="9">
        <f t="shared" si="305"/>
        <v>1.5629854830610261</v>
      </c>
      <c r="IO57" s="9">
        <f t="shared" si="305"/>
        <v>1.7386443262294473</v>
      </c>
      <c r="IP57" s="32"/>
      <c r="IQ57" s="32"/>
      <c r="JB57" s="41">
        <f t="shared" si="294"/>
        <v>44726</v>
      </c>
      <c r="JC57" s="9"/>
      <c r="JD57" s="9">
        <f t="shared" si="295"/>
        <v>1.0721388524989994</v>
      </c>
      <c r="JE57" s="9">
        <f t="shared" si="295"/>
        <v>1.0792158248438668</v>
      </c>
      <c r="JF57" s="9">
        <f t="shared" si="295"/>
        <v>1.0835468966308661</v>
      </c>
      <c r="JG57" s="9">
        <f t="shared" si="295"/>
        <v>1.0906238689757335</v>
      </c>
      <c r="JH57" s="9">
        <f t="shared" si="295"/>
        <v>1.1002170560262663</v>
      </c>
      <c r="JI57" s="9">
        <f t="shared" si="295"/>
        <v>1.1196331159795332</v>
      </c>
      <c r="JJ57" s="9">
        <f t="shared" si="295"/>
        <v>1.1433192399809327</v>
      </c>
      <c r="JK57" s="9">
        <f t="shared" si="295"/>
        <v>1.1672268099833327</v>
      </c>
      <c r="JL57" s="9">
        <f t="shared" si="295"/>
        <v>1.2117341660088661</v>
      </c>
      <c r="JM57" s="9">
        <f t="shared" si="295"/>
        <v>1.2882388994996004</v>
      </c>
      <c r="JN57" s="9">
        <f t="shared" si="295"/>
        <v>1.386362432990333</v>
      </c>
      <c r="JO57" s="9">
        <f t="shared" si="295"/>
        <v>0.98300771034159995</v>
      </c>
      <c r="JZ57" s="41">
        <f t="shared" si="234"/>
        <v>44726</v>
      </c>
      <c r="KA57" s="9"/>
      <c r="KB57" s="9">
        <f t="shared" si="300"/>
        <v>1.1013817885280506</v>
      </c>
      <c r="KC57" s="9">
        <f t="shared" si="300"/>
        <v>1.1174565850878999</v>
      </c>
      <c r="KP57" s="212"/>
      <c r="KR57" s="41"/>
      <c r="KS57" s="212"/>
      <c r="KT57" s="212"/>
      <c r="KV57" s="41"/>
      <c r="KW57" s="212"/>
      <c r="KX57" s="212"/>
      <c r="KZ57" s="41"/>
      <c r="LA57" s="212"/>
      <c r="LB57" s="212"/>
      <c r="LD57" s="41"/>
      <c r="LE57" s="212"/>
      <c r="LF57" s="212"/>
      <c r="LL57" s="41"/>
      <c r="LM57" s="212"/>
      <c r="LN57" s="212"/>
      <c r="LT57" s="41"/>
      <c r="LU57" s="212"/>
      <c r="LV57" s="75"/>
      <c r="MB57" s="32"/>
      <c r="MC57" s="32"/>
      <c r="MD57" s="32"/>
      <c r="ME57" s="32"/>
      <c r="MF57" s="32"/>
      <c r="MG57" s="32"/>
      <c r="MH57" s="32"/>
      <c r="MI57" s="39"/>
      <c r="MJ57" s="39"/>
      <c r="MK57" s="39"/>
      <c r="ML57" s="39"/>
      <c r="MM57" s="9"/>
      <c r="MN57" s="9"/>
      <c r="MO57" s="9"/>
      <c r="MP57" s="74"/>
      <c r="MQ57" s="74"/>
      <c r="MR57" s="74"/>
      <c r="MS57" s="74"/>
      <c r="MT57" s="74"/>
      <c r="MU57" s="74"/>
      <c r="MW57" s="72"/>
      <c r="MX57" s="78">
        <v>-3</v>
      </c>
      <c r="MY57" s="63">
        <f t="shared" ref="MY57:NG57" si="324">MY48</f>
        <v>0.25984883425282412</v>
      </c>
      <c r="MZ57" s="63">
        <f t="shared" si="324"/>
        <v>0.28234732797992634</v>
      </c>
      <c r="NA57" s="63">
        <f t="shared" si="324"/>
        <v>0.25981494388709325</v>
      </c>
      <c r="NB57" s="63">
        <f t="shared" si="324"/>
        <v>0.23122928616165739</v>
      </c>
      <c r="NC57" s="63">
        <f t="shared" si="324"/>
        <v>0.27769919619079503</v>
      </c>
      <c r="ND57" s="63">
        <f t="shared" si="324"/>
        <v>0.28176777061038449</v>
      </c>
      <c r="NE57" s="63">
        <f t="shared" si="324"/>
        <v>0.3477525735905781</v>
      </c>
      <c r="NF57" s="63">
        <f t="shared" si="324"/>
        <v>0.31241663843312928</v>
      </c>
      <c r="NG57" s="63">
        <f t="shared" si="324"/>
        <v>0.2988090725119269</v>
      </c>
      <c r="NH57" s="63">
        <f>NH48</f>
        <v>0.30808845263540302</v>
      </c>
      <c r="NI57" s="63">
        <f>NI48</f>
        <v>9.6133178123237212E-2</v>
      </c>
    </row>
    <row r="58" spans="2:373" x14ac:dyDescent="0.25">
      <c r="B58" s="48">
        <v>43095</v>
      </c>
      <c r="C58" s="214">
        <v>31653321.533999998</v>
      </c>
      <c r="D58" s="214">
        <v>24133365</v>
      </c>
      <c r="E58" s="215">
        <v>30000000</v>
      </c>
      <c r="F58" s="81"/>
      <c r="G58" s="215"/>
      <c r="H58" s="81"/>
      <c r="I58" s="41">
        <v>43270</v>
      </c>
      <c r="J58" s="212">
        <v>9566116.5636</v>
      </c>
      <c r="K58" s="212">
        <f t="shared" si="18"/>
        <v>1106587774.2131996</v>
      </c>
      <c r="M58" s="41">
        <v>43634</v>
      </c>
      <c r="N58" s="212">
        <v>77370259.640399992</v>
      </c>
      <c r="O58" s="212">
        <f t="shared" si="19"/>
        <v>1276863119.9819999</v>
      </c>
      <c r="Q58" s="41">
        <v>43998</v>
      </c>
      <c r="R58" s="212">
        <v>23723862.263999999</v>
      </c>
      <c r="S58" s="212">
        <f t="shared" si="20"/>
        <v>974669372.00999999</v>
      </c>
      <c r="U58" s="41">
        <v>44369</v>
      </c>
      <c r="V58" s="212">
        <v>15056165.746799998</v>
      </c>
      <c r="W58" s="212">
        <f t="shared" si="21"/>
        <v>1082707580.8836002</v>
      </c>
      <c r="Y58" s="38">
        <v>44733</v>
      </c>
      <c r="Z58" s="214">
        <v>17098367.048099998</v>
      </c>
      <c r="AA58" s="212">
        <f t="shared" si="261"/>
        <v>1098666825.2266998</v>
      </c>
      <c r="AC58" s="32">
        <v>51</v>
      </c>
      <c r="AD58" s="39">
        <f t="shared" si="0"/>
        <v>1.1065877742131995</v>
      </c>
      <c r="AE58" s="39">
        <f t="shared" si="1"/>
        <v>1.276863119982</v>
      </c>
      <c r="AF58" s="39">
        <f t="shared" si="2"/>
        <v>0.97466937201000003</v>
      </c>
      <c r="AG58" s="39">
        <f t="shared" si="3"/>
        <v>1.0827075808836002</v>
      </c>
      <c r="AH58" s="39">
        <f t="shared" si="4"/>
        <v>1.0986668252266998</v>
      </c>
      <c r="AI58" s="39">
        <f t="shared" si="23"/>
        <v>1.4190053763837249</v>
      </c>
      <c r="AJ58" s="9">
        <f t="shared" si="289"/>
        <v>0.98300771034159995</v>
      </c>
      <c r="AK58" s="9">
        <f t="shared" si="289"/>
        <v>0.98300771034159995</v>
      </c>
      <c r="AL58" s="9">
        <f t="shared" si="289"/>
        <v>0.98300771034159995</v>
      </c>
      <c r="AM58" s="74"/>
      <c r="AN58" s="74"/>
      <c r="AO58" s="74"/>
      <c r="AP58" s="74"/>
      <c r="AQ58" s="74"/>
      <c r="AR58" s="74"/>
      <c r="AT58" s="72"/>
      <c r="AU58" s="78">
        <v>-3</v>
      </c>
      <c r="AV58" s="63">
        <f t="shared" ref="AV58:BB58" si="325">AV49</f>
        <v>0.68843488438637535</v>
      </c>
      <c r="AW58" s="63">
        <f t="shared" si="325"/>
        <v>0.6556370749076974</v>
      </c>
      <c r="AX58" s="63">
        <f t="shared" si="325"/>
        <v>0.7272846477008158</v>
      </c>
      <c r="AY58" s="63">
        <f t="shared" si="325"/>
        <v>0.83607258012728436</v>
      </c>
      <c r="AZ58" s="63">
        <f t="shared" si="325"/>
        <v>0.77395506067147513</v>
      </c>
      <c r="BA58" s="63"/>
      <c r="BB58" s="63">
        <f t="shared" si="325"/>
        <v>0.52816115873553182</v>
      </c>
      <c r="BM58" s="41">
        <f t="shared" si="60"/>
        <v>44733</v>
      </c>
      <c r="BN58" s="9">
        <f t="shared" si="5"/>
        <v>1.0986668252266998</v>
      </c>
      <c r="BO58" s="9">
        <f t="shared" si="318"/>
        <v>0.81764244861366919</v>
      </c>
      <c r="BP58" s="9">
        <f t="shared" si="318"/>
        <v>0.92938004222319293</v>
      </c>
      <c r="BQ58" s="9">
        <f t="shared" si="318"/>
        <v>0.99163013524090105</v>
      </c>
      <c r="BR58" s="9">
        <f t="shared" si="318"/>
        <v>1.0301922937703234</v>
      </c>
      <c r="BS58" s="9">
        <f t="shared" si="318"/>
        <v>1.1021076280147235</v>
      </c>
      <c r="BT58" s="9">
        <f t="shared" si="318"/>
        <v>1.1969601844674094</v>
      </c>
      <c r="BU58" s="9">
        <f t="shared" si="318"/>
        <v>1.3025696296908165</v>
      </c>
      <c r="BV58" s="9">
        <f t="shared" si="318"/>
        <v>1.4137414320727106</v>
      </c>
      <c r="BW58" s="9">
        <f t="shared" si="318"/>
        <v>1.4854392904416835</v>
      </c>
      <c r="BX58" s="9">
        <f t="shared" si="318"/>
        <v>1.6323541240068193</v>
      </c>
      <c r="BY58" s="9">
        <f t="shared" si="318"/>
        <v>2.0146829346290369</v>
      </c>
      <c r="BZ58" s="32"/>
      <c r="CA58" s="32"/>
      <c r="CL58" s="41">
        <f t="shared" si="61"/>
        <v>45097</v>
      </c>
      <c r="CM58" s="76">
        <v>1.0964318200087224</v>
      </c>
      <c r="CN58" s="9">
        <f t="shared" si="319"/>
        <v>0.90988395959191504</v>
      </c>
      <c r="CO58" s="9">
        <f t="shared" si="319"/>
        <v>1.0359733687044519</v>
      </c>
      <c r="CP58" s="9">
        <f t="shared" si="319"/>
        <v>1.128292797666731</v>
      </c>
      <c r="CQ58" s="9">
        <f t="shared" si="319"/>
        <v>1.1770391749923428</v>
      </c>
      <c r="CR58" s="9">
        <f t="shared" si="319"/>
        <v>1.2793550672768168</v>
      </c>
      <c r="CS58" s="9">
        <f t="shared" si="319"/>
        <v>1.4203386573648908</v>
      </c>
      <c r="CT58" s="9">
        <f t="shared" si="319"/>
        <v>1.5772693260422701</v>
      </c>
      <c r="CU58" s="9">
        <f t="shared" si="319"/>
        <v>1.7484800305612325</v>
      </c>
      <c r="CV58" s="9">
        <f t="shared" si="319"/>
        <v>1.8630662384162788</v>
      </c>
      <c r="CW58" s="9">
        <f t="shared" si="319"/>
        <v>2.0951529048577311</v>
      </c>
      <c r="CX58" s="9">
        <f t="shared" si="319"/>
        <v>2.6013048681833042</v>
      </c>
      <c r="CY58" s="32"/>
      <c r="CZ58" s="32"/>
      <c r="DA58" s="32">
        <f t="shared" si="26"/>
        <v>1.0964318200087224</v>
      </c>
      <c r="DB58" s="32">
        <v>1096431820.0087223</v>
      </c>
      <c r="DC58" s="32"/>
      <c r="DD58" s="41">
        <v>45461</v>
      </c>
      <c r="DE58" s="76">
        <v>1.4748758066312309</v>
      </c>
      <c r="DF58" s="9">
        <f t="shared" ref="DF58:DP58" si="326">DF57+DF$2</f>
        <v>0.90194485635957045</v>
      </c>
      <c r="DG58" s="9">
        <f t="shared" si="326"/>
        <v>1.0045432887033154</v>
      </c>
      <c r="DH58" s="9">
        <f t="shared" si="326"/>
        <v>1.0677453652429636</v>
      </c>
      <c r="DI58" s="9">
        <f t="shared" si="326"/>
        <v>1.1104177596352913</v>
      </c>
      <c r="DJ58" s="9">
        <f t="shared" si="326"/>
        <v>1.1927779538638357</v>
      </c>
      <c r="DK58" s="9">
        <f t="shared" si="326"/>
        <v>1.301950909528748</v>
      </c>
      <c r="DL58" s="9">
        <f t="shared" si="326"/>
        <v>1.4383654858184984</v>
      </c>
      <c r="DM58" s="9">
        <f t="shared" si="326"/>
        <v>1.5856633287051018</v>
      </c>
      <c r="DN58" s="9">
        <f t="shared" si="326"/>
        <v>1.6746203432397266</v>
      </c>
      <c r="DO58" s="9">
        <f t="shared" si="326"/>
        <v>1.8716364798003282</v>
      </c>
      <c r="DP58" s="9">
        <f t="shared" si="326"/>
        <v>2.3453976562498067</v>
      </c>
      <c r="DQ58" s="32"/>
      <c r="DR58" s="32"/>
      <c r="DS58" s="32">
        <f t="shared" si="28"/>
        <v>1.0964318200087224</v>
      </c>
      <c r="DT58" s="32">
        <v>1096431820.0087223</v>
      </c>
      <c r="DU58" s="32"/>
      <c r="EF58" s="32"/>
      <c r="EG58" s="41">
        <v>45825</v>
      </c>
      <c r="EH58" s="76">
        <v>1.6937559088459113</v>
      </c>
      <c r="EI58" s="9">
        <f t="shared" ref="EI58:ES58" si="327">EI57+EI$2</f>
        <v>1.034806092248217</v>
      </c>
      <c r="EJ58" s="9">
        <f t="shared" si="327"/>
        <v>1.1230225117263792</v>
      </c>
      <c r="EK58" s="9">
        <f t="shared" si="327"/>
        <v>1.199833035469803</v>
      </c>
      <c r="EL58" s="9">
        <f t="shared" si="327"/>
        <v>1.2499942996169937</v>
      </c>
      <c r="EM58" s="9">
        <f t="shared" si="327"/>
        <v>1.3426094419692503</v>
      </c>
      <c r="EN58" s="9">
        <f t="shared" si="327"/>
        <v>1.4709681377339272</v>
      </c>
      <c r="EO58" s="9">
        <f t="shared" si="327"/>
        <v>1.6203559161419447</v>
      </c>
      <c r="EP58" s="9">
        <f t="shared" si="327"/>
        <v>1.7800102143916534</v>
      </c>
      <c r="EQ58" s="9">
        <f t="shared" si="327"/>
        <v>1.8756568911650739</v>
      </c>
      <c r="ER58" s="9">
        <f t="shared" si="327"/>
        <v>2.0855478524968256</v>
      </c>
      <c r="ES58" s="9">
        <f t="shared" si="327"/>
        <v>2.5160771723188216</v>
      </c>
      <c r="ET58" s="32"/>
      <c r="EU58" s="32"/>
      <c r="EV58" s="32">
        <f t="shared" si="30"/>
        <v>1.0964318200087224</v>
      </c>
      <c r="EW58" s="32">
        <v>1096431820.0087223</v>
      </c>
      <c r="EX58" s="32"/>
      <c r="FG58" s="32"/>
      <c r="FH58" s="32"/>
      <c r="FI58" s="41">
        <v>46189</v>
      </c>
      <c r="FJ58" s="76">
        <v>1.108962369385424</v>
      </c>
      <c r="FK58" s="9">
        <f t="shared" ref="FK58:FU59" si="328">FK57+FK$2</f>
        <v>1.034806092248217</v>
      </c>
      <c r="FL58" s="9">
        <f t="shared" si="328"/>
        <v>1.1230225117263792</v>
      </c>
      <c r="FM58" s="9">
        <f t="shared" si="328"/>
        <v>1.199833035469803</v>
      </c>
      <c r="FN58" s="9">
        <f t="shared" si="328"/>
        <v>1.2499942996169937</v>
      </c>
      <c r="FO58" s="9">
        <f t="shared" si="328"/>
        <v>1.3426094419692503</v>
      </c>
      <c r="FP58" s="9">
        <f t="shared" si="328"/>
        <v>1.4709681377339272</v>
      </c>
      <c r="FQ58" s="9">
        <f t="shared" si="328"/>
        <v>1.6203559161419447</v>
      </c>
      <c r="FR58" s="9">
        <f t="shared" si="328"/>
        <v>1.7800102143916534</v>
      </c>
      <c r="FS58" s="9">
        <f t="shared" si="328"/>
        <v>1.8756568911650739</v>
      </c>
      <c r="FT58" s="9">
        <f t="shared" si="328"/>
        <v>2.0855478524968256</v>
      </c>
      <c r="FU58" s="9">
        <f t="shared" si="328"/>
        <v>2.5160771723188216</v>
      </c>
      <c r="FV58" s="32"/>
      <c r="FW58" s="32"/>
      <c r="FX58" s="32">
        <f t="shared" si="32"/>
        <v>1.0964318200087224</v>
      </c>
      <c r="FY58" s="32">
        <v>1096431820.0087223</v>
      </c>
      <c r="FZ58" s="32"/>
      <c r="GI58" s="32"/>
      <c r="GJ58" s="41"/>
      <c r="GK58" s="76"/>
      <c r="GL58" s="9">
        <f t="shared" ref="GL58:GV58" si="329">GL57+GL$2</f>
        <v>0.85404412870279156</v>
      </c>
      <c r="GM58" s="9">
        <f t="shared" si="329"/>
        <v>0.98325198927954849</v>
      </c>
      <c r="GN58" s="9">
        <f t="shared" si="329"/>
        <v>1.0571138556823951</v>
      </c>
      <c r="GO58" s="9">
        <f t="shared" si="329"/>
        <v>1.0988371459372921</v>
      </c>
      <c r="GP58" s="9">
        <f t="shared" si="329"/>
        <v>1.1852512616875348</v>
      </c>
      <c r="GQ58" s="9">
        <f t="shared" si="329"/>
        <v>1.3283686072601635</v>
      </c>
      <c r="GR58" s="9">
        <f t="shared" si="329"/>
        <v>1.5142106905065746</v>
      </c>
      <c r="GS58" s="9">
        <f t="shared" si="329"/>
        <v>1.7325356950943005</v>
      </c>
      <c r="GT58" s="9">
        <f t="shared" si="329"/>
        <v>1.9067211622432603</v>
      </c>
      <c r="GU58" s="9">
        <f t="shared" si="329"/>
        <v>2.2370263836745519</v>
      </c>
      <c r="GV58" s="9">
        <f t="shared" si="329"/>
        <v>2.9075308697856457</v>
      </c>
      <c r="GW58" s="32"/>
      <c r="GX58" s="32"/>
      <c r="GY58" s="32">
        <f t="shared" si="34"/>
        <v>1.0964318200087224</v>
      </c>
      <c r="GZ58" s="32">
        <v>1096431820.0087223</v>
      </c>
      <c r="HA58" s="32"/>
      <c r="HB58" s="41"/>
      <c r="HC58" s="76"/>
      <c r="HD58" s="9"/>
      <c r="HE58" s="9"/>
      <c r="HF58" s="9"/>
      <c r="HG58" s="9"/>
      <c r="HH58" s="9"/>
      <c r="HI58" s="9"/>
      <c r="HJ58" s="9"/>
      <c r="HK58" s="9"/>
      <c r="HL58" s="9"/>
      <c r="HM58" s="9"/>
      <c r="HN58" s="9"/>
      <c r="HO58" s="32"/>
      <c r="HP58" s="32"/>
      <c r="HQ58" s="32"/>
      <c r="HR58" s="32"/>
      <c r="IC58" s="41">
        <f t="shared" si="67"/>
        <v>45097</v>
      </c>
      <c r="ID58" s="9"/>
      <c r="IE58" s="9">
        <f t="shared" si="305"/>
        <v>0.98646887215954904</v>
      </c>
      <c r="IF58" s="9">
        <f t="shared" si="305"/>
        <v>1.030791696702555</v>
      </c>
      <c r="IG58" s="9">
        <f t="shared" si="305"/>
        <v>1.072015071946522</v>
      </c>
      <c r="IH58" s="9">
        <f t="shared" si="305"/>
        <v>1.0945741053330804</v>
      </c>
      <c r="II58" s="9">
        <f t="shared" si="305"/>
        <v>1.1405536102683849</v>
      </c>
      <c r="IJ58" s="9">
        <f t="shared" si="305"/>
        <v>1.2071395012547168</v>
      </c>
      <c r="IK58" s="9">
        <f t="shared" si="305"/>
        <v>1.2917466569969185</v>
      </c>
      <c r="IL58" s="9">
        <f t="shared" si="305"/>
        <v>1.3884683014136938</v>
      </c>
      <c r="IM58" s="9">
        <f t="shared" si="305"/>
        <v>1.4527898073877463</v>
      </c>
      <c r="IN58" s="9">
        <f t="shared" si="305"/>
        <v>1.6062488021886607</v>
      </c>
      <c r="IO58" s="9">
        <f t="shared" si="305"/>
        <v>1.7902723521746258</v>
      </c>
      <c r="IP58" s="32"/>
      <c r="IQ58" s="32"/>
      <c r="JB58" s="41">
        <f t="shared" si="294"/>
        <v>44733</v>
      </c>
      <c r="JC58" s="9"/>
      <c r="JD58" s="9">
        <f t="shared" si="295"/>
        <v>1.0848718728071993</v>
      </c>
      <c r="JE58" s="9">
        <f t="shared" si="295"/>
        <v>1.0929598412013335</v>
      </c>
      <c r="JF58" s="9">
        <f t="shared" si="295"/>
        <v>1.0979096375293327</v>
      </c>
      <c r="JG58" s="9">
        <f t="shared" si="295"/>
        <v>1.1059976059234669</v>
      </c>
      <c r="JH58" s="9">
        <f t="shared" si="295"/>
        <v>1.1169612482669329</v>
      </c>
      <c r="JI58" s="9">
        <f t="shared" si="295"/>
        <v>1.1391510310706665</v>
      </c>
      <c r="JJ58" s="9">
        <f t="shared" si="295"/>
        <v>1.1662208870722659</v>
      </c>
      <c r="JK58" s="9">
        <f t="shared" si="295"/>
        <v>1.193543824217866</v>
      </c>
      <c r="JL58" s="9">
        <f t="shared" si="295"/>
        <v>1.2444093739613327</v>
      </c>
      <c r="JM58" s="9">
        <f t="shared" si="295"/>
        <v>1.3318433550936004</v>
      </c>
      <c r="JN58" s="9">
        <f t="shared" si="295"/>
        <v>1.4439845362258663</v>
      </c>
      <c r="JO58" s="9">
        <f t="shared" si="295"/>
        <v>0.98300771034159995</v>
      </c>
      <c r="JZ58" s="41">
        <f t="shared" si="234"/>
        <v>44733</v>
      </c>
      <c r="KA58" s="9"/>
      <c r="KB58" s="9">
        <f t="shared" si="300"/>
        <v>1.1192233638423257</v>
      </c>
      <c r="KC58" s="9">
        <f t="shared" si="300"/>
        <v>1.1379772931621499</v>
      </c>
      <c r="KP58" s="212"/>
      <c r="KR58" s="41"/>
      <c r="KS58" s="212"/>
      <c r="KT58" s="212"/>
      <c r="KV58" s="41"/>
      <c r="KW58" s="212"/>
      <c r="KX58" s="212"/>
      <c r="KZ58" s="41"/>
      <c r="LA58" s="212"/>
      <c r="LB58" s="212"/>
      <c r="LD58" s="41"/>
      <c r="LE58" s="212"/>
      <c r="LF58" s="212"/>
      <c r="LL58" s="41"/>
      <c r="LM58" s="212"/>
      <c r="LN58" s="212"/>
      <c r="LT58" s="41"/>
      <c r="LU58" s="212"/>
      <c r="LV58" s="75"/>
      <c r="MB58" s="32"/>
      <c r="MC58" s="32"/>
      <c r="MD58" s="32"/>
      <c r="ME58" s="32"/>
      <c r="MF58" s="32"/>
      <c r="MG58" s="32"/>
      <c r="MH58" s="32"/>
      <c r="MI58" s="39"/>
      <c r="MJ58" s="39"/>
      <c r="MK58" s="39"/>
      <c r="ML58" s="39"/>
      <c r="MM58" s="9"/>
      <c r="MN58" s="9"/>
      <c r="MO58" s="9"/>
      <c r="MP58" s="74"/>
      <c r="MQ58" s="74"/>
      <c r="MR58" s="74"/>
      <c r="MS58" s="74"/>
      <c r="MT58" s="74"/>
      <c r="MU58" s="74"/>
      <c r="MW58" s="72"/>
      <c r="MX58" s="78">
        <v>-2</v>
      </c>
      <c r="MY58" s="63">
        <f t="shared" ref="MY58:NI63" si="330">MY49-MY48</f>
        <v>0.10608138503562109</v>
      </c>
      <c r="MZ58" s="63">
        <f t="shared" si="330"/>
        <v>9.7670630488830679E-2</v>
      </c>
      <c r="NA58" s="63">
        <f t="shared" si="330"/>
        <v>8.8883745220119381E-2</v>
      </c>
      <c r="NB58" s="63">
        <f t="shared" si="330"/>
        <v>8.7460694757175439E-2</v>
      </c>
      <c r="NC58" s="63">
        <f t="shared" si="330"/>
        <v>8.6666276405491238E-2</v>
      </c>
      <c r="ND58" s="63">
        <f t="shared" si="330"/>
        <v>8.9532529241102721E-2</v>
      </c>
      <c r="NE58" s="63">
        <f t="shared" si="330"/>
        <v>0.10559195708643604</v>
      </c>
      <c r="NF58" s="63">
        <f t="shared" si="330"/>
        <v>8.5172892343072348E-2</v>
      </c>
      <c r="NG58" s="63">
        <f t="shared" si="330"/>
        <v>0.10650877245815243</v>
      </c>
      <c r="NH58" s="63">
        <f t="shared" si="330"/>
        <v>9.8542360313218336E-2</v>
      </c>
      <c r="NI58" s="63">
        <f t="shared" si="330"/>
        <v>6.9580919685550219E-2</v>
      </c>
    </row>
    <row r="59" spans="2:373" x14ac:dyDescent="0.25">
      <c r="B59" s="48">
        <v>43102</v>
      </c>
      <c r="C59" s="214">
        <v>53613979.401599996</v>
      </c>
      <c r="D59" s="214">
        <v>40876776</v>
      </c>
      <c r="E59" s="216">
        <v>40000000</v>
      </c>
      <c r="F59" s="216" t="s">
        <v>85</v>
      </c>
      <c r="G59" s="215"/>
      <c r="H59" s="215"/>
      <c r="I59" s="41">
        <v>43277</v>
      </c>
      <c r="J59" s="212">
        <v>12959267.734799998</v>
      </c>
      <c r="K59" s="212">
        <f t="shared" si="18"/>
        <v>1119547041.9479997</v>
      </c>
      <c r="M59" s="41">
        <v>43641</v>
      </c>
      <c r="N59" s="212">
        <v>103405072.38479999</v>
      </c>
      <c r="O59" s="212">
        <f t="shared" si="19"/>
        <v>1380268192.3667998</v>
      </c>
      <c r="Q59" s="41">
        <v>44005</v>
      </c>
      <c r="R59" s="212">
        <v>33171721.711199999</v>
      </c>
      <c r="S59" s="212">
        <f t="shared" si="20"/>
        <v>1007841093.7212</v>
      </c>
      <c r="U59" s="41">
        <v>44376</v>
      </c>
      <c r="V59" s="212">
        <v>19729658.368799999</v>
      </c>
      <c r="W59" s="212">
        <f t="shared" si="21"/>
        <v>1102437239.2524002</v>
      </c>
      <c r="Y59" s="38">
        <v>44740</v>
      </c>
      <c r="Z59" s="214">
        <v>20776344.924399998</v>
      </c>
      <c r="AA59" s="212">
        <f t="shared" si="261"/>
        <v>1119443170.1510999</v>
      </c>
      <c r="AC59" s="32">
        <v>52</v>
      </c>
      <c r="AD59" s="39">
        <f t="shared" si="0"/>
        <v>1.1195470419479998</v>
      </c>
      <c r="AE59" s="39">
        <f t="shared" si="1"/>
        <v>1.3802681923667999</v>
      </c>
      <c r="AF59" s="39">
        <f t="shared" si="2"/>
        <v>1.0078410937211999</v>
      </c>
      <c r="AG59" s="82">
        <f t="shared" si="3"/>
        <v>1.1024372392524002</v>
      </c>
      <c r="AH59" s="39">
        <f t="shared" si="4"/>
        <v>1.1194431701510998</v>
      </c>
      <c r="AI59" s="39">
        <f t="shared" si="23"/>
        <v>1.4468290112147784</v>
      </c>
      <c r="AJ59" s="9">
        <f t="shared" si="289"/>
        <v>0.98300771034159995</v>
      </c>
      <c r="AK59" s="66">
        <f t="shared" si="289"/>
        <v>0.98300771034159995</v>
      </c>
      <c r="AL59" s="9">
        <f t="shared" si="289"/>
        <v>0.98300771034159995</v>
      </c>
      <c r="AM59" s="74"/>
      <c r="AN59" s="74"/>
      <c r="AO59" s="74"/>
      <c r="AP59" s="74"/>
      <c r="AQ59" s="74"/>
      <c r="AR59" s="74"/>
      <c r="AU59" s="78">
        <v>-2</v>
      </c>
      <c r="AV59" s="63">
        <f t="shared" ref="AV59:BB64" si="331">AV50-AV49</f>
        <v>0.14591237190691697</v>
      </c>
      <c r="AW59" s="63">
        <f t="shared" si="331"/>
        <v>0.12847601936868136</v>
      </c>
      <c r="AX59" s="63">
        <f t="shared" si="331"/>
        <v>0.12062512289211158</v>
      </c>
      <c r="AY59" s="63">
        <f t="shared" si="331"/>
        <v>0.13970561762993605</v>
      </c>
      <c r="AZ59" s="63">
        <f t="shared" si="331"/>
        <v>0.1475901118230627</v>
      </c>
      <c r="BA59" s="63"/>
      <c r="BB59" s="63">
        <f t="shared" si="331"/>
        <v>0.13034485594933443</v>
      </c>
      <c r="BM59" s="41">
        <f t="shared" si="60"/>
        <v>44740</v>
      </c>
      <c r="BN59" s="9">
        <f t="shared" si="5"/>
        <v>1.1194431701510998</v>
      </c>
      <c r="BO59" s="9">
        <f t="shared" si="318"/>
        <v>0.83367465348844705</v>
      </c>
      <c r="BP59" s="9">
        <f t="shared" si="318"/>
        <v>0.94760318030600066</v>
      </c>
      <c r="BQ59" s="9">
        <f t="shared" si="318"/>
        <v>1.0110738633828795</v>
      </c>
      <c r="BR59" s="9">
        <f t="shared" si="318"/>
        <v>1.0503921426677807</v>
      </c>
      <c r="BS59" s="9">
        <f t="shared" si="318"/>
        <v>1.1237175815052083</v>
      </c>
      <c r="BT59" s="66">
        <f t="shared" si="318"/>
        <v>1.220429992005986</v>
      </c>
      <c r="BU59" s="9">
        <f t="shared" si="318"/>
        <v>1.3281102106651461</v>
      </c>
      <c r="BV59" s="9">
        <f t="shared" si="318"/>
        <v>1.4414618523094305</v>
      </c>
      <c r="BW59" s="9">
        <f t="shared" si="318"/>
        <v>1.5145655510385794</v>
      </c>
      <c r="BX59" s="9">
        <f t="shared" si="318"/>
        <v>1.6643610676147962</v>
      </c>
      <c r="BY59" s="9">
        <f t="shared" si="318"/>
        <v>2.0541865215825474</v>
      </c>
      <c r="BZ59" s="32"/>
      <c r="CA59" s="32"/>
      <c r="CL59" s="41">
        <f t="shared" si="61"/>
        <v>45104</v>
      </c>
      <c r="CM59" s="76">
        <v>1.1117000978259894</v>
      </c>
      <c r="CN59" s="9">
        <f t="shared" si="319"/>
        <v>0.92772482154469771</v>
      </c>
      <c r="CO59" s="9">
        <f t="shared" si="319"/>
        <v>1.0562865720123824</v>
      </c>
      <c r="CP59" s="9">
        <f t="shared" si="319"/>
        <v>1.1504161858562747</v>
      </c>
      <c r="CQ59" s="9">
        <f t="shared" si="319"/>
        <v>1.2001183745019965</v>
      </c>
      <c r="CR59" s="9">
        <f t="shared" si="319"/>
        <v>1.3044404607528328</v>
      </c>
      <c r="CS59" s="66">
        <f t="shared" si="319"/>
        <v>1.4481884349602809</v>
      </c>
      <c r="CT59" s="9">
        <f t="shared" si="319"/>
        <v>1.6081961755725107</v>
      </c>
      <c r="CU59" s="9">
        <f t="shared" si="319"/>
        <v>1.7827639527290997</v>
      </c>
      <c r="CV59" s="9">
        <f t="shared" si="319"/>
        <v>1.8995969489734608</v>
      </c>
      <c r="CW59" s="9">
        <f t="shared" si="319"/>
        <v>2.1362343343647456</v>
      </c>
      <c r="CX59" s="9">
        <f t="shared" si="319"/>
        <v>2.65231084599082</v>
      </c>
      <c r="CY59" s="32"/>
      <c r="CZ59" s="32"/>
      <c r="DA59" s="32">
        <f t="shared" si="26"/>
        <v>1.1117000978259894</v>
      </c>
      <c r="DB59" s="32">
        <v>1111700097.8259895</v>
      </c>
      <c r="DC59" s="32"/>
      <c r="DD59" s="41">
        <v>45468</v>
      </c>
      <c r="DE59" s="76">
        <v>1.4986009548246244</v>
      </c>
      <c r="DF59" s="9">
        <f t="shared" ref="DF59:DP59" si="332">DF58+DF$2</f>
        <v>0.91963004962152284</v>
      </c>
      <c r="DG59" s="9">
        <f t="shared" si="332"/>
        <v>1.0242402159327921</v>
      </c>
      <c r="DH59" s="9">
        <f t="shared" si="332"/>
        <v>1.0886815488751787</v>
      </c>
      <c r="DI59" s="9">
        <f t="shared" si="332"/>
        <v>1.1321906568830422</v>
      </c>
      <c r="DJ59" s="9">
        <f t="shared" si="332"/>
        <v>1.2161657568807736</v>
      </c>
      <c r="DK59" s="66">
        <f t="shared" si="332"/>
        <v>1.3274793587351941</v>
      </c>
      <c r="DL59" s="9">
        <f t="shared" si="332"/>
        <v>1.4665687306384689</v>
      </c>
      <c r="DM59" s="9">
        <f t="shared" si="332"/>
        <v>1.616754766522849</v>
      </c>
      <c r="DN59" s="9">
        <f t="shared" si="332"/>
        <v>1.7074560362444271</v>
      </c>
      <c r="DO59" s="9">
        <f t="shared" si="332"/>
        <v>1.908335234306217</v>
      </c>
      <c r="DP59" s="9">
        <f t="shared" si="332"/>
        <v>2.3913858455880384</v>
      </c>
      <c r="DQ59" s="32"/>
      <c r="DR59" s="32"/>
      <c r="DS59" s="32">
        <f t="shared" si="28"/>
        <v>1.1117000978259894</v>
      </c>
      <c r="DT59" s="32">
        <v>1111700097.8259895</v>
      </c>
      <c r="DU59" s="32"/>
      <c r="EF59" s="32"/>
      <c r="EG59" s="41">
        <v>45832</v>
      </c>
      <c r="EH59" s="76">
        <v>1.7220561684819471</v>
      </c>
      <c r="EI59" s="9">
        <f t="shared" ref="EI59:ES59" si="333">EI58+EI$2</f>
        <v>1.0550964077824958</v>
      </c>
      <c r="EJ59" s="9">
        <f t="shared" si="333"/>
        <v>1.1450425609759161</v>
      </c>
      <c r="EK59" s="9">
        <f t="shared" si="333"/>
        <v>1.2233591734201914</v>
      </c>
      <c r="EL59" s="9">
        <f t="shared" si="333"/>
        <v>1.2745039917663465</v>
      </c>
      <c r="EM59" s="9">
        <f t="shared" si="333"/>
        <v>1.3689351173019806</v>
      </c>
      <c r="EN59" s="66">
        <f t="shared" si="333"/>
        <v>1.499810650238514</v>
      </c>
      <c r="EO59" s="9">
        <f t="shared" si="333"/>
        <v>1.652127600772179</v>
      </c>
      <c r="EP59" s="9">
        <f t="shared" si="333"/>
        <v>1.8149123754581564</v>
      </c>
      <c r="EQ59" s="9">
        <f t="shared" si="333"/>
        <v>1.91243447726635</v>
      </c>
      <c r="ER59" s="9">
        <f t="shared" si="333"/>
        <v>2.1264409476438222</v>
      </c>
      <c r="ES59" s="9">
        <f t="shared" si="333"/>
        <v>2.565412018834877</v>
      </c>
      <c r="ET59" s="32"/>
      <c r="EU59" s="32"/>
      <c r="EV59" s="32">
        <f t="shared" si="30"/>
        <v>1.1117000978259894</v>
      </c>
      <c r="EW59" s="32">
        <v>1111700097.8259895</v>
      </c>
      <c r="EX59" s="32"/>
      <c r="FG59" s="32"/>
      <c r="FH59" s="32"/>
      <c r="FI59" s="41">
        <v>46196</v>
      </c>
      <c r="FJ59" s="76">
        <v>1.1350612279716104</v>
      </c>
      <c r="FK59" s="9">
        <f t="shared" ref="FK59:FU60" si="334">FK58+FK$2</f>
        <v>1.0550964077824958</v>
      </c>
      <c r="FL59" s="9">
        <f t="shared" si="334"/>
        <v>1.1450425609759161</v>
      </c>
      <c r="FM59" s="9">
        <f t="shared" si="334"/>
        <v>1.2233591734201914</v>
      </c>
      <c r="FN59" s="9">
        <f t="shared" si="334"/>
        <v>1.2745039917663465</v>
      </c>
      <c r="FO59" s="9">
        <f t="shared" si="334"/>
        <v>1.3689351173019806</v>
      </c>
      <c r="FP59" s="66">
        <f t="shared" si="334"/>
        <v>1.499810650238514</v>
      </c>
      <c r="FQ59" s="9">
        <f t="shared" si="334"/>
        <v>1.652127600772179</v>
      </c>
      <c r="FR59" s="9">
        <f t="shared" si="334"/>
        <v>1.8149123754581564</v>
      </c>
      <c r="FS59" s="9">
        <f t="shared" si="334"/>
        <v>1.91243447726635</v>
      </c>
      <c r="FT59" s="9">
        <f t="shared" si="334"/>
        <v>2.1264409476438222</v>
      </c>
      <c r="FU59" s="9">
        <f t="shared" si="334"/>
        <v>2.565412018834877</v>
      </c>
      <c r="FV59" s="32"/>
      <c r="FW59" s="32"/>
      <c r="FX59" s="32">
        <f t="shared" si="32"/>
        <v>1.1117000978259894</v>
      </c>
      <c r="FY59" s="32">
        <v>1111700097.8259895</v>
      </c>
      <c r="FZ59" s="32"/>
      <c r="GI59" s="32"/>
      <c r="GJ59" s="41"/>
      <c r="GK59" s="76"/>
      <c r="GL59" s="9">
        <f t="shared" ref="GL59:GV59" si="335">GL58+GL$2</f>
        <v>0.87079009201068946</v>
      </c>
      <c r="GM59" s="9">
        <f t="shared" si="335"/>
        <v>1.0025314400497358</v>
      </c>
      <c r="GN59" s="9">
        <f t="shared" si="335"/>
        <v>1.0778415783428343</v>
      </c>
      <c r="GO59" s="9">
        <f t="shared" si="335"/>
        <v>1.1203829723282195</v>
      </c>
      <c r="GP59" s="9">
        <f t="shared" si="335"/>
        <v>1.2084914825049375</v>
      </c>
      <c r="GQ59" s="66">
        <f t="shared" si="335"/>
        <v>1.3544150505397745</v>
      </c>
      <c r="GR59" s="9">
        <f t="shared" si="335"/>
        <v>1.5439010962027819</v>
      </c>
      <c r="GS59" s="9">
        <f t="shared" si="335"/>
        <v>1.7665069832334044</v>
      </c>
      <c r="GT59" s="9">
        <f t="shared" si="335"/>
        <v>1.9441078516990105</v>
      </c>
      <c r="GU59" s="9">
        <f t="shared" si="335"/>
        <v>2.2808896460995429</v>
      </c>
      <c r="GV59" s="9">
        <f t="shared" si="335"/>
        <v>2.964541278997129</v>
      </c>
      <c r="GW59" s="32"/>
      <c r="GX59" s="32"/>
      <c r="GY59" s="32">
        <f t="shared" si="34"/>
        <v>1.1117000978259894</v>
      </c>
      <c r="GZ59" s="32">
        <v>1111700097.8259895</v>
      </c>
      <c r="HA59" s="32"/>
      <c r="HB59" s="41"/>
      <c r="HC59" s="76"/>
      <c r="HD59" s="9"/>
      <c r="HE59" s="9"/>
      <c r="HF59" s="9"/>
      <c r="HG59" s="9"/>
      <c r="HH59" s="9"/>
      <c r="HI59" s="9"/>
      <c r="HJ59" s="9"/>
      <c r="HK59" s="9"/>
      <c r="HL59" s="9"/>
      <c r="HM59" s="9"/>
      <c r="HN59" s="9"/>
      <c r="HO59" s="32"/>
      <c r="HP59" s="32"/>
      <c r="HQ59" s="32"/>
      <c r="HR59" s="32"/>
      <c r="IC59" s="41">
        <f t="shared" si="67"/>
        <v>45104</v>
      </c>
      <c r="ID59" s="9"/>
      <c r="IE59" s="9">
        <f t="shared" si="305"/>
        <v>1.0015603762858603</v>
      </c>
      <c r="IF59" s="9">
        <f t="shared" si="305"/>
        <v>1.0478978746717302</v>
      </c>
      <c r="IG59" s="9">
        <f t="shared" si="305"/>
        <v>1.0909950396995138</v>
      </c>
      <c r="IH59" s="9">
        <f t="shared" si="305"/>
        <v>1.1145794836945522</v>
      </c>
      <c r="II59" s="9">
        <f t="shared" si="305"/>
        <v>1.1626489661269159</v>
      </c>
      <c r="IJ59" s="66">
        <f t="shared" si="305"/>
        <v>1.2322614885217176</v>
      </c>
      <c r="IK59" s="9">
        <f t="shared" si="305"/>
        <v>1.320714424070383</v>
      </c>
      <c r="IL59" s="9">
        <f t="shared" si="305"/>
        <v>1.4218325068697391</v>
      </c>
      <c r="IM59" s="9">
        <f t="shared" si="305"/>
        <v>1.4890777176607939</v>
      </c>
      <c r="IN59" s="9">
        <f t="shared" si="305"/>
        <v>1.6495121213162953</v>
      </c>
      <c r="IO59" s="9">
        <f t="shared" si="305"/>
        <v>1.8419003781198042</v>
      </c>
      <c r="IP59" s="32"/>
      <c r="IQ59" s="32"/>
      <c r="JB59" s="41">
        <f t="shared" si="294"/>
        <v>44740</v>
      </c>
      <c r="JC59" s="9"/>
      <c r="JD59" s="9">
        <f t="shared" si="295"/>
        <v>1.0976048931153992</v>
      </c>
      <c r="JE59" s="9">
        <f t="shared" si="295"/>
        <v>1.1067038575588002</v>
      </c>
      <c r="JF59" s="9">
        <f t="shared" si="295"/>
        <v>1.1122723784277992</v>
      </c>
      <c r="JG59" s="9">
        <f t="shared" si="295"/>
        <v>1.1213713428712002</v>
      </c>
      <c r="JH59" s="9">
        <f t="shared" si="295"/>
        <v>1.1337054405075995</v>
      </c>
      <c r="JI59" s="66">
        <f t="shared" si="295"/>
        <v>1.1586689461617998</v>
      </c>
      <c r="JJ59" s="9">
        <f t="shared" si="295"/>
        <v>1.1891225341635991</v>
      </c>
      <c r="JK59" s="9">
        <f t="shared" si="295"/>
        <v>1.2198608384523992</v>
      </c>
      <c r="JL59" s="9">
        <f t="shared" si="295"/>
        <v>1.2770845819137993</v>
      </c>
      <c r="JM59" s="9">
        <f t="shared" si="295"/>
        <v>1.3754478106876005</v>
      </c>
      <c r="JN59" s="9">
        <f t="shared" si="295"/>
        <v>1.5016066394613996</v>
      </c>
      <c r="JO59" s="9">
        <f t="shared" si="295"/>
        <v>0.98300771034159995</v>
      </c>
      <c r="JZ59" s="41">
        <f t="shared" si="234"/>
        <v>44740</v>
      </c>
      <c r="KA59" s="9"/>
      <c r="KB59" s="9">
        <f t="shared" si="300"/>
        <v>1.1370649391566008</v>
      </c>
      <c r="KC59" s="9">
        <f t="shared" si="300"/>
        <v>1.1584980012363999</v>
      </c>
      <c r="KP59" s="212"/>
      <c r="KR59" s="41"/>
      <c r="KS59" s="212"/>
      <c r="KT59" s="212"/>
      <c r="KV59" s="41"/>
      <c r="KW59" s="212"/>
      <c r="KX59" s="212"/>
      <c r="KZ59" s="41"/>
      <c r="LA59" s="212"/>
      <c r="LB59" s="212"/>
      <c r="LD59" s="41"/>
      <c r="LE59" s="212"/>
      <c r="LF59" s="212"/>
      <c r="LL59" s="41"/>
      <c r="LM59" s="212"/>
      <c r="LN59" s="212"/>
      <c r="LT59" s="41"/>
      <c r="LU59" s="212"/>
      <c r="LV59" s="75"/>
      <c r="MB59" s="32"/>
      <c r="MC59" s="32"/>
      <c r="MD59" s="32"/>
      <c r="ME59" s="32"/>
      <c r="MF59" s="32"/>
      <c r="MG59" s="32"/>
      <c r="MH59" s="32"/>
      <c r="MI59" s="39"/>
      <c r="MJ59" s="39"/>
      <c r="MK59" s="39"/>
      <c r="ML59" s="39"/>
      <c r="MM59" s="9"/>
      <c r="MN59" s="9"/>
      <c r="MO59" s="9"/>
      <c r="MP59" s="74"/>
      <c r="MQ59" s="74"/>
      <c r="MR59" s="74"/>
      <c r="MS59" s="74"/>
      <c r="MT59" s="74"/>
      <c r="MU59" s="74"/>
      <c r="MW59" s="72"/>
      <c r="MX59" s="78">
        <v>-1</v>
      </c>
      <c r="MY59" s="63">
        <f t="shared" si="330"/>
        <v>0.10608138503562109</v>
      </c>
      <c r="MZ59" s="63">
        <f t="shared" si="330"/>
        <v>9.7670630488830679E-2</v>
      </c>
      <c r="NA59" s="63">
        <f t="shared" si="330"/>
        <v>8.8883745220119381E-2</v>
      </c>
      <c r="NB59" s="63">
        <f t="shared" si="330"/>
        <v>8.7460694757175383E-2</v>
      </c>
      <c r="NC59" s="63">
        <f t="shared" si="330"/>
        <v>8.6666276405491294E-2</v>
      </c>
      <c r="ND59" s="63">
        <f t="shared" si="330"/>
        <v>8.9532529241102721E-2</v>
      </c>
      <c r="NE59" s="63">
        <f t="shared" si="330"/>
        <v>0.10559195708643604</v>
      </c>
      <c r="NF59" s="63">
        <f t="shared" si="330"/>
        <v>8.5172892343072348E-2</v>
      </c>
      <c r="NG59" s="63">
        <f t="shared" si="330"/>
        <v>0.10650877245815243</v>
      </c>
      <c r="NH59" s="63">
        <f t="shared" si="330"/>
        <v>9.854236031321828E-2</v>
      </c>
      <c r="NI59" s="63">
        <f t="shared" si="330"/>
        <v>6.9580919685550219E-2</v>
      </c>
    </row>
    <row r="60" spans="2:373" x14ac:dyDescent="0.25">
      <c r="B60" s="48">
        <v>43109</v>
      </c>
      <c r="C60" s="214">
        <v>9497993.371199999</v>
      </c>
      <c r="D60" s="214">
        <v>7241532</v>
      </c>
      <c r="E60" s="215">
        <v>2082386.03</v>
      </c>
      <c r="F60" s="215"/>
      <c r="G60" s="215"/>
      <c r="H60" s="215"/>
      <c r="I60" s="41"/>
      <c r="J60" s="212"/>
      <c r="M60" s="41"/>
      <c r="N60" s="212"/>
      <c r="Q60" s="41">
        <v>44012</v>
      </c>
      <c r="R60" s="212">
        <v>38931915.081599995</v>
      </c>
      <c r="S60" s="212">
        <f t="shared" si="20"/>
        <v>1046773008.8027999</v>
      </c>
      <c r="Y60" s="41"/>
      <c r="AC60" s="32">
        <v>53</v>
      </c>
      <c r="AD60" s="39"/>
      <c r="AE60" s="39"/>
      <c r="AF60" s="82">
        <f t="shared" si="2"/>
        <v>1.0467730088028</v>
      </c>
      <c r="AG60" s="39"/>
      <c r="AU60" s="78">
        <v>-1</v>
      </c>
      <c r="AV60" s="63">
        <f t="shared" si="331"/>
        <v>0.14591237190691686</v>
      </c>
      <c r="AW60" s="63">
        <f t="shared" si="331"/>
        <v>0.12847601936868147</v>
      </c>
      <c r="AX60" s="63">
        <f t="shared" si="331"/>
        <v>0.12062512289211147</v>
      </c>
      <c r="AY60" s="63">
        <f t="shared" si="331"/>
        <v>0.13970561762993605</v>
      </c>
      <c r="AZ60" s="63">
        <f t="shared" si="331"/>
        <v>0.1475901118230627</v>
      </c>
      <c r="BA60" s="63"/>
      <c r="BB60" s="63">
        <f t="shared" si="331"/>
        <v>0.13034485594933454</v>
      </c>
      <c r="BM60" s="41"/>
      <c r="BN60" s="9"/>
      <c r="BO60" s="9"/>
      <c r="BP60" s="9"/>
      <c r="BQ60" s="9"/>
      <c r="BR60" s="9"/>
      <c r="BS60" s="9"/>
      <c r="BT60" s="218"/>
      <c r="BU60" s="9"/>
      <c r="BV60" s="9"/>
      <c r="BW60" s="9"/>
      <c r="BX60" s="9"/>
      <c r="BY60" s="9"/>
      <c r="BZ60" s="32"/>
      <c r="CA60" s="32"/>
      <c r="CL60" s="41"/>
      <c r="CM60" s="9"/>
      <c r="CN60" s="9"/>
      <c r="CO60" s="9"/>
      <c r="CP60" s="9"/>
      <c r="CQ60" s="9"/>
      <c r="CR60" s="9"/>
      <c r="CS60" s="218"/>
      <c r="CT60" s="9"/>
      <c r="CU60" s="9"/>
      <c r="CV60" s="9"/>
      <c r="CW60" s="9"/>
      <c r="CX60" s="9"/>
      <c r="CY60" s="32"/>
      <c r="CZ60" s="32"/>
      <c r="DA60" s="32" t="e">
        <f t="shared" si="26"/>
        <v>#N/A</v>
      </c>
      <c r="DB60" s="32" t="e">
        <v>#N/A</v>
      </c>
      <c r="DC60" s="32"/>
      <c r="DD60" s="41"/>
      <c r="DE60" s="9"/>
      <c r="DF60" s="9"/>
      <c r="DG60" s="9"/>
      <c r="DH60" s="9"/>
      <c r="DI60" s="9"/>
      <c r="DJ60" s="9"/>
      <c r="DK60" s="218"/>
      <c r="DL60" s="9"/>
      <c r="DM60" s="9"/>
      <c r="DN60" s="9"/>
      <c r="DO60" s="9"/>
      <c r="DP60" s="9"/>
      <c r="DQ60" s="32"/>
      <c r="DR60" s="32"/>
      <c r="DS60" s="32" t="e">
        <f t="shared" si="28"/>
        <v>#N/A</v>
      </c>
      <c r="DT60" s="32" t="e">
        <v>#N/A</v>
      </c>
      <c r="DU60" s="32"/>
      <c r="EF60" s="32"/>
      <c r="EG60" s="41"/>
      <c r="EH60" s="9"/>
      <c r="EI60" s="9"/>
      <c r="EJ60" s="9"/>
      <c r="EK60" s="9"/>
      <c r="EL60" s="9"/>
      <c r="EM60" s="9"/>
      <c r="EN60" s="218"/>
      <c r="EO60" s="9"/>
      <c r="EP60" s="9"/>
      <c r="EQ60" s="9"/>
      <c r="ER60" s="9"/>
      <c r="ES60" s="9"/>
      <c r="ET60" s="32"/>
      <c r="EU60" s="32"/>
      <c r="EV60" s="32" t="e">
        <f t="shared" si="30"/>
        <v>#N/A</v>
      </c>
      <c r="EW60" s="32" t="e">
        <v>#N/A</v>
      </c>
      <c r="EX60" s="32"/>
      <c r="FG60" s="32"/>
      <c r="FH60" s="32"/>
      <c r="FI60" s="41">
        <v>46203</v>
      </c>
      <c r="FJ60" s="76">
        <v>1.1718493048960847</v>
      </c>
      <c r="FK60" s="9">
        <f t="shared" si="334"/>
        <v>1.0753867233167747</v>
      </c>
      <c r="FL60" s="9">
        <f t="shared" si="334"/>
        <v>1.1670626102254529</v>
      </c>
      <c r="FM60" s="9">
        <f t="shared" si="334"/>
        <v>1.2468853113705798</v>
      </c>
      <c r="FN60" s="9">
        <f t="shared" si="334"/>
        <v>1.2990136839156994</v>
      </c>
      <c r="FO60" s="9">
        <f t="shared" si="334"/>
        <v>1.3952607926347109</v>
      </c>
      <c r="FP60" s="66">
        <f t="shared" si="334"/>
        <v>1.5286531627431008</v>
      </c>
      <c r="FQ60" s="9">
        <f t="shared" si="334"/>
        <v>1.6838992854024133</v>
      </c>
      <c r="FR60" s="9">
        <f t="shared" si="334"/>
        <v>1.8498145365246594</v>
      </c>
      <c r="FS60" s="9">
        <f t="shared" si="334"/>
        <v>1.949212063367626</v>
      </c>
      <c r="FT60" s="9">
        <f t="shared" si="334"/>
        <v>2.1673340427908188</v>
      </c>
      <c r="FU60" s="9">
        <f t="shared" si="334"/>
        <v>2.6147468653509325</v>
      </c>
      <c r="FV60" s="32"/>
      <c r="FW60" s="32"/>
      <c r="FX60" s="32" t="e">
        <f t="shared" si="32"/>
        <v>#N/A</v>
      </c>
      <c r="FY60" s="32" t="e">
        <v>#N/A</v>
      </c>
      <c r="FZ60" s="32"/>
      <c r="GI60" s="32"/>
      <c r="GJ60" s="41"/>
      <c r="GK60" s="9"/>
      <c r="GL60" s="9"/>
      <c r="GM60" s="9"/>
      <c r="GN60" s="9"/>
      <c r="GO60" s="9"/>
      <c r="GP60" s="9"/>
      <c r="GQ60" s="218"/>
      <c r="GR60" s="9"/>
      <c r="GS60" s="9"/>
      <c r="GT60" s="9"/>
      <c r="GU60" s="9"/>
      <c r="GV60" s="9"/>
      <c r="GW60" s="32"/>
      <c r="GX60" s="32"/>
      <c r="GY60" s="32" t="e">
        <f t="shared" si="34"/>
        <v>#N/A</v>
      </c>
      <c r="GZ60" s="32" t="e">
        <v>#N/A</v>
      </c>
      <c r="HA60" s="32"/>
      <c r="HB60" s="41"/>
      <c r="HC60" s="9"/>
      <c r="HD60" s="9"/>
      <c r="HE60" s="9"/>
      <c r="HF60" s="9"/>
      <c r="HG60" s="9"/>
      <c r="HH60" s="9"/>
      <c r="HI60" s="9"/>
      <c r="HJ60" s="9"/>
      <c r="HK60" s="9"/>
      <c r="HL60" s="9"/>
      <c r="HM60" s="9"/>
      <c r="HN60" s="9"/>
      <c r="HO60" s="32"/>
      <c r="HP60" s="32"/>
      <c r="HQ60" s="32"/>
      <c r="HR60" s="32"/>
      <c r="IC60" s="41"/>
      <c r="ID60" s="9"/>
      <c r="IE60" s="9"/>
      <c r="IF60" s="9"/>
      <c r="IG60" s="9"/>
      <c r="IH60" s="9"/>
      <c r="II60" s="9"/>
      <c r="IJ60" s="218"/>
      <c r="IK60" s="9"/>
      <c r="IL60" s="9"/>
      <c r="IM60" s="9"/>
      <c r="IN60" s="9"/>
      <c r="IO60" s="9"/>
      <c r="IP60" s="32"/>
      <c r="IQ60" s="32"/>
      <c r="JB60" s="41"/>
      <c r="JC60" s="9"/>
      <c r="JD60" s="9"/>
      <c r="JE60" s="9"/>
      <c r="JF60" s="9"/>
      <c r="JG60" s="9"/>
      <c r="JH60" s="9"/>
      <c r="JI60" s="9"/>
      <c r="JJ60" s="9"/>
      <c r="JK60" s="9"/>
      <c r="JL60" s="9"/>
      <c r="JM60" s="9"/>
      <c r="JN60" s="9"/>
      <c r="JO60" s="9"/>
      <c r="JZ60" s="41"/>
      <c r="KA60" s="9"/>
      <c r="KB60" s="9"/>
      <c r="KC60" s="9"/>
      <c r="KN60" s="41"/>
      <c r="KO60" s="212"/>
      <c r="KR60" s="41"/>
      <c r="KS60" s="212"/>
      <c r="KV60" s="41"/>
      <c r="KW60" s="212"/>
      <c r="KZ60" s="41"/>
      <c r="LA60" s="212"/>
      <c r="LD60" s="41"/>
      <c r="LE60" s="212"/>
      <c r="LL60" s="41"/>
      <c r="LM60" s="212"/>
      <c r="LT60" s="41"/>
      <c r="LU60" s="212"/>
      <c r="MW60" s="72"/>
      <c r="MX60" s="78">
        <v>0</v>
      </c>
      <c r="MY60" s="63">
        <f t="shared" si="330"/>
        <v>0.10608138503562103</v>
      </c>
      <c r="MZ60" s="63">
        <f t="shared" si="330"/>
        <v>9.7670630488830623E-2</v>
      </c>
      <c r="NA60" s="63">
        <f t="shared" si="330"/>
        <v>8.8883745220119326E-2</v>
      </c>
      <c r="NB60" s="63">
        <f t="shared" si="330"/>
        <v>8.7460694757175439E-2</v>
      </c>
      <c r="NC60" s="63">
        <f t="shared" si="330"/>
        <v>8.6666276405491294E-2</v>
      </c>
      <c r="ND60" s="63">
        <f t="shared" si="330"/>
        <v>8.9532529241102665E-2</v>
      </c>
      <c r="NE60" s="63">
        <f t="shared" si="330"/>
        <v>0.10559195708643609</v>
      </c>
      <c r="NF60" s="63">
        <f t="shared" si="330"/>
        <v>8.5172892343072348E-2</v>
      </c>
      <c r="NG60" s="63">
        <f t="shared" si="330"/>
        <v>0.10650877245815238</v>
      </c>
      <c r="NH60" s="63">
        <f t="shared" si="330"/>
        <v>9.854236031321828E-2</v>
      </c>
      <c r="NI60" s="63">
        <f t="shared" si="330"/>
        <v>6.9580919685550219E-2</v>
      </c>
    </row>
    <row r="61" spans="2:373" x14ac:dyDescent="0.25">
      <c r="B61" s="48">
        <v>43116</v>
      </c>
      <c r="C61" s="214">
        <v>11157939.9036</v>
      </c>
      <c r="D61" s="214">
        <v>8507121</v>
      </c>
      <c r="E61" s="215">
        <v>2000000</v>
      </c>
      <c r="F61" s="215"/>
      <c r="G61" s="215"/>
      <c r="H61" s="215"/>
      <c r="M61" s="41"/>
      <c r="N61" s="212"/>
      <c r="Q61" s="41"/>
      <c r="R61" s="212"/>
      <c r="Y61" s="41"/>
      <c r="AU61" s="78">
        <v>0</v>
      </c>
      <c r="AV61" s="63">
        <f t="shared" si="331"/>
        <v>0.14591237190691686</v>
      </c>
      <c r="AW61" s="63">
        <f t="shared" si="331"/>
        <v>0.12847601936868147</v>
      </c>
      <c r="AX61" s="63">
        <f t="shared" si="331"/>
        <v>0.12062512289211158</v>
      </c>
      <c r="AY61" s="63">
        <f t="shared" si="331"/>
        <v>0.13970561762993605</v>
      </c>
      <c r="AZ61" s="63">
        <f t="shared" si="331"/>
        <v>0.1475901118230627</v>
      </c>
      <c r="BA61" s="63"/>
      <c r="BB61" s="63">
        <f t="shared" si="331"/>
        <v>0.13034485594933454</v>
      </c>
      <c r="CU61" s="83">
        <f>CS59/CM59-1</f>
        <v>0.30267905687182983</v>
      </c>
      <c r="DM61" s="83">
        <f>DK59/DE59-1</f>
        <v>-0.11418756643555994</v>
      </c>
      <c r="EP61" s="83">
        <f>EN59/EH59-1</f>
        <v>-0.12905822836159309</v>
      </c>
      <c r="FR61" s="83"/>
      <c r="GS61" s="83" t="e">
        <f>GQ59/GK59-1</f>
        <v>#DIV/0!</v>
      </c>
      <c r="HK61" s="83"/>
      <c r="IJ61" s="83">
        <f>IJ59/CS59-1</f>
        <v>-0.14910141610437977</v>
      </c>
      <c r="JZ61" t="s">
        <v>91</v>
      </c>
      <c r="KB61" s="6">
        <v>2</v>
      </c>
      <c r="KF61" s="6">
        <v>5</v>
      </c>
      <c r="KN61" s="41"/>
      <c r="KO61" s="212"/>
      <c r="KR61" s="41"/>
      <c r="KS61" s="212"/>
      <c r="KV61" s="41"/>
      <c r="KW61" s="212"/>
      <c r="KZ61" s="41"/>
      <c r="LA61" s="212"/>
      <c r="LD61" s="41"/>
      <c r="LE61" s="212"/>
      <c r="LL61" s="41"/>
      <c r="LM61" s="212"/>
      <c r="LT61" s="41"/>
      <c r="LU61" s="212"/>
      <c r="MW61" s="72"/>
      <c r="MX61" s="78">
        <v>1</v>
      </c>
      <c r="MY61" s="63">
        <f t="shared" si="330"/>
        <v>0.10608138503562103</v>
      </c>
      <c r="MZ61" s="63">
        <f t="shared" si="330"/>
        <v>9.7670630488830623E-2</v>
      </c>
      <c r="NA61" s="63">
        <f t="shared" si="330"/>
        <v>8.8883745220119326E-2</v>
      </c>
      <c r="NB61" s="63">
        <f t="shared" si="330"/>
        <v>8.7460694757175383E-2</v>
      </c>
      <c r="NC61" s="63">
        <f t="shared" si="330"/>
        <v>8.6666276405491294E-2</v>
      </c>
      <c r="ND61" s="63">
        <f t="shared" si="330"/>
        <v>8.9532529241102665E-2</v>
      </c>
      <c r="NE61" s="63">
        <f t="shared" si="330"/>
        <v>0.10559195708643609</v>
      </c>
      <c r="NF61" s="63">
        <f t="shared" si="330"/>
        <v>8.5172892343072348E-2</v>
      </c>
      <c r="NG61" s="63">
        <f t="shared" si="330"/>
        <v>0.10650877245815238</v>
      </c>
      <c r="NH61" s="63">
        <f t="shared" si="330"/>
        <v>9.854236031321828E-2</v>
      </c>
      <c r="NI61" s="63">
        <f t="shared" si="330"/>
        <v>6.9580919685550191E-2</v>
      </c>
    </row>
    <row r="62" spans="2:373" x14ac:dyDescent="0.25">
      <c r="B62" s="48">
        <v>43123</v>
      </c>
      <c r="C62" s="214">
        <v>14017402.346399998</v>
      </c>
      <c r="D62" s="214">
        <v>10687254</v>
      </c>
      <c r="E62" s="215">
        <v>5000000</v>
      </c>
      <c r="F62" s="215"/>
      <c r="G62" s="215"/>
      <c r="H62" s="215"/>
      <c r="I62" s="70" t="s">
        <v>68</v>
      </c>
      <c r="J62" s="212"/>
      <c r="K62" s="71">
        <f>COUNT(K8:K60)</f>
        <v>52</v>
      </c>
      <c r="M62" s="41"/>
      <c r="N62" s="212"/>
      <c r="O62" s="71">
        <f>COUNT(O8:O60)</f>
        <v>52</v>
      </c>
      <c r="Q62" s="41"/>
      <c r="R62" s="212"/>
      <c r="S62" s="71">
        <f>COUNT(S8:S60)</f>
        <v>53</v>
      </c>
      <c r="W62" s="71">
        <f>COUNT(W8:W60)</f>
        <v>52</v>
      </c>
      <c r="Y62" s="41"/>
      <c r="AA62" s="71">
        <f>COUNT(AA8:AA60)</f>
        <v>52</v>
      </c>
      <c r="AH62">
        <v>52</v>
      </c>
      <c r="AI62" s="10">
        <v>1.4468290112147775</v>
      </c>
      <c r="AU62" s="78">
        <v>1</v>
      </c>
      <c r="AV62" s="63">
        <f t="shared" si="331"/>
        <v>0.14591237190691686</v>
      </c>
      <c r="AW62" s="63">
        <f t="shared" si="331"/>
        <v>0.12847601936868136</v>
      </c>
      <c r="AX62" s="63">
        <f t="shared" si="331"/>
        <v>0.12062512289211158</v>
      </c>
      <c r="AY62" s="63">
        <f t="shared" si="331"/>
        <v>0.13970561762993605</v>
      </c>
      <c r="AZ62" s="63">
        <f t="shared" si="331"/>
        <v>0.1475901118230627</v>
      </c>
      <c r="BA62" s="63"/>
      <c r="BB62" s="63">
        <f t="shared" si="331"/>
        <v>0.13034485594933454</v>
      </c>
      <c r="JZ62" t="s">
        <v>76</v>
      </c>
      <c r="KB62" s="6">
        <v>2</v>
      </c>
      <c r="KF62" s="6">
        <v>20</v>
      </c>
      <c r="KN62" s="41"/>
      <c r="KO62" s="212"/>
      <c r="KR62" s="41"/>
      <c r="KS62" s="212"/>
      <c r="KV62" s="41"/>
      <c r="KW62" s="212"/>
      <c r="KZ62" s="41"/>
      <c r="LA62" s="212"/>
      <c r="LD62" s="41"/>
      <c r="LE62" s="212"/>
      <c r="LL62" s="41"/>
      <c r="LM62" s="212"/>
      <c r="LT62" s="41"/>
      <c r="LU62" s="212"/>
      <c r="MW62" s="72"/>
      <c r="MX62" s="78">
        <v>2</v>
      </c>
      <c r="MY62" s="63">
        <f t="shared" si="330"/>
        <v>0.10608138503562103</v>
      </c>
      <c r="MZ62" s="63">
        <f t="shared" si="330"/>
        <v>9.7670630488830623E-2</v>
      </c>
      <c r="NA62" s="63">
        <f t="shared" si="330"/>
        <v>8.8883745220119437E-2</v>
      </c>
      <c r="NB62" s="63">
        <f t="shared" si="330"/>
        <v>8.7460694757175439E-2</v>
      </c>
      <c r="NC62" s="63">
        <f t="shared" si="330"/>
        <v>8.6666276405491294E-2</v>
      </c>
      <c r="ND62" s="63">
        <f t="shared" si="330"/>
        <v>8.9532529241102776E-2</v>
      </c>
      <c r="NE62" s="63">
        <f t="shared" si="330"/>
        <v>0.10559195708643609</v>
      </c>
      <c r="NF62" s="63">
        <f t="shared" si="330"/>
        <v>8.5172892343072348E-2</v>
      </c>
      <c r="NG62" s="63">
        <f t="shared" si="330"/>
        <v>0.10650877245815238</v>
      </c>
      <c r="NH62" s="63">
        <f t="shared" si="330"/>
        <v>9.854236031321828E-2</v>
      </c>
      <c r="NI62" s="63">
        <f t="shared" si="330"/>
        <v>6.9580919685550247E-2</v>
      </c>
    </row>
    <row r="63" spans="2:373" x14ac:dyDescent="0.25">
      <c r="B63" s="48">
        <v>43130</v>
      </c>
      <c r="C63" s="214">
        <v>21733010.013599999</v>
      </c>
      <c r="D63" s="214">
        <v>16569846</v>
      </c>
      <c r="E63" s="215">
        <v>10000000</v>
      </c>
      <c r="F63" s="215"/>
      <c r="G63" s="215"/>
      <c r="H63" s="215"/>
      <c r="I63" s="70" t="s">
        <v>94</v>
      </c>
      <c r="J63" s="212"/>
      <c r="K63" s="212">
        <f ca="1">OFFSET(K$7,K62,0)</f>
        <v>1119547041.9479997</v>
      </c>
      <c r="M63" s="41"/>
      <c r="N63" s="212"/>
      <c r="O63" s="212">
        <f ca="1">OFFSET(O$7,O62,0)</f>
        <v>1380268192.3667998</v>
      </c>
      <c r="Q63" s="41"/>
      <c r="R63" s="212"/>
      <c r="S63" s="212">
        <f ca="1">OFFSET(S$7,S62,0)</f>
        <v>1046773008.8027999</v>
      </c>
      <c r="W63" s="212">
        <f ca="1">OFFSET(W$7,W62,0)</f>
        <v>1102437239.2524002</v>
      </c>
      <c r="Y63" s="41"/>
      <c r="AA63" s="212">
        <f ca="1">OFFSET(AA$7,AA62,0)</f>
        <v>1119443170.1510999</v>
      </c>
      <c r="AI63">
        <f>AI62/AH62</f>
        <v>2.7823634831053413E-2</v>
      </c>
      <c r="AU63" s="78">
        <v>2</v>
      </c>
      <c r="AV63" s="63">
        <f t="shared" si="331"/>
        <v>0.14591237190691686</v>
      </c>
      <c r="AW63" s="63">
        <f t="shared" si="331"/>
        <v>0.12847601936868158</v>
      </c>
      <c r="AX63" s="63">
        <f t="shared" si="331"/>
        <v>0.12062512289211158</v>
      </c>
      <c r="AY63" s="63">
        <f t="shared" si="331"/>
        <v>0.13970561762993605</v>
      </c>
      <c r="AZ63" s="63">
        <f t="shared" si="331"/>
        <v>0.1475901118230627</v>
      </c>
      <c r="BA63" s="63"/>
      <c r="BB63" s="63">
        <f t="shared" si="331"/>
        <v>0.13034485594933454</v>
      </c>
      <c r="BM63" t="s">
        <v>87</v>
      </c>
      <c r="BN63" t="s">
        <v>57</v>
      </c>
      <c r="BO63" t="s">
        <v>88</v>
      </c>
      <c r="BP63" t="s">
        <v>89</v>
      </c>
      <c r="BR63" t="s">
        <v>90</v>
      </c>
      <c r="BT63" t="s">
        <v>91</v>
      </c>
      <c r="BW63" s="6">
        <v>20</v>
      </c>
      <c r="CL63" t="s">
        <v>87</v>
      </c>
      <c r="CM63" t="s">
        <v>57</v>
      </c>
      <c r="CN63" t="s">
        <v>88</v>
      </c>
      <c r="CO63" t="s">
        <v>89</v>
      </c>
      <c r="CQ63" t="s">
        <v>90</v>
      </c>
      <c r="CS63" t="s">
        <v>91</v>
      </c>
      <c r="CV63" s="6">
        <v>30</v>
      </c>
      <c r="DD63" t="s">
        <v>87</v>
      </c>
      <c r="DE63" t="s">
        <v>57</v>
      </c>
      <c r="DF63" t="s">
        <v>88</v>
      </c>
      <c r="DG63" t="s">
        <v>89</v>
      </c>
      <c r="DI63" t="s">
        <v>90</v>
      </c>
      <c r="DK63" t="s">
        <v>91</v>
      </c>
      <c r="DN63" s="6">
        <v>30</v>
      </c>
      <c r="EG63" t="s">
        <v>87</v>
      </c>
      <c r="EH63" t="s">
        <v>57</v>
      </c>
      <c r="EI63" t="s">
        <v>88</v>
      </c>
      <c r="EJ63" t="s">
        <v>89</v>
      </c>
      <c r="EL63" t="s">
        <v>90</v>
      </c>
      <c r="EN63" t="s">
        <v>91</v>
      </c>
      <c r="EQ63" s="6">
        <v>30</v>
      </c>
      <c r="FI63" t="s">
        <v>87</v>
      </c>
      <c r="FJ63" t="s">
        <v>57</v>
      </c>
      <c r="FK63" t="s">
        <v>88</v>
      </c>
      <c r="FL63" t="s">
        <v>89</v>
      </c>
      <c r="FN63" t="s">
        <v>90</v>
      </c>
      <c r="FP63" t="s">
        <v>91</v>
      </c>
      <c r="FS63" s="6">
        <v>30</v>
      </c>
      <c r="GJ63" t="s">
        <v>87</v>
      </c>
      <c r="GK63" t="s">
        <v>57</v>
      </c>
      <c r="GL63" t="s">
        <v>88</v>
      </c>
      <c r="GM63" t="s">
        <v>89</v>
      </c>
      <c r="GO63" t="s">
        <v>90</v>
      </c>
      <c r="GQ63" t="s">
        <v>91</v>
      </c>
      <c r="GT63" s="6">
        <v>30</v>
      </c>
      <c r="HB63" t="s">
        <v>87</v>
      </c>
      <c r="HC63" t="s">
        <v>57</v>
      </c>
      <c r="HD63" t="s">
        <v>88</v>
      </c>
      <c r="HE63" t="s">
        <v>89</v>
      </c>
      <c r="HG63" t="s">
        <v>90</v>
      </c>
      <c r="HL63" s="6"/>
      <c r="IC63" t="s">
        <v>87</v>
      </c>
      <c r="ID63" t="s">
        <v>57</v>
      </c>
      <c r="IE63" t="s">
        <v>88</v>
      </c>
      <c r="IF63" t="s">
        <v>89</v>
      </c>
      <c r="IH63" t="s">
        <v>90</v>
      </c>
      <c r="IJ63" t="s">
        <v>91</v>
      </c>
      <c r="IM63" s="6">
        <v>30</v>
      </c>
      <c r="JB63" t="s">
        <v>87</v>
      </c>
      <c r="JC63" t="s">
        <v>57</v>
      </c>
      <c r="JD63" t="s">
        <v>88</v>
      </c>
      <c r="JE63" t="s">
        <v>89</v>
      </c>
      <c r="JG63" t="s">
        <v>90</v>
      </c>
      <c r="JI63" t="s">
        <v>91</v>
      </c>
      <c r="JL63" s="6">
        <v>2</v>
      </c>
      <c r="KN63" s="41"/>
      <c r="KO63" s="212"/>
      <c r="KR63" s="41"/>
      <c r="KS63" s="212"/>
      <c r="KV63" s="41"/>
      <c r="KW63" s="212"/>
      <c r="KZ63" s="41"/>
      <c r="LA63" s="212"/>
      <c r="LD63" s="41"/>
      <c r="LE63" s="212"/>
      <c r="LL63" s="41"/>
      <c r="LM63" s="212"/>
      <c r="LT63" s="41"/>
      <c r="LU63" s="212"/>
      <c r="MW63" s="72"/>
      <c r="MX63" s="78">
        <v>3</v>
      </c>
      <c r="MY63" s="63">
        <f t="shared" si="330"/>
        <v>0.10608138503562115</v>
      </c>
      <c r="MZ63" s="63">
        <f t="shared" si="330"/>
        <v>9.7670630488830734E-2</v>
      </c>
      <c r="NA63" s="63">
        <f t="shared" si="330"/>
        <v>8.8883745220119326E-2</v>
      </c>
      <c r="NB63" s="63">
        <f t="shared" si="330"/>
        <v>8.7460694757175439E-2</v>
      </c>
      <c r="NC63" s="63">
        <f t="shared" si="330"/>
        <v>8.6666276405491183E-2</v>
      </c>
      <c r="ND63" s="63">
        <f t="shared" si="330"/>
        <v>8.9532529241102665E-2</v>
      </c>
      <c r="NE63" s="63">
        <f t="shared" si="330"/>
        <v>0.10559195708643598</v>
      </c>
      <c r="NF63" s="63">
        <f t="shared" si="330"/>
        <v>8.5172892343072348E-2</v>
      </c>
      <c r="NG63" s="63">
        <f t="shared" si="330"/>
        <v>0.10650877245815249</v>
      </c>
      <c r="NH63" s="63">
        <f t="shared" si="330"/>
        <v>9.854236031321828E-2</v>
      </c>
      <c r="NI63" s="63">
        <f t="shared" si="330"/>
        <v>6.9580919685550247E-2</v>
      </c>
    </row>
    <row r="64" spans="2:373" x14ac:dyDescent="0.25">
      <c r="B64" s="48">
        <v>43137</v>
      </c>
      <c r="C64" s="214">
        <v>9985924.3103999998</v>
      </c>
      <c r="D64" s="214">
        <v>7613544</v>
      </c>
      <c r="E64" s="215">
        <v>2000000</v>
      </c>
      <c r="F64" s="215"/>
      <c r="G64" s="215"/>
      <c r="H64" s="215"/>
      <c r="I64" s="70" t="s">
        <v>109</v>
      </c>
      <c r="J64" s="212"/>
      <c r="K64" s="212">
        <f ca="1">K63/K62*52</f>
        <v>1119547041.9479997</v>
      </c>
      <c r="M64" s="41"/>
      <c r="N64" s="212"/>
      <c r="O64" s="212">
        <f ca="1">O63/O62*52</f>
        <v>1380268192.3667998</v>
      </c>
      <c r="Q64" s="41"/>
      <c r="R64" s="212"/>
      <c r="S64" s="212">
        <f ca="1">S63/S62*52</f>
        <v>1027022574.6744453</v>
      </c>
      <c r="W64" s="212">
        <f ca="1">W63/W62*52</f>
        <v>1102437239.2524002</v>
      </c>
      <c r="Y64" s="41"/>
      <c r="AA64" s="212">
        <f ca="1">AA63/AA62*52</f>
        <v>1119443170.1510999</v>
      </c>
      <c r="AU64" s="78">
        <v>3</v>
      </c>
      <c r="AV64" s="63">
        <f t="shared" si="331"/>
        <v>0.14591237190691708</v>
      </c>
      <c r="AW64" s="63">
        <f t="shared" si="331"/>
        <v>0.12847601936868136</v>
      </c>
      <c r="AX64" s="63">
        <f t="shared" si="331"/>
        <v>0.12062512289211158</v>
      </c>
      <c r="AY64" s="63">
        <f t="shared" si="331"/>
        <v>0.13970561762993605</v>
      </c>
      <c r="AZ64" s="63">
        <f t="shared" si="331"/>
        <v>0.1475901118230627</v>
      </c>
      <c r="BA64" s="63"/>
      <c r="BB64" s="63">
        <f t="shared" si="331"/>
        <v>0.13034485594933454</v>
      </c>
      <c r="BM64" s="67" t="s">
        <v>30</v>
      </c>
      <c r="BN64" s="7">
        <v>0.83367465348844649</v>
      </c>
      <c r="BO64" s="68">
        <v>52</v>
      </c>
      <c r="BP64" s="69">
        <f>BN64/BO64</f>
        <v>1.6032204874777817E-2</v>
      </c>
      <c r="BQ64" s="69"/>
      <c r="BR64" s="7">
        <v>1.6032204874777817E-2</v>
      </c>
      <c r="BT64" t="s">
        <v>76</v>
      </c>
      <c r="BW64" s="6">
        <v>10</v>
      </c>
      <c r="CL64" s="67" t="s">
        <v>30</v>
      </c>
      <c r="CM64" s="7">
        <v>0.92772482154469738</v>
      </c>
      <c r="CN64" s="68">
        <v>52</v>
      </c>
      <c r="CO64" s="69">
        <f>CM64/CN64</f>
        <v>1.7840861952782641E-2</v>
      </c>
      <c r="CP64" s="69"/>
      <c r="CQ64" s="7">
        <v>1.7840861952782641E-2</v>
      </c>
      <c r="CS64" t="s">
        <v>76</v>
      </c>
      <c r="CV64" s="6">
        <v>5</v>
      </c>
      <c r="DD64" s="67" t="s">
        <v>30</v>
      </c>
      <c r="DE64" s="7">
        <v>0.91963004962152162</v>
      </c>
      <c r="DF64" s="68">
        <v>52</v>
      </c>
      <c r="DG64" s="69">
        <f>DE64/DF64</f>
        <v>1.768519326195234E-2</v>
      </c>
      <c r="DH64" s="69"/>
      <c r="DI64" s="7">
        <v>1.768519326195234E-2</v>
      </c>
      <c r="DK64" t="s">
        <v>76</v>
      </c>
      <c r="DN64" s="6">
        <v>5</v>
      </c>
      <c r="EG64" s="67" t="s">
        <v>30</v>
      </c>
      <c r="EH64" s="7">
        <v>1.0550964077824969</v>
      </c>
      <c r="EI64" s="68">
        <v>52</v>
      </c>
      <c r="EJ64" s="69">
        <f>EH64/EI64</f>
        <v>2.0290315534278788E-2</v>
      </c>
      <c r="EK64" s="69"/>
      <c r="EL64" s="7">
        <v>2.0290315534278788E-2</v>
      </c>
      <c r="EN64" t="s">
        <v>76</v>
      </c>
      <c r="EQ64" s="6">
        <v>5</v>
      </c>
      <c r="FI64" s="67" t="s">
        <v>30</v>
      </c>
      <c r="FJ64" s="7">
        <v>1.0011984975836856</v>
      </c>
      <c r="FK64" s="68">
        <v>52</v>
      </c>
      <c r="FL64" s="69">
        <f>FJ64/FK64</f>
        <v>1.9253817261224722E-2</v>
      </c>
      <c r="FM64" s="69"/>
      <c r="FN64" s="7">
        <v>2.0290315534278788E-2</v>
      </c>
      <c r="FP64" t="s">
        <v>76</v>
      </c>
      <c r="FS64" s="6">
        <v>5</v>
      </c>
      <c r="GJ64" s="67" t="s">
        <v>30</v>
      </c>
      <c r="GK64" s="7">
        <v>0.45214100931324197</v>
      </c>
      <c r="GL64" s="68">
        <v>27</v>
      </c>
      <c r="GM64" s="69">
        <f>GK64/GL64</f>
        <v>1.6745963307897852E-2</v>
      </c>
      <c r="GN64" s="69"/>
      <c r="GO64" s="7">
        <v>1.6745963307897852E-2</v>
      </c>
      <c r="GQ64" t="s">
        <v>76</v>
      </c>
      <c r="GT64" s="6">
        <v>5</v>
      </c>
      <c r="HB64" s="67" t="s">
        <v>30</v>
      </c>
      <c r="HC64" s="7">
        <v>0.50090790474297875</v>
      </c>
      <c r="HD64" s="68">
        <v>27</v>
      </c>
      <c r="HE64" s="69">
        <f>HC64/HD64</f>
        <v>1.8552144620110324E-2</v>
      </c>
      <c r="HF64" s="69"/>
      <c r="HG64" s="7">
        <v>1.8552144620110324E-2</v>
      </c>
      <c r="HL64" s="6"/>
      <c r="IC64" s="67" t="s">
        <v>30</v>
      </c>
      <c r="ID64" s="7">
        <v>0.34710459490515977</v>
      </c>
      <c r="IE64" s="68">
        <v>23</v>
      </c>
      <c r="IF64" s="69">
        <f>ID64/IE64</f>
        <v>1.5091504126311295E-2</v>
      </c>
      <c r="IG64" s="69"/>
      <c r="IH64" s="7">
        <v>1.5091504126311295E-2</v>
      </c>
      <c r="IJ64" t="s">
        <v>76</v>
      </c>
      <c r="IM64" s="6">
        <v>5</v>
      </c>
      <c r="JB64" s="67" t="s">
        <v>30</v>
      </c>
      <c r="JC64" s="7">
        <v>0.11459718277379997</v>
      </c>
      <c r="JD64" s="84">
        <f>COUNTBLANK($JC$8:$JC$59)</f>
        <v>9</v>
      </c>
      <c r="JE64" s="69">
        <f>JC64/JD64</f>
        <v>1.2733020308199998E-2</v>
      </c>
      <c r="JF64" s="69"/>
      <c r="JG64" s="10">
        <v>1.2733020308199998E-2</v>
      </c>
      <c r="JI64" t="s">
        <v>76</v>
      </c>
      <c r="JL64" s="6">
        <v>20</v>
      </c>
      <c r="JZ64" t="s">
        <v>87</v>
      </c>
      <c r="KA64" t="s">
        <v>57</v>
      </c>
      <c r="KB64" t="s">
        <v>88</v>
      </c>
      <c r="KC64" t="s">
        <v>89</v>
      </c>
      <c r="KF64" t="s">
        <v>57</v>
      </c>
      <c r="KG64" t="s">
        <v>88</v>
      </c>
      <c r="KH64" t="s">
        <v>89</v>
      </c>
      <c r="KN64" s="41"/>
      <c r="KO64" s="212"/>
      <c r="KR64" s="41"/>
      <c r="KS64" s="212"/>
      <c r="KV64" s="41"/>
      <c r="KW64" s="212"/>
      <c r="KZ64" s="41"/>
      <c r="LA64" s="212"/>
      <c r="LD64" s="41"/>
      <c r="LE64" s="212"/>
      <c r="LL64" s="41"/>
      <c r="LM64" s="212"/>
      <c r="LT64" s="41"/>
      <c r="LU64" s="212"/>
    </row>
    <row r="65" spans="2:375" x14ac:dyDescent="0.25">
      <c r="B65" s="48">
        <v>43144</v>
      </c>
      <c r="C65" s="214">
        <v>12615000.278399998</v>
      </c>
      <c r="D65" s="214">
        <v>9618024</v>
      </c>
      <c r="E65" s="215">
        <v>5000000</v>
      </c>
      <c r="F65" s="215"/>
      <c r="G65" s="215"/>
      <c r="H65" s="215"/>
      <c r="I65" s="41"/>
      <c r="J65" s="212"/>
      <c r="M65" s="41"/>
      <c r="N65" s="212"/>
      <c r="Q65" s="41"/>
      <c r="R65" s="212"/>
      <c r="Y65" s="41"/>
      <c r="BM65" s="67">
        <v>0.01</v>
      </c>
      <c r="BN65" s="7">
        <v>0.94760318030599977</v>
      </c>
      <c r="BO65" s="68">
        <v>52</v>
      </c>
      <c r="BP65" s="69">
        <f>BN65/BO65</f>
        <v>1.8223138082807688E-2</v>
      </c>
      <c r="BQ65" s="69"/>
      <c r="BR65" s="7">
        <v>1.8223138082807688E-2</v>
      </c>
      <c r="CL65" s="67">
        <v>0.01</v>
      </c>
      <c r="CM65" s="7">
        <v>1.0562865720123829</v>
      </c>
      <c r="CN65" s="68">
        <v>52</v>
      </c>
      <c r="CO65" s="69">
        <f>CM65/CN65</f>
        <v>2.031320330793044E-2</v>
      </c>
      <c r="CP65" s="69"/>
      <c r="CQ65" s="7">
        <v>2.031320330793044E-2</v>
      </c>
      <c r="DD65" s="67">
        <v>0.01</v>
      </c>
      <c r="DE65" s="7">
        <v>1.0242402159327912</v>
      </c>
      <c r="DF65" s="68">
        <v>52</v>
      </c>
      <c r="DG65" s="69">
        <f>DE65/DF65</f>
        <v>1.9696927229476753E-2</v>
      </c>
      <c r="DH65" s="69"/>
      <c r="DI65" s="7">
        <v>1.9696927229476753E-2</v>
      </c>
      <c r="EG65" s="67">
        <v>0.01</v>
      </c>
      <c r="EH65" s="7">
        <v>1.1450425609759176</v>
      </c>
      <c r="EI65" s="68">
        <v>52</v>
      </c>
      <c r="EJ65" s="69">
        <f>EH65/EI65</f>
        <v>2.2020049249536877E-2</v>
      </c>
      <c r="EK65" s="69"/>
      <c r="EL65" s="7">
        <v>2.2020049249536877E-2</v>
      </c>
      <c r="FI65" s="67">
        <v>0.01</v>
      </c>
      <c r="FJ65" s="7">
        <v>1.1514136252195992</v>
      </c>
      <c r="FK65" s="68">
        <v>52</v>
      </c>
      <c r="FL65" s="69">
        <f>FJ65/FK65</f>
        <v>2.2142569715761524E-2</v>
      </c>
      <c r="FM65" s="69"/>
      <c r="FN65" s="7">
        <v>2.2020049249536877E-2</v>
      </c>
      <c r="GJ65" s="67">
        <v>0.01</v>
      </c>
      <c r="GK65" s="7">
        <v>0.52054517079505536</v>
      </c>
      <c r="GL65" s="68">
        <v>27</v>
      </c>
      <c r="GM65" s="69">
        <f>GK65/GL65</f>
        <v>1.9279450770187237E-2</v>
      </c>
      <c r="GN65" s="69"/>
      <c r="GO65" s="7">
        <v>1.9279450770187237E-2</v>
      </c>
      <c r="HB65" s="67">
        <v>0.01</v>
      </c>
      <c r="HC65" s="7">
        <v>0.56486554743279782</v>
      </c>
      <c r="HD65" s="68">
        <v>27</v>
      </c>
      <c r="HE65" s="69">
        <f>HC65/HD65</f>
        <v>2.0920946201214735E-2</v>
      </c>
      <c r="HF65" s="69"/>
      <c r="HG65" s="7">
        <v>2.0920946201214735E-2</v>
      </c>
      <c r="IC65" s="67">
        <v>0.01</v>
      </c>
      <c r="ID65" s="7">
        <v>0.39344209329103041</v>
      </c>
      <c r="IE65" s="68">
        <v>23</v>
      </c>
      <c r="IF65" s="69">
        <f>ID65/IE65</f>
        <v>1.7106177969175237E-2</v>
      </c>
      <c r="IG65" s="69"/>
      <c r="IH65" s="7">
        <v>1.7106177969175237E-2</v>
      </c>
      <c r="JB65" s="67">
        <v>0.01</v>
      </c>
      <c r="JC65" s="7">
        <v>0.12369614721719997</v>
      </c>
      <c r="JD65" s="84">
        <f t="shared" ref="JD65:JD74" si="336">COUNTBLANK($JC$8:$JC$59)</f>
        <v>9</v>
      </c>
      <c r="JE65" s="69">
        <f>JC65/JD65</f>
        <v>1.3744016357466663E-2</v>
      </c>
      <c r="JF65" s="69"/>
      <c r="JG65" s="10">
        <v>1.3744016357466663E-2</v>
      </c>
      <c r="JH65" s="11"/>
      <c r="JZ65" s="67" t="s">
        <v>30</v>
      </c>
      <c r="KA65" s="7">
        <v>0.10867013241659998</v>
      </c>
      <c r="KB65" s="84">
        <f>COUNTBLANK($KA$8:$KA$59)</f>
        <v>8</v>
      </c>
      <c r="KC65" s="69">
        <f>KA65/KB65</f>
        <v>1.3583766552074997E-2</v>
      </c>
      <c r="KF65" s="7">
        <v>9.7533090678599971E-2</v>
      </c>
      <c r="KG65" s="84">
        <f>COUNTBLANK($KA$8:$KA$59)</f>
        <v>8</v>
      </c>
      <c r="KH65" s="69">
        <f>KF65/KG65</f>
        <v>1.2191636334824996E-2</v>
      </c>
      <c r="KN65" s="41"/>
      <c r="KO65" s="212"/>
      <c r="KR65" s="41"/>
      <c r="KS65" s="212"/>
      <c r="KV65" s="41"/>
      <c r="KW65" s="212"/>
      <c r="KZ65" s="41"/>
      <c r="LA65" s="212"/>
      <c r="LD65" s="41"/>
      <c r="LE65" s="212"/>
      <c r="LL65" s="41"/>
      <c r="LM65" s="212"/>
      <c r="LT65" s="41"/>
      <c r="LU65" s="212"/>
      <c r="MY65" s="45" t="s">
        <v>104</v>
      </c>
      <c r="MZ65" s="45" t="s">
        <v>105</v>
      </c>
      <c r="NA65" s="45" t="s">
        <v>106</v>
      </c>
      <c r="NH65" s="45"/>
      <c r="NI65" s="45" t="s">
        <v>110</v>
      </c>
      <c r="NK65" t="s">
        <v>81</v>
      </c>
    </row>
    <row r="66" spans="2:375" x14ac:dyDescent="0.25">
      <c r="B66" s="48">
        <v>43151</v>
      </c>
      <c r="C66" s="214">
        <v>24491599.923599999</v>
      </c>
      <c r="D66" s="214">
        <v>18673071</v>
      </c>
      <c r="E66" s="215">
        <v>10000000</v>
      </c>
      <c r="F66" s="215"/>
      <c r="G66" s="215"/>
      <c r="H66" s="215"/>
      <c r="I66" s="41"/>
      <c r="J66" s="212"/>
      <c r="M66" s="41"/>
      <c r="N66" s="212"/>
      <c r="Q66" s="41"/>
      <c r="R66" s="212"/>
      <c r="Y66" s="41"/>
      <c r="BM66" s="67">
        <v>0.05</v>
      </c>
      <c r="BN66" s="7">
        <v>1.0110738633828786</v>
      </c>
      <c r="BO66" s="68">
        <v>52</v>
      </c>
      <c r="BP66" s="69">
        <f t="shared" ref="BP66:BP73" si="337">BN66/BO66</f>
        <v>1.9443728141978436E-2</v>
      </c>
      <c r="BQ66" s="69"/>
      <c r="BR66" s="7">
        <v>1.9443728141978436E-2</v>
      </c>
      <c r="CL66" s="67">
        <v>0.05</v>
      </c>
      <c r="CM66" s="7">
        <v>1.1504161858562754</v>
      </c>
      <c r="CN66" s="68">
        <v>52</v>
      </c>
      <c r="CO66" s="69">
        <f t="shared" ref="CO66:CO73" si="338">CM66/CN66</f>
        <v>2.2123388189543756E-2</v>
      </c>
      <c r="CP66" s="69"/>
      <c r="CQ66" s="7">
        <v>2.2123388189543756E-2</v>
      </c>
      <c r="CW66" s="219" t="s">
        <v>251</v>
      </c>
      <c r="DD66" s="67">
        <v>0.05</v>
      </c>
      <c r="DE66" s="7">
        <v>1.0886815488751787</v>
      </c>
      <c r="DF66" s="68">
        <v>52</v>
      </c>
      <c r="DG66" s="69">
        <f t="shared" ref="DG66:DG73" si="339">DE66/DF66</f>
        <v>2.0936183632214975E-2</v>
      </c>
      <c r="DH66" s="69"/>
      <c r="DI66" s="7">
        <v>2.0936183632214975E-2</v>
      </c>
      <c r="DO66" s="219" t="s">
        <v>251</v>
      </c>
      <c r="EG66" s="67">
        <v>0.05</v>
      </c>
      <c r="EH66" s="7">
        <v>1.2233591734201912</v>
      </c>
      <c r="EI66" s="68">
        <v>52</v>
      </c>
      <c r="EJ66" s="69">
        <f t="shared" ref="EJ66:EJ73" si="340">EH66/EI66</f>
        <v>2.3526137950388291E-2</v>
      </c>
      <c r="EK66" s="69"/>
      <c r="EL66" s="7">
        <v>2.3526137950388291E-2</v>
      </c>
      <c r="ER66" s="219" t="s">
        <v>251</v>
      </c>
      <c r="FI66" s="67">
        <v>0.05</v>
      </c>
      <c r="FJ66" s="7">
        <v>1.2178486743611516</v>
      </c>
      <c r="FK66" s="68">
        <v>52</v>
      </c>
      <c r="FL66" s="69">
        <f t="shared" ref="FL66:FL73" si="341">FJ66/FK66</f>
        <v>2.342016681463753E-2</v>
      </c>
      <c r="FM66" s="69"/>
      <c r="FN66" s="7">
        <v>2.3526137950388291E-2</v>
      </c>
      <c r="FT66" s="219" t="s">
        <v>251</v>
      </c>
      <c r="GJ66" s="67">
        <v>0.05</v>
      </c>
      <c r="GK66" s="7">
        <v>0.55964851183185649</v>
      </c>
      <c r="GL66" s="68">
        <v>27</v>
      </c>
      <c r="GM66" s="69">
        <f t="shared" ref="GM66:GM73" si="342">GK66/GL66</f>
        <v>2.0727722660439128E-2</v>
      </c>
      <c r="GN66" s="69"/>
      <c r="GO66" s="7">
        <v>2.0727722660439128E-2</v>
      </c>
      <c r="GU66" s="219"/>
      <c r="HB66" s="67">
        <v>0.05</v>
      </c>
      <c r="HC66" s="7">
        <v>0.60946822311705739</v>
      </c>
      <c r="HD66" s="68">
        <v>27</v>
      </c>
      <c r="HE66" s="69">
        <f t="shared" ref="HE66:HE73" si="343">HC66/HD66</f>
        <v>2.2572897152483607E-2</v>
      </c>
      <c r="HF66" s="69"/>
      <c r="HG66" s="7">
        <v>2.2572897152483607E-2</v>
      </c>
      <c r="HM66" s="219"/>
      <c r="IC66" s="67">
        <v>0.05</v>
      </c>
      <c r="ID66" s="7">
        <v>0.43653925831881346</v>
      </c>
      <c r="IE66" s="68">
        <v>23</v>
      </c>
      <c r="IF66" s="69">
        <f t="shared" ref="IF66:IF73" si="344">ID66/IE66</f>
        <v>1.8979967752991888E-2</v>
      </c>
      <c r="IG66" s="69"/>
      <c r="IH66" s="7">
        <v>1.8979967752991888E-2</v>
      </c>
      <c r="IN66" s="219" t="s">
        <v>251</v>
      </c>
      <c r="JB66" s="67">
        <v>0.05</v>
      </c>
      <c r="JC66" s="7">
        <v>0.12926466808619999</v>
      </c>
      <c r="JD66" s="84">
        <f t="shared" si="336"/>
        <v>9</v>
      </c>
      <c r="JE66" s="69">
        <f t="shared" ref="JE66:JE73" si="345">JC66/JD66</f>
        <v>1.4362740898466666E-2</v>
      </c>
      <c r="JF66" s="69"/>
      <c r="JG66" s="10">
        <v>1.4362740898466666E-2</v>
      </c>
      <c r="JH66" s="11"/>
      <c r="JZ66" s="67">
        <v>0.01</v>
      </c>
      <c r="KA66" s="7">
        <v>0.1142386532856</v>
      </c>
      <c r="KB66" s="84">
        <f t="shared" ref="KB66:KB75" si="346">COUNTBLANK($KA$8:$KA$59)</f>
        <v>8</v>
      </c>
      <c r="KC66" s="69">
        <f t="shared" ref="KC66:KC75" si="347">KA66/KB66</f>
        <v>1.42798316607E-2</v>
      </c>
      <c r="KF66" s="7">
        <v>0.10867013241659998</v>
      </c>
      <c r="KG66" s="84">
        <f t="shared" ref="KG66:KG75" si="348">COUNTBLANK($KA$8:$KA$59)</f>
        <v>8</v>
      </c>
      <c r="KH66" s="69">
        <f t="shared" ref="KH66:KH75" si="349">KF66/KG66</f>
        <v>1.3583766552074997E-2</v>
      </c>
      <c r="KN66" s="41"/>
      <c r="KO66" s="212"/>
      <c r="KR66" s="41"/>
      <c r="KS66" s="212"/>
      <c r="KV66" s="41"/>
      <c r="KW66" s="212"/>
      <c r="KZ66" s="41"/>
      <c r="LA66" s="212"/>
      <c r="LD66" s="41"/>
      <c r="LE66" s="212"/>
      <c r="LL66" s="41"/>
      <c r="LM66" s="212"/>
      <c r="LT66" s="41"/>
      <c r="LU66" s="212"/>
      <c r="MX66" t="s">
        <v>107</v>
      </c>
      <c r="MY66" s="79">
        <f>15/26</f>
        <v>0.57692307692307687</v>
      </c>
      <c r="MZ66" s="79">
        <f>11/26</f>
        <v>0.42307692307692307</v>
      </c>
      <c r="NH66" s="45"/>
      <c r="NI66" s="45"/>
    </row>
    <row r="67" spans="2:375" x14ac:dyDescent="0.25">
      <c r="B67" s="48">
        <v>43158</v>
      </c>
      <c r="C67" s="214">
        <v>23928471.021599997</v>
      </c>
      <c r="D67" s="214">
        <v>18243726</v>
      </c>
      <c r="E67" s="215">
        <v>15000000</v>
      </c>
      <c r="F67" s="215"/>
      <c r="G67" s="215"/>
      <c r="H67" s="215"/>
      <c r="I67" s="41"/>
      <c r="J67" s="212"/>
      <c r="M67" s="41"/>
      <c r="N67" s="212"/>
      <c r="Q67" s="41"/>
      <c r="R67" s="212"/>
      <c r="Y67" s="41"/>
      <c r="BD67" t="s">
        <v>81</v>
      </c>
      <c r="BM67" s="67">
        <v>0.1</v>
      </c>
      <c r="BN67" s="7">
        <v>1.0503921426677818</v>
      </c>
      <c r="BO67" s="68">
        <v>52</v>
      </c>
      <c r="BP67" s="69">
        <f t="shared" si="337"/>
        <v>2.0199848897457344E-2</v>
      </c>
      <c r="BQ67" s="69"/>
      <c r="BR67" s="7">
        <v>2.0199848897457344E-2</v>
      </c>
      <c r="CL67" s="67">
        <v>0.1</v>
      </c>
      <c r="CM67" s="7">
        <v>1.2001183745019977</v>
      </c>
      <c r="CN67" s="68">
        <v>52</v>
      </c>
      <c r="CO67" s="69">
        <f t="shared" si="338"/>
        <v>2.30791995096538E-2</v>
      </c>
      <c r="CP67" s="69"/>
      <c r="CQ67" s="7">
        <v>2.30791995096538E-2</v>
      </c>
      <c r="DD67" s="67">
        <v>0.1</v>
      </c>
      <c r="DE67" s="7">
        <v>1.132190656883042</v>
      </c>
      <c r="DF67" s="68">
        <v>52</v>
      </c>
      <c r="DG67" s="69">
        <f t="shared" si="339"/>
        <v>2.1772897247750809E-2</v>
      </c>
      <c r="DH67" s="69"/>
      <c r="DI67" s="7">
        <v>2.1772897247750809E-2</v>
      </c>
      <c r="EG67" s="67">
        <v>0.1</v>
      </c>
      <c r="EH67" s="7">
        <v>1.2745039917663457</v>
      </c>
      <c r="EI67" s="68">
        <v>52</v>
      </c>
      <c r="EJ67" s="69">
        <f t="shared" si="340"/>
        <v>2.4509692149352801E-2</v>
      </c>
      <c r="EK67" s="69"/>
      <c r="EL67" s="7">
        <v>2.4509692149352801E-2</v>
      </c>
      <c r="FI67" s="67">
        <v>0.1</v>
      </c>
      <c r="FJ67" s="7">
        <v>1.2596938977005236</v>
      </c>
      <c r="FK67" s="68">
        <v>52</v>
      </c>
      <c r="FL67" s="69">
        <f t="shared" si="341"/>
        <v>2.4224882648086993E-2</v>
      </c>
      <c r="FM67" s="69"/>
      <c r="FN67" s="7">
        <v>2.4509692149352801E-2</v>
      </c>
      <c r="GJ67" s="67">
        <v>0.1</v>
      </c>
      <c r="GK67" s="7">
        <v>0.58173731255503702</v>
      </c>
      <c r="GL67" s="68">
        <v>27</v>
      </c>
      <c r="GM67" s="69">
        <f t="shared" si="342"/>
        <v>2.1545826390927298E-2</v>
      </c>
      <c r="GN67" s="69"/>
      <c r="GO67" s="7">
        <v>2.1545826390927298E-2</v>
      </c>
      <c r="HB67" s="67">
        <v>0.1</v>
      </c>
      <c r="HC67" s="7">
        <v>0.63765345497750492</v>
      </c>
      <c r="HD67" s="68">
        <v>27</v>
      </c>
      <c r="HE67" s="69">
        <f t="shared" si="343"/>
        <v>2.361679462879648E-2</v>
      </c>
      <c r="HF67" s="69"/>
      <c r="HG67" s="7">
        <v>2.361679462879648E-2</v>
      </c>
      <c r="IC67" s="67">
        <v>0.1</v>
      </c>
      <c r="ID67" s="7">
        <v>0.46012370231385269</v>
      </c>
      <c r="IE67" s="68">
        <v>23</v>
      </c>
      <c r="IF67" s="69">
        <f t="shared" si="344"/>
        <v>2.0005378361471857E-2</v>
      </c>
      <c r="IG67" s="69"/>
      <c r="IH67" s="7">
        <v>2.0005378361471857E-2</v>
      </c>
      <c r="JB67" s="67">
        <v>0.1</v>
      </c>
      <c r="JC67" s="7">
        <v>0.13836363252959999</v>
      </c>
      <c r="JD67" s="84">
        <f t="shared" si="336"/>
        <v>9</v>
      </c>
      <c r="JE67" s="69">
        <f t="shared" si="345"/>
        <v>1.5373736947733332E-2</v>
      </c>
      <c r="JF67" s="69"/>
      <c r="JG67" s="10">
        <v>1.5373736947733332E-2</v>
      </c>
      <c r="JH67" s="11"/>
      <c r="JZ67" s="67">
        <v>0.05</v>
      </c>
      <c r="KA67" s="7">
        <v>0.123337617729</v>
      </c>
      <c r="KB67" s="84">
        <f t="shared" si="346"/>
        <v>8</v>
      </c>
      <c r="KC67" s="69">
        <f t="shared" si="347"/>
        <v>1.5417202216124999E-2</v>
      </c>
      <c r="KF67" s="7">
        <v>0.11776909685999998</v>
      </c>
      <c r="KG67" s="84">
        <f t="shared" si="348"/>
        <v>8</v>
      </c>
      <c r="KH67" s="69">
        <f t="shared" si="349"/>
        <v>1.4721137107499997E-2</v>
      </c>
      <c r="KN67" s="41"/>
      <c r="KO67" s="212"/>
      <c r="KR67" s="41"/>
      <c r="KS67" s="212"/>
      <c r="KV67" s="41"/>
      <c r="KW67" s="212"/>
      <c r="KZ67" s="41"/>
      <c r="LA67" s="212"/>
      <c r="LD67" s="41"/>
      <c r="LE67" s="212"/>
      <c r="LL67" s="41"/>
      <c r="LM67" s="212"/>
      <c r="LT67" s="41"/>
      <c r="LU67" s="212"/>
    </row>
    <row r="68" spans="2:375" x14ac:dyDescent="0.25">
      <c r="B68" s="48">
        <v>43165</v>
      </c>
      <c r="C68" s="214">
        <v>37686617.265599996</v>
      </c>
      <c r="D68" s="214">
        <v>28733316</v>
      </c>
      <c r="E68" s="215">
        <v>30000000</v>
      </c>
      <c r="F68" s="215"/>
      <c r="G68" s="215"/>
      <c r="H68" s="215"/>
      <c r="I68" s="41"/>
      <c r="J68" s="212"/>
      <c r="M68" s="41"/>
      <c r="N68" s="212"/>
      <c r="Q68" s="41"/>
      <c r="R68" s="212"/>
      <c r="BM68" s="67">
        <v>0.25</v>
      </c>
      <c r="BN68" s="7">
        <v>1.1237175815052083</v>
      </c>
      <c r="BO68" s="68">
        <v>52</v>
      </c>
      <c r="BP68" s="69">
        <f t="shared" si="337"/>
        <v>2.1609953490484776E-2</v>
      </c>
      <c r="BQ68" s="69"/>
      <c r="BR68" s="7">
        <v>2.1609953490484776E-2</v>
      </c>
      <c r="CL68" s="67">
        <v>0.25</v>
      </c>
      <c r="CM68" s="7">
        <v>1.3044404607528328</v>
      </c>
      <c r="CN68" s="68">
        <v>52</v>
      </c>
      <c r="CO68" s="69">
        <f t="shared" si="338"/>
        <v>2.5085393476016016E-2</v>
      </c>
      <c r="CP68" s="69"/>
      <c r="CQ68" s="7">
        <v>2.5085393476016016E-2</v>
      </c>
      <c r="DD68" s="67">
        <v>0.25</v>
      </c>
      <c r="DE68" s="7">
        <v>1.2161657568807738</v>
      </c>
      <c r="DF68" s="68">
        <v>52</v>
      </c>
      <c r="DG68" s="69">
        <f t="shared" si="339"/>
        <v>2.3387803016937957E-2</v>
      </c>
      <c r="DH68" s="69"/>
      <c r="DI68" s="7">
        <v>2.3387803016937957E-2</v>
      </c>
      <c r="EG68" s="67">
        <v>0.25</v>
      </c>
      <c r="EH68" s="7">
        <v>1.3689351173019806</v>
      </c>
      <c r="EI68" s="68">
        <v>52</v>
      </c>
      <c r="EJ68" s="69">
        <f t="shared" si="340"/>
        <v>2.6325675332730395E-2</v>
      </c>
      <c r="EK68" s="69"/>
      <c r="EL68" s="7">
        <v>2.6325675332730395E-2</v>
      </c>
      <c r="FI68" s="67">
        <v>0.25</v>
      </c>
      <c r="FJ68" s="7">
        <v>1.3413923370078695</v>
      </c>
      <c r="FK68" s="68">
        <v>52</v>
      </c>
      <c r="FL68" s="69">
        <f t="shared" si="341"/>
        <v>2.5796006480920567E-2</v>
      </c>
      <c r="FM68" s="69"/>
      <c r="FN68" s="7">
        <v>2.6325675332730395E-2</v>
      </c>
      <c r="GJ68" s="67">
        <v>0.25</v>
      </c>
      <c r="GK68" s="7">
        <v>0.62748596206987117</v>
      </c>
      <c r="GL68" s="68">
        <v>27</v>
      </c>
      <c r="GM68" s="69">
        <f t="shared" si="342"/>
        <v>2.3240220817402638E-2</v>
      </c>
      <c r="GN68" s="69"/>
      <c r="GO68" s="7">
        <v>2.3240220817402638E-2</v>
      </c>
      <c r="HB68" s="67">
        <v>0.25</v>
      </c>
      <c r="HC68" s="7">
        <v>0.6989496784985606</v>
      </c>
      <c r="HD68" s="68">
        <v>27</v>
      </c>
      <c r="HE68" s="69">
        <f t="shared" si="343"/>
        <v>2.5887025129576319E-2</v>
      </c>
      <c r="HF68" s="69"/>
      <c r="HG68" s="7">
        <v>2.5887025129576319E-2</v>
      </c>
      <c r="IC68" s="67">
        <v>0.25</v>
      </c>
      <c r="ID68" s="7">
        <v>0.50819318474621655</v>
      </c>
      <c r="IE68" s="68">
        <v>23</v>
      </c>
      <c r="IF68" s="69">
        <f t="shared" si="344"/>
        <v>2.2095355858531153E-2</v>
      </c>
      <c r="IG68" s="69"/>
      <c r="IH68" s="7">
        <v>2.2095355858531153E-2</v>
      </c>
      <c r="JB68" s="67">
        <v>0.25</v>
      </c>
      <c r="JC68" s="7">
        <v>0.15069773016599999</v>
      </c>
      <c r="JD68" s="84">
        <f t="shared" si="336"/>
        <v>9</v>
      </c>
      <c r="JE68" s="69">
        <f t="shared" si="345"/>
        <v>1.6744192240666665E-2</v>
      </c>
      <c r="JF68" s="69"/>
      <c r="JG68" s="10">
        <v>1.6744192240666665E-2</v>
      </c>
      <c r="JH68" s="11"/>
      <c r="JZ68" s="67">
        <v>0.1</v>
      </c>
      <c r="KA68" s="7">
        <v>0.12686806130339998</v>
      </c>
      <c r="KB68" s="84">
        <f t="shared" si="346"/>
        <v>8</v>
      </c>
      <c r="KC68" s="69">
        <f t="shared" si="347"/>
        <v>1.5858507662924997E-2</v>
      </c>
      <c r="KF68" s="7">
        <v>0.11776909685999998</v>
      </c>
      <c r="KG68" s="84">
        <f t="shared" si="348"/>
        <v>8</v>
      </c>
      <c r="KH68" s="69">
        <f t="shared" si="349"/>
        <v>1.4721137107499997E-2</v>
      </c>
      <c r="KN68" s="41"/>
      <c r="KO68" s="212"/>
      <c r="KR68" s="41"/>
      <c r="KS68" s="212"/>
      <c r="KV68" s="41"/>
      <c r="KW68" s="212"/>
      <c r="KZ68" s="41"/>
      <c r="LA68" s="212"/>
      <c r="LD68" s="41"/>
      <c r="LE68" s="212"/>
      <c r="LL68" s="41"/>
      <c r="LM68" s="212"/>
      <c r="LT68" s="41"/>
      <c r="LU68" s="212"/>
      <c r="MX68" s="64" t="s">
        <v>30</v>
      </c>
      <c r="MY68" s="10"/>
      <c r="MZ68" s="10"/>
      <c r="NA68" s="63">
        <f t="shared" ref="NA68:NA78" si="350">MY$66*MY68+MZ$66*MZ68</f>
        <v>0</v>
      </c>
    </row>
    <row r="69" spans="2:375" x14ac:dyDescent="0.25">
      <c r="B69" s="48">
        <v>43172</v>
      </c>
      <c r="C69" s="214">
        <v>10682675.0856</v>
      </c>
      <c r="D69" s="214">
        <v>8144766</v>
      </c>
      <c r="E69" s="215">
        <v>2000000</v>
      </c>
      <c r="F69" s="215"/>
      <c r="G69" s="215"/>
      <c r="H69" s="215"/>
      <c r="I69" s="41"/>
      <c r="J69" s="212"/>
      <c r="M69" s="41"/>
      <c r="N69" s="212"/>
      <c r="Q69" s="41"/>
      <c r="R69" s="212"/>
      <c r="BD69" s="40" t="s">
        <v>252</v>
      </c>
      <c r="BM69" s="67">
        <v>0.5</v>
      </c>
      <c r="BN69" s="7">
        <v>1.2204299920059869</v>
      </c>
      <c r="BO69" s="68">
        <v>52</v>
      </c>
      <c r="BP69" s="69">
        <f t="shared" si="337"/>
        <v>2.3469807538576672E-2</v>
      </c>
      <c r="BQ69" s="69"/>
      <c r="BR69" s="7">
        <v>2.3469807538576672E-2</v>
      </c>
      <c r="CL69" s="67">
        <v>0.5</v>
      </c>
      <c r="CM69" s="7">
        <v>1.4481884349602794</v>
      </c>
      <c r="CN69" s="68">
        <v>52</v>
      </c>
      <c r="CO69" s="69">
        <f t="shared" si="338"/>
        <v>2.7849777595389986E-2</v>
      </c>
      <c r="CP69" s="69"/>
      <c r="CQ69" s="7">
        <v>2.7849777595389986E-2</v>
      </c>
      <c r="DD69" s="67">
        <v>0.5</v>
      </c>
      <c r="DE69" s="7">
        <v>1.3274793587351943</v>
      </c>
      <c r="DF69" s="68">
        <v>52</v>
      </c>
      <c r="DG69" s="69">
        <f t="shared" si="339"/>
        <v>2.5528449206446042E-2</v>
      </c>
      <c r="DH69" s="69"/>
      <c r="DI69" s="7">
        <v>2.5528449206446042E-2</v>
      </c>
      <c r="EG69" s="67">
        <v>0.5</v>
      </c>
      <c r="EH69" s="7">
        <v>1.4998106502385151</v>
      </c>
      <c r="EI69" s="68">
        <v>52</v>
      </c>
      <c r="EJ69" s="69">
        <f t="shared" si="340"/>
        <v>2.8842512504586828E-2</v>
      </c>
      <c r="EK69" s="69"/>
      <c r="EL69" s="7">
        <v>2.8842512504586828E-2</v>
      </c>
      <c r="FI69" s="67">
        <v>0.5</v>
      </c>
      <c r="FJ69" s="7">
        <v>1.4583236000833484</v>
      </c>
      <c r="FK69" s="68">
        <v>52</v>
      </c>
      <c r="FL69" s="69">
        <f t="shared" si="341"/>
        <v>2.8044684616987468E-2</v>
      </c>
      <c r="FM69" s="69"/>
      <c r="FN69" s="7">
        <v>2.8842512504586828E-2</v>
      </c>
      <c r="GJ69" s="67">
        <v>0.5</v>
      </c>
      <c r="GK69" s="7">
        <v>0.70325396854949873</v>
      </c>
      <c r="GL69" s="68">
        <v>27</v>
      </c>
      <c r="GM69" s="69">
        <f t="shared" si="342"/>
        <v>2.6046443279611062E-2</v>
      </c>
      <c r="GN69" s="69"/>
      <c r="GO69" s="7">
        <v>2.6046443279611062E-2</v>
      </c>
      <c r="HB69" s="67">
        <v>0.5</v>
      </c>
      <c r="HC69" s="7">
        <v>0.78515135916483081</v>
      </c>
      <c r="HD69" s="68">
        <v>27</v>
      </c>
      <c r="HE69" s="69">
        <f t="shared" si="343"/>
        <v>2.9079679969067809E-2</v>
      </c>
      <c r="HF69" s="69"/>
      <c r="HG69" s="7">
        <v>2.9079679969067809E-2</v>
      </c>
      <c r="IC69" s="67">
        <v>0.5</v>
      </c>
      <c r="ID69" s="7">
        <v>0.57780570714101798</v>
      </c>
      <c r="IE69" s="68">
        <v>23</v>
      </c>
      <c r="IF69" s="69">
        <f t="shared" si="344"/>
        <v>2.5121987267000781E-2</v>
      </c>
      <c r="IG69" s="69"/>
      <c r="IH69" s="7">
        <v>2.5121987267000781E-2</v>
      </c>
      <c r="JB69" s="67">
        <v>0.5</v>
      </c>
      <c r="JC69" s="7">
        <v>0.17566123582019996</v>
      </c>
      <c r="JD69" s="84">
        <f t="shared" si="336"/>
        <v>9</v>
      </c>
      <c r="JE69" s="69">
        <f t="shared" si="345"/>
        <v>1.951791509113333E-2</v>
      </c>
      <c r="JF69" s="69"/>
      <c r="JG69" s="10">
        <v>1.951791509113333E-2</v>
      </c>
      <c r="JH69" s="11"/>
      <c r="JZ69" s="67">
        <v>0.25</v>
      </c>
      <c r="KA69" s="7">
        <v>0.1427326025142</v>
      </c>
      <c r="KB69" s="84">
        <f t="shared" si="346"/>
        <v>8</v>
      </c>
      <c r="KC69" s="69">
        <f t="shared" si="347"/>
        <v>1.7841575314275E-2</v>
      </c>
      <c r="KF69" s="7">
        <v>0.1336336380708</v>
      </c>
      <c r="KG69" s="84">
        <f t="shared" si="348"/>
        <v>8</v>
      </c>
      <c r="KH69" s="69">
        <f t="shared" si="349"/>
        <v>1.670420475885E-2</v>
      </c>
      <c r="KN69" s="41"/>
      <c r="KO69" s="212"/>
      <c r="KR69" s="41"/>
      <c r="KS69" s="212"/>
      <c r="KV69" s="41"/>
      <c r="KW69" s="212"/>
      <c r="KZ69" s="41"/>
      <c r="LA69" s="212"/>
      <c r="LD69" s="41"/>
      <c r="LE69" s="212"/>
      <c r="LL69" s="41"/>
      <c r="LM69" s="212"/>
      <c r="LT69" s="41"/>
      <c r="LU69" s="212"/>
      <c r="MX69" s="62" t="s">
        <v>31</v>
      </c>
      <c r="MY69" s="10"/>
      <c r="MZ69" s="10"/>
      <c r="NA69" s="63">
        <f t="shared" si="350"/>
        <v>0</v>
      </c>
      <c r="NK69" s="40" t="s">
        <v>253</v>
      </c>
    </row>
    <row r="70" spans="2:375" x14ac:dyDescent="0.25">
      <c r="B70" s="48">
        <v>43179</v>
      </c>
      <c r="C70" s="214">
        <v>12896279.4564</v>
      </c>
      <c r="D70" s="214">
        <v>9832479</v>
      </c>
      <c r="E70" s="215">
        <v>5000000</v>
      </c>
      <c r="F70" s="215"/>
      <c r="G70" s="215"/>
      <c r="H70" s="215"/>
      <c r="I70" s="41"/>
      <c r="J70" s="212"/>
      <c r="M70" s="41"/>
      <c r="N70" s="212"/>
      <c r="Q70" s="41"/>
      <c r="R70" s="212"/>
      <c r="BM70" s="67">
        <v>0.75</v>
      </c>
      <c r="BN70" s="7">
        <v>1.3281102106651468</v>
      </c>
      <c r="BO70" s="68">
        <v>52</v>
      </c>
      <c r="BP70" s="69">
        <f t="shared" si="337"/>
        <v>2.5540580974329746E-2</v>
      </c>
      <c r="BQ70" s="69"/>
      <c r="BR70" s="7">
        <v>2.5540580974329746E-2</v>
      </c>
      <c r="CL70" s="67">
        <v>0.75</v>
      </c>
      <c r="CM70" s="7">
        <v>1.6081961755725087</v>
      </c>
      <c r="CN70" s="68">
        <v>52</v>
      </c>
      <c r="CO70" s="69">
        <f t="shared" si="338"/>
        <v>3.0926849530240552E-2</v>
      </c>
      <c r="CP70" s="69"/>
      <c r="CQ70" s="7">
        <v>3.0926849530240552E-2</v>
      </c>
      <c r="DD70" s="67">
        <v>0.75</v>
      </c>
      <c r="DE70" s="7">
        <v>1.4665687306384694</v>
      </c>
      <c r="DF70" s="68">
        <v>52</v>
      </c>
      <c r="DG70" s="69">
        <f t="shared" si="339"/>
        <v>2.8203244819970566E-2</v>
      </c>
      <c r="DH70" s="69"/>
      <c r="DI70" s="7">
        <v>2.8203244819970566E-2</v>
      </c>
      <c r="EG70" s="67">
        <v>0.75</v>
      </c>
      <c r="EH70" s="7">
        <v>1.6521276007721779</v>
      </c>
      <c r="EI70" s="68">
        <v>52</v>
      </c>
      <c r="EJ70" s="69">
        <f t="shared" si="340"/>
        <v>3.1771684630234193E-2</v>
      </c>
      <c r="EK70" s="69"/>
      <c r="EL70" s="7">
        <v>3.1771684630234193E-2</v>
      </c>
      <c r="FI70" s="67">
        <v>0.75</v>
      </c>
      <c r="FJ70" s="7">
        <v>1.6024382646640167</v>
      </c>
      <c r="FK70" s="68">
        <v>52</v>
      </c>
      <c r="FL70" s="69">
        <f t="shared" si="341"/>
        <v>3.0816120474308015E-2</v>
      </c>
      <c r="FM70" s="69"/>
      <c r="FN70" s="7">
        <v>3.1771684630234193E-2</v>
      </c>
      <c r="GJ70" s="67">
        <v>0.75</v>
      </c>
      <c r="GK70" s="7">
        <v>0.80164095379759848</v>
      </c>
      <c r="GL70" s="68">
        <v>27</v>
      </c>
      <c r="GM70" s="69">
        <f t="shared" si="342"/>
        <v>2.9690405696207352E-2</v>
      </c>
      <c r="GN70" s="69"/>
      <c r="GO70" s="7">
        <v>2.9690405696207352E-2</v>
      </c>
      <c r="HB70" s="67">
        <v>0.75</v>
      </c>
      <c r="HC70" s="7">
        <v>0.89822661430180006</v>
      </c>
      <c r="HD70" s="68">
        <v>27</v>
      </c>
      <c r="HE70" s="69">
        <f t="shared" si="343"/>
        <v>3.3267652381548149E-2</v>
      </c>
      <c r="HF70" s="69"/>
      <c r="HG70" s="7">
        <v>3.3267652381548149E-2</v>
      </c>
      <c r="IC70" s="67">
        <v>0.75</v>
      </c>
      <c r="ID70" s="7">
        <v>0.66625864268968316</v>
      </c>
      <c r="IE70" s="68">
        <v>23</v>
      </c>
      <c r="IF70" s="69">
        <f t="shared" si="344"/>
        <v>2.8967767073464486E-2</v>
      </c>
      <c r="IG70" s="69"/>
      <c r="IH70" s="7">
        <v>2.8967767073464486E-2</v>
      </c>
      <c r="JB70" s="67">
        <v>0.75</v>
      </c>
      <c r="JC70" s="7">
        <v>0.20611482382199997</v>
      </c>
      <c r="JD70" s="84">
        <f t="shared" si="336"/>
        <v>9</v>
      </c>
      <c r="JE70" s="69">
        <f t="shared" si="345"/>
        <v>2.290164709133333E-2</v>
      </c>
      <c r="JF70" s="69"/>
      <c r="JG70" s="10">
        <v>2.290164709133333E-2</v>
      </c>
      <c r="JH70" s="11"/>
      <c r="JZ70" s="67">
        <v>0.5</v>
      </c>
      <c r="KA70" s="7">
        <v>0.16416566459399998</v>
      </c>
      <c r="KB70" s="84">
        <f t="shared" si="346"/>
        <v>8</v>
      </c>
      <c r="KC70" s="69">
        <f t="shared" si="347"/>
        <v>2.0520708074249997E-2</v>
      </c>
      <c r="KD70" s="10">
        <v>2.0520708074249997E-2</v>
      </c>
      <c r="KF70" s="7">
        <v>0.1427326025142</v>
      </c>
      <c r="KG70" s="84">
        <f t="shared" si="348"/>
        <v>8</v>
      </c>
      <c r="KH70" s="69">
        <f t="shared" si="349"/>
        <v>1.7841575314275E-2</v>
      </c>
      <c r="KI70" s="10">
        <v>1.7841575314275E-2</v>
      </c>
      <c r="KN70" s="41"/>
      <c r="KO70" s="212"/>
      <c r="KR70" s="41"/>
      <c r="KS70" s="212"/>
      <c r="KV70" s="41"/>
      <c r="KW70" s="212"/>
      <c r="KZ70" s="41"/>
      <c r="LA70" s="212"/>
      <c r="LD70" s="41"/>
      <c r="LE70" s="212"/>
      <c r="LL70" s="41"/>
      <c r="LM70" s="212"/>
      <c r="LT70" s="41"/>
      <c r="LU70" s="212"/>
      <c r="MX70" s="62" t="s">
        <v>32</v>
      </c>
      <c r="MY70" s="10"/>
      <c r="MZ70" s="10"/>
      <c r="NA70" s="63">
        <f t="shared" si="350"/>
        <v>0</v>
      </c>
    </row>
    <row r="71" spans="2:375" x14ac:dyDescent="0.25">
      <c r="B71" s="48">
        <v>43186</v>
      </c>
      <c r="C71" s="214">
        <v>20278117.713599999</v>
      </c>
      <c r="D71" s="214">
        <v>15460596</v>
      </c>
      <c r="E71" s="215">
        <v>10000000</v>
      </c>
      <c r="F71" s="215"/>
      <c r="G71" s="215"/>
      <c r="H71" s="215"/>
      <c r="I71" s="41"/>
      <c r="J71" s="212"/>
      <c r="M71" s="41"/>
      <c r="N71" s="212"/>
      <c r="Q71" s="41"/>
      <c r="R71" s="212"/>
      <c r="BM71" s="67">
        <v>0.9</v>
      </c>
      <c r="BN71" s="7">
        <v>1.4414618523094298</v>
      </c>
      <c r="BO71" s="68">
        <v>52</v>
      </c>
      <c r="BP71" s="69">
        <f t="shared" si="337"/>
        <v>2.7720420236719803E-2</v>
      </c>
      <c r="BQ71" s="69"/>
      <c r="BR71" s="7">
        <v>2.7720420236719803E-2</v>
      </c>
      <c r="CL71" s="67">
        <v>0.9</v>
      </c>
      <c r="CM71" s="7">
        <v>1.7827639527291022</v>
      </c>
      <c r="CN71" s="68">
        <v>52</v>
      </c>
      <c r="CO71" s="69">
        <f t="shared" si="338"/>
        <v>3.4283922167867346E-2</v>
      </c>
      <c r="CP71" s="69"/>
      <c r="CQ71" s="7">
        <v>3.4283922167867346E-2</v>
      </c>
      <c r="DD71" s="67">
        <v>0.9</v>
      </c>
      <c r="DE71" s="7">
        <v>1.6167547665228486</v>
      </c>
      <c r="DF71" s="68">
        <v>52</v>
      </c>
      <c r="DG71" s="69">
        <f t="shared" si="339"/>
        <v>3.1091437817747088E-2</v>
      </c>
      <c r="DH71" s="69"/>
      <c r="DI71" s="7">
        <v>3.1091437817747088E-2</v>
      </c>
      <c r="EG71" s="67">
        <v>0.9</v>
      </c>
      <c r="EH71" s="7">
        <v>1.8149123754581551</v>
      </c>
      <c r="EI71" s="68">
        <v>52</v>
      </c>
      <c r="EJ71" s="69">
        <f t="shared" si="340"/>
        <v>3.4902161066502985E-2</v>
      </c>
      <c r="EK71" s="69"/>
      <c r="EL71" s="7">
        <v>3.4902161066502985E-2</v>
      </c>
      <c r="FI71" s="67">
        <v>0.9</v>
      </c>
      <c r="FJ71" s="7">
        <v>1.7648919078083294</v>
      </c>
      <c r="FK71" s="68">
        <v>52</v>
      </c>
      <c r="FL71" s="69">
        <f t="shared" si="341"/>
        <v>3.3940228996314027E-2</v>
      </c>
      <c r="FM71" s="69"/>
      <c r="FN71" s="7">
        <v>3.4902161066502985E-2</v>
      </c>
      <c r="GJ71" s="67">
        <v>0.9</v>
      </c>
      <c r="GK71" s="7">
        <v>0.91722477975580663</v>
      </c>
      <c r="GL71" s="68">
        <v>27</v>
      </c>
      <c r="GM71" s="69">
        <f t="shared" si="342"/>
        <v>3.3971288139103946E-2</v>
      </c>
      <c r="GN71" s="69"/>
      <c r="GO71" s="7">
        <v>3.3971288139103946E-2</v>
      </c>
      <c r="HB71" s="67">
        <v>0.9</v>
      </c>
      <c r="HC71" s="7">
        <v>1.0257100808020196</v>
      </c>
      <c r="HD71" s="68">
        <v>27</v>
      </c>
      <c r="HE71" s="69">
        <f t="shared" si="343"/>
        <v>3.7989262251926656E-2</v>
      </c>
      <c r="HF71" s="69"/>
      <c r="HG71" s="7">
        <v>3.7989262251926656E-2</v>
      </c>
      <c r="IC71" s="67">
        <v>0.9</v>
      </c>
      <c r="ID71" s="7">
        <v>0.76737672548903868</v>
      </c>
      <c r="IE71" s="68">
        <v>23</v>
      </c>
      <c r="IF71" s="69">
        <f t="shared" si="344"/>
        <v>3.3364205456045161E-2</v>
      </c>
      <c r="IG71" s="69"/>
      <c r="IH71" s="7">
        <v>3.3364205456045161E-2</v>
      </c>
      <c r="JB71" s="67">
        <v>0.9</v>
      </c>
      <c r="JC71" s="7">
        <v>0.23685312811079998</v>
      </c>
      <c r="JD71" s="84">
        <f t="shared" si="336"/>
        <v>9</v>
      </c>
      <c r="JE71" s="69">
        <f t="shared" si="345"/>
        <v>2.631701423453333E-2</v>
      </c>
      <c r="JF71" s="69"/>
      <c r="JG71" s="10">
        <v>2.631701423453333E-2</v>
      </c>
      <c r="JH71" s="11"/>
      <c r="JZ71" s="67">
        <v>0.75</v>
      </c>
      <c r="KA71" s="7">
        <v>0.19461925259579999</v>
      </c>
      <c r="KB71" s="84">
        <f t="shared" si="346"/>
        <v>8</v>
      </c>
      <c r="KC71" s="69">
        <f t="shared" si="347"/>
        <v>2.4327406574474998E-2</v>
      </c>
      <c r="KF71" s="7">
        <v>0.17318619051599995</v>
      </c>
      <c r="KG71" s="84">
        <f t="shared" si="348"/>
        <v>8</v>
      </c>
      <c r="KH71" s="69">
        <f t="shared" si="349"/>
        <v>2.1648273814499994E-2</v>
      </c>
      <c r="KN71" s="41"/>
      <c r="KO71" s="212"/>
      <c r="KR71" s="41"/>
      <c r="KS71" s="212"/>
      <c r="KV71" s="41"/>
      <c r="KW71" s="212"/>
      <c r="KZ71" s="41"/>
      <c r="LA71" s="212"/>
      <c r="LD71" s="41"/>
      <c r="LE71" s="212"/>
      <c r="LL71" s="41"/>
      <c r="LM71" s="212"/>
      <c r="LT71" s="41"/>
      <c r="LU71" s="212"/>
      <c r="MX71" s="62" t="s">
        <v>33</v>
      </c>
      <c r="MY71" s="10"/>
      <c r="MZ71" s="10"/>
      <c r="NA71" s="63">
        <f t="shared" si="350"/>
        <v>0</v>
      </c>
    </row>
    <row r="72" spans="2:375" x14ac:dyDescent="0.25">
      <c r="B72" s="48">
        <v>43193</v>
      </c>
      <c r="C72" s="214">
        <v>8838099.8675999995</v>
      </c>
      <c r="D72" s="214">
        <v>6738411</v>
      </c>
      <c r="E72" s="215">
        <v>2000000</v>
      </c>
      <c r="F72" s="215"/>
      <c r="G72" s="215"/>
      <c r="H72" s="215"/>
      <c r="I72" s="41"/>
      <c r="J72" s="212"/>
      <c r="M72" s="41"/>
      <c r="N72" s="212"/>
      <c r="Q72" s="41"/>
      <c r="R72" s="212"/>
      <c r="BM72" s="67">
        <v>0.95</v>
      </c>
      <c r="BN72" s="7">
        <v>1.5145655510385785</v>
      </c>
      <c r="BO72" s="68">
        <v>52</v>
      </c>
      <c r="BP72" s="69">
        <f t="shared" si="337"/>
        <v>2.9126260596895739E-2</v>
      </c>
      <c r="BQ72" s="69"/>
      <c r="BR72" s="7">
        <v>2.9126260596895739E-2</v>
      </c>
      <c r="CL72" s="67">
        <v>0.95</v>
      </c>
      <c r="CM72" s="7">
        <v>1.899596948973461</v>
      </c>
      <c r="CN72" s="68">
        <v>52</v>
      </c>
      <c r="CO72" s="69">
        <f t="shared" si="338"/>
        <v>3.653071055718194E-2</v>
      </c>
      <c r="CP72" s="69"/>
      <c r="CQ72" s="7">
        <v>3.653071055718194E-2</v>
      </c>
      <c r="DD72" s="67">
        <v>0.95</v>
      </c>
      <c r="DE72" s="7">
        <v>1.7074560362444282</v>
      </c>
      <c r="DF72" s="68">
        <v>52</v>
      </c>
      <c r="DG72" s="69">
        <f t="shared" si="339"/>
        <v>3.2835693004700545E-2</v>
      </c>
      <c r="DH72" s="69"/>
      <c r="DI72" s="7">
        <v>3.2835693004700545E-2</v>
      </c>
      <c r="EG72" s="67">
        <v>0.95</v>
      </c>
      <c r="EH72" s="7">
        <v>1.9124344772663484</v>
      </c>
      <c r="EI72" s="68">
        <v>52</v>
      </c>
      <c r="EJ72" s="69">
        <f t="shared" si="340"/>
        <v>3.6777586101275933E-2</v>
      </c>
      <c r="EK72" s="69"/>
      <c r="EL72" s="7">
        <v>3.6777586101275933E-2</v>
      </c>
      <c r="FI72" s="67">
        <v>0.95</v>
      </c>
      <c r="FJ72" s="7">
        <v>1.8673010564018757</v>
      </c>
      <c r="FK72" s="68">
        <v>52</v>
      </c>
      <c r="FL72" s="69">
        <f t="shared" si="341"/>
        <v>3.5909635700036073E-2</v>
      </c>
      <c r="FM72" s="69"/>
      <c r="FN72" s="7">
        <v>3.6777586101275933E-2</v>
      </c>
      <c r="GJ72" s="67">
        <v>0.95</v>
      </c>
      <c r="GK72" s="7">
        <v>1.0094406153052562</v>
      </c>
      <c r="GL72" s="68">
        <v>27</v>
      </c>
      <c r="GM72" s="69">
        <f t="shared" si="342"/>
        <v>3.738668945575023E-2</v>
      </c>
      <c r="GN72" s="69"/>
      <c r="GO72" s="7">
        <v>3.738668945575023E-2</v>
      </c>
      <c r="HB72" s="67">
        <v>0.95</v>
      </c>
      <c r="HC72" s="7">
        <v>1.106410547885575</v>
      </c>
      <c r="HD72" s="68">
        <v>27</v>
      </c>
      <c r="HE72" s="69">
        <f t="shared" si="343"/>
        <v>4.0978168440206485E-2</v>
      </c>
      <c r="HF72" s="69"/>
      <c r="HG72" s="7">
        <v>4.0978168440206485E-2</v>
      </c>
      <c r="IC72" s="67">
        <v>0.95</v>
      </c>
      <c r="ID72" s="7">
        <v>0.8346219362800944</v>
      </c>
      <c r="IE72" s="68">
        <v>23</v>
      </c>
      <c r="IF72" s="69">
        <f t="shared" si="344"/>
        <v>3.6287910273047584E-2</v>
      </c>
      <c r="IG72" s="69"/>
      <c r="IH72" s="7">
        <v>3.6287910273047584E-2</v>
      </c>
      <c r="JB72" s="67">
        <v>0.95</v>
      </c>
      <c r="JC72" s="7">
        <v>0.29407687157219997</v>
      </c>
      <c r="JD72" s="84">
        <f t="shared" si="336"/>
        <v>9</v>
      </c>
      <c r="JE72" s="69">
        <f t="shared" si="345"/>
        <v>3.2675207952466666E-2</v>
      </c>
      <c r="JF72" s="69"/>
      <c r="JG72" s="10">
        <v>3.2675207952466666E-2</v>
      </c>
      <c r="JH72" s="11"/>
      <c r="JZ72" s="67">
        <v>0.9</v>
      </c>
      <c r="KA72" s="7">
        <v>0.22535755688459999</v>
      </c>
      <c r="KB72" s="84">
        <f t="shared" si="346"/>
        <v>8</v>
      </c>
      <c r="KC72" s="69">
        <f t="shared" si="347"/>
        <v>2.8169694610574999E-2</v>
      </c>
      <c r="KF72" s="7">
        <v>0.21625859244119996</v>
      </c>
      <c r="KG72" s="84">
        <f t="shared" si="348"/>
        <v>8</v>
      </c>
      <c r="KH72" s="69">
        <f t="shared" si="349"/>
        <v>2.7032324055149996E-2</v>
      </c>
      <c r="KN72" s="41"/>
      <c r="KO72" s="212"/>
      <c r="KR72" s="41"/>
      <c r="KS72" s="212"/>
      <c r="KV72" s="41"/>
      <c r="KW72" s="212"/>
      <c r="KZ72" s="41"/>
      <c r="LA72" s="212"/>
      <c r="LD72" s="41"/>
      <c r="LE72" s="212"/>
      <c r="LL72" s="41"/>
      <c r="LM72" s="212"/>
      <c r="LT72" s="41"/>
      <c r="LU72" s="212"/>
      <c r="MX72" s="62" t="s">
        <v>34</v>
      </c>
      <c r="MY72" s="10"/>
      <c r="MZ72" s="10"/>
      <c r="NA72" s="63">
        <f t="shared" si="350"/>
        <v>0</v>
      </c>
    </row>
    <row r="73" spans="2:375" x14ac:dyDescent="0.25">
      <c r="B73" s="48">
        <v>43200</v>
      </c>
      <c r="C73" s="214">
        <v>13941063.291599998</v>
      </c>
      <c r="D73" s="214">
        <v>10629051</v>
      </c>
      <c r="E73" s="215">
        <v>5000000</v>
      </c>
      <c r="F73" s="215"/>
      <c r="G73" s="215"/>
      <c r="H73" s="215"/>
      <c r="I73" s="41"/>
      <c r="J73" s="212"/>
      <c r="M73" s="41"/>
      <c r="N73" s="212"/>
      <c r="Q73" s="41"/>
      <c r="R73" s="212"/>
      <c r="BM73" s="67">
        <v>0.99</v>
      </c>
      <c r="BN73" s="7">
        <v>1.6643610676147969</v>
      </c>
      <c r="BO73" s="68">
        <v>52</v>
      </c>
      <c r="BP73" s="69">
        <f t="shared" si="337"/>
        <v>3.2006943607976859E-2</v>
      </c>
      <c r="BQ73" s="69"/>
      <c r="BR73" s="7">
        <v>3.2006943607976859E-2</v>
      </c>
      <c r="CL73" s="67">
        <v>0.99</v>
      </c>
      <c r="CM73" s="7">
        <v>2.1362343343647456</v>
      </c>
      <c r="CN73" s="68">
        <v>52</v>
      </c>
      <c r="CO73" s="69">
        <f t="shared" si="338"/>
        <v>4.1081429507014336E-2</v>
      </c>
      <c r="CP73" s="69"/>
      <c r="CQ73" s="7">
        <v>4.1081429507014336E-2</v>
      </c>
      <c r="DD73" s="67">
        <v>0.99</v>
      </c>
      <c r="DE73" s="7">
        <v>1.9083352343062185</v>
      </c>
      <c r="DF73" s="68">
        <v>52</v>
      </c>
      <c r="DG73" s="69">
        <f t="shared" si="339"/>
        <v>3.6698754505888817E-2</v>
      </c>
      <c r="DH73" s="69"/>
      <c r="DI73" s="7">
        <v>3.6698754505888817E-2</v>
      </c>
      <c r="EG73" s="67">
        <v>0.99</v>
      </c>
      <c r="EH73" s="7">
        <v>2.1264409476438231</v>
      </c>
      <c r="EI73" s="68">
        <v>52</v>
      </c>
      <c r="EJ73" s="69">
        <f t="shared" si="340"/>
        <v>4.08930951469966E-2</v>
      </c>
      <c r="EK73" s="69"/>
      <c r="EL73" s="7">
        <v>4.08930951469966E-2</v>
      </c>
      <c r="FI73" s="67">
        <v>0.99</v>
      </c>
      <c r="FJ73" s="7">
        <v>2.0846051195237512</v>
      </c>
      <c r="FK73" s="68">
        <v>52</v>
      </c>
      <c r="FL73" s="69">
        <f t="shared" si="341"/>
        <v>4.008855999084137E-2</v>
      </c>
      <c r="FM73" s="69"/>
      <c r="FN73" s="7">
        <v>4.08930951469966E-2</v>
      </c>
      <c r="GJ73" s="67">
        <v>0.99</v>
      </c>
      <c r="GK73" s="7">
        <v>1.1843080854747627</v>
      </c>
      <c r="GL73" s="68">
        <v>27</v>
      </c>
      <c r="GM73" s="69">
        <f t="shared" si="342"/>
        <v>4.3863262424991216E-2</v>
      </c>
      <c r="GN73" s="69"/>
      <c r="GO73" s="7">
        <v>4.3863262424991216E-2</v>
      </c>
      <c r="HB73" s="67">
        <v>0.99</v>
      </c>
      <c r="HC73" s="7">
        <v>1.2860859959109838</v>
      </c>
      <c r="HD73" s="68">
        <v>27</v>
      </c>
      <c r="HE73" s="69">
        <f t="shared" si="343"/>
        <v>4.7632814663369771E-2</v>
      </c>
      <c r="HF73" s="69"/>
      <c r="HG73" s="7">
        <v>4.7632814663369771E-2</v>
      </c>
      <c r="IC73" s="67">
        <v>0.99</v>
      </c>
      <c r="ID73" s="7">
        <v>0.99505633993559428</v>
      </c>
      <c r="IE73" s="68">
        <v>23</v>
      </c>
      <c r="IF73" s="69">
        <f t="shared" si="344"/>
        <v>4.3263319127634536E-2</v>
      </c>
      <c r="IG73" s="69"/>
      <c r="IH73" s="7">
        <v>4.3263319127634536E-2</v>
      </c>
      <c r="JB73" s="67">
        <v>0.99</v>
      </c>
      <c r="JC73" s="7">
        <v>0.39244010034600002</v>
      </c>
      <c r="JD73" s="84">
        <f t="shared" si="336"/>
        <v>9</v>
      </c>
      <c r="JE73" s="69">
        <f t="shared" si="345"/>
        <v>4.3604455594000002E-2</v>
      </c>
      <c r="JF73" s="69"/>
      <c r="JG73" s="10">
        <v>4.3604455594000002E-2</v>
      </c>
      <c r="JH73" s="11"/>
      <c r="JZ73" s="67">
        <v>0.95</v>
      </c>
      <c r="KA73" s="7">
        <v>0.28814982121499993</v>
      </c>
      <c r="KB73" s="84">
        <f t="shared" si="346"/>
        <v>8</v>
      </c>
      <c r="KC73" s="69">
        <f t="shared" si="347"/>
        <v>3.6018727651874992E-2</v>
      </c>
      <c r="KF73" s="7">
        <v>0.21625859244119996</v>
      </c>
      <c r="KG73" s="84">
        <f t="shared" si="348"/>
        <v>8</v>
      </c>
      <c r="KH73" s="69">
        <f t="shared" si="349"/>
        <v>2.7032324055149996E-2</v>
      </c>
      <c r="KN73" s="41"/>
      <c r="KO73" s="212"/>
      <c r="KR73" s="41"/>
      <c r="KS73" s="212"/>
      <c r="KV73" s="41"/>
      <c r="KW73" s="212"/>
      <c r="KZ73" s="41"/>
      <c r="LA73" s="212"/>
      <c r="LD73" s="41"/>
      <c r="LE73" s="212"/>
      <c r="LL73" s="41"/>
      <c r="LM73" s="212"/>
      <c r="LT73" s="41"/>
      <c r="LU73" s="212"/>
      <c r="MX73" s="62" t="s">
        <v>35</v>
      </c>
      <c r="MY73" s="10"/>
      <c r="MZ73" s="10"/>
      <c r="NA73" s="63">
        <f t="shared" si="350"/>
        <v>0</v>
      </c>
    </row>
    <row r="74" spans="2:375" x14ac:dyDescent="0.25">
      <c r="B74" s="48">
        <v>43207</v>
      </c>
      <c r="C74" s="214">
        <v>22138097.673599999</v>
      </c>
      <c r="D74" s="214">
        <v>16878696</v>
      </c>
      <c r="E74" s="215">
        <v>10000000</v>
      </c>
      <c r="F74" s="215"/>
      <c r="G74" s="215"/>
      <c r="H74" s="215"/>
      <c r="I74" s="41"/>
      <c r="J74" s="212"/>
      <c r="M74" s="41"/>
      <c r="N74" s="212"/>
      <c r="Q74" s="41"/>
      <c r="R74" s="212"/>
      <c r="BM74" s="67" t="s">
        <v>40</v>
      </c>
      <c r="BN74" s="7">
        <v>2.0541865215825474</v>
      </c>
      <c r="BO74" s="68">
        <v>52</v>
      </c>
      <c r="BP74" s="69">
        <f>BN74/BO74</f>
        <v>3.9503586953510528E-2</v>
      </c>
      <c r="BQ74" s="69"/>
      <c r="BR74" s="7">
        <v>3.9503586953510528E-2</v>
      </c>
      <c r="CL74" s="67" t="s">
        <v>40</v>
      </c>
      <c r="CM74" s="7">
        <v>2.6523108459908173</v>
      </c>
      <c r="CN74" s="68">
        <v>52</v>
      </c>
      <c r="CO74" s="69">
        <f>CM74/CN74</f>
        <v>5.1005977807515715E-2</v>
      </c>
      <c r="CP74" s="69"/>
      <c r="CQ74" s="7">
        <v>5.1005977807515715E-2</v>
      </c>
      <c r="DD74" s="67" t="s">
        <v>40</v>
      </c>
      <c r="DE74" s="7">
        <v>2.3913858455880384</v>
      </c>
      <c r="DF74" s="68">
        <v>52</v>
      </c>
      <c r="DG74" s="69">
        <f>DE74/DF74</f>
        <v>4.5988189338231504E-2</v>
      </c>
      <c r="DH74" s="69"/>
      <c r="DI74" s="7">
        <v>4.5988189338231504E-2</v>
      </c>
      <c r="EG74" s="67" t="s">
        <v>40</v>
      </c>
      <c r="EH74" s="7">
        <v>2.5654120188348766</v>
      </c>
      <c r="EI74" s="68">
        <v>52</v>
      </c>
      <c r="EJ74" s="69">
        <f>EH74/EI74</f>
        <v>4.9334846516055318E-2</v>
      </c>
      <c r="EK74" s="69"/>
      <c r="EL74" s="7">
        <v>4.9334846516055318E-2</v>
      </c>
      <c r="FI74" s="67" t="s">
        <v>40</v>
      </c>
      <c r="FJ74" s="7">
        <v>2.5667461952235517</v>
      </c>
      <c r="FK74" s="68">
        <v>52</v>
      </c>
      <c r="FL74" s="69">
        <f>FJ74/FK74</f>
        <v>4.9360503754299075E-2</v>
      </c>
      <c r="FM74" s="69"/>
      <c r="FN74" s="7">
        <v>4.9334846516055318E-2</v>
      </c>
      <c r="GJ74" s="67" t="s">
        <v>40</v>
      </c>
      <c r="GK74" s="7">
        <v>1.5392810487100479</v>
      </c>
      <c r="GL74" s="68">
        <v>27</v>
      </c>
      <c r="GM74" s="69">
        <f>GK74/GL74</f>
        <v>5.7010409211483253E-2</v>
      </c>
      <c r="GN74" s="69"/>
      <c r="GO74" s="7">
        <v>5.7010409211483253E-2</v>
      </c>
      <c r="HB74" s="67" t="s">
        <v>40</v>
      </c>
      <c r="HC74" s="7">
        <v>1.6536295666973977</v>
      </c>
      <c r="HD74" s="68">
        <v>27</v>
      </c>
      <c r="HE74" s="69">
        <f>HC74/HD74</f>
        <v>6.1245539507311028E-2</v>
      </c>
      <c r="HF74" s="69"/>
      <c r="HG74" s="7">
        <v>6.1245539507311028E-2</v>
      </c>
      <c r="IC74" s="67" t="s">
        <v>40</v>
      </c>
      <c r="ID74" s="7">
        <v>1.1874445967391041</v>
      </c>
      <c r="IE74" s="68">
        <v>23</v>
      </c>
      <c r="IF74" s="69">
        <f>ID74/IE74</f>
        <v>5.1628025945178437E-2</v>
      </c>
      <c r="IG74" s="69"/>
      <c r="IH74" s="7">
        <v>5.1628025945178437E-2</v>
      </c>
      <c r="JB74" s="67" t="s">
        <v>40</v>
      </c>
      <c r="JC74" s="7">
        <v>0.51859892911979999</v>
      </c>
      <c r="JD74" s="84">
        <f t="shared" si="336"/>
        <v>9</v>
      </c>
      <c r="JE74" s="69">
        <f>JC74/JD74</f>
        <v>5.762210323553333E-2</v>
      </c>
      <c r="JF74" s="69"/>
      <c r="JG74" s="10">
        <v>5.762210323553333E-2</v>
      </c>
      <c r="JZ74" s="67">
        <v>0.99</v>
      </c>
      <c r="KA74" s="7">
        <v>0.38094452911979998</v>
      </c>
      <c r="KB74" s="84">
        <f t="shared" si="346"/>
        <v>8</v>
      </c>
      <c r="KC74" s="69">
        <f t="shared" si="347"/>
        <v>4.7618066139974997E-2</v>
      </c>
      <c r="KF74" s="7">
        <v>0.28258130034599993</v>
      </c>
      <c r="KG74" s="84">
        <f t="shared" si="348"/>
        <v>8</v>
      </c>
      <c r="KH74" s="69">
        <f t="shared" si="349"/>
        <v>3.5322662543249991E-2</v>
      </c>
      <c r="KN74" s="41"/>
      <c r="KO74" s="212"/>
      <c r="KR74" s="41"/>
      <c r="KS74" s="212"/>
      <c r="KV74" s="41"/>
      <c r="KW74" s="212"/>
      <c r="KZ74" s="41"/>
      <c r="LA74" s="212"/>
      <c r="LD74" s="41"/>
      <c r="LE74" s="212"/>
      <c r="LL74" s="41"/>
      <c r="LM74" s="212"/>
      <c r="LT74" s="41"/>
      <c r="LU74" s="212"/>
      <c r="MX74" s="62" t="s">
        <v>36</v>
      </c>
      <c r="MY74" s="10"/>
      <c r="MZ74" s="10"/>
      <c r="NA74" s="63">
        <f t="shared" si="350"/>
        <v>0</v>
      </c>
    </row>
    <row r="75" spans="2:375" x14ac:dyDescent="0.25">
      <c r="B75" s="48">
        <v>43214</v>
      </c>
      <c r="C75" s="214">
        <v>10266062.396399999</v>
      </c>
      <c r="D75" s="214">
        <v>7827129</v>
      </c>
      <c r="E75" s="215">
        <v>2000000</v>
      </c>
      <c r="F75" s="215"/>
      <c r="G75" s="215"/>
      <c r="H75" s="215"/>
      <c r="I75" s="41"/>
      <c r="J75" s="212"/>
      <c r="M75" s="41"/>
      <c r="N75" s="212"/>
      <c r="Q75" s="41"/>
      <c r="R75" s="212"/>
      <c r="JZ75" s="67" t="s">
        <v>40</v>
      </c>
      <c r="KA75" s="7">
        <v>0.50710335789359995</v>
      </c>
      <c r="KB75" s="84">
        <f t="shared" si="346"/>
        <v>8</v>
      </c>
      <c r="KC75" s="69">
        <f t="shared" si="347"/>
        <v>6.3387919736699994E-2</v>
      </c>
      <c r="KF75" s="7">
        <v>0.38094452911979998</v>
      </c>
      <c r="KG75" s="84">
        <f t="shared" si="348"/>
        <v>8</v>
      </c>
      <c r="KH75" s="69">
        <f t="shared" si="349"/>
        <v>4.7618066139974997E-2</v>
      </c>
      <c r="KN75" s="41"/>
      <c r="KO75" s="212"/>
      <c r="KR75" s="41"/>
      <c r="KS75" s="212"/>
      <c r="KV75" s="41"/>
      <c r="KW75" s="212"/>
      <c r="KZ75" s="41"/>
      <c r="LA75" s="212"/>
      <c r="LD75" s="41"/>
      <c r="LE75" s="212"/>
      <c r="LL75" s="41"/>
      <c r="LM75" s="212"/>
      <c r="LT75" s="41"/>
      <c r="LU75" s="212"/>
      <c r="MX75" s="62" t="s">
        <v>37</v>
      </c>
      <c r="MY75" s="10"/>
      <c r="MZ75" s="10"/>
      <c r="NA75" s="63">
        <f t="shared" si="350"/>
        <v>0</v>
      </c>
    </row>
    <row r="76" spans="2:375" x14ac:dyDescent="0.25">
      <c r="B76" s="48">
        <v>43221</v>
      </c>
      <c r="C76" s="214">
        <v>17002727.2368</v>
      </c>
      <c r="D76" s="214">
        <v>12963348</v>
      </c>
      <c r="E76" s="215">
        <v>5000000</v>
      </c>
      <c r="F76" s="215"/>
      <c r="G76" s="215"/>
      <c r="H76" s="215"/>
      <c r="I76" s="41"/>
      <c r="J76" s="212"/>
      <c r="M76" s="41"/>
      <c r="N76" s="212"/>
      <c r="Q76" s="41"/>
      <c r="R76" s="212"/>
      <c r="KN76" s="41"/>
      <c r="KO76" s="212"/>
      <c r="KR76" s="41"/>
      <c r="KS76" s="212"/>
      <c r="KV76" s="41"/>
      <c r="KW76" s="212"/>
      <c r="KZ76" s="41"/>
      <c r="LA76" s="212"/>
      <c r="LD76" s="41"/>
      <c r="LE76" s="212"/>
      <c r="LL76" s="41"/>
      <c r="LM76" s="212"/>
      <c r="LT76" s="41"/>
      <c r="LU76" s="212"/>
      <c r="MX76" s="62" t="s">
        <v>38</v>
      </c>
      <c r="MY76" s="10"/>
      <c r="MZ76" s="10"/>
      <c r="NA76" s="63">
        <f t="shared" si="350"/>
        <v>0</v>
      </c>
    </row>
    <row r="77" spans="2:375" x14ac:dyDescent="0.25">
      <c r="B77" s="48">
        <v>43228</v>
      </c>
      <c r="C77" s="214">
        <v>16704788.115599999</v>
      </c>
      <c r="D77" s="214">
        <v>12736191</v>
      </c>
      <c r="E77" s="215">
        <v>10000000</v>
      </c>
      <c r="F77" s="215"/>
      <c r="G77" s="215"/>
      <c r="H77" s="215"/>
      <c r="I77" s="41"/>
      <c r="J77" s="212"/>
      <c r="M77" s="41"/>
      <c r="N77" s="212"/>
      <c r="Q77" s="41"/>
      <c r="R77" s="212"/>
      <c r="KN77" s="41"/>
      <c r="KO77" s="212"/>
      <c r="KR77" s="41"/>
      <c r="KS77" s="212"/>
      <c r="KV77" s="41"/>
      <c r="KW77" s="212"/>
      <c r="KZ77" s="41"/>
      <c r="LA77" s="212"/>
      <c r="LD77" s="41"/>
      <c r="LE77" s="212"/>
      <c r="LL77" s="41"/>
      <c r="LM77" s="212"/>
      <c r="LT77" s="41"/>
      <c r="LU77" s="212"/>
      <c r="MX77" s="62" t="s">
        <v>39</v>
      </c>
      <c r="MY77" s="10"/>
      <c r="MZ77" s="10"/>
      <c r="NA77" s="63">
        <f t="shared" si="350"/>
        <v>0</v>
      </c>
    </row>
    <row r="78" spans="2:375" x14ac:dyDescent="0.25">
      <c r="B78" s="48">
        <v>43235</v>
      </c>
      <c r="C78" s="214">
        <v>21062846.681999996</v>
      </c>
      <c r="D78" s="214">
        <v>16058895</v>
      </c>
      <c r="E78" s="215">
        <v>15000000</v>
      </c>
      <c r="F78" s="215"/>
      <c r="G78" s="215"/>
      <c r="H78" s="215"/>
      <c r="I78" s="41"/>
      <c r="J78" s="212"/>
      <c r="M78" s="41"/>
      <c r="N78" s="212"/>
      <c r="Q78" s="41"/>
      <c r="R78" s="212"/>
      <c r="HC78" s="7">
        <v>0.78515135916483081</v>
      </c>
      <c r="KN78" s="41"/>
      <c r="KO78" s="212"/>
      <c r="KR78" s="41"/>
      <c r="KS78" s="212"/>
      <c r="KV78" s="41"/>
      <c r="KW78" s="212"/>
      <c r="KZ78" s="41"/>
      <c r="LA78" s="212"/>
      <c r="LD78" s="41"/>
      <c r="LE78" s="212"/>
      <c r="LL78" s="41"/>
      <c r="LM78" s="212"/>
      <c r="LT78" s="41"/>
      <c r="LU78" s="212"/>
      <c r="MX78" s="62" t="s">
        <v>40</v>
      </c>
      <c r="MY78" s="10"/>
      <c r="MZ78" s="10"/>
      <c r="NA78" s="63">
        <f t="shared" si="350"/>
        <v>0</v>
      </c>
    </row>
    <row r="79" spans="2:375" x14ac:dyDescent="0.25">
      <c r="B79" s="48">
        <v>43242</v>
      </c>
      <c r="C79" s="214">
        <v>8972178.1776000001</v>
      </c>
      <c r="D79" s="214">
        <v>6840636</v>
      </c>
      <c r="E79" s="215">
        <v>2000000</v>
      </c>
      <c r="F79" s="215"/>
      <c r="G79" s="215"/>
      <c r="H79" s="215"/>
      <c r="I79" s="41"/>
      <c r="J79" s="212"/>
      <c r="M79" s="41"/>
      <c r="N79" s="212"/>
      <c r="Q79" s="41"/>
      <c r="R79" s="212"/>
      <c r="HC79" s="7">
        <v>0.70325396854949873</v>
      </c>
      <c r="KN79" s="41"/>
      <c r="KO79" s="212"/>
      <c r="KR79" s="41"/>
      <c r="KS79" s="212"/>
      <c r="KV79" s="41"/>
      <c r="KW79" s="212"/>
      <c r="KZ79" s="41"/>
      <c r="LA79" s="212"/>
      <c r="LD79" s="41"/>
      <c r="LE79" s="212"/>
      <c r="LL79" s="41"/>
      <c r="LM79" s="212"/>
      <c r="LT79" s="41"/>
      <c r="LU79" s="212"/>
    </row>
    <row r="80" spans="2:375" x14ac:dyDescent="0.25">
      <c r="B80" s="48">
        <v>43249</v>
      </c>
      <c r="C80" s="214">
        <v>12622075.048799999</v>
      </c>
      <c r="D80" s="214">
        <v>9623418</v>
      </c>
      <c r="E80" s="215">
        <v>5000000</v>
      </c>
      <c r="F80" s="215"/>
      <c r="G80" s="215"/>
      <c r="H80" s="215"/>
      <c r="I80" s="41"/>
      <c r="J80" s="212"/>
      <c r="M80" s="41"/>
      <c r="N80" s="212"/>
      <c r="Q80" s="41"/>
      <c r="R80" s="212"/>
      <c r="KN80" s="41"/>
      <c r="KO80" s="212"/>
      <c r="KR80" s="41"/>
      <c r="KS80" s="212"/>
      <c r="KV80" s="41"/>
      <c r="KW80" s="212"/>
      <c r="KZ80" s="41"/>
      <c r="LA80" s="212"/>
      <c r="LD80" s="41"/>
      <c r="LE80" s="212"/>
      <c r="LL80" s="41"/>
      <c r="LM80" s="212"/>
      <c r="LT80" s="41"/>
      <c r="LU80" s="212"/>
      <c r="MX80" s="78">
        <v>-3</v>
      </c>
      <c r="MY80" s="10"/>
      <c r="MZ80" s="10"/>
      <c r="NA80" s="63">
        <f t="shared" ref="NA80:NA86" si="351">MY$66*MY80+MZ$66*MZ80</f>
        <v>0</v>
      </c>
    </row>
    <row r="81" spans="2:375" x14ac:dyDescent="0.25">
      <c r="B81" s="48">
        <v>43256</v>
      </c>
      <c r="C81" s="214">
        <v>17316755.755199999</v>
      </c>
      <c r="D81" s="214">
        <v>13202772</v>
      </c>
      <c r="E81" s="215">
        <v>10000000</v>
      </c>
      <c r="F81" s="215"/>
      <c r="G81" s="215"/>
      <c r="H81" s="215"/>
      <c r="I81" s="41"/>
      <c r="J81" s="212"/>
      <c r="M81" s="41"/>
      <c r="N81" s="212"/>
      <c r="Q81" s="41"/>
      <c r="R81" s="212"/>
      <c r="KN81" s="41"/>
      <c r="KO81" s="212"/>
      <c r="KR81" s="41"/>
      <c r="KS81" s="212"/>
      <c r="KV81" s="41"/>
      <c r="KW81" s="212"/>
      <c r="KZ81" s="41"/>
      <c r="LA81" s="212"/>
      <c r="LD81" s="41"/>
      <c r="LE81" s="212"/>
      <c r="LL81" s="41"/>
      <c r="LM81" s="212"/>
      <c r="MX81" s="78">
        <v>-2</v>
      </c>
      <c r="MY81" s="10"/>
      <c r="MZ81" s="10"/>
      <c r="NA81" s="63">
        <f t="shared" si="351"/>
        <v>0</v>
      </c>
    </row>
    <row r="82" spans="2:375" x14ac:dyDescent="0.25">
      <c r="B82" s="48">
        <v>43263</v>
      </c>
      <c r="C82" s="214">
        <v>24855037.725599997</v>
      </c>
      <c r="D82" s="214">
        <v>18950166</v>
      </c>
      <c r="E82" s="216">
        <v>15000000</v>
      </c>
      <c r="F82" s="216" t="s">
        <v>83</v>
      </c>
      <c r="G82" s="216" t="s">
        <v>83</v>
      </c>
      <c r="H82" s="215"/>
      <c r="I82" s="41"/>
      <c r="J82" s="212"/>
      <c r="M82" s="41"/>
      <c r="N82" s="212"/>
      <c r="Q82" s="41"/>
      <c r="R82" s="212"/>
      <c r="KN82" s="41"/>
      <c r="KO82" s="212"/>
      <c r="KR82" s="41"/>
      <c r="KS82" s="212"/>
      <c r="KV82" s="41"/>
      <c r="KW82" s="212"/>
      <c r="KZ82" s="41"/>
      <c r="LA82" s="212"/>
      <c r="LD82" s="41"/>
      <c r="LE82" s="212"/>
      <c r="LL82" s="41"/>
      <c r="LM82" s="212"/>
      <c r="MX82" s="78">
        <v>-1</v>
      </c>
      <c r="MY82" s="10"/>
      <c r="MZ82" s="10"/>
      <c r="NA82" s="63">
        <f t="shared" si="351"/>
        <v>0</v>
      </c>
    </row>
    <row r="83" spans="2:375" x14ac:dyDescent="0.25">
      <c r="B83" s="48">
        <v>43270</v>
      </c>
      <c r="C83" s="214">
        <v>9566116.5636</v>
      </c>
      <c r="D83" s="214">
        <v>7293471</v>
      </c>
      <c r="E83" s="215">
        <v>2000000</v>
      </c>
      <c r="F83" s="215"/>
      <c r="G83" s="215"/>
      <c r="H83" s="215"/>
      <c r="I83" s="41"/>
      <c r="J83" s="212"/>
      <c r="M83" s="41"/>
      <c r="N83" s="212"/>
      <c r="Q83" s="41"/>
      <c r="R83" s="212"/>
      <c r="KN83" s="41"/>
      <c r="KO83" s="212"/>
      <c r="KR83" s="41"/>
      <c r="KS83" s="212"/>
      <c r="KV83" s="41"/>
      <c r="KW83" s="212"/>
      <c r="KZ83" s="41"/>
      <c r="LA83" s="212"/>
      <c r="LD83" s="41"/>
      <c r="LE83" s="212"/>
      <c r="LL83" s="41"/>
      <c r="LM83" s="212"/>
      <c r="MX83" s="78">
        <v>0</v>
      </c>
      <c r="MY83" s="10"/>
      <c r="MZ83" s="10"/>
      <c r="NA83" s="63">
        <f t="shared" si="351"/>
        <v>0</v>
      </c>
    </row>
    <row r="84" spans="2:375" x14ac:dyDescent="0.25">
      <c r="B84" s="48">
        <v>43277</v>
      </c>
      <c r="C84" s="214">
        <v>12959267.734799998</v>
      </c>
      <c r="D84" s="214">
        <v>9880503</v>
      </c>
      <c r="E84" s="215">
        <v>5000000</v>
      </c>
      <c r="F84" s="81"/>
      <c r="G84" s="81"/>
      <c r="H84" s="81"/>
      <c r="I84" s="41"/>
      <c r="J84" s="212"/>
      <c r="M84" s="41"/>
      <c r="N84" s="212"/>
      <c r="Q84" s="41"/>
      <c r="R84" s="212"/>
      <c r="KN84" s="41"/>
      <c r="KO84" s="212"/>
      <c r="KR84" s="41"/>
      <c r="KS84" s="212"/>
      <c r="KV84" s="41"/>
      <c r="KW84" s="212"/>
      <c r="KZ84" s="41"/>
      <c r="LA84" s="212"/>
      <c r="LD84" s="41"/>
      <c r="LE84" s="212"/>
      <c r="LL84" s="41"/>
      <c r="LM84" s="212"/>
      <c r="MX84" s="78">
        <v>1</v>
      </c>
      <c r="MY84" s="10"/>
      <c r="MZ84" s="10"/>
      <c r="NA84" s="63">
        <f t="shared" si="351"/>
        <v>0</v>
      </c>
    </row>
    <row r="85" spans="2:375" x14ac:dyDescent="0.25">
      <c r="B85" s="48">
        <v>43284</v>
      </c>
      <c r="C85" s="214">
        <v>18046255.8708</v>
      </c>
      <c r="D85" s="214">
        <v>13758963</v>
      </c>
      <c r="E85" s="216">
        <v>10000000</v>
      </c>
      <c r="F85" s="216" t="s">
        <v>85</v>
      </c>
      <c r="G85" s="216" t="s">
        <v>85</v>
      </c>
      <c r="H85" s="215"/>
      <c r="I85" s="41"/>
      <c r="J85" s="212"/>
      <c r="M85" s="41"/>
      <c r="N85" s="212"/>
      <c r="Q85" s="41"/>
      <c r="R85" s="212"/>
      <c r="KN85" s="41"/>
      <c r="KO85" s="212"/>
      <c r="KR85" s="41"/>
      <c r="KS85" s="212"/>
      <c r="KV85" s="41"/>
      <c r="KW85" s="212"/>
      <c r="KZ85" s="41"/>
      <c r="LA85" s="212"/>
      <c r="LD85" s="41"/>
      <c r="LE85" s="212"/>
      <c r="LL85" s="41"/>
      <c r="LM85" s="212"/>
      <c r="MX85" s="78">
        <v>2</v>
      </c>
      <c r="MY85" s="10"/>
      <c r="MZ85" s="10"/>
      <c r="NA85" s="63">
        <f t="shared" si="351"/>
        <v>0</v>
      </c>
    </row>
    <row r="86" spans="2:375" x14ac:dyDescent="0.25">
      <c r="B86" s="48">
        <v>43291</v>
      </c>
      <c r="C86" s="214">
        <v>21110430.218399998</v>
      </c>
      <c r="D86" s="214">
        <v>16095174</v>
      </c>
      <c r="E86" s="215">
        <v>15000000</v>
      </c>
      <c r="F86" s="215"/>
      <c r="G86" s="215"/>
      <c r="H86" s="215"/>
      <c r="I86" s="41"/>
      <c r="J86" s="212"/>
      <c r="M86" s="41"/>
      <c r="N86" s="212"/>
      <c r="Q86" s="41"/>
      <c r="R86" s="212"/>
      <c r="BD86" t="s">
        <v>81</v>
      </c>
      <c r="KN86" s="41"/>
      <c r="KO86" s="212"/>
      <c r="KR86" s="41"/>
      <c r="KS86" s="212"/>
      <c r="KV86" s="41"/>
      <c r="KW86" s="212"/>
      <c r="KZ86" s="41"/>
      <c r="LA86" s="212"/>
      <c r="LD86" s="41"/>
      <c r="LE86" s="212"/>
      <c r="LL86" s="41"/>
      <c r="LM86" s="212"/>
      <c r="MX86" s="78">
        <v>3</v>
      </c>
      <c r="MY86" s="10"/>
      <c r="MZ86" s="10"/>
      <c r="NA86" s="63">
        <f t="shared" si="351"/>
        <v>0</v>
      </c>
      <c r="NK86" t="s">
        <v>81</v>
      </c>
    </row>
    <row r="87" spans="2:375" x14ac:dyDescent="0.25">
      <c r="B87" s="48">
        <v>43298</v>
      </c>
      <c r="C87" s="214">
        <v>33832921.363199994</v>
      </c>
      <c r="D87" s="214">
        <v>25795152</v>
      </c>
      <c r="E87" s="215">
        <v>30000000</v>
      </c>
      <c r="F87" s="215"/>
      <c r="G87" s="215"/>
      <c r="H87" s="215"/>
      <c r="I87" s="41"/>
      <c r="J87" s="212"/>
      <c r="M87" s="41"/>
      <c r="N87" s="212"/>
      <c r="Q87" s="41"/>
      <c r="R87" s="212"/>
      <c r="KN87" s="41"/>
      <c r="KO87" s="212"/>
      <c r="KR87" s="41"/>
      <c r="KS87" s="212"/>
      <c r="KV87" s="41"/>
      <c r="KW87" s="212"/>
      <c r="KZ87" s="41"/>
      <c r="LA87" s="212"/>
      <c r="LD87" s="41"/>
      <c r="LE87" s="212"/>
      <c r="LL87" s="41"/>
      <c r="LM87" s="212"/>
    </row>
    <row r="88" spans="2:375" x14ac:dyDescent="0.25">
      <c r="B88" s="48">
        <v>43305</v>
      </c>
      <c r="C88" s="214">
        <v>40820968.771199994</v>
      </c>
      <c r="D88" s="214">
        <v>31123032</v>
      </c>
      <c r="E88" s="215">
        <v>40000000</v>
      </c>
      <c r="F88" s="215"/>
      <c r="G88" s="215"/>
      <c r="H88" s="215"/>
      <c r="I88" s="41"/>
      <c r="J88" s="212"/>
      <c r="M88" s="41"/>
      <c r="N88" s="212"/>
      <c r="Q88" s="41"/>
      <c r="R88" s="212"/>
      <c r="KN88" s="41"/>
      <c r="KO88" s="212"/>
      <c r="KR88" s="41"/>
      <c r="KS88" s="212"/>
      <c r="KV88" s="41"/>
      <c r="KW88" s="212"/>
      <c r="KZ88" s="41"/>
      <c r="LA88" s="212"/>
      <c r="LD88" s="41"/>
      <c r="LE88" s="212"/>
      <c r="LL88" s="41"/>
      <c r="LM88" s="212"/>
    </row>
    <row r="89" spans="2:375" x14ac:dyDescent="0.25">
      <c r="B89" s="48">
        <v>43312</v>
      </c>
      <c r="C89" s="214">
        <v>51108141.369599998</v>
      </c>
      <c r="D89" s="214">
        <v>38966256</v>
      </c>
      <c r="E89" s="215">
        <v>50000000</v>
      </c>
      <c r="F89" s="215"/>
      <c r="G89" s="215"/>
      <c r="H89" s="215"/>
      <c r="I89" s="41"/>
      <c r="J89" s="212"/>
      <c r="M89" s="41"/>
      <c r="N89" s="212"/>
      <c r="Q89" s="41"/>
      <c r="R89" s="212"/>
      <c r="KN89" s="41"/>
      <c r="KO89" s="212"/>
      <c r="KR89" s="41"/>
      <c r="KS89" s="212"/>
      <c r="KV89" s="41"/>
      <c r="KW89" s="212"/>
      <c r="KZ89" s="41"/>
      <c r="LA89" s="212"/>
      <c r="LD89" s="41"/>
      <c r="LE89" s="212"/>
      <c r="LL89" s="41"/>
      <c r="LM89" s="212"/>
    </row>
    <row r="90" spans="2:375" x14ac:dyDescent="0.25">
      <c r="B90" s="48">
        <v>43319</v>
      </c>
      <c r="C90" s="214">
        <v>84648943.180799991</v>
      </c>
      <c r="D90" s="214">
        <v>64538688</v>
      </c>
      <c r="E90" s="215">
        <v>70000000</v>
      </c>
      <c r="F90" s="215"/>
      <c r="G90" s="215"/>
      <c r="H90" s="215"/>
      <c r="I90" s="41"/>
      <c r="J90" s="212"/>
      <c r="M90" s="41"/>
      <c r="N90" s="212"/>
      <c r="Q90" s="41"/>
      <c r="R90" s="212"/>
      <c r="KN90" s="41"/>
      <c r="KO90" s="212"/>
      <c r="KR90" s="41"/>
      <c r="KS90" s="212"/>
      <c r="KV90" s="41"/>
      <c r="KW90" s="212"/>
      <c r="KZ90" s="41"/>
      <c r="LA90" s="212"/>
      <c r="LD90" s="41"/>
      <c r="LE90" s="212"/>
      <c r="LL90" s="41"/>
      <c r="LM90" s="212"/>
    </row>
    <row r="91" spans="2:375" x14ac:dyDescent="0.25">
      <c r="B91" s="48">
        <v>43326</v>
      </c>
      <c r="C91" s="214">
        <v>11145387.8916</v>
      </c>
      <c r="D91" s="214">
        <v>8497551</v>
      </c>
      <c r="E91" s="215">
        <v>2000000</v>
      </c>
      <c r="F91" s="215"/>
      <c r="G91" s="215"/>
      <c r="H91" s="215"/>
      <c r="I91" s="41"/>
      <c r="J91" s="212"/>
      <c r="M91" s="41"/>
      <c r="N91" s="212"/>
      <c r="Q91" s="41"/>
      <c r="R91" s="212"/>
      <c r="Y91" s="41"/>
      <c r="KN91" s="41"/>
      <c r="KO91" s="212"/>
      <c r="KR91" s="41"/>
      <c r="KS91" s="212"/>
      <c r="KV91" s="41"/>
      <c r="KW91" s="212"/>
      <c r="KZ91" s="41"/>
      <c r="LA91" s="212"/>
      <c r="LD91" s="41"/>
      <c r="LE91" s="212"/>
      <c r="LL91" s="41"/>
      <c r="LM91" s="212"/>
    </row>
    <row r="92" spans="2:375" x14ac:dyDescent="0.25">
      <c r="B92" s="48">
        <v>43333</v>
      </c>
      <c r="C92" s="214">
        <v>15965018.171999998</v>
      </c>
      <c r="D92" s="214">
        <v>12172170</v>
      </c>
      <c r="E92" s="215">
        <v>5000000</v>
      </c>
      <c r="F92" s="215"/>
      <c r="G92" s="215"/>
      <c r="H92" s="215"/>
      <c r="I92" s="41"/>
      <c r="J92" s="212"/>
      <c r="M92" s="41"/>
      <c r="N92" s="212"/>
      <c r="Q92" s="41"/>
      <c r="R92" s="212"/>
      <c r="Y92" s="41"/>
      <c r="KN92" s="41"/>
      <c r="KO92" s="212"/>
      <c r="KR92" s="41"/>
      <c r="KS92" s="212"/>
      <c r="KV92" s="41"/>
      <c r="KW92" s="212"/>
      <c r="KZ92" s="41"/>
      <c r="LA92" s="212"/>
      <c r="LD92" s="41"/>
      <c r="LE92" s="212"/>
      <c r="LL92" s="41"/>
      <c r="LM92" s="212"/>
    </row>
    <row r="93" spans="2:375" x14ac:dyDescent="0.25">
      <c r="B93" s="48">
        <v>43340</v>
      </c>
      <c r="C93" s="214">
        <v>23331337.577999998</v>
      </c>
      <c r="D93" s="214">
        <v>17788455</v>
      </c>
      <c r="E93" s="215">
        <v>10000000</v>
      </c>
      <c r="F93" s="215"/>
      <c r="G93" s="215"/>
      <c r="H93" s="215"/>
      <c r="I93" s="41"/>
      <c r="J93" s="212"/>
      <c r="M93" s="41"/>
      <c r="N93" s="212"/>
      <c r="Q93" s="41"/>
      <c r="R93" s="212"/>
      <c r="Y93" s="41"/>
      <c r="KN93" s="41"/>
      <c r="KO93" s="212"/>
      <c r="KR93" s="41"/>
      <c r="KS93" s="212"/>
      <c r="KV93" s="41"/>
      <c r="KW93" s="212"/>
      <c r="KZ93" s="41"/>
      <c r="LA93" s="212"/>
      <c r="LD93" s="41"/>
      <c r="LE93" s="212"/>
    </row>
    <row r="94" spans="2:375" x14ac:dyDescent="0.25">
      <c r="B94" s="48">
        <v>43347</v>
      </c>
      <c r="C94" s="214">
        <v>23557958.449199997</v>
      </c>
      <c r="D94" s="214">
        <v>17961237</v>
      </c>
      <c r="E94" s="215">
        <v>15000000</v>
      </c>
      <c r="F94" s="215"/>
      <c r="G94" s="215"/>
      <c r="H94" s="215"/>
      <c r="I94" s="41"/>
      <c r="J94" s="212"/>
      <c r="M94" s="41"/>
      <c r="N94" s="212"/>
      <c r="Q94" s="41"/>
      <c r="R94" s="212"/>
      <c r="Y94" s="41"/>
      <c r="KN94" s="41"/>
      <c r="KO94" s="212"/>
      <c r="KR94" s="41"/>
      <c r="KS94" s="212"/>
      <c r="KV94" s="41"/>
      <c r="KW94" s="212"/>
      <c r="KZ94" s="41"/>
      <c r="LA94" s="212"/>
      <c r="LD94" s="41"/>
      <c r="LE94" s="212"/>
    </row>
    <row r="95" spans="2:375" x14ac:dyDescent="0.25">
      <c r="B95" s="48">
        <v>43354</v>
      </c>
      <c r="C95" s="214">
        <v>37424622.542399995</v>
      </c>
      <c r="D95" s="214">
        <v>28533564</v>
      </c>
      <c r="E95" s="215">
        <v>30000000</v>
      </c>
      <c r="F95" s="215"/>
      <c r="G95" s="215"/>
      <c r="H95" s="215"/>
      <c r="I95" s="41"/>
      <c r="J95" s="212"/>
      <c r="M95" s="41"/>
      <c r="N95" s="212"/>
      <c r="Q95" s="41"/>
      <c r="R95" s="212"/>
      <c r="Y95" s="41"/>
      <c r="KN95" s="41"/>
      <c r="KO95" s="212"/>
      <c r="KR95" s="41"/>
      <c r="KS95" s="212"/>
      <c r="KV95" s="41"/>
      <c r="KW95" s="212"/>
      <c r="KZ95" s="41"/>
      <c r="LA95" s="212"/>
      <c r="LD95" s="41"/>
      <c r="LE95" s="212"/>
    </row>
    <row r="96" spans="2:375" x14ac:dyDescent="0.25">
      <c r="B96" s="48">
        <v>43361</v>
      </c>
      <c r="C96" s="214">
        <v>9436830.8399999999</v>
      </c>
      <c r="D96" s="214">
        <v>7194900</v>
      </c>
      <c r="E96" s="215">
        <v>2000000</v>
      </c>
      <c r="F96" s="215"/>
      <c r="G96" s="215"/>
      <c r="H96" s="215"/>
      <c r="I96" s="41"/>
      <c r="J96" s="212"/>
      <c r="M96" s="41"/>
      <c r="N96" s="212"/>
      <c r="Q96" s="41"/>
      <c r="R96" s="212"/>
      <c r="Y96" s="41"/>
      <c r="KN96" s="41"/>
      <c r="KO96" s="212"/>
      <c r="KR96" s="41"/>
      <c r="KS96" s="212"/>
      <c r="KV96" s="41"/>
      <c r="KW96" s="212"/>
      <c r="KZ96" s="41"/>
      <c r="LA96" s="212"/>
      <c r="LD96" s="41"/>
      <c r="LE96" s="212"/>
    </row>
    <row r="97" spans="2:7" x14ac:dyDescent="0.25">
      <c r="B97" s="48">
        <v>43368</v>
      </c>
      <c r="C97" s="214">
        <v>14429564.776799999</v>
      </c>
      <c r="D97" s="214">
        <v>11001498</v>
      </c>
      <c r="E97" s="215">
        <v>5000000</v>
      </c>
      <c r="F97" s="215"/>
      <c r="G97" s="215"/>
    </row>
    <row r="98" spans="2:7" x14ac:dyDescent="0.25">
      <c r="B98" s="48">
        <v>43375</v>
      </c>
      <c r="C98" s="214">
        <v>19796120.452799998</v>
      </c>
      <c r="D98" s="214">
        <v>15093108</v>
      </c>
      <c r="E98" s="215">
        <v>10000000</v>
      </c>
      <c r="F98" s="215"/>
      <c r="G98" s="215"/>
    </row>
    <row r="99" spans="2:7" x14ac:dyDescent="0.25">
      <c r="B99" s="48">
        <v>43382</v>
      </c>
      <c r="C99" s="214">
        <v>9383770.061999999</v>
      </c>
      <c r="D99" s="214">
        <v>7154445</v>
      </c>
      <c r="E99" s="215">
        <v>2000000</v>
      </c>
      <c r="F99" s="215"/>
      <c r="G99" s="215"/>
    </row>
    <row r="100" spans="2:7" x14ac:dyDescent="0.25">
      <c r="B100" s="48">
        <v>43389</v>
      </c>
      <c r="C100" s="214">
        <v>12427062.425999999</v>
      </c>
      <c r="D100" s="214">
        <v>9474735</v>
      </c>
      <c r="E100" s="215">
        <v>5000000</v>
      </c>
      <c r="F100" s="215"/>
      <c r="G100" s="215"/>
    </row>
    <row r="101" spans="2:7" x14ac:dyDescent="0.25">
      <c r="B101" s="48">
        <v>43396</v>
      </c>
      <c r="C101" s="214">
        <v>18487402.037999999</v>
      </c>
      <c r="D101" s="214">
        <v>14095305</v>
      </c>
      <c r="E101" s="215">
        <v>10000000</v>
      </c>
      <c r="F101" s="215"/>
      <c r="G101" s="215"/>
    </row>
    <row r="102" spans="2:7" x14ac:dyDescent="0.25">
      <c r="B102" s="48">
        <v>43403</v>
      </c>
      <c r="C102" s="214">
        <v>20029359.657599997</v>
      </c>
      <c r="D102" s="214">
        <v>15270936</v>
      </c>
      <c r="E102" s="215">
        <v>15000000</v>
      </c>
      <c r="F102" s="215"/>
      <c r="G102" s="215"/>
    </row>
    <row r="103" spans="2:7" x14ac:dyDescent="0.25">
      <c r="B103" s="48">
        <v>43410</v>
      </c>
      <c r="C103" s="214">
        <v>9955571.2631999999</v>
      </c>
      <c r="D103" s="214">
        <v>7590402</v>
      </c>
      <c r="E103" s="215">
        <v>2000000</v>
      </c>
      <c r="F103" s="215"/>
      <c r="G103" s="215"/>
    </row>
    <row r="104" spans="2:7" x14ac:dyDescent="0.25">
      <c r="B104" s="48">
        <v>43417</v>
      </c>
      <c r="C104" s="214">
        <v>14773033.468799999</v>
      </c>
      <c r="D104" s="214">
        <v>11263368</v>
      </c>
      <c r="E104" s="215">
        <v>5000000</v>
      </c>
      <c r="F104" s="215"/>
      <c r="G104" s="215"/>
    </row>
    <row r="105" spans="2:7" x14ac:dyDescent="0.25">
      <c r="B105" s="48">
        <v>43424</v>
      </c>
      <c r="C105" s="214">
        <v>22642916.7744</v>
      </c>
      <c r="D105" s="214">
        <v>17263584</v>
      </c>
      <c r="E105" s="215">
        <v>10000000</v>
      </c>
      <c r="F105" s="215"/>
      <c r="G105" s="215"/>
    </row>
    <row r="106" spans="2:7" x14ac:dyDescent="0.25">
      <c r="B106" s="48">
        <v>43431</v>
      </c>
      <c r="C106" s="214">
        <v>11794441.021199999</v>
      </c>
      <c r="D106" s="214">
        <v>8992407</v>
      </c>
      <c r="E106" s="215">
        <v>2000000</v>
      </c>
      <c r="F106" s="215"/>
      <c r="G106" s="215"/>
    </row>
    <row r="107" spans="2:7" x14ac:dyDescent="0.25">
      <c r="B107" s="48">
        <v>43438</v>
      </c>
      <c r="C107" s="214">
        <v>9389589.6311999988</v>
      </c>
      <c r="D107" s="214">
        <v>7158882</v>
      </c>
      <c r="E107" s="215">
        <v>2000000</v>
      </c>
      <c r="F107" s="215"/>
      <c r="G107" s="215"/>
    </row>
    <row r="108" spans="2:7" x14ac:dyDescent="0.25">
      <c r="B108" s="48">
        <v>43445</v>
      </c>
      <c r="C108" s="214">
        <v>8626655.5199999996</v>
      </c>
      <c r="D108" s="214">
        <v>6577200</v>
      </c>
      <c r="E108" s="215">
        <v>2000000</v>
      </c>
      <c r="F108" s="215"/>
      <c r="G108" s="215"/>
    </row>
    <row r="109" spans="2:7" x14ac:dyDescent="0.25">
      <c r="B109" s="48">
        <v>43452</v>
      </c>
      <c r="C109" s="214">
        <v>11770135.761599999</v>
      </c>
      <c r="D109" s="214">
        <v>8973876</v>
      </c>
      <c r="E109" s="215">
        <v>5000000</v>
      </c>
      <c r="F109" s="215"/>
      <c r="G109" s="215"/>
    </row>
    <row r="110" spans="2:7" x14ac:dyDescent="0.25">
      <c r="B110" s="48">
        <v>43459</v>
      </c>
      <c r="C110" s="214">
        <v>15969354.321599998</v>
      </c>
      <c r="D110" s="214">
        <v>12175476</v>
      </c>
      <c r="E110" s="216">
        <v>10000000</v>
      </c>
      <c r="F110" s="216" t="s">
        <v>83</v>
      </c>
      <c r="G110" s="215"/>
    </row>
    <row r="111" spans="2:7" x14ac:dyDescent="0.25">
      <c r="B111" s="48">
        <v>43466</v>
      </c>
      <c r="C111" s="214">
        <v>8416352.2643999998</v>
      </c>
      <c r="D111" s="214">
        <v>6416859</v>
      </c>
      <c r="E111" s="216">
        <v>2000000</v>
      </c>
      <c r="F111" s="216" t="s">
        <v>85</v>
      </c>
      <c r="G111" s="215"/>
    </row>
    <row r="112" spans="2:7" x14ac:dyDescent="0.25">
      <c r="B112" s="48">
        <v>43473</v>
      </c>
      <c r="C112" s="214">
        <v>11195710.048799999</v>
      </c>
      <c r="D112" s="214">
        <v>8535918</v>
      </c>
      <c r="E112" s="215">
        <v>5000000</v>
      </c>
      <c r="F112" s="215"/>
      <c r="G112" s="215"/>
    </row>
    <row r="113" spans="2:7" x14ac:dyDescent="0.25">
      <c r="B113" s="48">
        <v>43480</v>
      </c>
      <c r="C113" s="214">
        <v>15659890.171199998</v>
      </c>
      <c r="D113" s="214">
        <v>11939532</v>
      </c>
      <c r="E113" s="215">
        <v>10000000</v>
      </c>
      <c r="F113" s="215"/>
      <c r="G113" s="215"/>
    </row>
    <row r="114" spans="2:7" x14ac:dyDescent="0.25">
      <c r="B114" s="48">
        <v>43487</v>
      </c>
      <c r="C114" s="214">
        <v>26925092.722799998</v>
      </c>
      <c r="D114" s="214">
        <v>20528433</v>
      </c>
      <c r="E114" s="215">
        <v>15000000</v>
      </c>
      <c r="F114" s="215"/>
      <c r="G114" s="215"/>
    </row>
    <row r="115" spans="2:7" x14ac:dyDescent="0.25">
      <c r="B115" s="48">
        <v>43494</v>
      </c>
      <c r="C115" s="214">
        <v>30702677.788799997</v>
      </c>
      <c r="D115" s="214">
        <v>23408568</v>
      </c>
      <c r="E115" s="215">
        <v>20000000</v>
      </c>
      <c r="F115" s="215"/>
      <c r="G115" s="215"/>
    </row>
    <row r="116" spans="2:7" x14ac:dyDescent="0.25">
      <c r="B116" s="48">
        <v>43501</v>
      </c>
      <c r="C116" s="214">
        <v>11134433.408399999</v>
      </c>
      <c r="D116" s="214">
        <v>8489199</v>
      </c>
      <c r="E116" s="215">
        <v>2000000</v>
      </c>
      <c r="F116" s="215"/>
      <c r="G116" s="215"/>
    </row>
    <row r="117" spans="2:7" x14ac:dyDescent="0.25">
      <c r="B117" s="48">
        <v>43508</v>
      </c>
      <c r="C117" s="214">
        <v>13438526.374799998</v>
      </c>
      <c r="D117" s="214">
        <v>10245903</v>
      </c>
      <c r="E117" s="215">
        <v>5000000</v>
      </c>
      <c r="F117" s="215"/>
      <c r="G117" s="215"/>
    </row>
    <row r="118" spans="2:7" x14ac:dyDescent="0.25">
      <c r="B118" s="48">
        <v>43515</v>
      </c>
      <c r="C118" s="214">
        <v>15193639.979999999</v>
      </c>
      <c r="D118" s="214">
        <v>11584050</v>
      </c>
      <c r="E118" s="215">
        <v>10000000</v>
      </c>
      <c r="F118" s="215"/>
      <c r="G118" s="215"/>
    </row>
    <row r="119" spans="2:7" x14ac:dyDescent="0.25">
      <c r="B119" s="48">
        <v>43522</v>
      </c>
      <c r="C119" s="214">
        <v>19297577.357999999</v>
      </c>
      <c r="D119" s="214">
        <v>14713005</v>
      </c>
      <c r="E119" s="215">
        <v>15000000</v>
      </c>
      <c r="F119" s="215"/>
      <c r="G119" s="215"/>
    </row>
    <row r="120" spans="2:7" x14ac:dyDescent="0.25">
      <c r="B120" s="48">
        <v>43529</v>
      </c>
      <c r="C120" s="214">
        <v>30415921.369199999</v>
      </c>
      <c r="D120" s="214">
        <v>23189937</v>
      </c>
      <c r="E120" s="215">
        <v>30000000</v>
      </c>
      <c r="F120" s="215"/>
      <c r="G120" s="215"/>
    </row>
    <row r="121" spans="2:7" x14ac:dyDescent="0.25">
      <c r="B121" s="48">
        <v>43536</v>
      </c>
      <c r="C121" s="214">
        <v>42990412.881599993</v>
      </c>
      <c r="D121" s="214">
        <v>32777076</v>
      </c>
      <c r="E121" s="215">
        <v>40000000</v>
      </c>
      <c r="F121" s="215"/>
      <c r="G121" s="215"/>
    </row>
    <row r="122" spans="2:7" x14ac:dyDescent="0.25">
      <c r="B122" s="48">
        <v>43543</v>
      </c>
      <c r="C122" s="214">
        <v>56829006.111599997</v>
      </c>
      <c r="D122" s="214">
        <v>43328001</v>
      </c>
      <c r="E122" s="215">
        <v>50000000</v>
      </c>
      <c r="F122" s="215"/>
      <c r="G122" s="215"/>
    </row>
    <row r="123" spans="2:7" x14ac:dyDescent="0.25">
      <c r="B123" s="48">
        <v>43550</v>
      </c>
      <c r="C123" s="214">
        <v>81933942.985199988</v>
      </c>
      <c r="D123" s="214">
        <v>62468697</v>
      </c>
      <c r="E123" s="215">
        <v>70000000</v>
      </c>
      <c r="F123" s="215"/>
      <c r="G123" s="215"/>
    </row>
    <row r="124" spans="2:7" x14ac:dyDescent="0.25">
      <c r="B124" s="48">
        <v>43557</v>
      </c>
      <c r="C124" s="214">
        <v>11122109.614799999</v>
      </c>
      <c r="D124" s="214">
        <v>8479803</v>
      </c>
      <c r="E124" s="215">
        <v>2000000</v>
      </c>
      <c r="F124" s="215"/>
      <c r="G124" s="215"/>
    </row>
    <row r="125" spans="2:7" x14ac:dyDescent="0.25">
      <c r="B125" s="48">
        <v>43564</v>
      </c>
      <c r="C125" s="214">
        <v>13100420.815199999</v>
      </c>
      <c r="D125" s="214">
        <v>9988122</v>
      </c>
      <c r="E125" s="215">
        <v>5000000</v>
      </c>
      <c r="F125" s="215"/>
      <c r="G125" s="215"/>
    </row>
    <row r="126" spans="2:7" x14ac:dyDescent="0.25">
      <c r="B126" s="48">
        <v>43571</v>
      </c>
      <c r="C126" s="214">
        <v>21846548.667599998</v>
      </c>
      <c r="D126" s="214">
        <v>16656411</v>
      </c>
      <c r="E126" s="215">
        <v>10000000</v>
      </c>
      <c r="F126" s="215"/>
      <c r="G126" s="215"/>
    </row>
    <row r="127" spans="2:7" x14ac:dyDescent="0.25">
      <c r="B127" s="48">
        <v>43578</v>
      </c>
      <c r="C127" s="214">
        <v>24409327.190399997</v>
      </c>
      <c r="D127" s="214">
        <v>18610344</v>
      </c>
      <c r="E127" s="215">
        <v>15000000</v>
      </c>
      <c r="F127" s="215"/>
      <c r="G127" s="215"/>
    </row>
    <row r="128" spans="2:7" x14ac:dyDescent="0.25">
      <c r="B128" s="48">
        <v>43585</v>
      </c>
      <c r="C128" s="214">
        <v>8739851.8463999983</v>
      </c>
      <c r="D128" s="214">
        <v>6663504</v>
      </c>
      <c r="E128" s="215">
        <v>2000000</v>
      </c>
      <c r="F128" s="215"/>
      <c r="G128" s="215"/>
    </row>
    <row r="129" spans="2:7" x14ac:dyDescent="0.25">
      <c r="B129" s="48">
        <v>43592</v>
      </c>
      <c r="C129" s="214">
        <v>11764544.410799999</v>
      </c>
      <c r="D129" s="214">
        <v>8969613</v>
      </c>
      <c r="E129" s="215">
        <v>5000000</v>
      </c>
      <c r="F129" s="215"/>
      <c r="G129" s="215"/>
    </row>
    <row r="130" spans="2:7" x14ac:dyDescent="0.25">
      <c r="B130" s="48">
        <v>43599</v>
      </c>
      <c r="C130" s="214">
        <v>17807995.861199997</v>
      </c>
      <c r="D130" s="214">
        <v>13577307</v>
      </c>
      <c r="E130" s="215">
        <v>10000000</v>
      </c>
      <c r="F130" s="215"/>
      <c r="G130" s="215"/>
    </row>
    <row r="131" spans="2:7" x14ac:dyDescent="0.25">
      <c r="B131" s="48">
        <v>43606</v>
      </c>
      <c r="C131" s="214">
        <v>22828001.896799996</v>
      </c>
      <c r="D131" s="214">
        <v>17404698</v>
      </c>
      <c r="E131" s="215">
        <v>15000000</v>
      </c>
      <c r="F131" s="215"/>
      <c r="G131" s="215"/>
    </row>
    <row r="132" spans="2:7" x14ac:dyDescent="0.25">
      <c r="B132" s="48">
        <v>43613</v>
      </c>
      <c r="C132" s="214">
        <v>37029462.382799998</v>
      </c>
      <c r="D132" s="214">
        <v>28232283</v>
      </c>
      <c r="E132" s="215">
        <v>30000000</v>
      </c>
      <c r="F132" s="215"/>
      <c r="G132" s="215"/>
    </row>
    <row r="133" spans="2:7" x14ac:dyDescent="0.25">
      <c r="B133" s="48">
        <v>43620</v>
      </c>
      <c r="C133" s="214">
        <v>44897976.377999999</v>
      </c>
      <c r="D133" s="214">
        <v>34231455</v>
      </c>
      <c r="E133" s="215">
        <v>40000000</v>
      </c>
      <c r="F133" s="215"/>
      <c r="G133" s="215"/>
    </row>
    <row r="134" spans="2:7" x14ac:dyDescent="0.25">
      <c r="B134" s="48">
        <v>43627</v>
      </c>
      <c r="C134" s="214">
        <v>51909644.390399992</v>
      </c>
      <c r="D134" s="214">
        <v>39577344</v>
      </c>
      <c r="E134" s="215">
        <v>50000000</v>
      </c>
      <c r="F134" s="215"/>
      <c r="G134" s="215"/>
    </row>
    <row r="135" spans="2:7" x14ac:dyDescent="0.25">
      <c r="B135" s="48">
        <v>43634</v>
      </c>
      <c r="C135" s="214">
        <v>77370259.640399992</v>
      </c>
      <c r="D135" s="214">
        <v>58989219</v>
      </c>
      <c r="E135" s="215">
        <v>70000000</v>
      </c>
      <c r="F135" s="215"/>
      <c r="G135" s="215"/>
    </row>
    <row r="136" spans="2:7" x14ac:dyDescent="0.25">
      <c r="B136" s="48">
        <v>43641</v>
      </c>
      <c r="C136" s="214">
        <v>103405072.38479999</v>
      </c>
      <c r="D136" s="214">
        <v>78838878</v>
      </c>
      <c r="E136" s="216">
        <v>80000000</v>
      </c>
      <c r="F136" s="216" t="s">
        <v>83</v>
      </c>
      <c r="G136" s="216" t="s">
        <v>83</v>
      </c>
    </row>
    <row r="137" spans="2:7" x14ac:dyDescent="0.25">
      <c r="B137" s="48">
        <v>43648</v>
      </c>
      <c r="C137" s="214">
        <v>9874439.6219999995</v>
      </c>
      <c r="D137" s="214">
        <v>7528545</v>
      </c>
      <c r="E137" s="216">
        <v>2000000</v>
      </c>
      <c r="F137" s="216" t="s">
        <v>85</v>
      </c>
      <c r="G137" s="216" t="s">
        <v>85</v>
      </c>
    </row>
    <row r="138" spans="2:7" x14ac:dyDescent="0.25">
      <c r="B138" s="48">
        <v>43655</v>
      </c>
      <c r="C138" s="214">
        <v>12206261.123999998</v>
      </c>
      <c r="D138" s="214">
        <v>9306390</v>
      </c>
      <c r="E138" s="215">
        <v>5000000</v>
      </c>
      <c r="F138" s="215"/>
      <c r="G138" s="215"/>
    </row>
    <row r="139" spans="2:7" x14ac:dyDescent="0.25">
      <c r="B139" s="48">
        <v>43662</v>
      </c>
      <c r="C139" s="214">
        <v>18648752.446799997</v>
      </c>
      <c r="D139" s="214">
        <v>14218323</v>
      </c>
      <c r="E139" s="215">
        <v>10000000</v>
      </c>
      <c r="F139" s="215"/>
      <c r="G139" s="215"/>
    </row>
    <row r="140" spans="2:7" x14ac:dyDescent="0.25">
      <c r="B140" s="48">
        <v>43669</v>
      </c>
      <c r="C140" s="214">
        <v>27456727.485599998</v>
      </c>
      <c r="D140" s="214">
        <v>20933766</v>
      </c>
      <c r="E140" s="215">
        <v>15000000</v>
      </c>
      <c r="F140" s="215"/>
      <c r="G140" s="215"/>
    </row>
    <row r="141" spans="2:7" x14ac:dyDescent="0.25">
      <c r="B141" s="48">
        <v>43676</v>
      </c>
      <c r="C141" s="214">
        <v>37094846.954399996</v>
      </c>
      <c r="D141" s="214">
        <v>28282134</v>
      </c>
      <c r="E141" s="215">
        <v>25000000</v>
      </c>
      <c r="F141" s="215"/>
      <c r="G141" s="215"/>
    </row>
    <row r="142" spans="2:7" x14ac:dyDescent="0.25">
      <c r="B142" s="48">
        <v>43683</v>
      </c>
      <c r="C142" s="214">
        <v>45872354.836799994</v>
      </c>
      <c r="D142" s="214">
        <v>34974348</v>
      </c>
      <c r="E142" s="215">
        <v>40000000</v>
      </c>
      <c r="F142" s="215"/>
      <c r="G142" s="215"/>
    </row>
    <row r="143" spans="2:7" x14ac:dyDescent="0.25">
      <c r="B143" s="48">
        <v>43690</v>
      </c>
      <c r="C143" s="214">
        <v>12702065.597999999</v>
      </c>
      <c r="D143" s="214">
        <v>9684405</v>
      </c>
      <c r="E143" s="215">
        <v>2000000</v>
      </c>
      <c r="F143" s="215"/>
      <c r="G143" s="215"/>
    </row>
    <row r="144" spans="2:7" x14ac:dyDescent="0.25">
      <c r="B144" s="48">
        <v>43697</v>
      </c>
      <c r="C144" s="214">
        <v>13156790.759999998</v>
      </c>
      <c r="D144" s="214">
        <v>10031100</v>
      </c>
      <c r="E144" s="215">
        <v>5000000</v>
      </c>
      <c r="F144" s="215"/>
      <c r="G144" s="215"/>
    </row>
    <row r="145" spans="2:7" x14ac:dyDescent="0.25">
      <c r="B145" s="48">
        <v>43704</v>
      </c>
      <c r="C145" s="214">
        <v>18165842.312399998</v>
      </c>
      <c r="D145" s="214">
        <v>13850139</v>
      </c>
      <c r="E145" s="215">
        <v>10000000</v>
      </c>
      <c r="F145" s="215"/>
      <c r="G145" s="215"/>
    </row>
    <row r="146" spans="2:7" x14ac:dyDescent="0.25">
      <c r="B146" s="48">
        <v>43711</v>
      </c>
      <c r="C146" s="214">
        <v>11068706.509199999</v>
      </c>
      <c r="D146" s="214">
        <v>8439087</v>
      </c>
      <c r="E146" s="215">
        <v>2000000</v>
      </c>
      <c r="F146" s="215"/>
      <c r="G146" s="215"/>
    </row>
    <row r="147" spans="2:7" x14ac:dyDescent="0.25">
      <c r="B147" s="48">
        <v>43718</v>
      </c>
      <c r="C147" s="214">
        <v>13091177.969999999</v>
      </c>
      <c r="D147" s="214">
        <v>9981075</v>
      </c>
      <c r="E147" s="215">
        <v>5000000</v>
      </c>
      <c r="F147" s="215"/>
      <c r="G147" s="215"/>
    </row>
    <row r="148" spans="2:7" x14ac:dyDescent="0.25">
      <c r="B148" s="48">
        <v>43725</v>
      </c>
      <c r="C148" s="214">
        <v>16404110.373599999</v>
      </c>
      <c r="D148" s="214">
        <v>12506946</v>
      </c>
      <c r="E148" s="215">
        <v>10000000</v>
      </c>
      <c r="F148" s="215"/>
      <c r="G148" s="215"/>
    </row>
    <row r="149" spans="2:7" x14ac:dyDescent="0.25">
      <c r="B149" s="48">
        <v>43732</v>
      </c>
      <c r="C149" s="214">
        <v>27622870.480799999</v>
      </c>
      <c r="D149" s="214">
        <v>21060438</v>
      </c>
      <c r="E149" s="215">
        <v>15000000</v>
      </c>
      <c r="F149" s="215"/>
      <c r="G149" s="215"/>
    </row>
    <row r="150" spans="2:7" x14ac:dyDescent="0.25">
      <c r="B150" s="48">
        <v>43739</v>
      </c>
      <c r="C150" s="214">
        <v>40679595.197999999</v>
      </c>
      <c r="D150" s="214">
        <v>30734055</v>
      </c>
      <c r="E150" s="215">
        <v>25000000</v>
      </c>
      <c r="F150" s="215"/>
      <c r="G150" s="215"/>
    </row>
    <row r="151" spans="2:7" x14ac:dyDescent="0.25">
      <c r="B151" s="48">
        <v>43746</v>
      </c>
      <c r="C151" s="214">
        <v>43546334.111999996</v>
      </c>
      <c r="D151" s="214">
        <v>32899920</v>
      </c>
      <c r="E151" s="215">
        <v>40000000</v>
      </c>
      <c r="F151" s="215"/>
      <c r="G151" s="215"/>
    </row>
    <row r="152" spans="2:7" x14ac:dyDescent="0.25">
      <c r="B152" s="48">
        <v>43753</v>
      </c>
      <c r="C152" s="214">
        <v>59082228.089999996</v>
      </c>
      <c r="D152" s="214">
        <v>44637525</v>
      </c>
      <c r="E152" s="215">
        <v>50000000</v>
      </c>
      <c r="F152" s="215"/>
      <c r="G152" s="215"/>
    </row>
    <row r="153" spans="2:7" x14ac:dyDescent="0.25">
      <c r="B153" s="48">
        <v>43760</v>
      </c>
      <c r="C153" s="214">
        <v>11371148.193599999</v>
      </c>
      <c r="D153" s="214">
        <v>8591076</v>
      </c>
      <c r="E153" s="215">
        <v>2000000</v>
      </c>
      <c r="F153" s="215"/>
      <c r="G153" s="215"/>
    </row>
    <row r="154" spans="2:7" x14ac:dyDescent="0.25">
      <c r="B154" s="48">
        <v>43767</v>
      </c>
      <c r="C154" s="214">
        <v>13591532.195999999</v>
      </c>
      <c r="D154" s="214">
        <v>10268610</v>
      </c>
      <c r="E154" s="215">
        <v>5000000</v>
      </c>
      <c r="F154" s="215"/>
      <c r="G154" s="215"/>
    </row>
    <row r="155" spans="2:7" x14ac:dyDescent="0.25">
      <c r="B155" s="48">
        <v>43774</v>
      </c>
      <c r="C155" s="214">
        <v>17605427.288399998</v>
      </c>
      <c r="D155" s="214">
        <v>13301169</v>
      </c>
      <c r="E155" s="215">
        <v>10000000</v>
      </c>
      <c r="F155" s="215"/>
      <c r="G155" s="215"/>
    </row>
    <row r="156" spans="2:7" x14ac:dyDescent="0.25">
      <c r="B156" s="48">
        <v>43781</v>
      </c>
      <c r="C156" s="214">
        <v>9415271.091599999</v>
      </c>
      <c r="D156" s="214">
        <v>7113381</v>
      </c>
      <c r="E156" s="215">
        <v>2000000</v>
      </c>
      <c r="F156" s="215"/>
      <c r="G156" s="215"/>
    </row>
    <row r="157" spans="2:7" x14ac:dyDescent="0.25">
      <c r="B157" s="48">
        <v>43788</v>
      </c>
      <c r="C157" s="214">
        <v>12772908.097199999</v>
      </c>
      <c r="D157" s="214">
        <v>9650127</v>
      </c>
      <c r="E157" s="215">
        <v>5000000</v>
      </c>
      <c r="F157" s="215"/>
      <c r="G157" s="215"/>
    </row>
    <row r="158" spans="2:7" x14ac:dyDescent="0.25">
      <c r="B158" s="48">
        <v>43795</v>
      </c>
      <c r="C158" s="214">
        <v>11777523.836399999</v>
      </c>
      <c r="D158" s="214">
        <v>8898099</v>
      </c>
      <c r="E158" s="215">
        <v>2000000</v>
      </c>
      <c r="F158" s="215"/>
      <c r="G158" s="215"/>
    </row>
    <row r="159" spans="2:7" x14ac:dyDescent="0.25">
      <c r="B159" s="48">
        <v>43802</v>
      </c>
      <c r="C159" s="214">
        <v>13876881.825599998</v>
      </c>
      <c r="D159" s="214">
        <v>10484196</v>
      </c>
      <c r="E159" s="215">
        <v>5000000</v>
      </c>
      <c r="F159" s="215"/>
      <c r="G159" s="215"/>
    </row>
    <row r="160" spans="2:7" x14ac:dyDescent="0.25">
      <c r="B160" s="48">
        <v>43809</v>
      </c>
      <c r="C160" s="214">
        <v>20040456.855599999</v>
      </c>
      <c r="D160" s="214">
        <v>15140871</v>
      </c>
      <c r="E160" s="215">
        <v>10000000</v>
      </c>
      <c r="F160" s="215"/>
      <c r="G160" s="215"/>
    </row>
    <row r="161" spans="2:7" x14ac:dyDescent="0.25">
      <c r="B161" s="48">
        <v>43816</v>
      </c>
      <c r="C161" s="214">
        <v>21636365.054399997</v>
      </c>
      <c r="D161" s="214">
        <v>16346604</v>
      </c>
      <c r="E161" s="215">
        <v>15000000</v>
      </c>
      <c r="F161" s="215"/>
      <c r="G161" s="215"/>
    </row>
    <row r="162" spans="2:7" x14ac:dyDescent="0.25">
      <c r="B162" s="48">
        <v>43823</v>
      </c>
      <c r="C162" s="214">
        <v>27174312.748799998</v>
      </c>
      <c r="D162" s="214">
        <v>20530608</v>
      </c>
      <c r="E162" s="216">
        <v>20000000</v>
      </c>
      <c r="F162" s="216" t="s">
        <v>83</v>
      </c>
      <c r="G162" s="215"/>
    </row>
    <row r="163" spans="2:7" x14ac:dyDescent="0.25">
      <c r="B163" s="48">
        <v>43830</v>
      </c>
      <c r="C163" s="214">
        <v>13626078.155999999</v>
      </c>
      <c r="D163" s="214">
        <v>10294710</v>
      </c>
      <c r="E163" s="215">
        <v>2000000</v>
      </c>
      <c r="F163" s="215"/>
      <c r="G163" s="215"/>
    </row>
    <row r="164" spans="2:7" x14ac:dyDescent="0.25">
      <c r="B164" s="48">
        <v>43837</v>
      </c>
      <c r="C164" s="214">
        <v>14925236.5584</v>
      </c>
      <c r="D164" s="214">
        <v>11276244</v>
      </c>
      <c r="E164" s="216">
        <v>5000000</v>
      </c>
      <c r="F164" s="216" t="s">
        <v>85</v>
      </c>
      <c r="G164" s="215"/>
    </row>
    <row r="165" spans="2:7" x14ac:dyDescent="0.25">
      <c r="B165" s="48">
        <v>43844</v>
      </c>
      <c r="C165" s="214">
        <v>21438647.009999998</v>
      </c>
      <c r="D165" s="214">
        <v>16197225</v>
      </c>
      <c r="E165" s="215">
        <v>10000000</v>
      </c>
      <c r="F165" s="215"/>
      <c r="G165" s="215"/>
    </row>
    <row r="166" spans="2:7" x14ac:dyDescent="0.25">
      <c r="B166" s="48">
        <v>43851</v>
      </c>
      <c r="C166" s="214">
        <v>10596627.770399999</v>
      </c>
      <c r="D166" s="214">
        <v>8005914</v>
      </c>
      <c r="E166" s="215">
        <v>2000000</v>
      </c>
      <c r="F166" s="215"/>
      <c r="G166" s="215"/>
    </row>
    <row r="167" spans="2:7" x14ac:dyDescent="0.25">
      <c r="B167" s="48">
        <v>43858</v>
      </c>
      <c r="C167" s="214">
        <v>12495849.498</v>
      </c>
      <c r="D167" s="214">
        <v>9440805</v>
      </c>
      <c r="E167" s="215">
        <v>5000000</v>
      </c>
      <c r="F167" s="215"/>
      <c r="G167" s="215"/>
    </row>
    <row r="168" spans="2:7" x14ac:dyDescent="0.25">
      <c r="B168" s="48">
        <v>43865</v>
      </c>
      <c r="C168" s="214">
        <v>20349528.044399999</v>
      </c>
      <c r="D168" s="214">
        <v>15374379</v>
      </c>
      <c r="E168" s="215">
        <v>10000000</v>
      </c>
      <c r="F168" s="215"/>
      <c r="G168" s="215"/>
    </row>
    <row r="169" spans="2:7" x14ac:dyDescent="0.25">
      <c r="B169" s="48">
        <v>43872</v>
      </c>
      <c r="C169" s="214">
        <v>12212687.779199999</v>
      </c>
      <c r="D169" s="214">
        <v>9226872</v>
      </c>
      <c r="E169" s="215">
        <v>2000000</v>
      </c>
      <c r="F169" s="215"/>
      <c r="G169" s="215"/>
    </row>
    <row r="170" spans="2:7" x14ac:dyDescent="0.25">
      <c r="B170" s="48">
        <v>43879</v>
      </c>
      <c r="C170" s="214">
        <v>13876536.365999999</v>
      </c>
      <c r="D170" s="214">
        <v>10483935</v>
      </c>
      <c r="E170" s="215">
        <v>5000000</v>
      </c>
      <c r="F170" s="215"/>
      <c r="G170" s="215"/>
    </row>
    <row r="171" spans="2:7" x14ac:dyDescent="0.25">
      <c r="B171" s="48">
        <v>43886</v>
      </c>
      <c r="C171" s="214">
        <v>9221237.9495999999</v>
      </c>
      <c r="D171" s="214">
        <v>6966786</v>
      </c>
      <c r="E171" s="215">
        <v>2000000</v>
      </c>
      <c r="F171" s="215"/>
      <c r="G171" s="215"/>
    </row>
    <row r="172" spans="2:7" x14ac:dyDescent="0.25">
      <c r="B172" s="48">
        <v>43893</v>
      </c>
      <c r="C172" s="214">
        <v>14172595.243199999</v>
      </c>
      <c r="D172" s="214">
        <v>10707612</v>
      </c>
      <c r="E172" s="215">
        <v>5000000</v>
      </c>
      <c r="F172" s="215"/>
      <c r="G172" s="215"/>
    </row>
    <row r="173" spans="2:7" x14ac:dyDescent="0.25">
      <c r="B173" s="48">
        <v>43900</v>
      </c>
      <c r="C173" s="214">
        <v>15937548.339599999</v>
      </c>
      <c r="D173" s="214">
        <v>12041061</v>
      </c>
      <c r="E173" s="215">
        <v>10000000</v>
      </c>
      <c r="F173" s="215"/>
      <c r="G173" s="215"/>
    </row>
    <row r="174" spans="2:7" x14ac:dyDescent="0.25">
      <c r="B174" s="48">
        <v>43907</v>
      </c>
      <c r="C174" s="214">
        <v>20962143.068399999</v>
      </c>
      <c r="D174" s="214">
        <v>15837219</v>
      </c>
      <c r="E174" s="215">
        <v>15000000</v>
      </c>
      <c r="F174" s="215"/>
      <c r="G174" s="215"/>
    </row>
    <row r="175" spans="2:7" x14ac:dyDescent="0.25">
      <c r="B175" s="48">
        <v>43914</v>
      </c>
      <c r="C175" s="214">
        <v>11302632.0396</v>
      </c>
      <c r="D175" s="214">
        <v>8539311</v>
      </c>
      <c r="E175" s="215">
        <v>2000000</v>
      </c>
      <c r="F175" s="215"/>
      <c r="G175" s="215"/>
    </row>
    <row r="176" spans="2:7" x14ac:dyDescent="0.25">
      <c r="B176" s="48">
        <v>43921</v>
      </c>
      <c r="C176" s="214">
        <v>13280618.555999998</v>
      </c>
      <c r="D176" s="214">
        <v>10033710</v>
      </c>
      <c r="E176" s="215">
        <v>5000000</v>
      </c>
      <c r="F176" s="215"/>
      <c r="G176" s="215"/>
    </row>
    <row r="177" spans="2:7" x14ac:dyDescent="0.25">
      <c r="B177" s="48">
        <v>43928</v>
      </c>
      <c r="C177" s="214">
        <v>21400531.300799999</v>
      </c>
      <c r="D177" s="214">
        <v>16168428</v>
      </c>
      <c r="E177" s="215">
        <v>10000000</v>
      </c>
      <c r="F177" s="215"/>
      <c r="G177" s="215"/>
    </row>
    <row r="178" spans="2:7" x14ac:dyDescent="0.25">
      <c r="B178" s="48">
        <v>43935</v>
      </c>
      <c r="C178" s="214">
        <v>24208657.235999998</v>
      </c>
      <c r="D178" s="214">
        <v>18290010</v>
      </c>
      <c r="E178" s="215">
        <v>15000000</v>
      </c>
      <c r="F178" s="215"/>
      <c r="G178" s="215"/>
    </row>
    <row r="179" spans="2:7" x14ac:dyDescent="0.25">
      <c r="B179" s="48">
        <v>43942</v>
      </c>
      <c r="C179" s="214">
        <v>12242627.611199999</v>
      </c>
      <c r="D179" s="214">
        <v>9249492</v>
      </c>
      <c r="E179" s="215">
        <v>2000000</v>
      </c>
      <c r="F179" s="215"/>
      <c r="G179" s="215"/>
    </row>
    <row r="180" spans="2:7" x14ac:dyDescent="0.25">
      <c r="B180" s="48">
        <v>43949</v>
      </c>
      <c r="C180" s="214">
        <v>10423667.663999999</v>
      </c>
      <c r="D180" s="214">
        <v>7875240</v>
      </c>
      <c r="E180" s="215">
        <v>2000000</v>
      </c>
      <c r="F180" s="215"/>
      <c r="G180" s="215"/>
    </row>
    <row r="181" spans="2:7" x14ac:dyDescent="0.25">
      <c r="B181" s="48">
        <v>43956</v>
      </c>
      <c r="C181" s="214">
        <v>14592098.350799998</v>
      </c>
      <c r="D181" s="214">
        <v>11024553</v>
      </c>
      <c r="E181" s="215">
        <v>5000000</v>
      </c>
      <c r="F181" s="215"/>
      <c r="G181" s="215"/>
    </row>
    <row r="182" spans="2:7" x14ac:dyDescent="0.25">
      <c r="B182" s="48">
        <v>43963</v>
      </c>
      <c r="C182" s="214">
        <v>26162576.733599998</v>
      </c>
      <c r="D182" s="214">
        <v>19766226</v>
      </c>
      <c r="E182" s="215">
        <v>10000000</v>
      </c>
      <c r="F182" s="215"/>
      <c r="G182" s="215"/>
    </row>
    <row r="183" spans="2:7" x14ac:dyDescent="0.25">
      <c r="B183" s="48">
        <v>43970</v>
      </c>
      <c r="C183" s="214">
        <v>30905967.347999997</v>
      </c>
      <c r="D183" s="214">
        <v>23349930</v>
      </c>
      <c r="E183" s="215">
        <v>15000000</v>
      </c>
      <c r="F183" s="215"/>
      <c r="G183" s="215"/>
    </row>
    <row r="184" spans="2:7" x14ac:dyDescent="0.25">
      <c r="B184" s="48">
        <v>43977</v>
      </c>
      <c r="C184" s="214">
        <v>12868485.253199998</v>
      </c>
      <c r="D184" s="214">
        <v>9722337</v>
      </c>
      <c r="E184" s="216">
        <v>2000000</v>
      </c>
      <c r="F184" s="216" t="s">
        <v>83</v>
      </c>
      <c r="G184" s="216" t="s">
        <v>83</v>
      </c>
    </row>
    <row r="185" spans="2:7" x14ac:dyDescent="0.25">
      <c r="B185" s="48">
        <v>43984</v>
      </c>
      <c r="C185" s="214">
        <v>11586830.1372</v>
      </c>
      <c r="D185" s="214">
        <v>8754027</v>
      </c>
      <c r="E185" s="215">
        <v>2000000</v>
      </c>
      <c r="F185" s="215"/>
      <c r="G185" s="215"/>
    </row>
    <row r="186" spans="2:7" x14ac:dyDescent="0.25">
      <c r="B186" s="48">
        <v>43991</v>
      </c>
      <c r="C186" s="214">
        <v>16221170.671199998</v>
      </c>
      <c r="D186" s="214">
        <v>12255342</v>
      </c>
      <c r="E186" s="215">
        <v>5000000</v>
      </c>
      <c r="F186" s="215"/>
      <c r="G186" s="215"/>
    </row>
    <row r="187" spans="2:7" x14ac:dyDescent="0.25">
      <c r="B187" s="48">
        <v>43998</v>
      </c>
      <c r="C187" s="214">
        <v>23723862.263999999</v>
      </c>
      <c r="D187" s="214">
        <v>17923740</v>
      </c>
      <c r="E187" s="215">
        <v>10000000</v>
      </c>
      <c r="F187" s="215"/>
      <c r="G187" s="215"/>
    </row>
    <row r="188" spans="2:7" x14ac:dyDescent="0.25">
      <c r="B188" s="48">
        <v>44005</v>
      </c>
      <c r="C188" s="214">
        <v>33171721.711199999</v>
      </c>
      <c r="D188" s="214">
        <v>25061742</v>
      </c>
      <c r="E188" s="215">
        <v>20000000</v>
      </c>
      <c r="F188" s="215"/>
      <c r="G188" s="215"/>
    </row>
    <row r="189" spans="2:7" x14ac:dyDescent="0.25">
      <c r="B189" s="48">
        <v>44012</v>
      </c>
      <c r="C189" s="214">
        <v>38931915.081599995</v>
      </c>
      <c r="D189" s="214">
        <v>29413656</v>
      </c>
      <c r="E189" s="215">
        <v>30000000</v>
      </c>
      <c r="F189" s="81"/>
      <c r="G189" s="81"/>
    </row>
    <row r="190" spans="2:7" x14ac:dyDescent="0.25">
      <c r="B190" s="48">
        <v>44019</v>
      </c>
      <c r="C190" s="214">
        <v>65778732.129599996</v>
      </c>
      <c r="D190" s="214">
        <v>49696836</v>
      </c>
      <c r="E190" s="216">
        <v>50000000</v>
      </c>
      <c r="F190" s="216" t="s">
        <v>85</v>
      </c>
      <c r="G190" s="216" t="s">
        <v>85</v>
      </c>
    </row>
    <row r="191" spans="2:7" x14ac:dyDescent="0.25">
      <c r="B191" s="48">
        <v>44026</v>
      </c>
      <c r="C191" s="214">
        <v>13459106.015999999</v>
      </c>
      <c r="D191" s="214">
        <v>10168560</v>
      </c>
      <c r="E191" s="215">
        <v>2000000</v>
      </c>
      <c r="F191" s="215"/>
      <c r="G191" s="215"/>
    </row>
    <row r="192" spans="2:7" x14ac:dyDescent="0.25">
      <c r="B192" s="48">
        <v>44033</v>
      </c>
      <c r="C192" s="214">
        <v>15976815.580799999</v>
      </c>
      <c r="D192" s="214">
        <v>12070728</v>
      </c>
      <c r="E192" s="215">
        <v>5000000</v>
      </c>
      <c r="F192" s="215"/>
      <c r="G192" s="215"/>
    </row>
    <row r="193" spans="2:7" x14ac:dyDescent="0.25">
      <c r="B193" s="48">
        <v>44040</v>
      </c>
      <c r="C193" s="214">
        <v>27002273.867999997</v>
      </c>
      <c r="D193" s="214">
        <v>20400630</v>
      </c>
      <c r="E193" s="215">
        <v>12000000</v>
      </c>
      <c r="F193" s="215"/>
      <c r="G193" s="215"/>
    </row>
    <row r="194" spans="2:7" x14ac:dyDescent="0.25">
      <c r="B194" s="48">
        <v>44047</v>
      </c>
      <c r="C194" s="214">
        <v>12145553.463599999</v>
      </c>
      <c r="D194" s="214">
        <v>9176151</v>
      </c>
      <c r="E194" s="215">
        <v>2000000</v>
      </c>
      <c r="F194" s="215"/>
      <c r="G194" s="215"/>
    </row>
    <row r="195" spans="2:7" x14ac:dyDescent="0.25">
      <c r="B195" s="48">
        <v>44054</v>
      </c>
      <c r="C195" s="214">
        <v>18666564.0264</v>
      </c>
      <c r="D195" s="214">
        <v>14102874</v>
      </c>
      <c r="E195" s="215">
        <v>5000000</v>
      </c>
      <c r="F195" s="215"/>
      <c r="G195" s="215"/>
    </row>
    <row r="196" spans="2:7" x14ac:dyDescent="0.25">
      <c r="B196" s="48">
        <v>44061</v>
      </c>
      <c r="C196" s="214">
        <v>29966317.235999998</v>
      </c>
      <c r="D196" s="214">
        <v>22640010</v>
      </c>
      <c r="E196" s="215">
        <v>12000000</v>
      </c>
      <c r="F196" s="215"/>
      <c r="G196" s="215"/>
    </row>
    <row r="197" spans="2:7" x14ac:dyDescent="0.25">
      <c r="B197" s="48">
        <v>44068</v>
      </c>
      <c r="C197" s="214">
        <v>13859493.692399999</v>
      </c>
      <c r="D197" s="214">
        <v>10471059</v>
      </c>
      <c r="E197" s="215">
        <v>2000000</v>
      </c>
      <c r="F197" s="215"/>
      <c r="G197" s="215"/>
    </row>
    <row r="198" spans="2:7" x14ac:dyDescent="0.25">
      <c r="B198" s="48">
        <v>44075</v>
      </c>
      <c r="C198" s="214">
        <v>14869847.869199999</v>
      </c>
      <c r="D198" s="214">
        <v>11234397</v>
      </c>
      <c r="E198" s="215">
        <v>5000000</v>
      </c>
      <c r="F198" s="215"/>
      <c r="G198" s="215"/>
    </row>
    <row r="199" spans="2:7" x14ac:dyDescent="0.25">
      <c r="B199" s="48">
        <v>44082</v>
      </c>
      <c r="C199" s="214">
        <v>22745290.370399997</v>
      </c>
      <c r="D199" s="214">
        <v>17184414</v>
      </c>
      <c r="E199" s="215">
        <v>10000000</v>
      </c>
      <c r="F199" s="215"/>
      <c r="G199" s="215"/>
    </row>
    <row r="200" spans="2:7" x14ac:dyDescent="0.25">
      <c r="B200" s="48">
        <v>44089</v>
      </c>
      <c r="C200" s="214">
        <v>29568462.929999996</v>
      </c>
      <c r="D200" s="214">
        <v>22339425</v>
      </c>
      <c r="E200" s="215">
        <v>20000000</v>
      </c>
      <c r="F200" s="215"/>
      <c r="G200" s="215"/>
    </row>
    <row r="201" spans="2:7" x14ac:dyDescent="0.25">
      <c r="B201" s="48">
        <v>44096</v>
      </c>
      <c r="C201" s="214">
        <v>12552159.412799999</v>
      </c>
      <c r="D201" s="214">
        <v>9483348</v>
      </c>
      <c r="E201" s="215">
        <v>2000000</v>
      </c>
      <c r="F201" s="215"/>
      <c r="G201" s="215"/>
    </row>
    <row r="202" spans="2:7" x14ac:dyDescent="0.25">
      <c r="B202" s="48">
        <v>44103</v>
      </c>
      <c r="C202" s="214">
        <v>19894327.444799997</v>
      </c>
      <c r="D202" s="214">
        <v>15030468</v>
      </c>
      <c r="E202" s="215">
        <v>5000000</v>
      </c>
      <c r="F202" s="215"/>
      <c r="G202" s="215"/>
    </row>
    <row r="203" spans="2:7" x14ac:dyDescent="0.25">
      <c r="B203" s="48">
        <v>44110</v>
      </c>
      <c r="C203" s="214">
        <v>24595456.834799998</v>
      </c>
      <c r="D203" s="214">
        <v>18582243</v>
      </c>
      <c r="E203" s="215">
        <v>10000000</v>
      </c>
      <c r="F203" s="215"/>
      <c r="G203" s="215"/>
    </row>
    <row r="204" spans="2:7" x14ac:dyDescent="0.25">
      <c r="B204" s="48">
        <v>44117</v>
      </c>
      <c r="C204" s="214">
        <v>12941146.9224</v>
      </c>
      <c r="D204" s="214">
        <v>9777234</v>
      </c>
      <c r="E204" s="215">
        <v>2000000</v>
      </c>
      <c r="F204" s="215"/>
      <c r="G204" s="215"/>
    </row>
    <row r="205" spans="2:7" x14ac:dyDescent="0.25">
      <c r="B205" s="48">
        <v>44124</v>
      </c>
      <c r="C205" s="214">
        <v>12641518.295999998</v>
      </c>
      <c r="D205" s="214">
        <v>9550860</v>
      </c>
      <c r="E205" s="215">
        <v>2000000</v>
      </c>
      <c r="F205" s="215"/>
      <c r="G205" s="215"/>
    </row>
    <row r="206" spans="2:7" x14ac:dyDescent="0.25">
      <c r="B206" s="48">
        <v>44131</v>
      </c>
      <c r="C206" s="214">
        <v>14600043.921599999</v>
      </c>
      <c r="D206" s="214">
        <v>11030556</v>
      </c>
      <c r="E206" s="215">
        <v>5000000</v>
      </c>
      <c r="F206" s="215"/>
      <c r="G206" s="215"/>
    </row>
    <row r="207" spans="2:7" x14ac:dyDescent="0.25">
      <c r="B207" s="48">
        <v>44138</v>
      </c>
      <c r="C207" s="214">
        <v>21051732.257999998</v>
      </c>
      <c r="D207" s="214">
        <v>15904905</v>
      </c>
      <c r="E207" s="215">
        <v>10000000</v>
      </c>
      <c r="F207" s="215"/>
      <c r="G207" s="215"/>
    </row>
    <row r="208" spans="2:7" x14ac:dyDescent="0.25">
      <c r="B208" s="48">
        <v>44145</v>
      </c>
      <c r="C208" s="214">
        <v>34398218.444399998</v>
      </c>
      <c r="D208" s="214">
        <v>25988379</v>
      </c>
      <c r="E208" s="215">
        <v>20000000</v>
      </c>
      <c r="F208" s="215"/>
      <c r="G208" s="215"/>
    </row>
    <row r="209" spans="2:7" x14ac:dyDescent="0.25">
      <c r="B209" s="48">
        <v>44152</v>
      </c>
      <c r="C209" s="214">
        <v>46513371.463199995</v>
      </c>
      <c r="D209" s="214">
        <v>35141562</v>
      </c>
      <c r="E209" s="215">
        <v>30000000</v>
      </c>
      <c r="F209" s="215"/>
      <c r="G209" s="215"/>
    </row>
    <row r="210" spans="2:7" x14ac:dyDescent="0.25">
      <c r="B210" s="48">
        <v>44159</v>
      </c>
      <c r="C210" s="214">
        <v>12778435.4508</v>
      </c>
      <c r="D210" s="214">
        <v>9654303</v>
      </c>
      <c r="E210" s="215">
        <v>2000000</v>
      </c>
      <c r="F210" s="215"/>
      <c r="G210" s="215"/>
    </row>
    <row r="211" spans="2:7" x14ac:dyDescent="0.25">
      <c r="B211" s="48">
        <v>44166</v>
      </c>
      <c r="C211" s="214">
        <v>12882764.249999998</v>
      </c>
      <c r="D211" s="214">
        <v>9733125</v>
      </c>
      <c r="E211" s="215">
        <v>2000000</v>
      </c>
      <c r="F211" s="215"/>
      <c r="G211" s="215"/>
    </row>
    <row r="212" spans="2:7" x14ac:dyDescent="0.25">
      <c r="B212" s="48">
        <v>44173</v>
      </c>
      <c r="C212" s="214">
        <v>16717020.350399999</v>
      </c>
      <c r="D212" s="214">
        <v>12629964</v>
      </c>
      <c r="E212" s="215">
        <v>5000000</v>
      </c>
      <c r="F212" s="215"/>
      <c r="G212" s="215"/>
    </row>
    <row r="213" spans="2:7" x14ac:dyDescent="0.25">
      <c r="B213" s="48">
        <v>44180</v>
      </c>
      <c r="C213" s="214">
        <v>11462694.987599999</v>
      </c>
      <c r="D213" s="214">
        <v>8660241</v>
      </c>
      <c r="E213" s="215">
        <v>2000000</v>
      </c>
      <c r="F213" s="215"/>
      <c r="G213" s="215"/>
    </row>
    <row r="214" spans="2:7" x14ac:dyDescent="0.25">
      <c r="B214" s="48">
        <v>44187</v>
      </c>
      <c r="C214" s="214">
        <v>15157155.103199998</v>
      </c>
      <c r="D214" s="214">
        <v>11451462</v>
      </c>
      <c r="E214" s="215">
        <v>5000000</v>
      </c>
      <c r="F214" s="215"/>
      <c r="G214" s="215"/>
    </row>
    <row r="215" spans="2:7" x14ac:dyDescent="0.25">
      <c r="B215" s="48">
        <v>44194</v>
      </c>
      <c r="C215" s="214">
        <v>22230785.872799996</v>
      </c>
      <c r="D215" s="214">
        <v>16795698</v>
      </c>
      <c r="E215" s="216">
        <v>10000000</v>
      </c>
      <c r="F215" s="216" t="s">
        <v>83</v>
      </c>
      <c r="G215" s="215"/>
    </row>
    <row r="216" spans="2:7" x14ac:dyDescent="0.25">
      <c r="B216" s="48">
        <v>44201</v>
      </c>
      <c r="C216" s="214">
        <v>12551123.033999998</v>
      </c>
      <c r="D216" s="214">
        <v>9482565</v>
      </c>
      <c r="E216" s="216">
        <v>2000000</v>
      </c>
      <c r="F216" s="216" t="s">
        <v>85</v>
      </c>
      <c r="G216" s="215"/>
    </row>
    <row r="217" spans="2:7" x14ac:dyDescent="0.25">
      <c r="B217" s="48">
        <v>44208</v>
      </c>
      <c r="C217" s="214">
        <v>16843688.8704</v>
      </c>
      <c r="D217" s="214">
        <v>12725664</v>
      </c>
      <c r="E217" s="215">
        <v>5000000</v>
      </c>
      <c r="F217" s="215"/>
      <c r="G217" s="215"/>
    </row>
    <row r="218" spans="2:7" x14ac:dyDescent="0.25">
      <c r="B218" s="48">
        <v>44215</v>
      </c>
      <c r="C218" s="214">
        <v>23683328.337599996</v>
      </c>
      <c r="D218" s="214">
        <v>17893116</v>
      </c>
      <c r="E218" s="215">
        <v>10000000</v>
      </c>
      <c r="F218" s="215"/>
      <c r="G218" s="215"/>
    </row>
    <row r="219" spans="2:7" x14ac:dyDescent="0.25">
      <c r="B219" s="48">
        <v>44222</v>
      </c>
      <c r="C219" s="214">
        <v>34214549.090399995</v>
      </c>
      <c r="D219" s="214">
        <v>25849614</v>
      </c>
      <c r="E219" s="215">
        <v>20000000</v>
      </c>
      <c r="F219" s="215"/>
      <c r="G219" s="215"/>
    </row>
    <row r="220" spans="2:7" x14ac:dyDescent="0.25">
      <c r="B220" s="48">
        <v>44229</v>
      </c>
      <c r="C220" s="214">
        <v>42505579.490399994</v>
      </c>
      <c r="D220" s="214">
        <v>32113614</v>
      </c>
      <c r="E220" s="215">
        <v>30000000</v>
      </c>
      <c r="F220" s="215"/>
      <c r="G220" s="215"/>
    </row>
    <row r="221" spans="2:7" x14ac:dyDescent="0.25">
      <c r="B221" s="48">
        <v>44236</v>
      </c>
      <c r="C221" s="214">
        <v>12332907.719999999</v>
      </c>
      <c r="D221" s="214">
        <v>9317700</v>
      </c>
      <c r="E221" s="215">
        <v>2000000</v>
      </c>
      <c r="F221" s="215"/>
      <c r="G221" s="215"/>
    </row>
    <row r="222" spans="2:7" x14ac:dyDescent="0.25">
      <c r="B222" s="48">
        <v>44243</v>
      </c>
      <c r="C222" s="214">
        <v>14137358.363999998</v>
      </c>
      <c r="D222" s="214">
        <v>10680990</v>
      </c>
      <c r="E222" s="215">
        <v>5000000</v>
      </c>
      <c r="F222" s="215"/>
      <c r="G222" s="215"/>
    </row>
    <row r="223" spans="2:7" x14ac:dyDescent="0.25">
      <c r="B223" s="48">
        <v>44250</v>
      </c>
      <c r="C223" s="214">
        <v>25465324.107599996</v>
      </c>
      <c r="D223" s="214">
        <v>19239441</v>
      </c>
      <c r="E223" s="215">
        <v>10000000</v>
      </c>
      <c r="F223" s="215"/>
      <c r="G223" s="215"/>
    </row>
    <row r="224" spans="2:7" x14ac:dyDescent="0.25">
      <c r="B224" s="48">
        <v>44257</v>
      </c>
      <c r="C224" s="214">
        <v>31767658.743599996</v>
      </c>
      <c r="D224" s="214">
        <v>24000951</v>
      </c>
      <c r="E224" s="215">
        <v>20000000</v>
      </c>
      <c r="F224" s="215"/>
      <c r="G224" s="215"/>
    </row>
    <row r="225" spans="2:7" x14ac:dyDescent="0.25">
      <c r="B225" s="48">
        <v>44264</v>
      </c>
      <c r="C225" s="214">
        <v>40929477.641999997</v>
      </c>
      <c r="D225" s="214">
        <v>30922845</v>
      </c>
      <c r="E225" s="215">
        <v>30000000</v>
      </c>
      <c r="F225" s="215"/>
      <c r="G225" s="215"/>
    </row>
    <row r="226" spans="2:7" x14ac:dyDescent="0.25">
      <c r="B226" s="48">
        <v>44271</v>
      </c>
      <c r="C226" s="214">
        <v>11947144.499999998</v>
      </c>
      <c r="D226" s="214">
        <v>9026250</v>
      </c>
      <c r="E226" s="215">
        <v>2000000</v>
      </c>
      <c r="F226" s="215"/>
      <c r="G226" s="215"/>
    </row>
    <row r="227" spans="2:7" x14ac:dyDescent="0.25">
      <c r="B227" s="48">
        <v>44278</v>
      </c>
      <c r="C227" s="214">
        <v>15634119.657599999</v>
      </c>
      <c r="D227" s="214">
        <v>11811816</v>
      </c>
      <c r="E227" s="215">
        <v>5000000</v>
      </c>
      <c r="F227" s="215"/>
      <c r="G227" s="215"/>
    </row>
    <row r="228" spans="2:7" x14ac:dyDescent="0.25">
      <c r="B228" s="48">
        <v>44285</v>
      </c>
      <c r="C228" s="214">
        <v>25531076.584799998</v>
      </c>
      <c r="D228" s="214">
        <v>19289118</v>
      </c>
      <c r="E228" s="215">
        <v>15000000</v>
      </c>
      <c r="F228" s="215"/>
      <c r="G228" s="215"/>
    </row>
    <row r="229" spans="2:7" x14ac:dyDescent="0.25">
      <c r="B229" s="48">
        <v>44292</v>
      </c>
      <c r="C229" s="214">
        <v>29193984.723599996</v>
      </c>
      <c r="D229" s="214">
        <v>22056501</v>
      </c>
      <c r="E229" s="215">
        <v>25000000</v>
      </c>
      <c r="F229" s="215"/>
      <c r="G229" s="215"/>
    </row>
    <row r="230" spans="2:7" x14ac:dyDescent="0.25">
      <c r="B230" s="48">
        <v>44299</v>
      </c>
      <c r="C230" s="214">
        <v>35857900.407600001</v>
      </c>
      <c r="D230" s="214">
        <v>27091191</v>
      </c>
      <c r="E230" s="215">
        <v>35000000</v>
      </c>
      <c r="F230" s="215"/>
      <c r="G230" s="215"/>
    </row>
    <row r="231" spans="2:7" x14ac:dyDescent="0.25">
      <c r="B231" s="48">
        <v>44306</v>
      </c>
      <c r="C231" s="214">
        <v>11570248.076399999</v>
      </c>
      <c r="D231" s="214">
        <v>8741499</v>
      </c>
      <c r="E231" s="215">
        <v>2000000</v>
      </c>
      <c r="F231" s="215"/>
      <c r="G231" s="215"/>
    </row>
    <row r="232" spans="2:7" x14ac:dyDescent="0.25">
      <c r="B232" s="48">
        <v>44313</v>
      </c>
      <c r="C232" s="214">
        <v>15618228.515999999</v>
      </c>
      <c r="D232" s="214">
        <v>11799810</v>
      </c>
      <c r="E232" s="215">
        <v>5000000</v>
      </c>
      <c r="F232" s="215"/>
      <c r="G232" s="215"/>
    </row>
    <row r="233" spans="2:7" x14ac:dyDescent="0.25">
      <c r="B233" s="48">
        <v>44320</v>
      </c>
      <c r="C233" s="214">
        <v>23881967.6076</v>
      </c>
      <c r="D233" s="214">
        <v>18043191</v>
      </c>
      <c r="E233" s="215">
        <v>15000000</v>
      </c>
      <c r="F233" s="215"/>
      <c r="G233" s="215"/>
    </row>
    <row r="234" spans="2:7" x14ac:dyDescent="0.25">
      <c r="B234" s="48">
        <v>44327</v>
      </c>
      <c r="C234" s="214">
        <v>11398439.501999998</v>
      </c>
      <c r="D234" s="214">
        <v>8611695</v>
      </c>
      <c r="E234" s="215">
        <v>2000000</v>
      </c>
      <c r="F234" s="215"/>
      <c r="G234" s="215"/>
    </row>
    <row r="235" spans="2:7" x14ac:dyDescent="0.25">
      <c r="B235" s="48">
        <v>44334</v>
      </c>
      <c r="C235" s="214">
        <v>16140908.890799999</v>
      </c>
      <c r="D235" s="214">
        <v>12194703</v>
      </c>
      <c r="E235" s="215">
        <v>5000000</v>
      </c>
      <c r="F235" s="215"/>
      <c r="G235" s="215"/>
    </row>
    <row r="236" spans="2:7" x14ac:dyDescent="0.25">
      <c r="B236" s="48">
        <v>44341</v>
      </c>
      <c r="C236" s="214">
        <v>10947384.417599998</v>
      </c>
      <c r="D236" s="214">
        <v>8270916</v>
      </c>
      <c r="E236" s="215">
        <v>2000000</v>
      </c>
      <c r="F236" s="215"/>
      <c r="G236" s="215"/>
    </row>
    <row r="237" spans="2:7" x14ac:dyDescent="0.25">
      <c r="B237" s="48">
        <v>44348</v>
      </c>
      <c r="C237" s="214">
        <v>15397249.525199998</v>
      </c>
      <c r="D237" s="214">
        <v>11632857</v>
      </c>
      <c r="E237" s="215">
        <v>5000000</v>
      </c>
      <c r="F237" s="215"/>
      <c r="G237" s="215"/>
    </row>
    <row r="238" spans="2:7" x14ac:dyDescent="0.25">
      <c r="B238" s="48">
        <v>44355</v>
      </c>
      <c r="C238" s="214">
        <v>23553090.068399999</v>
      </c>
      <c r="D238" s="214">
        <v>17794719</v>
      </c>
      <c r="E238" s="216">
        <v>10000000</v>
      </c>
      <c r="F238" s="216" t="s">
        <v>83</v>
      </c>
      <c r="G238" s="216" t="s">
        <v>83</v>
      </c>
    </row>
    <row r="239" spans="2:7" x14ac:dyDescent="0.25">
      <c r="B239" s="48">
        <v>44362</v>
      </c>
      <c r="C239" s="214">
        <v>12093389.063999999</v>
      </c>
      <c r="D239" s="214">
        <v>9136740</v>
      </c>
      <c r="E239" s="215">
        <v>2000000</v>
      </c>
      <c r="F239" s="215"/>
      <c r="G239" s="215"/>
    </row>
    <row r="240" spans="2:7" x14ac:dyDescent="0.25">
      <c r="B240" s="48">
        <v>44369</v>
      </c>
      <c r="C240" s="214">
        <v>15056165.746799998</v>
      </c>
      <c r="D240" s="214">
        <v>11375163</v>
      </c>
      <c r="E240" s="215">
        <v>5000000</v>
      </c>
      <c r="F240" s="215"/>
      <c r="G240" s="215"/>
    </row>
    <row r="241" spans="2:7" x14ac:dyDescent="0.25">
      <c r="B241" s="38">
        <v>44376</v>
      </c>
      <c r="C241" s="214">
        <v>19729658.368799999</v>
      </c>
      <c r="D241" s="214">
        <v>14906058</v>
      </c>
      <c r="E241" s="215">
        <v>10000000</v>
      </c>
      <c r="F241" s="81"/>
      <c r="G241" s="81"/>
    </row>
    <row r="242" spans="2:7" x14ac:dyDescent="0.25">
      <c r="B242" s="38">
        <v>44383</v>
      </c>
      <c r="C242" s="214">
        <v>34282144.018799998</v>
      </c>
      <c r="D242" s="214">
        <v>25900683</v>
      </c>
      <c r="E242" s="216">
        <v>20000000</v>
      </c>
      <c r="F242" s="216" t="s">
        <v>85</v>
      </c>
      <c r="G242" s="216" t="s">
        <v>85</v>
      </c>
    </row>
    <row r="243" spans="2:7" x14ac:dyDescent="0.25">
      <c r="B243" s="38">
        <v>44390</v>
      </c>
      <c r="C243" s="214">
        <v>11890604.2788</v>
      </c>
      <c r="D243" s="214">
        <v>8983533</v>
      </c>
      <c r="E243" s="215">
        <v>2000000</v>
      </c>
      <c r="F243" s="215"/>
      <c r="G243" s="215"/>
    </row>
    <row r="244" spans="2:7" x14ac:dyDescent="0.25">
      <c r="B244" s="38">
        <v>44397</v>
      </c>
      <c r="C244" s="214">
        <v>14572176.847199999</v>
      </c>
      <c r="D244" s="214">
        <v>11009502</v>
      </c>
      <c r="E244" s="215">
        <v>5000000</v>
      </c>
      <c r="F244" s="215"/>
      <c r="G244" s="215"/>
    </row>
    <row r="245" spans="2:7" x14ac:dyDescent="0.25">
      <c r="B245" s="38">
        <v>44404</v>
      </c>
      <c r="C245" s="214">
        <v>19142146.742399998</v>
      </c>
      <c r="D245" s="214">
        <v>14462184</v>
      </c>
      <c r="E245" s="215">
        <v>10000000</v>
      </c>
      <c r="F245" s="215"/>
      <c r="G245" s="215"/>
    </row>
    <row r="246" spans="2:7" x14ac:dyDescent="0.25">
      <c r="B246" s="38">
        <v>44411</v>
      </c>
      <c r="C246" s="214">
        <v>10704526.318799999</v>
      </c>
      <c r="D246" s="214">
        <v>8087433</v>
      </c>
      <c r="E246" s="215">
        <v>2000000</v>
      </c>
      <c r="F246" s="215"/>
      <c r="G246" s="215"/>
    </row>
    <row r="247" spans="2:7" x14ac:dyDescent="0.25">
      <c r="B247" s="38">
        <v>44418</v>
      </c>
      <c r="C247" s="214">
        <v>14124346.052399999</v>
      </c>
      <c r="D247" s="214">
        <v>10671159</v>
      </c>
      <c r="E247" s="215">
        <v>5000000</v>
      </c>
      <c r="F247" s="215"/>
      <c r="G247" s="215"/>
    </row>
    <row r="248" spans="2:7" x14ac:dyDescent="0.25">
      <c r="B248" s="38">
        <v>44425</v>
      </c>
      <c r="C248" s="214">
        <v>25525318.924799997</v>
      </c>
      <c r="D248" s="214">
        <v>19284768</v>
      </c>
      <c r="E248" s="215">
        <v>10000000</v>
      </c>
      <c r="F248" s="215"/>
      <c r="G248" s="215"/>
    </row>
    <row r="249" spans="2:7" x14ac:dyDescent="0.25">
      <c r="B249" s="38">
        <v>44432</v>
      </c>
      <c r="C249" s="214">
        <v>12753677.512799999</v>
      </c>
      <c r="D249" s="214">
        <v>9635598</v>
      </c>
      <c r="E249" s="215">
        <v>2000000</v>
      </c>
      <c r="F249" s="215"/>
      <c r="G249" s="215"/>
    </row>
    <row r="250" spans="2:7" x14ac:dyDescent="0.25">
      <c r="B250" s="38">
        <v>44439</v>
      </c>
      <c r="C250" s="214">
        <v>14127800.648399999</v>
      </c>
      <c r="D250" s="214">
        <v>10673769</v>
      </c>
      <c r="E250" s="215">
        <v>5000000</v>
      </c>
      <c r="F250" s="215"/>
      <c r="G250" s="215"/>
    </row>
    <row r="251" spans="2:7" x14ac:dyDescent="0.25">
      <c r="B251" s="38">
        <v>44446</v>
      </c>
      <c r="C251" s="214">
        <v>24996650.5836</v>
      </c>
      <c r="D251" s="214">
        <v>18885351</v>
      </c>
      <c r="E251" s="215">
        <v>10000000</v>
      </c>
      <c r="F251" s="215"/>
      <c r="G251" s="215"/>
    </row>
    <row r="252" spans="2:7" x14ac:dyDescent="0.25">
      <c r="B252" s="38">
        <v>44453</v>
      </c>
      <c r="C252" s="214">
        <v>33505896.297599997</v>
      </c>
      <c r="D252" s="214">
        <v>25314216</v>
      </c>
      <c r="E252" s="215">
        <v>20000000</v>
      </c>
      <c r="F252" s="215"/>
      <c r="G252" s="215"/>
    </row>
    <row r="253" spans="2:7" x14ac:dyDescent="0.25">
      <c r="B253" s="38">
        <v>44460</v>
      </c>
      <c r="C253" s="214">
        <v>47502767.757599995</v>
      </c>
      <c r="D253" s="214">
        <v>35889066</v>
      </c>
      <c r="E253" s="215">
        <v>30000000</v>
      </c>
      <c r="F253" s="215"/>
    </row>
    <row r="254" spans="2:7" x14ac:dyDescent="0.25">
      <c r="B254" s="38">
        <v>44467</v>
      </c>
      <c r="C254" s="214">
        <v>12466139.972399998</v>
      </c>
      <c r="D254" s="214">
        <v>9418359</v>
      </c>
      <c r="E254" s="215">
        <v>2000000</v>
      </c>
      <c r="F254" s="215"/>
      <c r="G254" s="215">
        <f>COUNTIF(E268:E294,"&lt;"&amp;10000000)</f>
        <v>16</v>
      </c>
    </row>
    <row r="255" spans="2:7" x14ac:dyDescent="0.25">
      <c r="B255" s="38">
        <v>44474</v>
      </c>
      <c r="C255" s="214">
        <v>17788751.182799999</v>
      </c>
      <c r="D255" s="214">
        <v>13439673</v>
      </c>
      <c r="E255" s="215">
        <v>5000000</v>
      </c>
      <c r="F255" s="215"/>
      <c r="G255" s="215"/>
    </row>
    <row r="256" spans="2:7" x14ac:dyDescent="0.25">
      <c r="B256" s="38">
        <v>44481</v>
      </c>
      <c r="C256" s="214">
        <v>21415040.603999998</v>
      </c>
      <c r="D256" s="214">
        <v>16179390</v>
      </c>
      <c r="E256" s="215">
        <v>10000000</v>
      </c>
      <c r="F256" s="215"/>
      <c r="G256" s="215"/>
    </row>
    <row r="257" spans="2:7" x14ac:dyDescent="0.25">
      <c r="B257" s="38">
        <v>44488</v>
      </c>
      <c r="C257" s="214">
        <v>26584382.905199997</v>
      </c>
      <c r="D257" s="214">
        <v>20084907</v>
      </c>
      <c r="E257" s="215">
        <v>20000000</v>
      </c>
      <c r="F257" s="215"/>
      <c r="G257" s="215"/>
    </row>
    <row r="258" spans="2:7" x14ac:dyDescent="0.25">
      <c r="B258" s="38">
        <v>44495</v>
      </c>
      <c r="C258" s="214">
        <v>42628793.414399996</v>
      </c>
      <c r="D258" s="214">
        <v>32206704</v>
      </c>
      <c r="E258" s="215">
        <v>30000000</v>
      </c>
      <c r="F258" s="215"/>
      <c r="G258" s="215"/>
    </row>
    <row r="259" spans="2:7" x14ac:dyDescent="0.25">
      <c r="B259" s="38">
        <v>44502</v>
      </c>
      <c r="C259" s="214">
        <v>69523859.653200001</v>
      </c>
      <c r="D259" s="214">
        <v>52526337</v>
      </c>
      <c r="E259" s="215">
        <v>50000000</v>
      </c>
      <c r="F259" s="215"/>
      <c r="G259" s="215"/>
    </row>
    <row r="260" spans="2:7" x14ac:dyDescent="0.25">
      <c r="B260" s="38">
        <v>44509</v>
      </c>
      <c r="C260" s="214">
        <v>12833824.139999999</v>
      </c>
      <c r="D260" s="214">
        <v>9696150</v>
      </c>
      <c r="E260" s="215">
        <v>2000000</v>
      </c>
      <c r="F260" s="215"/>
      <c r="G260" s="215"/>
    </row>
    <row r="261" spans="2:7" x14ac:dyDescent="0.25">
      <c r="B261" s="38">
        <v>44516</v>
      </c>
      <c r="C261" s="214">
        <v>14205298.751999998</v>
      </c>
      <c r="D261" s="214">
        <v>10732320</v>
      </c>
      <c r="E261" s="215">
        <v>5000000</v>
      </c>
      <c r="F261" s="215"/>
      <c r="G261" s="215"/>
    </row>
    <row r="262" spans="2:7" x14ac:dyDescent="0.25">
      <c r="B262" s="38">
        <v>44523</v>
      </c>
      <c r="C262" s="214">
        <v>24546171.265199997</v>
      </c>
      <c r="D262" s="214">
        <v>18545007</v>
      </c>
      <c r="E262" s="215">
        <v>10000000</v>
      </c>
      <c r="F262" s="215"/>
      <c r="G262" s="215"/>
    </row>
    <row r="263" spans="2:7" x14ac:dyDescent="0.25">
      <c r="B263" s="38">
        <v>44530</v>
      </c>
      <c r="C263" s="214">
        <v>26834150.195999999</v>
      </c>
      <c r="D263" s="214">
        <v>20273610</v>
      </c>
      <c r="E263" s="215">
        <v>20000000</v>
      </c>
      <c r="F263" s="215"/>
      <c r="G263" s="215"/>
    </row>
    <row r="264" spans="2:7" x14ac:dyDescent="0.25">
      <c r="B264" s="38">
        <v>44537</v>
      </c>
      <c r="C264" s="214">
        <v>41794278.173999995</v>
      </c>
      <c r="D264" s="214">
        <v>31576215</v>
      </c>
      <c r="E264" s="215">
        <v>30000000</v>
      </c>
      <c r="G264" s="215"/>
    </row>
    <row r="265" spans="2:7" x14ac:dyDescent="0.25">
      <c r="B265" s="38">
        <v>44544</v>
      </c>
      <c r="C265" s="214">
        <v>11685516.429599999</v>
      </c>
      <c r="D265" s="214">
        <v>8828586</v>
      </c>
      <c r="E265" s="216">
        <v>2000000</v>
      </c>
      <c r="F265" s="216" t="s">
        <v>83</v>
      </c>
      <c r="G265" s="215"/>
    </row>
    <row r="266" spans="2:7" x14ac:dyDescent="0.25">
      <c r="B266" s="38">
        <v>44551</v>
      </c>
      <c r="C266" s="214">
        <v>12547668.437999999</v>
      </c>
      <c r="D266" s="214">
        <v>9479955</v>
      </c>
      <c r="E266" s="215">
        <v>2000000</v>
      </c>
      <c r="F266" s="215"/>
      <c r="G266" s="215"/>
    </row>
    <row r="267" spans="2:7" x14ac:dyDescent="0.25">
      <c r="B267" s="38">
        <v>44558</v>
      </c>
      <c r="C267" s="214">
        <v>11556314.539199999</v>
      </c>
      <c r="D267" s="214">
        <v>8730972</v>
      </c>
      <c r="E267" s="215">
        <v>5000000</v>
      </c>
      <c r="F267" s="81"/>
      <c r="G267" s="215"/>
    </row>
    <row r="268" spans="2:7" x14ac:dyDescent="0.25">
      <c r="B268" s="38">
        <v>44565</v>
      </c>
      <c r="C268" s="214">
        <v>18391808.4912</v>
      </c>
      <c r="D268" s="214">
        <v>13895292</v>
      </c>
      <c r="E268" s="216">
        <v>10000000</v>
      </c>
      <c r="F268" s="216" t="s">
        <v>85</v>
      </c>
      <c r="G268" s="215"/>
    </row>
    <row r="269" spans="2:7" x14ac:dyDescent="0.25">
      <c r="B269" s="38">
        <v>44572</v>
      </c>
      <c r="C269" s="214">
        <v>32928633.305999998</v>
      </c>
      <c r="D269" s="214">
        <v>24878085</v>
      </c>
      <c r="E269" s="215">
        <v>20000000</v>
      </c>
      <c r="F269" s="215"/>
      <c r="G269" s="215"/>
    </row>
    <row r="270" spans="2:7" x14ac:dyDescent="0.25">
      <c r="B270" s="38">
        <v>44579</v>
      </c>
      <c r="C270" s="214">
        <v>41949159.228</v>
      </c>
      <c r="D270" s="214">
        <v>31693230</v>
      </c>
      <c r="E270" s="215">
        <v>30000000</v>
      </c>
      <c r="F270" s="215"/>
      <c r="G270" s="215"/>
    </row>
    <row r="271" spans="2:7" x14ac:dyDescent="0.25">
      <c r="B271" s="38">
        <v>44586</v>
      </c>
      <c r="C271" s="214">
        <v>63666937.594799995</v>
      </c>
      <c r="D271" s="214">
        <v>48101343</v>
      </c>
      <c r="E271" s="215">
        <v>50000000</v>
      </c>
      <c r="F271" s="215"/>
      <c r="G271" s="215"/>
    </row>
    <row r="272" spans="2:7" x14ac:dyDescent="0.25">
      <c r="B272" s="38">
        <v>44593</v>
      </c>
      <c r="C272" s="214">
        <v>12281203.9332</v>
      </c>
      <c r="D272" s="214">
        <v>9278637</v>
      </c>
      <c r="E272" s="215">
        <v>2000000</v>
      </c>
      <c r="F272" s="215"/>
      <c r="G272" s="215"/>
    </row>
    <row r="273" spans="2:7" x14ac:dyDescent="0.25">
      <c r="B273" s="38">
        <v>44600</v>
      </c>
      <c r="C273" s="214">
        <v>14661996.343199998</v>
      </c>
      <c r="D273" s="214">
        <v>11077362</v>
      </c>
      <c r="E273" s="215">
        <v>5000000</v>
      </c>
      <c r="F273" s="215"/>
      <c r="G273" s="215"/>
    </row>
    <row r="274" spans="2:7" x14ac:dyDescent="0.25">
      <c r="B274" s="38">
        <v>44607</v>
      </c>
      <c r="C274" s="214">
        <v>19117158.498</v>
      </c>
      <c r="D274" s="214">
        <v>14443305</v>
      </c>
      <c r="E274" s="215">
        <v>10000000</v>
      </c>
      <c r="F274" s="215"/>
      <c r="G274" s="215"/>
    </row>
    <row r="275" spans="2:7" x14ac:dyDescent="0.25">
      <c r="B275" s="38">
        <v>44614</v>
      </c>
      <c r="C275" s="214">
        <v>10870922.692799998</v>
      </c>
      <c r="D275" s="214">
        <v>8213148</v>
      </c>
      <c r="E275" s="215">
        <v>2000000</v>
      </c>
      <c r="F275" s="215"/>
      <c r="G275" s="215"/>
    </row>
    <row r="276" spans="2:7" x14ac:dyDescent="0.25">
      <c r="B276" s="38">
        <v>44621</v>
      </c>
      <c r="C276" s="214">
        <v>16658637.677999999</v>
      </c>
      <c r="D276" s="214">
        <v>12585855</v>
      </c>
      <c r="E276" s="215">
        <v>5000000</v>
      </c>
      <c r="F276" s="215"/>
      <c r="G276" s="215"/>
    </row>
    <row r="277" spans="2:7" x14ac:dyDescent="0.25">
      <c r="B277" s="38">
        <v>44628</v>
      </c>
      <c r="C277" s="214">
        <v>24274640.019599997</v>
      </c>
      <c r="D277" s="214">
        <v>18339861</v>
      </c>
      <c r="E277" s="215">
        <v>10000000</v>
      </c>
      <c r="F277" s="215"/>
      <c r="G277" s="215"/>
    </row>
    <row r="278" spans="2:7" x14ac:dyDescent="0.25">
      <c r="B278" s="38">
        <v>44635</v>
      </c>
      <c r="C278" s="214">
        <v>11446458.386399999</v>
      </c>
      <c r="D278" s="214">
        <v>8647974</v>
      </c>
      <c r="E278" s="215">
        <v>2000000</v>
      </c>
      <c r="F278" s="81"/>
      <c r="G278" s="81"/>
    </row>
    <row r="279" spans="2:7" x14ac:dyDescent="0.25">
      <c r="B279" s="38">
        <v>44635</v>
      </c>
      <c r="C279" s="214">
        <v>11446458.386399999</v>
      </c>
      <c r="D279" s="214">
        <v>8647974</v>
      </c>
      <c r="E279" s="215">
        <v>2000000</v>
      </c>
      <c r="F279" s="81"/>
      <c r="G279" s="81"/>
    </row>
    <row r="280" spans="2:7" x14ac:dyDescent="0.25">
      <c r="B280" s="38">
        <v>44642</v>
      </c>
      <c r="C280" s="214">
        <v>19871642.264399998</v>
      </c>
      <c r="D280" s="214">
        <v>15013329</v>
      </c>
      <c r="E280" s="215">
        <v>5000000</v>
      </c>
      <c r="F280" s="81"/>
      <c r="G280" s="81"/>
    </row>
    <row r="281" spans="2:7" x14ac:dyDescent="0.25">
      <c r="B281" s="38">
        <v>44649</v>
      </c>
      <c r="C281" s="214">
        <v>12808375.282799998</v>
      </c>
      <c r="D281" s="214">
        <v>9676923</v>
      </c>
      <c r="E281" s="215">
        <v>2000000</v>
      </c>
      <c r="F281" s="105"/>
      <c r="G281" s="105"/>
    </row>
    <row r="282" spans="2:7" x14ac:dyDescent="0.25">
      <c r="B282" s="38">
        <v>44656</v>
      </c>
      <c r="C282" s="214">
        <v>10120009</v>
      </c>
      <c r="D282" s="214">
        <v>7645821</v>
      </c>
      <c r="E282" s="215">
        <v>2000000</v>
      </c>
    </row>
    <row r="283" spans="2:7" x14ac:dyDescent="0.25">
      <c r="B283" s="38">
        <v>44663</v>
      </c>
      <c r="C283" s="214">
        <v>15115699.951199999</v>
      </c>
      <c r="D283" s="214">
        <v>11420142</v>
      </c>
      <c r="E283" s="215">
        <v>5000000</v>
      </c>
    </row>
    <row r="284" spans="2:7" x14ac:dyDescent="0.25">
      <c r="B284" s="38">
        <v>44670</v>
      </c>
      <c r="C284" s="214">
        <v>21888780.868799999</v>
      </c>
      <c r="D284" s="214">
        <v>16537308</v>
      </c>
      <c r="E284" s="215">
        <v>10000000</v>
      </c>
    </row>
    <row r="285" spans="2:7" x14ac:dyDescent="0.25">
      <c r="B285" s="38">
        <v>44677</v>
      </c>
      <c r="C285" s="214">
        <v>27417401.153999999</v>
      </c>
      <c r="D285" s="214">
        <v>20714265</v>
      </c>
      <c r="E285" s="215">
        <v>20000000</v>
      </c>
    </row>
    <row r="286" spans="2:7" x14ac:dyDescent="0.25">
      <c r="B286" s="38">
        <v>44684</v>
      </c>
      <c r="C286" s="214">
        <v>10298956.748399999</v>
      </c>
      <c r="D286" s="214">
        <v>7781019</v>
      </c>
      <c r="E286" s="215">
        <v>2000000</v>
      </c>
    </row>
    <row r="287" spans="2:7" x14ac:dyDescent="0.25">
      <c r="B287" s="38">
        <v>44691</v>
      </c>
      <c r="C287" s="214">
        <v>14269554.237599999</v>
      </c>
      <c r="D287" s="214">
        <v>10780866</v>
      </c>
      <c r="E287" s="215">
        <v>5000000</v>
      </c>
    </row>
    <row r="288" spans="2:7" x14ac:dyDescent="0.25">
      <c r="B288" s="38">
        <v>44698</v>
      </c>
      <c r="C288" s="214">
        <v>20544632.419999998</v>
      </c>
      <c r="D288" s="214">
        <v>14327800</v>
      </c>
      <c r="E288" s="215">
        <v>10000000</v>
      </c>
    </row>
    <row r="289" spans="2:7" x14ac:dyDescent="0.25">
      <c r="B289" s="38">
        <v>44705</v>
      </c>
      <c r="C289" s="214">
        <v>10101687.8456</v>
      </c>
      <c r="D289" s="214">
        <v>7044904</v>
      </c>
      <c r="E289" s="215">
        <v>3000000</v>
      </c>
    </row>
    <row r="290" spans="2:7" x14ac:dyDescent="0.25">
      <c r="B290" s="38">
        <v>44712</v>
      </c>
      <c r="C290" s="214">
        <v>15935426.829399999</v>
      </c>
      <c r="D290" s="214">
        <v>11113346</v>
      </c>
      <c r="E290" s="215">
        <v>5000000</v>
      </c>
      <c r="F290" s="216" t="s">
        <v>83</v>
      </c>
    </row>
    <row r="291" spans="2:7" x14ac:dyDescent="0.25">
      <c r="B291" s="38">
        <v>44719</v>
      </c>
      <c r="C291" s="214">
        <v>14605828.715399999</v>
      </c>
      <c r="D291" s="214">
        <v>10186086</v>
      </c>
      <c r="E291" s="215">
        <v>3000000</v>
      </c>
    </row>
    <row r="292" spans="2:7" x14ac:dyDescent="0.25">
      <c r="B292" s="38">
        <v>44726</v>
      </c>
      <c r="C292" s="214">
        <v>12804661.0406</v>
      </c>
      <c r="D292" s="214">
        <v>8929954</v>
      </c>
      <c r="E292" s="215">
        <v>5000000</v>
      </c>
    </row>
    <row r="293" spans="2:7" x14ac:dyDescent="0.25">
      <c r="B293" s="38">
        <v>44733</v>
      </c>
      <c r="C293" s="214">
        <v>17098367.048099998</v>
      </c>
      <c r="D293" s="214">
        <v>11924379</v>
      </c>
      <c r="E293" s="215">
        <v>10000000</v>
      </c>
    </row>
    <row r="294" spans="2:7" x14ac:dyDescent="0.25">
      <c r="B294" s="38">
        <v>44740</v>
      </c>
      <c r="C294" s="214">
        <v>20776344.924399998</v>
      </c>
      <c r="D294" s="214">
        <v>14489396</v>
      </c>
      <c r="E294" s="215">
        <v>20000000</v>
      </c>
    </row>
    <row r="295" spans="2:7" x14ac:dyDescent="0.25">
      <c r="B295" s="38">
        <v>44747</v>
      </c>
      <c r="C295" s="214">
        <v>40891861.260899998</v>
      </c>
      <c r="D295" s="214">
        <v>28517931</v>
      </c>
      <c r="E295" s="215">
        <v>30000000</v>
      </c>
      <c r="F295" s="216" t="s">
        <v>85</v>
      </c>
      <c r="G295" s="216" t="s">
        <v>85</v>
      </c>
    </row>
    <row r="298" spans="2:7" x14ac:dyDescent="0.25">
      <c r="G298" s="215">
        <f>COUNTIF(E312:E338,"&lt;"&amp;10000000)</f>
        <v>0</v>
      </c>
    </row>
  </sheetData>
  <sortState xmlns:xlrd2="http://schemas.microsoft.com/office/spreadsheetml/2017/richdata2" ref="GJ8:GJ34">
    <sortCondition ref="GJ8:GJ34"/>
  </sortState>
  <pageMargins left="0.7" right="0.7" top="0.75" bottom="0.75" header="0.3" footer="0.3"/>
  <pageSetup paperSize="9" scale="96" orientation="portrait"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F03B0-6070-41F0-9379-60E7737678AA}">
  <sheetPr codeName="Sheet23">
    <tabColor theme="4" tint="0.79998168889431442"/>
    <pageSetUpPr autoPageBreaks="0"/>
  </sheetPr>
  <dimension ref="B1:EY395"/>
  <sheetViews>
    <sheetView topLeftCell="G1" zoomScale="70" zoomScaleNormal="70" workbookViewId="0">
      <selection activeCell="O30" sqref="O23:O30"/>
    </sheetView>
  </sheetViews>
  <sheetFormatPr defaultRowHeight="15" outlineLevelCol="1" x14ac:dyDescent="0.25"/>
  <cols>
    <col min="1" max="1" width="2.7109375" style="85" customWidth="1"/>
    <col min="2" max="2" width="10.7109375" style="2" bestFit="1" customWidth="1"/>
    <col min="3" max="3" width="11.28515625" style="2" bestFit="1" customWidth="1"/>
    <col min="4" max="4" width="11.28515625" style="2" customWidth="1"/>
    <col min="5" max="5" width="2.7109375" style="85" customWidth="1"/>
    <col min="6" max="6" width="7.5703125" style="2" bestFit="1" customWidth="1"/>
    <col min="7" max="7" width="10.7109375" style="2" bestFit="1" customWidth="1"/>
    <col min="8" max="8" width="11.28515625" style="2" bestFit="1" customWidth="1"/>
    <col min="9" max="9" width="2.7109375" style="85" customWidth="1"/>
    <col min="10" max="11" width="5.140625" style="85" bestFit="1" customWidth="1"/>
    <col min="12" max="12" width="13.7109375" style="86" bestFit="1" customWidth="1"/>
    <col min="13" max="14" width="13" style="2" bestFit="1" customWidth="1"/>
    <col min="15" max="18" width="13.28515625" style="81" customWidth="1"/>
    <col min="19" max="19" width="13.28515625" style="81" customWidth="1" outlineLevel="1"/>
    <col min="20" max="21" width="13.28515625" style="81" customWidth="1"/>
    <col min="22" max="22" width="13.28515625" style="81" customWidth="1" outlineLevel="1"/>
    <col min="23" max="23" width="13.28515625" style="81" customWidth="1"/>
    <col min="24" max="24" width="2.7109375" style="81" customWidth="1"/>
    <col min="25" max="30" width="15.42578125" style="85" customWidth="1"/>
    <col min="31" max="31" width="5.7109375" style="85" bestFit="1" customWidth="1"/>
    <col min="32" max="32" width="5.7109375" style="85" customWidth="1"/>
    <col min="33" max="33" width="2.7109375" style="85" customWidth="1"/>
    <col min="34" max="34" width="18.42578125" customWidth="1"/>
    <col min="35" max="35" width="12.28515625" bestFit="1" customWidth="1"/>
    <col min="36" max="36" width="4.140625" bestFit="1" customWidth="1"/>
    <col min="37" max="37" width="12.28515625" bestFit="1" customWidth="1"/>
    <col min="38" max="38" width="12.7109375" customWidth="1"/>
    <col min="39" max="40" width="2.7109375" customWidth="1"/>
    <col min="41" max="41" width="12.5703125" bestFit="1" customWidth="1"/>
    <col min="42" max="42" width="2.7109375" style="85" customWidth="1"/>
    <col min="43" max="43" width="75.85546875" style="85" customWidth="1"/>
    <col min="44" max="44" width="2.7109375" style="81" customWidth="1"/>
    <col min="45" max="48" width="15.42578125" style="85" customWidth="1"/>
    <col min="49" max="49" width="5.7109375" style="85" bestFit="1" customWidth="1"/>
    <col min="50" max="50" width="2.7109375" style="85" customWidth="1"/>
    <col min="51" max="51" width="18.42578125" customWidth="1"/>
    <col min="52" max="52" width="11.28515625" bestFit="1" customWidth="1"/>
    <col min="53" max="53" width="2.7109375" customWidth="1"/>
    <col min="54" max="54" width="12.7109375" customWidth="1"/>
    <col min="55" max="55" width="12.5703125" bestFit="1" customWidth="1"/>
    <col min="56" max="56" width="2.7109375" style="85" customWidth="1"/>
    <col min="57" max="57" width="75.85546875" style="85" customWidth="1"/>
    <col min="58" max="58" width="2.7109375" style="81" customWidth="1"/>
    <col min="59" max="64" width="15.42578125" style="85" customWidth="1"/>
    <col min="65" max="65" width="5.7109375" style="85" bestFit="1" customWidth="1"/>
    <col min="66" max="66" width="2.7109375" style="85" customWidth="1"/>
    <col min="67" max="67" width="18.42578125" customWidth="1"/>
    <col min="68" max="68" width="11.28515625" bestFit="1" customWidth="1"/>
    <col min="69" max="70" width="2.7109375" customWidth="1"/>
    <col min="71" max="71" width="12.7109375" customWidth="1"/>
    <col min="72" max="73" width="2.7109375" customWidth="1"/>
    <col min="74" max="74" width="12.5703125" bestFit="1" customWidth="1"/>
    <col min="75" max="75" width="2.7109375" style="85" customWidth="1"/>
    <col min="76" max="76" width="75.85546875" style="85" customWidth="1"/>
    <col min="77" max="77" width="2.7109375" style="81" customWidth="1"/>
    <col min="78" max="83" width="15.42578125" style="85" customWidth="1"/>
    <col min="84" max="84" width="5.7109375" style="85" bestFit="1" customWidth="1"/>
    <col min="85" max="85" width="2.7109375" style="85" customWidth="1"/>
    <col min="86" max="86" width="18.42578125" customWidth="1"/>
    <col min="87" max="87" width="11.28515625" bestFit="1" customWidth="1"/>
    <col min="88" max="88" width="2.7109375" customWidth="1"/>
    <col min="89" max="89" width="12.7109375" customWidth="1"/>
    <col min="90" max="90" width="12.5703125" bestFit="1" customWidth="1"/>
    <col min="91" max="91" width="2.7109375" style="85" customWidth="1"/>
    <col min="92" max="92" width="75.85546875" style="85" customWidth="1"/>
    <col min="93" max="93" width="2.7109375" style="81" customWidth="1"/>
    <col min="94" max="99" width="15.42578125" style="85" customWidth="1"/>
    <col min="100" max="100" width="5.7109375" style="85" bestFit="1" customWidth="1"/>
    <col min="101" max="101" width="2.7109375" style="85" customWidth="1"/>
    <col min="102" max="102" width="18.42578125" customWidth="1"/>
    <col min="103" max="103" width="11.28515625" bestFit="1" customWidth="1"/>
    <col min="104" max="104" width="2.7109375" customWidth="1"/>
    <col min="105" max="105" width="12.7109375" customWidth="1"/>
    <col min="106" max="106" width="12.5703125" bestFit="1" customWidth="1"/>
    <col min="107" max="107" width="2.7109375" style="85" customWidth="1"/>
    <col min="108" max="108" width="75.85546875" style="85" customWidth="1"/>
    <col min="109" max="109" width="2.7109375" style="81" customWidth="1"/>
    <col min="110" max="115" width="15.42578125" style="85" customWidth="1"/>
    <col min="116" max="116" width="5.7109375" style="85" bestFit="1" customWidth="1"/>
    <col min="117" max="117" width="2.7109375" style="85" customWidth="1"/>
    <col min="118" max="118" width="18.42578125" customWidth="1"/>
    <col min="119" max="119" width="11.28515625" bestFit="1" customWidth="1"/>
    <col min="120" max="121" width="2.7109375" customWidth="1"/>
    <col min="122" max="122" width="12.7109375" customWidth="1"/>
    <col min="123" max="124" width="2.7109375" customWidth="1"/>
    <col min="125" max="125" width="12.5703125" bestFit="1" customWidth="1"/>
    <col min="126" max="126" width="2.7109375" style="85" customWidth="1"/>
    <col min="127" max="127" width="75.85546875" style="85" customWidth="1"/>
    <col min="128" max="128" width="2.7109375" style="81" customWidth="1"/>
    <col min="129" max="134" width="15.42578125" style="85" customWidth="1"/>
    <col min="135" max="135" width="5.7109375" style="85" bestFit="1" customWidth="1"/>
    <col min="136" max="136" width="2.7109375" style="85" customWidth="1"/>
    <col min="137" max="137" width="18.42578125" customWidth="1"/>
    <col min="138" max="138" width="11.28515625" bestFit="1" customWidth="1"/>
    <col min="139" max="140" width="2.7109375" customWidth="1"/>
    <col min="141" max="141" width="12.7109375" customWidth="1"/>
    <col min="142" max="143" width="2.7109375" customWidth="1"/>
    <col min="144" max="144" width="12.5703125" bestFit="1" customWidth="1"/>
    <col min="145" max="145" width="2.7109375" style="85" customWidth="1"/>
    <col min="146" max="146" width="75.85546875" style="85" customWidth="1"/>
    <col min="147" max="16384" width="9.140625" style="85"/>
  </cols>
  <sheetData>
    <row r="1" spans="2:155" x14ac:dyDescent="0.25">
      <c r="B1" s="25"/>
      <c r="C1" s="25"/>
      <c r="D1" s="25"/>
      <c r="E1" s="220"/>
      <c r="F1" s="25"/>
      <c r="G1" s="25"/>
      <c r="H1" s="25"/>
      <c r="I1" s="220"/>
      <c r="DF1" s="85" t="s">
        <v>111</v>
      </c>
      <c r="EF1" s="85" t="s">
        <v>112</v>
      </c>
    </row>
    <row r="2" spans="2:155" x14ac:dyDescent="0.25">
      <c r="B2" s="87" t="s">
        <v>113</v>
      </c>
      <c r="C2" s="87"/>
      <c r="D2" s="87"/>
      <c r="F2" s="87" t="s">
        <v>114</v>
      </c>
      <c r="G2" s="87"/>
      <c r="H2" s="87"/>
      <c r="J2" s="87" t="s">
        <v>115</v>
      </c>
      <c r="K2" s="88"/>
      <c r="L2" s="89"/>
      <c r="M2" s="89"/>
      <c r="N2" s="89"/>
      <c r="O2" s="89"/>
      <c r="P2" s="89"/>
      <c r="Q2" s="89"/>
      <c r="R2" s="89"/>
      <c r="S2" s="89"/>
      <c r="T2" s="89"/>
      <c r="U2" s="89"/>
      <c r="V2" s="89"/>
      <c r="W2" s="89"/>
      <c r="X2" s="2"/>
      <c r="Y2" s="90" t="s">
        <v>116</v>
      </c>
      <c r="Z2" s="91"/>
      <c r="AA2" s="91"/>
      <c r="AB2" s="92"/>
      <c r="AC2" s="92"/>
      <c r="AD2" s="92"/>
      <c r="AE2" s="92"/>
      <c r="AF2" s="92"/>
      <c r="AH2" s="90" t="s">
        <v>117</v>
      </c>
      <c r="AI2" s="91"/>
      <c r="AJ2" s="91"/>
      <c r="AK2" s="91"/>
      <c r="AL2" s="92"/>
      <c r="AM2" s="91"/>
      <c r="AN2" s="91"/>
      <c r="AO2" s="92"/>
      <c r="AQ2" s="90" t="s">
        <v>118</v>
      </c>
      <c r="AR2" s="2"/>
      <c r="AS2" s="93" t="s">
        <v>119</v>
      </c>
      <c r="AT2" s="94"/>
      <c r="AU2" s="94"/>
      <c r="AV2" s="95"/>
      <c r="AW2" s="95"/>
      <c r="AY2" s="93" t="s">
        <v>120</v>
      </c>
      <c r="AZ2" s="94"/>
      <c r="BA2" s="94"/>
      <c r="BB2" s="95"/>
      <c r="BC2" s="95"/>
      <c r="BE2" s="93" t="s">
        <v>121</v>
      </c>
      <c r="BF2" s="2"/>
      <c r="BG2" s="96" t="s">
        <v>122</v>
      </c>
      <c r="BH2" s="97"/>
      <c r="BI2" s="97"/>
      <c r="BJ2" s="98"/>
      <c r="BK2" s="98"/>
      <c r="BL2" s="98"/>
      <c r="BM2" s="98"/>
      <c r="BO2" s="96" t="s">
        <v>123</v>
      </c>
      <c r="BP2" s="97"/>
      <c r="BQ2" s="97"/>
      <c r="BR2" s="97"/>
      <c r="BS2" s="98"/>
      <c r="BT2" s="97"/>
      <c r="BU2" s="97"/>
      <c r="BV2" s="98"/>
      <c r="BX2" s="96" t="s">
        <v>124</v>
      </c>
      <c r="BY2" s="2"/>
      <c r="BZ2" s="87" t="s">
        <v>125</v>
      </c>
      <c r="CA2" s="88"/>
      <c r="CB2" s="88"/>
      <c r="CC2" s="89"/>
      <c r="CD2" s="89"/>
      <c r="CE2" s="89"/>
      <c r="CF2" s="89"/>
      <c r="CH2" s="87" t="s">
        <v>126</v>
      </c>
      <c r="CI2" s="88"/>
      <c r="CJ2" s="88"/>
      <c r="CK2" s="89"/>
      <c r="CL2" s="89"/>
      <c r="CN2" s="87" t="s">
        <v>127</v>
      </c>
      <c r="CO2" s="2"/>
      <c r="CP2" s="99" t="s">
        <v>128</v>
      </c>
      <c r="CQ2" s="100"/>
      <c r="CR2" s="101"/>
      <c r="CS2" s="101"/>
      <c r="CT2" s="101"/>
      <c r="CU2" s="101"/>
      <c r="CV2" s="101"/>
      <c r="CX2" s="99" t="s">
        <v>129</v>
      </c>
      <c r="CY2" s="100"/>
      <c r="CZ2" s="100"/>
      <c r="DA2" s="101"/>
      <c r="DB2" s="101"/>
      <c r="DD2" s="99" t="s">
        <v>130</v>
      </c>
      <c r="DE2" s="2"/>
      <c r="DF2" s="93" t="s">
        <v>131</v>
      </c>
      <c r="DG2" s="94"/>
      <c r="DH2" s="95"/>
      <c r="DI2" s="95"/>
      <c r="DJ2" s="95"/>
      <c r="DK2" s="95"/>
      <c r="DL2" s="95"/>
      <c r="DN2" s="93" t="s">
        <v>132</v>
      </c>
      <c r="DO2" s="94"/>
      <c r="DP2" s="94"/>
      <c r="DQ2" s="94"/>
      <c r="DR2" s="95"/>
      <c r="DS2" s="94"/>
      <c r="DT2" s="94"/>
      <c r="DU2" s="95"/>
      <c r="DW2" s="93" t="s">
        <v>133</v>
      </c>
      <c r="DX2" s="2"/>
      <c r="DY2" s="102" t="s">
        <v>134</v>
      </c>
      <c r="DZ2" s="103"/>
      <c r="EA2" s="104"/>
      <c r="EB2" s="104"/>
      <c r="EC2" s="104"/>
      <c r="ED2" s="104"/>
      <c r="EE2" s="104"/>
      <c r="EG2" s="102" t="s">
        <v>135</v>
      </c>
      <c r="EH2" s="103"/>
      <c r="EI2" s="103"/>
      <c r="EJ2" s="103"/>
      <c r="EK2" s="104"/>
      <c r="EL2" s="103"/>
      <c r="EM2" s="103"/>
      <c r="EN2" s="104"/>
      <c r="EP2" s="102" t="s">
        <v>136</v>
      </c>
    </row>
    <row r="3" spans="2:155" x14ac:dyDescent="0.25">
      <c r="E3" s="105"/>
      <c r="I3" s="105"/>
      <c r="J3" s="105"/>
      <c r="K3" s="105"/>
      <c r="L3" s="36"/>
      <c r="M3" s="85"/>
      <c r="N3" s="85"/>
      <c r="O3" s="36"/>
      <c r="P3" s="36"/>
      <c r="Q3" s="36"/>
      <c r="R3" s="36"/>
      <c r="S3" s="36"/>
      <c r="T3" s="36"/>
      <c r="U3" s="36"/>
      <c r="V3" s="36"/>
      <c r="W3" s="36"/>
      <c r="X3" s="36"/>
      <c r="AG3" s="105"/>
      <c r="AH3" s="106"/>
      <c r="AI3" s="107"/>
      <c r="AJ3" s="107"/>
      <c r="AK3" s="107"/>
      <c r="AL3" s="108"/>
      <c r="AM3" s="107"/>
      <c r="AN3" s="107"/>
      <c r="AO3" s="108"/>
      <c r="AR3" s="36"/>
      <c r="AX3" s="105"/>
      <c r="AY3" s="106"/>
      <c r="AZ3" s="107"/>
      <c r="BA3" s="107"/>
      <c r="BB3" s="108"/>
      <c r="BC3" s="108"/>
      <c r="BF3" s="36"/>
      <c r="BN3" s="105"/>
      <c r="BO3" s="106"/>
      <c r="BP3" s="107"/>
      <c r="BQ3" s="107"/>
      <c r="BR3" s="107"/>
      <c r="BS3" s="108"/>
      <c r="BT3" s="107"/>
      <c r="BU3" s="107"/>
      <c r="BV3" s="108"/>
      <c r="BY3" s="36"/>
      <c r="CG3" s="105"/>
      <c r="CH3" s="106"/>
      <c r="CI3" s="107"/>
      <c r="CJ3" s="107"/>
      <c r="CK3" s="108"/>
      <c r="CL3" s="108"/>
      <c r="CO3" s="36"/>
      <c r="CW3" s="105"/>
      <c r="CX3" s="106"/>
      <c r="CY3" s="107"/>
      <c r="CZ3" s="107"/>
      <c r="DA3" s="108"/>
      <c r="DB3" s="108"/>
      <c r="DE3" s="36"/>
      <c r="DM3" s="105"/>
      <c r="DN3" s="106"/>
      <c r="DO3" s="107"/>
      <c r="DP3" s="107"/>
      <c r="DQ3" s="107"/>
      <c r="DR3" s="108"/>
      <c r="DS3" s="107"/>
      <c r="DT3" s="107"/>
      <c r="DU3" s="108"/>
      <c r="DX3" s="36"/>
      <c r="EF3" s="105"/>
      <c r="EG3" s="106"/>
      <c r="EH3" s="107"/>
      <c r="EI3" s="107"/>
      <c r="EJ3" s="107"/>
      <c r="EK3" s="108"/>
      <c r="EL3" s="107"/>
      <c r="EM3" s="107"/>
      <c r="EN3" s="108"/>
    </row>
    <row r="4" spans="2:155" ht="25.5" x14ac:dyDescent="0.25">
      <c r="E4" s="105"/>
      <c r="I4" s="105"/>
      <c r="J4" s="109" t="s">
        <v>137</v>
      </c>
      <c r="K4" s="109" t="s">
        <v>138</v>
      </c>
      <c r="L4" s="110" t="s">
        <v>59</v>
      </c>
      <c r="M4" s="111" t="s">
        <v>139</v>
      </c>
      <c r="N4" s="111" t="s">
        <v>57</v>
      </c>
      <c r="O4" s="112" t="s">
        <v>61</v>
      </c>
      <c r="P4" s="112" t="s">
        <v>140</v>
      </c>
      <c r="Q4" s="112" t="s">
        <v>141</v>
      </c>
      <c r="R4" s="112" t="s">
        <v>142</v>
      </c>
      <c r="S4" s="112" t="s">
        <v>143</v>
      </c>
      <c r="T4" s="112" t="s">
        <v>144</v>
      </c>
      <c r="U4" s="112" t="s">
        <v>145</v>
      </c>
      <c r="V4" s="112" t="s">
        <v>143</v>
      </c>
      <c r="W4" s="112" t="s">
        <v>146</v>
      </c>
      <c r="X4" s="113"/>
      <c r="Y4" s="114" t="s">
        <v>147</v>
      </c>
      <c r="Z4" s="115">
        <v>44698</v>
      </c>
      <c r="AA4" s="114" t="s">
        <v>148</v>
      </c>
      <c r="AB4" s="115">
        <v>44910</v>
      </c>
      <c r="AG4" s="116"/>
      <c r="AJ4" s="107"/>
      <c r="AK4" s="107"/>
      <c r="AL4" s="108"/>
      <c r="AM4" s="107"/>
      <c r="AN4" s="107"/>
      <c r="AO4" s="108"/>
      <c r="AR4" s="113"/>
      <c r="AX4" s="116"/>
      <c r="AY4" s="106"/>
      <c r="AZ4" s="107"/>
      <c r="BA4" s="107"/>
      <c r="BB4" s="108"/>
      <c r="BC4" s="108"/>
      <c r="BF4" s="113"/>
      <c r="BN4" s="116"/>
      <c r="BO4" s="106"/>
      <c r="BP4" s="107"/>
      <c r="BQ4" s="107"/>
      <c r="BR4" s="107"/>
      <c r="BS4" s="108"/>
      <c r="BT4" s="107"/>
      <c r="BU4" s="107"/>
      <c r="BV4" s="108"/>
      <c r="BY4" s="113"/>
      <c r="CG4" s="116"/>
      <c r="CH4" s="106"/>
      <c r="CI4" s="107"/>
      <c r="CJ4" s="107"/>
      <c r="CK4" s="108"/>
      <c r="CL4" s="108"/>
      <c r="CO4" s="113"/>
      <c r="CW4" s="116"/>
      <c r="CX4" s="106"/>
      <c r="CY4" s="107"/>
      <c r="CZ4" s="107"/>
      <c r="DA4" s="108"/>
      <c r="DB4" s="108"/>
      <c r="DE4" s="113"/>
      <c r="DM4" s="116"/>
      <c r="DN4" s="106"/>
      <c r="DO4" s="107"/>
      <c r="DP4" s="107"/>
      <c r="DQ4" s="107"/>
      <c r="DR4" s="108"/>
      <c r="DS4" s="107"/>
      <c r="DT4" s="107"/>
      <c r="DU4" s="108"/>
      <c r="DX4" s="113"/>
      <c r="EF4" s="116"/>
      <c r="EG4" s="106"/>
      <c r="EH4" s="107"/>
      <c r="EI4" s="107"/>
      <c r="EJ4" s="107"/>
      <c r="EK4" s="108"/>
      <c r="EL4" s="107"/>
      <c r="EM4" s="107"/>
      <c r="EN4" s="108"/>
    </row>
    <row r="5" spans="2:155" x14ac:dyDescent="0.2">
      <c r="B5" s="117" t="s">
        <v>149</v>
      </c>
      <c r="C5" s="117"/>
      <c r="D5" s="117"/>
      <c r="E5" s="105"/>
      <c r="F5" s="117" t="s">
        <v>150</v>
      </c>
      <c r="G5" s="117"/>
      <c r="H5" s="117"/>
      <c r="J5" s="86" t="str" cm="1">
        <f t="array" ref="J5">LOOKUP(2,1/($G$17:$G$33&lt;=$L5)/($H$17:$H$33&gt;=$L5),$F$17:$F$33)</f>
        <v>2H24</v>
      </c>
      <c r="K5" s="86" t="str" cm="1">
        <f t="array" ref="K5">LOOKUP(2,1/($G$6:$G$14&lt;=$L5)/($H$6:$H$14&gt;=$L5),$F$6:$F$14)</f>
        <v>FY24</v>
      </c>
      <c r="L5" s="118">
        <v>45468</v>
      </c>
      <c r="M5" s="49">
        <v>16251214.599214597</v>
      </c>
      <c r="N5" s="49">
        <v>23725148.193393391</v>
      </c>
      <c r="O5" s="50">
        <v>15000000</v>
      </c>
      <c r="P5" s="119" cm="1">
        <f t="array" ref="P5">LOOKUP(2,1/($B$10:$B$14&lt;=$L5)/($C$10:$C$14&gt;=$L5),$D$10:$D$14)</f>
        <v>1.1000000000000001</v>
      </c>
      <c r="Q5" s="120" cm="1">
        <f t="array" ref="Q5">LOOKUP(2,1/($B$17:$B$21&lt;=$L5)/($C$17:$C$21&gt;=$L5),$D$17:$D$21)</f>
        <v>134.49039999999999</v>
      </c>
      <c r="R5" s="113" t="str">
        <f>IF($J5&lt;&gt;$J6,$J5,"")</f>
        <v/>
      </c>
      <c r="S5" s="113" t="str">
        <f>IF($O4&lt;$O5,$J5,S4)</f>
        <v>Filter</v>
      </c>
      <c r="T5" s="113" t="str">
        <f ca="1">IF(AND(S5&lt;&gt;S4,ISNUMBER(MATCH($S4,$F$17:$F$33,0))),OFFSET($F$16,MATCH($J5,$F$17:$F$33,0)+1,0),"")</f>
        <v/>
      </c>
      <c r="U5" s="113" t="str">
        <f>IF($K5&lt;&gt;$K6,$K5,"")</f>
        <v/>
      </c>
      <c r="V5" s="113" t="str">
        <f t="shared" ref="V5:V77" si="0">IF($O4&lt;$O5,$K5,V4)</f>
        <v>Filter</v>
      </c>
      <c r="W5" s="113" t="str">
        <f ca="1">IF(AND(V5&lt;&gt;V4,ISNUMBER(MATCH($V4,$F$6:$F$14,0))),OFFSET($F$5,MATCH($K5,$F$6:$F$14,0)+1,0),"")</f>
        <v/>
      </c>
      <c r="X5" s="50"/>
      <c r="Y5" s="121" t="s">
        <v>151</v>
      </c>
      <c r="Z5" s="122"/>
      <c r="AA5" s="122"/>
      <c r="AB5" s="122"/>
      <c r="AC5" s="122"/>
      <c r="AD5" s="122"/>
      <c r="AE5" s="122"/>
      <c r="AF5" s="122"/>
      <c r="AG5" s="122"/>
      <c r="AH5" s="122"/>
      <c r="AI5" s="122"/>
      <c r="AJ5" s="122"/>
      <c r="AK5" s="122"/>
      <c r="AL5" s="122"/>
      <c r="AM5" s="122"/>
      <c r="AN5" s="122"/>
      <c r="AO5" s="122"/>
      <c r="AP5" s="122"/>
      <c r="AQ5" s="122"/>
      <c r="AR5" s="50"/>
      <c r="AS5" s="121" t="s">
        <v>152</v>
      </c>
      <c r="AT5" s="122"/>
      <c r="AU5" s="122"/>
      <c r="AV5" s="122"/>
      <c r="AW5" s="122"/>
      <c r="AX5" s="122"/>
      <c r="AY5" s="122"/>
      <c r="AZ5" s="122"/>
      <c r="BA5" s="122"/>
      <c r="BB5" s="122"/>
      <c r="BC5" s="122"/>
      <c r="BD5" s="122"/>
      <c r="BE5" s="122"/>
      <c r="BF5" s="50"/>
      <c r="BG5" s="123" t="s">
        <v>153</v>
      </c>
      <c r="BH5" s="124"/>
      <c r="BI5" s="124"/>
      <c r="BJ5" s="124"/>
      <c r="BK5" s="124"/>
      <c r="BL5" s="124"/>
      <c r="BM5" s="124"/>
      <c r="BN5" s="124"/>
      <c r="BO5" s="124"/>
      <c r="BP5" s="124"/>
      <c r="BQ5" s="124"/>
      <c r="BR5" s="124"/>
      <c r="BS5" s="124"/>
      <c r="BT5" s="124"/>
      <c r="BU5" s="124"/>
      <c r="BV5" s="124"/>
      <c r="BW5" s="124"/>
      <c r="BX5" s="124"/>
      <c r="BY5" s="50"/>
      <c r="BZ5" s="123" t="s">
        <v>154</v>
      </c>
      <c r="CA5" s="124"/>
      <c r="CB5" s="124"/>
      <c r="CC5" s="124"/>
      <c r="CD5" s="124"/>
      <c r="CE5" s="124"/>
      <c r="CF5" s="124"/>
      <c r="CG5" s="124"/>
      <c r="CH5" s="124"/>
      <c r="CI5" s="124"/>
      <c r="CJ5" s="124"/>
      <c r="CK5" s="124"/>
      <c r="CL5" s="124"/>
      <c r="CM5" s="124"/>
      <c r="CN5" s="124"/>
      <c r="CO5" s="50"/>
      <c r="CP5" s="125" t="s">
        <v>155</v>
      </c>
      <c r="CQ5" s="126"/>
      <c r="CR5" s="126"/>
      <c r="CS5" s="126"/>
      <c r="CT5" s="126"/>
      <c r="CU5" s="126"/>
      <c r="CV5" s="126"/>
      <c r="CW5" s="126"/>
      <c r="CX5" s="126"/>
      <c r="CY5" s="126"/>
      <c r="CZ5" s="126"/>
      <c r="DA5" s="126"/>
      <c r="DB5" s="126"/>
      <c r="DC5" s="126"/>
      <c r="DD5" s="126"/>
      <c r="DE5" s="50"/>
      <c r="DF5" s="125" t="s">
        <v>43</v>
      </c>
      <c r="DG5" s="126"/>
      <c r="DH5" s="126"/>
      <c r="DI5" s="126"/>
      <c r="DJ5" s="126"/>
      <c r="DK5" s="126"/>
      <c r="DL5" s="126"/>
      <c r="DM5" s="126"/>
      <c r="DN5" s="126"/>
      <c r="DO5" s="126"/>
      <c r="DP5" s="126"/>
      <c r="DQ5" s="126"/>
      <c r="DR5" s="126"/>
      <c r="DS5" s="126"/>
      <c r="DT5" s="126"/>
      <c r="DU5" s="126"/>
      <c r="DV5" s="126"/>
      <c r="DW5" s="126"/>
      <c r="DX5" s="50"/>
      <c r="DY5" s="127" t="s">
        <v>156</v>
      </c>
      <c r="DZ5" s="128"/>
      <c r="EA5" s="128"/>
      <c r="EB5" s="128"/>
      <c r="EC5" s="128"/>
      <c r="ED5" s="128"/>
      <c r="EE5" s="128"/>
      <c r="EF5" s="128"/>
      <c r="EG5" s="128"/>
      <c r="EH5" s="128"/>
      <c r="EI5" s="128"/>
      <c r="EJ5" s="128"/>
      <c r="EK5" s="128"/>
      <c r="EL5" s="128"/>
      <c r="EM5" s="128"/>
      <c r="EN5" s="128"/>
      <c r="EO5" s="128"/>
      <c r="EP5" s="128"/>
    </row>
    <row r="6" spans="2:155" x14ac:dyDescent="0.2">
      <c r="B6" s="129">
        <v>31724</v>
      </c>
      <c r="C6" s="129">
        <v>43737</v>
      </c>
      <c r="D6" s="130">
        <v>9.2999999999999999E-2</v>
      </c>
      <c r="F6" s="86" t="s">
        <v>157</v>
      </c>
      <c r="G6" s="129">
        <v>42552</v>
      </c>
      <c r="H6" s="131">
        <f>EOMONTH(G6,11)</f>
        <v>42916</v>
      </c>
      <c r="J6" s="86" t="str" cm="1">
        <f t="array" ref="J6">LOOKUP(2,1/($G$17:$G$33&lt;=$L6)/($H$17:$H$33&gt;=$L6),$F$17:$F$33)</f>
        <v>2H24</v>
      </c>
      <c r="K6" s="86" t="str" cm="1">
        <f t="array" ref="K6">LOOKUP(2,1/($G$6:$G$14&lt;=$L6)/($H$6:$H$14&gt;=$L6),$F$6:$F$14)</f>
        <v>FY24</v>
      </c>
      <c r="L6" s="118">
        <v>45461</v>
      </c>
      <c r="M6" s="49">
        <v>11390011.550011549</v>
      </c>
      <c r="N6" s="49">
        <v>16628277.86186186</v>
      </c>
      <c r="O6" s="50">
        <v>8000000</v>
      </c>
      <c r="P6" s="119" cm="1">
        <f t="array" ref="P6">LOOKUP(2,1/($B$10:$B$14&lt;=$L6)/($C$10:$C$14&gt;=$L6),$D$10:$D$14)</f>
        <v>1.1000000000000001</v>
      </c>
      <c r="Q6" s="120" cm="1">
        <f t="array" ref="Q6">LOOKUP(2,1/($B$17:$B$21&lt;=$L6)/($C$17:$C$21&gt;=$L6),$D$17:$D$21)</f>
        <v>134.49039999999999</v>
      </c>
      <c r="R6" s="113" t="str">
        <f>IF($J6&lt;&gt;$J7,$J6,"")</f>
        <v/>
      </c>
      <c r="S6" s="113" t="str">
        <f>IF($O5&lt;$O6,$J6,S5)</f>
        <v>Filter</v>
      </c>
      <c r="T6" s="113" t="str">
        <f ca="1">IF(AND(S6&lt;&gt;S5,ISNUMBER(MATCH($S5,$F$17:$F$33,0))),OFFSET($F$16,MATCH($J6,$F$17:$F$33,0)+1,0),"")</f>
        <v/>
      </c>
      <c r="U6" s="113" t="str">
        <f>IF($K6&lt;&gt;$K7,$K6,"")</f>
        <v/>
      </c>
      <c r="V6" s="113" t="str">
        <f t="shared" si="0"/>
        <v>Filter</v>
      </c>
      <c r="W6" s="113" t="str">
        <f ca="1">IF(AND(V6&lt;&gt;V5,ISNUMBER(MATCH($V5,$F$6:$F$14,0))),OFFSET($F$5,MATCH($K6,$F$6:$F$14,0)+1,0),"")</f>
        <v/>
      </c>
      <c r="X6" s="113"/>
      <c r="Y6" s="114" t="s">
        <v>147</v>
      </c>
      <c r="Z6" s="115">
        <v>44587</v>
      </c>
      <c r="AA6" s="114" t="s">
        <v>148</v>
      </c>
      <c r="AB6" s="115">
        <v>44952</v>
      </c>
      <c r="AC6" s="132"/>
      <c r="AD6" s="132"/>
      <c r="AE6" s="132"/>
      <c r="AF6" s="132"/>
      <c r="AG6" s="133"/>
      <c r="AH6" s="133"/>
      <c r="AI6" s="133"/>
      <c r="AJ6" s="133"/>
      <c r="AK6" s="133"/>
      <c r="AL6" s="133"/>
      <c r="AM6" s="133"/>
      <c r="AN6" s="133"/>
      <c r="AO6" s="133"/>
      <c r="AP6" s="133"/>
      <c r="AQ6" s="133"/>
      <c r="AR6" s="113"/>
      <c r="AS6" s="114" t="s">
        <v>147</v>
      </c>
      <c r="AT6" s="115">
        <v>44652</v>
      </c>
      <c r="AU6" s="114" t="s">
        <v>148</v>
      </c>
      <c r="AV6" s="115">
        <v>44868</v>
      </c>
      <c r="AW6" s="132"/>
      <c r="AX6" s="133"/>
      <c r="AY6" s="133"/>
      <c r="AZ6" s="133"/>
      <c r="BA6" s="133"/>
      <c r="BB6" s="133"/>
      <c r="BC6" s="133"/>
      <c r="BD6" s="133"/>
      <c r="BE6" s="133"/>
      <c r="BF6" s="113"/>
      <c r="BG6" s="114" t="s">
        <v>147</v>
      </c>
      <c r="BH6" s="115" t="s">
        <v>158</v>
      </c>
      <c r="BI6" s="114" t="s">
        <v>148</v>
      </c>
      <c r="BJ6" s="115" t="s">
        <v>158</v>
      </c>
      <c r="BK6" s="115"/>
      <c r="BL6" s="115"/>
      <c r="BM6" s="132"/>
      <c r="BN6" s="133"/>
      <c r="BO6" s="133"/>
      <c r="BP6" s="133"/>
      <c r="BQ6" s="133"/>
      <c r="BR6" s="133"/>
      <c r="BS6" s="133"/>
      <c r="BT6" s="133"/>
      <c r="BU6" s="133"/>
      <c r="BV6" s="133"/>
      <c r="BW6" s="133"/>
      <c r="BX6" s="133"/>
      <c r="BY6" s="113"/>
      <c r="BZ6" s="114" t="s">
        <v>147</v>
      </c>
      <c r="CA6" s="115" t="s">
        <v>158</v>
      </c>
      <c r="CB6" s="114" t="s">
        <v>148</v>
      </c>
      <c r="CC6" s="115" t="s">
        <v>158</v>
      </c>
      <c r="CD6" s="132"/>
      <c r="CE6" s="132"/>
      <c r="CF6" s="132"/>
      <c r="CG6" s="133"/>
      <c r="CH6" s="133"/>
      <c r="CI6" s="133"/>
      <c r="CJ6" s="133"/>
      <c r="CK6" s="133"/>
      <c r="CL6" s="133"/>
      <c r="CM6" s="133"/>
      <c r="CN6" s="133"/>
      <c r="CO6" s="113"/>
      <c r="CP6" s="114" t="s">
        <v>147</v>
      </c>
      <c r="CQ6" s="115">
        <v>42917</v>
      </c>
      <c r="CR6" s="114" t="s">
        <v>148</v>
      </c>
      <c r="CS6" s="115">
        <v>43208</v>
      </c>
      <c r="CT6" s="132"/>
      <c r="CU6" s="132"/>
      <c r="CV6" s="132"/>
      <c r="CW6" s="133"/>
      <c r="CX6" s="133"/>
      <c r="CY6" s="133"/>
      <c r="CZ6" s="133"/>
      <c r="DA6" s="133"/>
      <c r="DB6" s="133"/>
      <c r="DC6" s="133"/>
      <c r="DD6" s="133"/>
      <c r="DE6" s="113"/>
      <c r="DF6" s="114" t="s">
        <v>147</v>
      </c>
      <c r="DG6" s="115">
        <v>42917</v>
      </c>
      <c r="DH6" s="114" t="s">
        <v>148</v>
      </c>
      <c r="DI6" s="115">
        <v>43100</v>
      </c>
      <c r="DJ6" s="132"/>
      <c r="DK6" s="132"/>
      <c r="DL6" s="132"/>
      <c r="DM6" s="133"/>
      <c r="DN6" s="133"/>
      <c r="DO6" s="133"/>
      <c r="DP6" s="133"/>
      <c r="DQ6" s="133"/>
      <c r="DR6" s="133"/>
      <c r="DS6" s="133"/>
      <c r="DT6" s="133"/>
      <c r="DU6" s="133"/>
      <c r="DV6" s="133"/>
      <c r="DW6" s="133"/>
      <c r="DX6" s="113"/>
      <c r="DY6" s="114" t="s">
        <v>147</v>
      </c>
      <c r="DZ6" s="115">
        <v>42838</v>
      </c>
      <c r="EA6" s="114" t="s">
        <v>148</v>
      </c>
      <c r="EB6" s="115">
        <v>43202</v>
      </c>
      <c r="EC6" s="132"/>
      <c r="ED6" s="132"/>
      <c r="EE6" s="132"/>
      <c r="EF6" s="133"/>
      <c r="EG6" s="133"/>
      <c r="EH6" s="133"/>
      <c r="EI6" s="133"/>
      <c r="EJ6" s="133"/>
      <c r="EK6" s="133"/>
      <c r="EL6" s="133"/>
      <c r="EM6" s="133"/>
      <c r="EN6" s="133"/>
      <c r="EO6" s="133"/>
      <c r="EP6" s="133"/>
    </row>
    <row r="7" spans="2:155" x14ac:dyDescent="0.2">
      <c r="B7" s="129">
        <v>43738</v>
      </c>
      <c r="C7" s="131">
        <f>EOMONTH(MAX($L:$L),0)</f>
        <v>45473</v>
      </c>
      <c r="D7" s="130">
        <v>0.10299999999999999</v>
      </c>
      <c r="F7" s="86" t="s">
        <v>18</v>
      </c>
      <c r="G7" s="131">
        <f>H6+1</f>
        <v>42917</v>
      </c>
      <c r="H7" s="131">
        <f t="shared" ref="H7:H14" si="1">EOMONTH(G7,11)</f>
        <v>43281</v>
      </c>
      <c r="J7" s="86" t="str" cm="1">
        <f t="array" ref="J7">LOOKUP(2,1/($G$17:$G$33&lt;=$L7)/($H$17:$H$33&gt;=$L7),$F$17:$F$33)</f>
        <v>2H24</v>
      </c>
      <c r="K7" s="86" t="str" cm="1">
        <f t="array" ref="K7">LOOKUP(2,1/($G$6:$G$14&lt;=$L7)/($H$6:$H$14&gt;=$L7),$F$6:$F$14)</f>
        <v>FY24</v>
      </c>
      <c r="L7" s="118">
        <v>45454</v>
      </c>
      <c r="M7" s="49">
        <v>8491536.4980364982</v>
      </c>
      <c r="N7" s="49">
        <v>12396794.133483484</v>
      </c>
      <c r="O7" s="50">
        <v>3000000</v>
      </c>
      <c r="P7" s="119" cm="1">
        <f t="array" ref="P7">LOOKUP(2,1/($B$10:$B$14&lt;=$L7)/($C$10:$C$14&gt;=$L7),$D$10:$D$14)</f>
        <v>1.1000000000000001</v>
      </c>
      <c r="Q7" s="120" cm="1">
        <f t="array" ref="Q7">LOOKUP(2,1/($B$17:$B$21&lt;=$L7)/($C$17:$C$21&gt;=$L7),$D$17:$D$21)</f>
        <v>134.49039999999999</v>
      </c>
      <c r="R7" s="113" t="str">
        <f>IF($J7&lt;&gt;$J8,$J7,"")</f>
        <v/>
      </c>
      <c r="S7" s="113" t="str">
        <f>IF($O6&lt;$O7,$J7,S6)</f>
        <v>Filter</v>
      </c>
      <c r="T7" s="113" t="str">
        <f ca="1">IF(AND(S7&lt;&gt;S6,ISNUMBER(MATCH($S6,$F$17:$F$33,0))),OFFSET($F$16,MATCH($J7,$F$17:$F$33,0)+1,0),"")</f>
        <v/>
      </c>
      <c r="U7" s="113" t="str">
        <f>IF($K7&lt;&gt;$K8,$K7,"")</f>
        <v/>
      </c>
      <c r="V7" s="113" t="str">
        <f t="shared" si="0"/>
        <v>Filter</v>
      </c>
      <c r="W7" s="113" t="str">
        <f ca="1">IF(AND(V7&lt;&gt;V6,ISNUMBER(MATCH($V6,$F$6:$F$14,0))),OFFSET($F$5,MATCH($K7,$F$6:$F$14,0)+1,0),"")</f>
        <v/>
      </c>
      <c r="X7" s="113"/>
      <c r="Y7" s="114" t="s">
        <v>159</v>
      </c>
      <c r="Z7" s="115" t="s">
        <v>160</v>
      </c>
      <c r="AA7" s="114" t="s">
        <v>161</v>
      </c>
      <c r="AB7" s="134" t="str" cm="1">
        <f t="array" ref="AB7">IF(OR(LOOKUP(2,1/($B$10:$B$14&lt;=AB6)/($C$10:$C$14&gt;=AB6),$D$10:$D$14)&lt;&gt;Z10,LOOKUP(2,1/($B$6:$B$7&lt;=AB6)/($C$6:$C$7&gt;=AB6),$D$6:$D$7)&lt;&gt;AB10),"FAIL","PASS")</f>
        <v>PASS</v>
      </c>
      <c r="AC7" s="134" t="s">
        <v>162</v>
      </c>
      <c r="AD7" s="134" t="s">
        <v>162</v>
      </c>
      <c r="AE7" s="134"/>
      <c r="AF7" s="134"/>
      <c r="AG7" s="133"/>
      <c r="AH7" s="133"/>
      <c r="AI7" s="133"/>
      <c r="AJ7" s="133"/>
      <c r="AK7" s="133"/>
      <c r="AL7" s="133"/>
      <c r="AM7" s="133"/>
      <c r="AN7" s="133"/>
      <c r="AO7" s="133"/>
      <c r="AP7" s="133"/>
      <c r="AQ7" s="133"/>
      <c r="AR7" s="113"/>
      <c r="AS7" s="114" t="s">
        <v>159</v>
      </c>
      <c r="AT7" s="115" t="s">
        <v>163</v>
      </c>
      <c r="AU7" s="114" t="s">
        <v>161</v>
      </c>
      <c r="AV7" s="115" t="s">
        <v>163</v>
      </c>
      <c r="AW7" s="134"/>
      <c r="AX7" s="133"/>
      <c r="AY7" s="133"/>
      <c r="AZ7" s="133"/>
      <c r="BA7" s="133"/>
      <c r="BB7" s="133"/>
      <c r="BC7" s="133"/>
      <c r="BD7" s="133"/>
      <c r="BE7" s="133"/>
      <c r="BF7" s="113"/>
      <c r="BG7" s="114" t="s">
        <v>159</v>
      </c>
      <c r="BH7" s="115" t="s">
        <v>23</v>
      </c>
      <c r="BI7" s="114" t="s">
        <v>161</v>
      </c>
      <c r="BJ7" s="115" t="s">
        <v>163</v>
      </c>
      <c r="BK7" s="115"/>
      <c r="BL7" s="115"/>
      <c r="BM7" s="132"/>
      <c r="BN7" s="133"/>
      <c r="BO7" s="133"/>
      <c r="BP7" s="133"/>
      <c r="BQ7" s="133"/>
      <c r="BR7" s="133"/>
      <c r="BS7" s="133"/>
      <c r="BT7" s="133"/>
      <c r="BU7" s="133"/>
      <c r="BV7" s="133"/>
      <c r="BW7" s="133"/>
      <c r="BX7" s="133"/>
      <c r="BY7" s="113"/>
      <c r="BZ7" s="114" t="s">
        <v>159</v>
      </c>
      <c r="CA7" s="115" t="s">
        <v>164</v>
      </c>
      <c r="CB7" s="114" t="s">
        <v>161</v>
      </c>
      <c r="CC7" s="115" t="s">
        <v>163</v>
      </c>
      <c r="CD7" s="134" t="s">
        <v>162</v>
      </c>
      <c r="CE7" s="134" t="s">
        <v>162</v>
      </c>
      <c r="CF7" s="132"/>
      <c r="CG7" s="133"/>
      <c r="CH7" s="133"/>
      <c r="CI7" s="133"/>
      <c r="CJ7" s="133"/>
      <c r="CK7" s="133"/>
      <c r="CL7" s="133"/>
      <c r="CM7" s="133"/>
      <c r="CN7" s="133"/>
      <c r="CO7" s="113"/>
      <c r="CP7" s="114" t="s">
        <v>159</v>
      </c>
      <c r="CQ7" s="115" t="s">
        <v>18</v>
      </c>
      <c r="CR7" s="114" t="s">
        <v>161</v>
      </c>
      <c r="CS7" s="134" t="str" cm="1">
        <f t="array" ref="CS7">IF(OR(LOOKUP(2,1/($B$10:$B$14&lt;=CS6)/($C$10:$C$14&gt;=CS6),$D$10:$D$14)&lt;&gt;CQ10,LOOKUP(2,1/($B$6:$B$7&lt;=CS6)/($C$6:$C$7&gt;=CS6),$D$6:$D$7)&lt;&gt;CS10),"FAIL","PASS")</f>
        <v>PASS</v>
      </c>
      <c r="CT7" s="134" t="s">
        <v>162</v>
      </c>
      <c r="CU7" s="134" t="s">
        <v>162</v>
      </c>
      <c r="CV7" s="134"/>
      <c r="CW7" s="133"/>
      <c r="CX7" s="133"/>
      <c r="CY7" s="133"/>
      <c r="CZ7" s="133"/>
      <c r="DA7" s="133"/>
      <c r="DB7" s="133"/>
      <c r="DC7" s="133"/>
      <c r="DD7" s="133"/>
      <c r="DE7" s="113"/>
      <c r="DF7" s="114" t="s">
        <v>159</v>
      </c>
      <c r="DG7" s="115" t="s">
        <v>43</v>
      </c>
      <c r="DH7" s="114" t="s">
        <v>161</v>
      </c>
      <c r="DI7" s="134" t="str" cm="1">
        <f t="array" ref="DI7">IF(OR(LOOKUP(2,1/($B$10:$B$14&lt;=DI6)/($C$10:$C$14&gt;=DI6),$D$10:$D$14)&lt;&gt;DG10,LOOKUP(2,1/($B$6:$B$7&lt;=DI6)/($C$6:$C$7&gt;=DI6),$D$6:$D$7)&lt;&gt;DI10),"FAIL","PASS")</f>
        <v>PASS</v>
      </c>
      <c r="DJ7" s="134" t="s">
        <v>162</v>
      </c>
      <c r="DK7" s="134" t="s">
        <v>162</v>
      </c>
      <c r="DL7" s="134"/>
      <c r="DM7" s="133"/>
      <c r="DN7" s="133"/>
      <c r="DO7" s="133"/>
      <c r="DP7" s="133"/>
      <c r="DQ7" s="133"/>
      <c r="DR7" s="133"/>
      <c r="DS7" s="133"/>
      <c r="DT7" s="133"/>
      <c r="DU7" s="133"/>
      <c r="DV7" s="133"/>
      <c r="DW7" s="133"/>
      <c r="DX7" s="113"/>
      <c r="DY7" s="114" t="s">
        <v>159</v>
      </c>
      <c r="DZ7" s="115" t="s">
        <v>163</v>
      </c>
      <c r="EA7" s="114" t="s">
        <v>161</v>
      </c>
      <c r="EB7" s="134" t="str" cm="1">
        <f t="array" ref="EB7">IF(OR(LOOKUP(2,1/($B$10:$B$14&lt;=EB6)/($C$10:$C$14&gt;=EB6),$D$10:$D$14)&lt;&gt;DZ10,LOOKUP(2,1/($B$6:$B$7&lt;=EB6)/($C$6:$C$7&gt;=EB6),$D$6:$D$7)&lt;&gt;EB10),"FAIL","PASS")</f>
        <v>PASS</v>
      </c>
      <c r="EC7" s="134" t="s">
        <v>162</v>
      </c>
      <c r="ED7" s="134" t="s">
        <v>162</v>
      </c>
      <c r="EE7" s="134"/>
      <c r="EF7" s="133"/>
      <c r="EG7" s="133"/>
      <c r="EH7" s="133"/>
      <c r="EI7" s="133"/>
      <c r="EJ7" s="133"/>
      <c r="EK7" s="133"/>
      <c r="EL7" s="133"/>
      <c r="EM7" s="133"/>
      <c r="EN7" s="133"/>
      <c r="EO7" s="133"/>
      <c r="EP7" s="133"/>
    </row>
    <row r="8" spans="2:155" x14ac:dyDescent="0.2">
      <c r="B8" s="86"/>
      <c r="C8" s="86"/>
      <c r="D8" s="86"/>
      <c r="F8" s="86" t="s">
        <v>19</v>
      </c>
      <c r="G8" s="131">
        <f t="shared" ref="G8:G14" si="2">H7+1</f>
        <v>43282</v>
      </c>
      <c r="H8" s="131">
        <f t="shared" si="1"/>
        <v>43646</v>
      </c>
      <c r="J8" s="86" t="str" cm="1">
        <f t="array" ref="J8">LOOKUP(2,1/($G$17:$G$33&lt;=$L8)/($H$17:$H$33&gt;=$L8),$F$17:$F$33)</f>
        <v>2H24</v>
      </c>
      <c r="K8" s="86" t="str" cm="1">
        <f t="array" ref="K8">LOOKUP(2,1/($G$6:$G$14&lt;=$L8)/($H$6:$H$14&gt;=$L8),$F$6:$F$14)</f>
        <v>FY24</v>
      </c>
      <c r="L8" s="118">
        <v>45447</v>
      </c>
      <c r="M8" s="49">
        <v>9196103.4881034885</v>
      </c>
      <c r="N8" s="49">
        <v>13425391.482282283</v>
      </c>
      <c r="O8" s="50">
        <v>3000000</v>
      </c>
      <c r="P8" s="119" cm="1">
        <f t="array" ref="P8">LOOKUP(2,1/($B$10:$B$14&lt;=$L8)/($C$10:$C$14&gt;=$L8),$D$10:$D$14)</f>
        <v>1.1000000000000001</v>
      </c>
      <c r="Q8" s="120" cm="1">
        <f t="array" ref="Q8">LOOKUP(2,1/($B$17:$B$21&lt;=$L8)/($C$17:$C$21&gt;=$L8),$D$17:$D$21)</f>
        <v>134.49039999999999</v>
      </c>
      <c r="R8" s="113" t="str">
        <f>IF($J8&lt;&gt;$J9,$J8,"")</f>
        <v/>
      </c>
      <c r="S8" s="113" t="str">
        <f>IF($O7&lt;$O8,$J8,S7)</f>
        <v>Filter</v>
      </c>
      <c r="T8" s="113" t="str">
        <f ca="1">IF(AND(S8&lt;&gt;S7,ISNUMBER(MATCH($S7,$F$17:$F$33,0))),OFFSET($F$16,MATCH($J8,$F$17:$F$33,0)+1,0),"")</f>
        <v/>
      </c>
      <c r="U8" s="113" t="str">
        <f>IF($K8&lt;&gt;$K9,$K8,"")</f>
        <v/>
      </c>
      <c r="V8" s="113" t="str">
        <f t="shared" si="0"/>
        <v>Filter</v>
      </c>
      <c r="W8" s="113" t="str">
        <f ca="1">IF(AND(V8&lt;&gt;V7,ISNUMBER(MATCH($V7,$F$6:$F$14,0))),OFFSET($F$5,MATCH($K8,$F$6:$F$14,0)+1,0),"")</f>
        <v/>
      </c>
      <c r="X8" s="113"/>
      <c r="Y8" s="114" t="s">
        <v>165</v>
      </c>
      <c r="Z8" s="134">
        <f>INDEX($G:$G,MATCH(Z7,$F:$F,0))</f>
        <v>45108</v>
      </c>
      <c r="AA8" s="114" t="s">
        <v>166</v>
      </c>
      <c r="AB8" s="134">
        <f>INDEX($H:$H,MATCH(Z7,$F:$F,0))</f>
        <v>45291</v>
      </c>
      <c r="AC8" s="135">
        <v>1.3</v>
      </c>
      <c r="AD8" s="135">
        <v>1</v>
      </c>
      <c r="AE8" s="134"/>
      <c r="AF8" s="134"/>
      <c r="AH8" s="136" t="s">
        <v>167</v>
      </c>
      <c r="AI8" s="137"/>
      <c r="AJ8" s="137"/>
      <c r="AK8" s="137"/>
      <c r="AL8" s="138"/>
      <c r="AM8" s="137"/>
      <c r="AN8" s="137"/>
      <c r="AO8" s="139"/>
      <c r="AR8" s="113"/>
      <c r="AS8" s="114" t="s">
        <v>165</v>
      </c>
      <c r="AT8" s="115">
        <v>44874</v>
      </c>
      <c r="AU8" s="114" t="s">
        <v>166</v>
      </c>
      <c r="AV8" s="115">
        <v>44926</v>
      </c>
      <c r="AW8" s="134"/>
      <c r="AY8" s="136" t="s">
        <v>167</v>
      </c>
      <c r="AZ8" s="137"/>
      <c r="BA8" s="137"/>
      <c r="BB8" s="138"/>
      <c r="BC8" s="139"/>
      <c r="BF8" s="113"/>
      <c r="BG8" s="114" t="s">
        <v>165</v>
      </c>
      <c r="BH8" s="134">
        <f>INDEX($G:$G,MATCH(BH7,$F:$F,0))</f>
        <v>44743</v>
      </c>
      <c r="BI8" s="114" t="s">
        <v>166</v>
      </c>
      <c r="BJ8" s="134">
        <f>INDEX($H:$H,MATCH(BH7,$F:$F,0))</f>
        <v>45107</v>
      </c>
      <c r="BK8" s="134"/>
      <c r="BL8" s="134"/>
      <c r="BM8" s="134"/>
      <c r="BO8" s="136" t="s">
        <v>167</v>
      </c>
      <c r="BP8" s="137"/>
      <c r="BQ8" s="137"/>
      <c r="BR8" s="137"/>
      <c r="BS8" s="138"/>
      <c r="BT8" s="137"/>
      <c r="BU8" s="137"/>
      <c r="BV8" s="139"/>
      <c r="BY8" s="113"/>
      <c r="BZ8" s="114" t="s">
        <v>165</v>
      </c>
      <c r="CA8" s="134">
        <f>INDEX($G:$G,MATCH(CA7,$F:$F,0))</f>
        <v>44743</v>
      </c>
      <c r="CB8" s="114" t="s">
        <v>166</v>
      </c>
      <c r="CC8" s="134">
        <f>INDEX($H:$H,MATCH(CA7,$F:$F,0))</f>
        <v>44926</v>
      </c>
      <c r="CD8" s="135">
        <v>1.4</v>
      </c>
      <c r="CE8" s="135">
        <v>1</v>
      </c>
      <c r="CF8" s="134"/>
      <c r="CH8" s="136" t="s">
        <v>167</v>
      </c>
      <c r="CI8" s="137"/>
      <c r="CJ8" s="137"/>
      <c r="CK8" s="138"/>
      <c r="CL8" s="139"/>
      <c r="CO8" s="113"/>
      <c r="CP8" s="114" t="s">
        <v>165</v>
      </c>
      <c r="CQ8" s="134">
        <f>INDEX($G:$G,MATCH(CQ7,$F:$F,0))</f>
        <v>42917</v>
      </c>
      <c r="CR8" s="114" t="s">
        <v>166</v>
      </c>
      <c r="CS8" s="134">
        <f>INDEX($H:$H,MATCH(CQ7,$F:$F,0))</f>
        <v>43281</v>
      </c>
      <c r="CT8" s="135">
        <v>1.25</v>
      </c>
      <c r="CU8" s="135">
        <v>1</v>
      </c>
      <c r="CV8" s="134"/>
      <c r="CX8" s="136" t="s">
        <v>167</v>
      </c>
      <c r="CY8" s="137"/>
      <c r="CZ8" s="137"/>
      <c r="DA8" s="138"/>
      <c r="DB8" s="139"/>
      <c r="DE8" s="113"/>
      <c r="DF8" s="114" t="s">
        <v>165</v>
      </c>
      <c r="DG8" s="134">
        <f>INDEX($G:$G,MATCH(DG7,$F:$F,0))</f>
        <v>42917</v>
      </c>
      <c r="DH8" s="114" t="s">
        <v>166</v>
      </c>
      <c r="DI8" s="134">
        <f>INDEX($H:$H,MATCH(DG7,$F:$F,0))</f>
        <v>43100</v>
      </c>
      <c r="DJ8" s="135">
        <v>1.25</v>
      </c>
      <c r="DK8" s="135">
        <v>1</v>
      </c>
      <c r="DL8" s="134"/>
      <c r="DN8" s="136" t="s">
        <v>167</v>
      </c>
      <c r="DO8" s="137"/>
      <c r="DP8" s="137"/>
      <c r="DQ8" s="137"/>
      <c r="DR8" s="138"/>
      <c r="DS8" s="137"/>
      <c r="DT8" s="137"/>
      <c r="DU8" s="139"/>
      <c r="DX8" s="113"/>
      <c r="DY8" s="114" t="s">
        <v>165</v>
      </c>
      <c r="DZ8" s="115">
        <v>42838</v>
      </c>
      <c r="EA8" s="114" t="s">
        <v>166</v>
      </c>
      <c r="EB8" s="115">
        <v>43062</v>
      </c>
      <c r="EC8" s="135">
        <v>1.35</v>
      </c>
      <c r="ED8" s="135">
        <v>1</v>
      </c>
      <c r="EE8" s="132"/>
      <c r="EG8" s="136" t="s">
        <v>167</v>
      </c>
      <c r="EH8" s="137"/>
      <c r="EI8" s="137"/>
      <c r="EJ8" s="137"/>
      <c r="EK8" s="138"/>
      <c r="EL8" s="137"/>
      <c r="EM8" s="137"/>
      <c r="EN8" s="139"/>
      <c r="ER8" s="136" t="s">
        <v>167</v>
      </c>
      <c r="ES8" s="137"/>
      <c r="ET8" s="137"/>
      <c r="EU8" s="137"/>
      <c r="EV8" s="138"/>
      <c r="EW8" s="137"/>
      <c r="EX8" s="137"/>
      <c r="EY8" s="139"/>
    </row>
    <row r="9" spans="2:155" x14ac:dyDescent="0.2">
      <c r="B9" s="117" t="s">
        <v>140</v>
      </c>
      <c r="C9" s="117"/>
      <c r="D9" s="117"/>
      <c r="F9" s="86" t="s">
        <v>20</v>
      </c>
      <c r="G9" s="131">
        <f t="shared" si="2"/>
        <v>43647</v>
      </c>
      <c r="H9" s="131">
        <f t="shared" si="1"/>
        <v>44012</v>
      </c>
      <c r="J9" s="86" t="str" cm="1">
        <f t="array" ref="J9">LOOKUP(2,1/($G$17:$G$33&lt;=$L9)/($H$17:$H$33&gt;=$L9),$F$17:$F$33)</f>
        <v>2H24</v>
      </c>
      <c r="K9" s="86" t="str" cm="1">
        <f t="array" ref="K9">LOOKUP(2,1/($G$6:$G$14&lt;=$L9)/($H$6:$H$14&gt;=$L9),$F$6:$F$14)</f>
        <v>FY24</v>
      </c>
      <c r="L9" s="118">
        <v>45440</v>
      </c>
      <c r="M9" s="49">
        <v>34128926.77292677</v>
      </c>
      <c r="N9" s="49">
        <v>49824820.195795789</v>
      </c>
      <c r="O9" s="50">
        <v>40000000</v>
      </c>
      <c r="P9" s="119" cm="1">
        <f t="array" ref="P9">LOOKUP(2,1/($B$10:$B$14&lt;=$L9)/($C$10:$C$14&gt;=$L9),$D$10:$D$14)</f>
        <v>1.1000000000000001</v>
      </c>
      <c r="Q9" s="120" cm="1">
        <f t="array" ref="Q9">LOOKUP(2,1/($B$17:$B$21&lt;=$L9)/($C$17:$C$21&gt;=$L9),$D$17:$D$21)</f>
        <v>134.49039999999999</v>
      </c>
      <c r="R9" s="113" t="str">
        <f>IF($J9&lt;&gt;$J10,$J9,"")</f>
        <v/>
      </c>
      <c r="S9" s="113" t="str">
        <f>IF($O8&lt;$O9,$J9,S8)</f>
        <v>2H24</v>
      </c>
      <c r="T9" s="113" t="str">
        <f ca="1">IF(AND(S9&lt;&gt;S8,ISNUMBER(MATCH($S8,$F$17:$F$33,0))),OFFSET($F$16,MATCH($J9,$F$17:$F$33,0)+1,0),"")</f>
        <v/>
      </c>
      <c r="U9" s="113" t="str">
        <f>IF($K9&lt;&gt;$K10,$K9,"")</f>
        <v/>
      </c>
      <c r="V9" s="113" t="str">
        <f t="shared" si="0"/>
        <v>FY24</v>
      </c>
      <c r="W9" s="113" t="str">
        <f ca="1">IF(AND(V9&lt;&gt;V8,ISNUMBER(MATCH($V8,$F$6:$F$14,0))),OFFSET($F$5,MATCH($K9,$F$6:$F$14,0)+1,0),"")</f>
        <v/>
      </c>
      <c r="X9" s="113"/>
      <c r="Y9" s="114" t="s">
        <v>91</v>
      </c>
      <c r="Z9" s="140" t="e">
        <f>INDEX($O:$O,MATCH(Z7,$U:$U,0))</f>
        <v>#N/A</v>
      </c>
      <c r="AA9" s="114" t="s">
        <v>76</v>
      </c>
      <c r="AB9" s="140" t="e">
        <f ca="1">INDEX($O:$O,MATCH(Z7,$W:$W,0))</f>
        <v>#N/A</v>
      </c>
      <c r="AC9" s="140"/>
      <c r="AD9" s="140"/>
      <c r="AE9" s="140"/>
      <c r="AF9" s="140"/>
      <c r="AH9" s="141" t="s">
        <v>168</v>
      </c>
      <c r="AI9" s="141"/>
      <c r="AJ9" s="142"/>
      <c r="AK9" s="142"/>
      <c r="AL9" s="143" t="s">
        <v>15</v>
      </c>
      <c r="AM9" s="142"/>
      <c r="AN9" s="142"/>
      <c r="AO9" s="144" t="s">
        <v>139</v>
      </c>
      <c r="AR9" s="113"/>
      <c r="AS9" s="114" t="s">
        <v>91</v>
      </c>
      <c r="AT9" s="145">
        <v>20000000</v>
      </c>
      <c r="AU9" s="114" t="s">
        <v>76</v>
      </c>
      <c r="AV9" s="145">
        <v>160000000</v>
      </c>
      <c r="AW9" s="146"/>
      <c r="AY9" s="147" t="s">
        <v>165</v>
      </c>
      <c r="AZ9" s="148">
        <f>AT8</f>
        <v>44874</v>
      </c>
      <c r="BA9" s="142"/>
      <c r="BB9" s="143" t="s">
        <v>15</v>
      </c>
      <c r="BC9" s="144" t="s">
        <v>139</v>
      </c>
      <c r="BF9" s="113"/>
      <c r="BG9" s="114" t="s">
        <v>91</v>
      </c>
      <c r="BH9" s="140">
        <f>INDEX($O:$O,MATCH(BH7,$U:$U,0))</f>
        <v>30000000</v>
      </c>
      <c r="BI9" s="114" t="s">
        <v>76</v>
      </c>
      <c r="BJ9" s="140">
        <f ca="1">INDEX($O:$O,MATCH(BH7,$W:$W,0))</f>
        <v>5000000</v>
      </c>
      <c r="BK9" s="140"/>
      <c r="BL9" s="140"/>
      <c r="BM9" s="140"/>
      <c r="BO9" s="141" t="s">
        <v>168</v>
      </c>
      <c r="BP9" s="141"/>
      <c r="BQ9" s="2"/>
      <c r="BR9" s="2"/>
      <c r="BS9" s="149" t="s">
        <v>15</v>
      </c>
      <c r="BT9" s="2"/>
      <c r="BU9" s="2"/>
      <c r="BV9" s="150" t="s">
        <v>139</v>
      </c>
      <c r="BY9" s="113"/>
      <c r="BZ9" s="114" t="s">
        <v>91</v>
      </c>
      <c r="CA9" s="140">
        <f>INDEX($O:$O,MATCH(CA7,$R:$R,0))</f>
        <v>30000000</v>
      </c>
      <c r="CB9" s="114" t="s">
        <v>76</v>
      </c>
      <c r="CC9" s="140">
        <f ca="1">INDEX($O:$O,MATCH(CA7,$T:$T,0))</f>
        <v>5000000</v>
      </c>
      <c r="CD9" s="140"/>
      <c r="CE9" s="140"/>
      <c r="CF9" s="140"/>
      <c r="CH9" s="147" t="s">
        <v>165</v>
      </c>
      <c r="CI9" s="148">
        <f>CA8</f>
        <v>44743</v>
      </c>
      <c r="CJ9" s="142"/>
      <c r="CK9" s="143" t="s">
        <v>15</v>
      </c>
      <c r="CL9" s="144" t="s">
        <v>139</v>
      </c>
      <c r="CO9" s="113"/>
      <c r="CP9" s="114" t="s">
        <v>91</v>
      </c>
      <c r="CQ9" s="140">
        <f>INDEX($O:$O,MATCH(CQ7,$U:$U,0))</f>
        <v>30000000</v>
      </c>
      <c r="CR9" s="114" t="s">
        <v>76</v>
      </c>
      <c r="CS9" s="140">
        <f ca="1">INDEX($O:$O,MATCH(CQ7,$W:$W,0))</f>
        <v>40000000</v>
      </c>
      <c r="CT9" s="140"/>
      <c r="CU9" s="140"/>
      <c r="CV9" s="140"/>
      <c r="CX9" s="147" t="s">
        <v>165</v>
      </c>
      <c r="CY9" s="148">
        <f>CQ8</f>
        <v>42917</v>
      </c>
      <c r="CZ9" s="142"/>
      <c r="DA9" s="143" t="s">
        <v>15</v>
      </c>
      <c r="DB9" s="144" t="s">
        <v>139</v>
      </c>
      <c r="DE9" s="113"/>
      <c r="DF9" s="114" t="s">
        <v>91</v>
      </c>
      <c r="DG9" s="140">
        <f>INDEX($O:$O,MATCH(DG7,$R:$R,0))</f>
        <v>30000000</v>
      </c>
      <c r="DH9" s="114" t="s">
        <v>76</v>
      </c>
      <c r="DI9" s="140">
        <f ca="1">INDEX($O:$O,MATCH(DG7,$T:$T,0))</f>
        <v>40000000</v>
      </c>
      <c r="DJ9" s="140"/>
      <c r="DK9" s="140"/>
      <c r="DL9" s="140"/>
      <c r="DN9" s="147" t="s">
        <v>165</v>
      </c>
      <c r="DO9" s="148">
        <f>DG8</f>
        <v>42917</v>
      </c>
      <c r="DP9" s="142"/>
      <c r="DQ9" s="142"/>
      <c r="DR9" s="143" t="s">
        <v>15</v>
      </c>
      <c r="DS9" s="142"/>
      <c r="DT9" s="142"/>
      <c r="DU9" s="144" t="s">
        <v>139</v>
      </c>
      <c r="DX9" s="113"/>
      <c r="DY9" s="114" t="s">
        <v>91</v>
      </c>
      <c r="DZ9" s="145">
        <v>6000000</v>
      </c>
      <c r="EA9" s="114" t="s">
        <v>76</v>
      </c>
      <c r="EB9" s="145">
        <v>15000000</v>
      </c>
      <c r="EC9" s="140"/>
      <c r="ED9" s="140"/>
      <c r="EE9" s="146"/>
      <c r="EG9" s="141" t="s">
        <v>168</v>
      </c>
      <c r="EH9" s="141"/>
      <c r="EI9" s="2"/>
      <c r="EJ9" s="2"/>
      <c r="EK9" s="149" t="s">
        <v>15</v>
      </c>
      <c r="EL9" s="2"/>
      <c r="EM9" s="2"/>
      <c r="EN9" s="150" t="s">
        <v>139</v>
      </c>
      <c r="ER9" s="141" t="s">
        <v>168</v>
      </c>
      <c r="ES9" s="141"/>
      <c r="ET9" s="142"/>
      <c r="EU9" s="142"/>
      <c r="EV9" s="143" t="s">
        <v>15</v>
      </c>
      <c r="EW9" s="142"/>
      <c r="EX9" s="142"/>
      <c r="EY9" s="144" t="s">
        <v>139</v>
      </c>
    </row>
    <row r="10" spans="2:155" x14ac:dyDescent="0.2">
      <c r="B10" s="129">
        <v>35208</v>
      </c>
      <c r="C10" s="129">
        <v>40237</v>
      </c>
      <c r="D10" s="151">
        <v>0.6</v>
      </c>
      <c r="F10" s="86" t="s">
        <v>21</v>
      </c>
      <c r="G10" s="131">
        <f t="shared" si="2"/>
        <v>44013</v>
      </c>
      <c r="H10" s="131">
        <f t="shared" si="1"/>
        <v>44377</v>
      </c>
      <c r="J10" s="86" t="str" cm="1">
        <f t="array" ref="J10">LOOKUP(2,1/($G$17:$G$33&lt;=$L10)/($H$17:$H$33&gt;=$L10),$F$17:$F$33)</f>
        <v>2H24</v>
      </c>
      <c r="K10" s="86" t="str" cm="1">
        <f t="array" ref="K10">LOOKUP(2,1/($G$6:$G$14&lt;=$L10)/($H$6:$H$14&gt;=$L10),$F$6:$F$14)</f>
        <v>FY24</v>
      </c>
      <c r="L10" s="118">
        <v>45433</v>
      </c>
      <c r="M10" s="49">
        <v>21232620.351120349</v>
      </c>
      <c r="N10" s="49">
        <v>30997502.450600598</v>
      </c>
      <c r="O10" s="50">
        <v>30000000</v>
      </c>
      <c r="P10" s="119" cm="1">
        <f t="array" ref="P10">LOOKUP(2,1/($B$10:$B$14&lt;=$L10)/($C$10:$C$14&gt;=$L10),$D$10:$D$14)</f>
        <v>1.1000000000000001</v>
      </c>
      <c r="Q10" s="120" cm="1">
        <f t="array" ref="Q10">LOOKUP(2,1/($B$17:$B$21&lt;=$L10)/($C$17:$C$21&gt;=$L10),$D$17:$D$21)</f>
        <v>134.49039999999999</v>
      </c>
      <c r="R10" s="113" t="str">
        <f t="shared" ref="R10:R73" si="3">IF($J10&lt;&gt;$J11,$J10,"")</f>
        <v/>
      </c>
      <c r="S10" s="113" t="str">
        <f t="shared" ref="S10:S73" si="4">IF($O9&lt;$O10,$J10,S9)</f>
        <v>2H24</v>
      </c>
      <c r="T10" s="113" t="str">
        <f t="shared" ref="T10:T73" ca="1" si="5">IF(AND(S10&lt;&gt;S9,ISNUMBER(MATCH($S9,$F$17:$F$33,0))),OFFSET($F$16,MATCH($J10,$F$17:$F$33,0)+1,0),"")</f>
        <v/>
      </c>
      <c r="U10" s="113" t="str">
        <f t="shared" ref="U10:U73" si="6">IF($K10&lt;&gt;$K11,$K10,"")</f>
        <v/>
      </c>
      <c r="V10" s="113" t="str">
        <f t="shared" si="0"/>
        <v>FY24</v>
      </c>
      <c r="W10" s="113" t="str">
        <f t="shared" ref="W10:W17" ca="1" si="7">IF(AND(V10&lt;&gt;V9,ISNUMBER(MATCH($V9,$F$6:$F$14,0))),OFFSET($F$5,MATCH($K10,$F$6:$F$14,0)+1,0),"")</f>
        <v/>
      </c>
      <c r="X10" s="113"/>
      <c r="Y10" s="114" t="s">
        <v>169</v>
      </c>
      <c r="Z10" s="119" cm="1">
        <f t="array" ref="Z10">LOOKUP(2,1/($B$10:$B$14&lt;=Z6)/($C$10:$C$14&gt;=Z6),$D$10:$D$14)</f>
        <v>1.1000000000000001</v>
      </c>
      <c r="AA10" s="114" t="s">
        <v>149</v>
      </c>
      <c r="AB10" s="152" cm="1">
        <f t="array" ref="AB10">LOOKUP(2,1/($B$6:$B$7&lt;=Z6)/($C$6:$C$7&gt;=Z6),$D$6:$D$7)</f>
        <v>0.10299999999999999</v>
      </c>
      <c r="AC10" s="152" t="s">
        <v>170</v>
      </c>
      <c r="AD10" s="152" t="s">
        <v>171</v>
      </c>
      <c r="AE10" s="152"/>
      <c r="AF10" s="152"/>
      <c r="AH10" s="153" t="s">
        <v>165</v>
      </c>
      <c r="AI10" s="148">
        <f>Z8</f>
        <v>45108</v>
      </c>
      <c r="AJ10" s="154"/>
      <c r="AK10" s="154"/>
      <c r="AL10" s="155">
        <f t="shared" ref="AL10:AL19" si="8">Z13/1000000</f>
        <v>8</v>
      </c>
      <c r="AM10" s="154"/>
      <c r="AN10" s="154"/>
      <c r="AO10" s="156" t="e">
        <f t="shared" ref="AO10:AO19" si="9">MAX(AA13:AB13)/1000000</f>
        <v>#DIV/0!</v>
      </c>
      <c r="AR10" s="113"/>
      <c r="AS10" s="114" t="s">
        <v>169</v>
      </c>
      <c r="AT10" s="119" cm="1">
        <f t="array" ref="AT10">LOOKUP(2,1/($B$10:$B$14&lt;=AT6)/($C$10:$C$14&gt;=AT6),$D$10:$D$14)</f>
        <v>1.1000000000000001</v>
      </c>
      <c r="AU10" s="114" t="s">
        <v>149</v>
      </c>
      <c r="AV10" s="152" cm="1">
        <f t="array" ref="AV10">LOOKUP(2,1/($B$6:$B$7&lt;=AT6)/($C$6:$C$7&gt;=AT6),$D$6:$D$7)</f>
        <v>0.10299999999999999</v>
      </c>
      <c r="AW10" s="157"/>
      <c r="AY10" s="153" t="s">
        <v>166</v>
      </c>
      <c r="AZ10" s="158">
        <f>AV8</f>
        <v>44926</v>
      </c>
      <c r="BA10" s="154"/>
      <c r="BB10" s="155">
        <f>AT13/1000000</f>
        <v>8</v>
      </c>
      <c r="BC10" s="156" t="e">
        <f>MAX(AU13:AV13)/1000000</f>
        <v>#DIV/0!</v>
      </c>
      <c r="BF10" s="113"/>
      <c r="BG10" s="114" t="s">
        <v>169</v>
      </c>
      <c r="BH10" s="159">
        <v>1.1000000000000001</v>
      </c>
      <c r="BI10" s="114" t="s">
        <v>149</v>
      </c>
      <c r="BJ10" s="160">
        <v>0.10299999999999999</v>
      </c>
      <c r="BK10" s="160"/>
      <c r="BL10" s="160"/>
      <c r="BM10" s="157"/>
      <c r="BO10" s="153" t="s">
        <v>165</v>
      </c>
      <c r="BP10" s="158">
        <f>BH8</f>
        <v>44743</v>
      </c>
      <c r="BQ10" s="154"/>
      <c r="BR10" s="154"/>
      <c r="BS10" s="155">
        <f t="shared" ref="BS10:BS19" si="10">BH13/1000000</f>
        <v>4</v>
      </c>
      <c r="BT10" s="154"/>
      <c r="BU10" s="154"/>
      <c r="BV10" s="156">
        <f t="shared" ref="BV10:BV19" si="11">MAX(BI13:BJ13)/1000000</f>
        <v>19.109771374760438</v>
      </c>
      <c r="BY10" s="113"/>
      <c r="BZ10" s="114" t="s">
        <v>169</v>
      </c>
      <c r="CA10" s="159">
        <v>1.1000000000000001</v>
      </c>
      <c r="CB10" s="114" t="s">
        <v>149</v>
      </c>
      <c r="CC10" s="160">
        <v>0.10299999999999999</v>
      </c>
      <c r="CD10" s="152" t="s">
        <v>170</v>
      </c>
      <c r="CE10" s="152" t="s">
        <v>171</v>
      </c>
      <c r="CF10" s="157"/>
      <c r="CH10" s="153" t="s">
        <v>166</v>
      </c>
      <c r="CI10" s="158">
        <f>CC8</f>
        <v>44926</v>
      </c>
      <c r="CJ10" s="154"/>
      <c r="CK10" s="155">
        <f>CA13/1000000</f>
        <v>4</v>
      </c>
      <c r="CL10" s="156">
        <f>MAX(CB13:CC13)/1000000</f>
        <v>19.109771374760438</v>
      </c>
      <c r="CO10" s="113"/>
      <c r="CP10" s="114" t="s">
        <v>169</v>
      </c>
      <c r="CQ10" s="119" cm="1">
        <f t="array" ref="CQ10">LOOKUP(2,1/($B$10:$B$14&lt;=CQ6)/($C$10:$C$14&gt;=CQ6),$D$10:$D$14)</f>
        <v>0.85</v>
      </c>
      <c r="CR10" s="114" t="s">
        <v>149</v>
      </c>
      <c r="CS10" s="152" cm="1">
        <f t="array" ref="CS10">LOOKUP(2,1/($B$6:$B$7&lt;=CQ6)/($C$6:$C$7&gt;=CQ6),$D$6:$D$7)</f>
        <v>9.2999999999999999E-2</v>
      </c>
      <c r="CT10" s="152" t="s">
        <v>170</v>
      </c>
      <c r="CU10" s="152" t="s">
        <v>171</v>
      </c>
      <c r="CV10" s="152"/>
      <c r="CX10" s="153" t="s">
        <v>166</v>
      </c>
      <c r="CY10" s="158">
        <f>CS8</f>
        <v>43281</v>
      </c>
      <c r="CZ10" s="154"/>
      <c r="DA10" s="155">
        <f>CQ13/1000000</f>
        <v>3</v>
      </c>
      <c r="DB10" s="156" t="e">
        <f>MAX(CR13:CS13)/1000000</f>
        <v>#DIV/0!</v>
      </c>
      <c r="DE10" s="113"/>
      <c r="DF10" s="114" t="s">
        <v>169</v>
      </c>
      <c r="DG10" s="119" cm="1">
        <f t="array" ref="DG10">LOOKUP(2,1/($B$10:$B$14&lt;=DG6)/($C$10:$C$14&gt;=DG6),$D$10:$D$14)</f>
        <v>0.85</v>
      </c>
      <c r="DH10" s="114" t="s">
        <v>149</v>
      </c>
      <c r="DI10" s="152" cm="1">
        <f t="array" ref="DI10">LOOKUP(2,1/($B$6:$B$7&lt;=DG6)/($C$6:$C$7&gt;=DG6),$D$6:$D$7)</f>
        <v>9.2999999999999999E-2</v>
      </c>
      <c r="DJ10" s="152" t="s">
        <v>170</v>
      </c>
      <c r="DK10" s="152" t="s">
        <v>171</v>
      </c>
      <c r="DL10" s="152"/>
      <c r="DN10" s="153" t="s">
        <v>166</v>
      </c>
      <c r="DO10" s="158">
        <f>DI8</f>
        <v>43100</v>
      </c>
      <c r="DP10" s="154"/>
      <c r="DQ10" s="154"/>
      <c r="DR10" s="155">
        <f>DG13/1000000</f>
        <v>3</v>
      </c>
      <c r="DS10" s="154"/>
      <c r="DT10" s="154"/>
      <c r="DU10" s="156" t="e">
        <f>MAX(DH13:DI13)/1000000</f>
        <v>#DIV/0!</v>
      </c>
      <c r="DX10" s="113"/>
      <c r="DY10" s="114" t="s">
        <v>169</v>
      </c>
      <c r="DZ10" s="119" cm="1">
        <f t="array" ref="DZ10">LOOKUP(2,1/($B$10:$B$14&lt;=DZ6)/($C$10:$C$14&gt;=DZ6),$D$10:$D$14)</f>
        <v>0.85</v>
      </c>
      <c r="EA10" s="114" t="s">
        <v>149</v>
      </c>
      <c r="EB10" s="152" cm="1">
        <f t="array" ref="EB10">LOOKUP(2,1/($B$6:$B$7&lt;=DZ6)/($C$6:$C$7&gt;=DZ6),$D$6:$D$7)</f>
        <v>9.2999999999999999E-2</v>
      </c>
      <c r="EC10" s="152" t="s">
        <v>170</v>
      </c>
      <c r="ED10" s="152" t="s">
        <v>171</v>
      </c>
      <c r="EE10" s="152"/>
      <c r="EG10" s="153" t="s">
        <v>165</v>
      </c>
      <c r="EH10" s="158">
        <f>DZ8</f>
        <v>42838</v>
      </c>
      <c r="EI10" s="154"/>
      <c r="EJ10" s="154"/>
      <c r="EK10" s="155">
        <f t="shared" ref="EK10:EK19" si="12">DZ13/1000000</f>
        <v>3</v>
      </c>
      <c r="EL10" s="154"/>
      <c r="EM10" s="154"/>
      <c r="EN10" s="156" t="e">
        <f t="shared" ref="EN10:EN19" si="13">MAX(EA13:EB13)/1000000</f>
        <v>#DIV/0!</v>
      </c>
      <c r="ER10" s="153" t="s">
        <v>165</v>
      </c>
      <c r="ES10" s="148">
        <f>EH8</f>
        <v>0</v>
      </c>
      <c r="ET10" s="154"/>
      <c r="EU10" s="154"/>
      <c r="EV10" s="155">
        <f>EH12/1000000</f>
        <v>8.5000000000000001E-7</v>
      </c>
      <c r="EW10" s="154"/>
      <c r="EX10" s="154"/>
      <c r="EY10" s="156">
        <f t="shared" ref="EY10:EY19" si="14">MAX(EI13:EK13)/1000000</f>
        <v>1.5E-5</v>
      </c>
    </row>
    <row r="11" spans="2:155" x14ac:dyDescent="0.2">
      <c r="B11" s="129">
        <v>40238</v>
      </c>
      <c r="C11" s="129">
        <v>40694</v>
      </c>
      <c r="D11" s="151">
        <v>0.65</v>
      </c>
      <c r="F11" s="86" t="s">
        <v>22</v>
      </c>
      <c r="G11" s="131">
        <f t="shared" si="2"/>
        <v>44378</v>
      </c>
      <c r="H11" s="131">
        <f t="shared" si="1"/>
        <v>44742</v>
      </c>
      <c r="J11" s="86" t="str" cm="1">
        <f t="array" ref="J11">LOOKUP(2,1/($G$17:$G$33&lt;=$L11)/($H$17:$H$33&gt;=$L11),$F$17:$F$33)</f>
        <v>2H24</v>
      </c>
      <c r="K11" s="86" t="str" cm="1">
        <f t="array" ref="K11">LOOKUP(2,1/($G$6:$G$14&lt;=$L11)/($H$6:$H$14&gt;=$L11),$F$6:$F$14)</f>
        <v>FY24</v>
      </c>
      <c r="L11" s="118">
        <v>45426</v>
      </c>
      <c r="M11" s="49">
        <v>17741966.158466157</v>
      </c>
      <c r="N11" s="49">
        <v>25901496.394744743</v>
      </c>
      <c r="O11" s="50">
        <v>20000000</v>
      </c>
      <c r="P11" s="119" cm="1">
        <f t="array" ref="P11">LOOKUP(2,1/($B$10:$B$14&lt;=$L11)/($C$10:$C$14&gt;=$L11),$D$10:$D$14)</f>
        <v>1.1000000000000001</v>
      </c>
      <c r="Q11" s="120" cm="1">
        <f t="array" ref="Q11">LOOKUP(2,1/($B$17:$B$21&lt;=$L11)/($C$17:$C$21&gt;=$L11),$D$17:$D$21)</f>
        <v>134.49039999999999</v>
      </c>
      <c r="R11" s="113" t="str">
        <f t="shared" si="3"/>
        <v/>
      </c>
      <c r="S11" s="113" t="str">
        <f t="shared" si="4"/>
        <v>2H24</v>
      </c>
      <c r="T11" s="113" t="str">
        <f t="shared" ca="1" si="5"/>
        <v/>
      </c>
      <c r="U11" s="113" t="str">
        <f t="shared" si="6"/>
        <v/>
      </c>
      <c r="V11" s="113" t="str">
        <f t="shared" si="0"/>
        <v>FY24</v>
      </c>
      <c r="W11" s="113" t="str">
        <f t="shared" ca="1" si="7"/>
        <v/>
      </c>
      <c r="X11" s="113"/>
      <c r="Y11" s="114" t="s">
        <v>172</v>
      </c>
      <c r="Z11" s="119" cm="1">
        <f t="array" ref="Z11">LOOKUP(2,1/($B$17:$B$21&lt;=Z6)/($C$17:$C$21&gt;=Z6),$D$17:$D$21)</f>
        <v>134.49039999999999</v>
      </c>
      <c r="AA11" s="114" t="s">
        <v>0</v>
      </c>
      <c r="AB11" s="161">
        <v>1</v>
      </c>
      <c r="AC11" s="162">
        <v>1</v>
      </c>
      <c r="AD11" s="162">
        <f>1-AC11</f>
        <v>0</v>
      </c>
      <c r="AH11" s="153" t="s">
        <v>166</v>
      </c>
      <c r="AI11" s="158">
        <f>AB8</f>
        <v>45291</v>
      </c>
      <c r="AJ11" s="154"/>
      <c r="AK11" s="154"/>
      <c r="AL11" s="155">
        <f t="shared" si="8"/>
        <v>20</v>
      </c>
      <c r="AM11" s="154"/>
      <c r="AN11" s="154"/>
      <c r="AO11" s="156">
        <f t="shared" si="9"/>
        <v>20.856062892587232</v>
      </c>
      <c r="AR11" s="113"/>
      <c r="AS11" s="114" t="s">
        <v>172</v>
      </c>
      <c r="AT11" s="119" cm="1">
        <f t="array" ref="AT11">LOOKUP(2,1/($B$17:$B$21&lt;=AT6)/($C$17:$C$21&gt;=AT6),$D$17:$D$21)</f>
        <v>134.49039999999999</v>
      </c>
      <c r="AU11" s="114" t="s">
        <v>0</v>
      </c>
      <c r="AV11" s="135">
        <v>1</v>
      </c>
      <c r="AY11" s="153" t="s">
        <v>91</v>
      </c>
      <c r="AZ11" s="155">
        <f>AT9/1000000</f>
        <v>20</v>
      </c>
      <c r="BA11" s="154"/>
      <c r="BB11" s="155">
        <f t="shared" ref="BB11:BB19" si="15">AT14/1000000</f>
        <v>20</v>
      </c>
      <c r="BC11" s="156">
        <f t="shared" ref="BC11:BC19" si="16">MAX(AU14:AV14)/1000000</f>
        <v>21.177352518720216</v>
      </c>
      <c r="BF11" s="113"/>
      <c r="BG11" s="114" t="s">
        <v>172</v>
      </c>
      <c r="BH11" s="159">
        <v>134.49039999999999</v>
      </c>
      <c r="BO11" s="153" t="s">
        <v>166</v>
      </c>
      <c r="BP11" s="158">
        <f>BJ8</f>
        <v>45107</v>
      </c>
      <c r="BQ11" s="154"/>
      <c r="BR11" s="154"/>
      <c r="BS11" s="155">
        <f t="shared" si="10"/>
        <v>8</v>
      </c>
      <c r="BT11" s="154"/>
      <c r="BU11" s="154"/>
      <c r="BV11" s="156">
        <f t="shared" si="11"/>
        <v>23.289148265343773</v>
      </c>
      <c r="BY11" s="113"/>
      <c r="BZ11" s="114" t="s">
        <v>172</v>
      </c>
      <c r="CA11" s="159">
        <v>134.49039999999999</v>
      </c>
      <c r="CD11" s="162">
        <v>1</v>
      </c>
      <c r="CE11" s="162">
        <f>1-CD11</f>
        <v>0</v>
      </c>
      <c r="CH11" s="153" t="s">
        <v>91</v>
      </c>
      <c r="CI11" s="155">
        <f>CA9/1000000</f>
        <v>30</v>
      </c>
      <c r="CJ11" s="154"/>
      <c r="CK11" s="155">
        <f t="shared" ref="CK11:CK19" si="17">CA14/1000000</f>
        <v>8</v>
      </c>
      <c r="CL11" s="156">
        <f t="shared" ref="CL11:CL19" si="18">MAX(CB14:CC14)/1000000</f>
        <v>23.289148265343773</v>
      </c>
      <c r="CO11" s="113"/>
      <c r="CP11" s="114" t="s">
        <v>172</v>
      </c>
      <c r="CQ11" s="119" cm="1">
        <f t="array" ref="CQ11">LOOKUP(2,1/($B$17:$B$21&lt;=CQ6)/($C$17:$C$21&gt;=CQ6),$D$17:$D$21)</f>
        <v>76.767600000000002</v>
      </c>
      <c r="CR11" s="114" t="s">
        <v>173</v>
      </c>
      <c r="CS11" s="163">
        <f>INT((WEEKDAY(CQ6-5)-CQ6+CS6)/7)/INT((WEEKDAY(CQ8-5)-CQ8+CS8)/7)</f>
        <v>0.78846153846153844</v>
      </c>
      <c r="CT11" s="162">
        <v>1</v>
      </c>
      <c r="CU11" s="162">
        <f>1-CT11</f>
        <v>0</v>
      </c>
      <c r="CV11" s="163"/>
      <c r="CX11" s="153" t="s">
        <v>91</v>
      </c>
      <c r="CY11" s="155">
        <f>CQ9/1000000</f>
        <v>30</v>
      </c>
      <c r="CZ11" s="154"/>
      <c r="DA11" s="155">
        <f t="shared" ref="DA11:DA19" si="19">CQ14/1000000</f>
        <v>6</v>
      </c>
      <c r="DB11" s="156" t="e">
        <f t="shared" ref="DB11:DB19" si="20">MAX(CR14:CS14)/1000000</f>
        <v>#DIV/0!</v>
      </c>
      <c r="DE11" s="113"/>
      <c r="DF11" s="114" t="s">
        <v>172</v>
      </c>
      <c r="DG11" s="119" cm="1">
        <f t="array" ref="DG11">LOOKUP(2,1/($B$17:$B$21&lt;=DG6)/($C$17:$C$21&gt;=DG6),$D$17:$D$21)</f>
        <v>76.767600000000002</v>
      </c>
      <c r="DH11" s="114" t="s">
        <v>173</v>
      </c>
      <c r="DI11" s="163">
        <f>INT((WEEKDAY(DG6-5)-DG6+DI6)/7)/INT((WEEKDAY(DG8-5)-DG8+DI8)/7)</f>
        <v>1</v>
      </c>
      <c r="DJ11" s="162">
        <v>1</v>
      </c>
      <c r="DK11" s="162">
        <f>1-DJ11</f>
        <v>0</v>
      </c>
      <c r="DL11" s="163"/>
      <c r="DN11" s="153" t="s">
        <v>91</v>
      </c>
      <c r="DO11" s="155">
        <f>DG9/1000000</f>
        <v>30</v>
      </c>
      <c r="DP11" s="154"/>
      <c r="DQ11" s="154"/>
      <c r="DR11" s="155">
        <f t="shared" ref="DR11:DR19" si="21">DG14/1000000</f>
        <v>6</v>
      </c>
      <c r="DS11" s="154"/>
      <c r="DT11" s="154"/>
      <c r="DU11" s="156" t="e">
        <f t="shared" ref="DU11:DU19" si="22">MAX(DH14:DI14)/1000000</f>
        <v>#DIV/0!</v>
      </c>
      <c r="DX11" s="113"/>
      <c r="DY11" s="114" t="s">
        <v>172</v>
      </c>
      <c r="DZ11" s="119" cm="1">
        <f t="array" ref="DZ11">LOOKUP(2,1/($B$17:$B$21&lt;=DZ6)/($C$17:$C$21&gt;=DZ6),$D$17:$D$21)</f>
        <v>76.767600000000002</v>
      </c>
      <c r="EA11" s="114" t="s">
        <v>0</v>
      </c>
      <c r="EB11" s="135">
        <v>1</v>
      </c>
      <c r="EC11" s="162">
        <v>1</v>
      </c>
      <c r="ED11" s="162">
        <f>1-EC11</f>
        <v>0</v>
      </c>
      <c r="EE11" s="164"/>
      <c r="EG11" s="153" t="s">
        <v>166</v>
      </c>
      <c r="EH11" s="158">
        <f>EB8</f>
        <v>43062</v>
      </c>
      <c r="EI11" s="154"/>
      <c r="EJ11" s="154"/>
      <c r="EK11" s="155">
        <f t="shared" si="12"/>
        <v>6</v>
      </c>
      <c r="EL11" s="154"/>
      <c r="EM11" s="154"/>
      <c r="EN11" s="156" t="e">
        <f t="shared" si="13"/>
        <v>#DIV/0!</v>
      </c>
      <c r="ER11" s="153" t="s">
        <v>166</v>
      </c>
      <c r="ES11" s="158">
        <f>EK8</f>
        <v>0</v>
      </c>
      <c r="ET11" s="154"/>
      <c r="EU11" s="154"/>
      <c r="EV11" s="155">
        <f>EH13/1000000</f>
        <v>9.2999999999999999E-8</v>
      </c>
      <c r="EW11" s="154"/>
      <c r="EX11" s="154"/>
      <c r="EY11" s="156">
        <f t="shared" si="14"/>
        <v>3.0000000000000001E-5</v>
      </c>
    </row>
    <row r="12" spans="2:155" x14ac:dyDescent="0.2">
      <c r="B12" s="129">
        <v>40695</v>
      </c>
      <c r="C12" s="129">
        <v>41339</v>
      </c>
      <c r="D12" s="151">
        <v>0.75</v>
      </c>
      <c r="F12" s="86" t="s">
        <v>23</v>
      </c>
      <c r="G12" s="131">
        <f t="shared" si="2"/>
        <v>44743</v>
      </c>
      <c r="H12" s="131">
        <f t="shared" si="1"/>
        <v>45107</v>
      </c>
      <c r="J12" s="86" t="str" cm="1">
        <f t="array" ref="J12">LOOKUP(2,1/($G$17:$G$33&lt;=$L12)/($H$17:$H$33&gt;=$L12),$F$17:$F$33)</f>
        <v>2H24</v>
      </c>
      <c r="K12" s="86" t="str" cm="1">
        <f t="array" ref="K12">LOOKUP(2,1/($G$6:$G$14&lt;=$L12)/($H$6:$H$14&gt;=$L12),$F$6:$F$14)</f>
        <v>FY24</v>
      </c>
      <c r="L12" s="118">
        <v>45419</v>
      </c>
      <c r="M12" s="49">
        <v>14858632.709632708</v>
      </c>
      <c r="N12" s="49">
        <v>21692117.892792791</v>
      </c>
      <c r="O12" s="50">
        <v>15000000</v>
      </c>
      <c r="P12" s="119" cm="1">
        <f t="array" ref="P12">LOOKUP(2,1/($B$10:$B$14&lt;=$L12)/($C$10:$C$14&gt;=$L12),$D$10:$D$14)</f>
        <v>1.1000000000000001</v>
      </c>
      <c r="Q12" s="120" cm="1">
        <f t="array" ref="Q12">LOOKUP(2,1/($B$17:$B$21&lt;=$L12)/($C$17:$C$21&gt;=$L12),$D$17:$D$21)</f>
        <v>134.49039999999999</v>
      </c>
      <c r="R12" s="113" t="str">
        <f t="shared" si="3"/>
        <v/>
      </c>
      <c r="S12" s="113" t="str">
        <f t="shared" si="4"/>
        <v>2H24</v>
      </c>
      <c r="T12" s="113" t="str">
        <f t="shared" ca="1" si="5"/>
        <v/>
      </c>
      <c r="U12" s="113" t="str">
        <f t="shared" si="6"/>
        <v/>
      </c>
      <c r="V12" s="113" t="str">
        <f t="shared" si="0"/>
        <v>FY24</v>
      </c>
      <c r="W12" s="113" t="str">
        <f t="shared" ca="1" si="7"/>
        <v/>
      </c>
      <c r="X12" s="113"/>
      <c r="Y12" s="111" t="s">
        <v>174</v>
      </c>
      <c r="Z12" s="111" t="s">
        <v>175</v>
      </c>
      <c r="AA12" s="111" t="s">
        <v>176</v>
      </c>
      <c r="AB12" s="111" t="s">
        <v>177</v>
      </c>
      <c r="AC12" s="111" t="s">
        <v>178</v>
      </c>
      <c r="AD12" s="111" t="s">
        <v>179</v>
      </c>
      <c r="AE12" s="111" t="s">
        <v>180</v>
      </c>
      <c r="AF12" s="37"/>
      <c r="AH12" s="153" t="s">
        <v>169</v>
      </c>
      <c r="AI12" s="165">
        <f>Z10</f>
        <v>1.1000000000000001</v>
      </c>
      <c r="AJ12" s="154"/>
      <c r="AK12" s="154"/>
      <c r="AL12" s="155">
        <f t="shared" si="8"/>
        <v>30</v>
      </c>
      <c r="AM12" s="154"/>
      <c r="AN12" s="154"/>
      <c r="AO12" s="156">
        <f t="shared" si="9"/>
        <v>25.744501172377277</v>
      </c>
      <c r="AR12" s="113"/>
      <c r="AS12" s="111" t="s">
        <v>174</v>
      </c>
      <c r="AT12" s="111" t="s">
        <v>175</v>
      </c>
      <c r="AU12" s="111" t="s">
        <v>176</v>
      </c>
      <c r="AV12" s="111" t="s">
        <v>177</v>
      </c>
      <c r="AW12" s="111" t="s">
        <v>180</v>
      </c>
      <c r="AY12" s="153" t="s">
        <v>76</v>
      </c>
      <c r="AZ12" s="155">
        <f>AV9/1000000</f>
        <v>160</v>
      </c>
      <c r="BA12" s="154"/>
      <c r="BB12" s="155">
        <f t="shared" si="15"/>
        <v>30</v>
      </c>
      <c r="BC12" s="156">
        <f t="shared" si="16"/>
        <v>26.613097572044477</v>
      </c>
      <c r="BF12" s="113"/>
      <c r="BG12" s="111" t="s">
        <v>174</v>
      </c>
      <c r="BH12" s="111" t="s">
        <v>175</v>
      </c>
      <c r="BI12" s="111" t="s">
        <v>176</v>
      </c>
      <c r="BJ12" s="111" t="s">
        <v>177</v>
      </c>
      <c r="BK12" s="111"/>
      <c r="BL12" s="111"/>
      <c r="BM12" s="111"/>
      <c r="BO12" s="153" t="s">
        <v>169</v>
      </c>
      <c r="BP12" s="165">
        <f>BH10</f>
        <v>1.1000000000000001</v>
      </c>
      <c r="BQ12" s="154"/>
      <c r="BR12" s="154"/>
      <c r="BS12" s="155">
        <f t="shared" si="10"/>
        <v>20</v>
      </c>
      <c r="BT12" s="154"/>
      <c r="BU12" s="154"/>
      <c r="BV12" s="156">
        <f t="shared" si="11"/>
        <v>37.073147564176885</v>
      </c>
      <c r="BY12" s="113"/>
      <c r="BZ12" s="111" t="s">
        <v>174</v>
      </c>
      <c r="CA12" s="111" t="s">
        <v>175</v>
      </c>
      <c r="CB12" s="111" t="s">
        <v>176</v>
      </c>
      <c r="CC12" s="111" t="s">
        <v>177</v>
      </c>
      <c r="CD12" s="111" t="s">
        <v>178</v>
      </c>
      <c r="CE12" s="111" t="s">
        <v>179</v>
      </c>
      <c r="CF12" s="111"/>
      <c r="CH12" s="153" t="s">
        <v>76</v>
      </c>
      <c r="CI12" s="155">
        <f ca="1">CC9/1000000</f>
        <v>5</v>
      </c>
      <c r="CJ12" s="154"/>
      <c r="CK12" s="155">
        <f t="shared" si="17"/>
        <v>20</v>
      </c>
      <c r="CL12" s="156">
        <f t="shared" si="18"/>
        <v>37.073147564176885</v>
      </c>
      <c r="CO12" s="113"/>
      <c r="CP12" s="111" t="s">
        <v>174</v>
      </c>
      <c r="CQ12" s="111" t="s">
        <v>175</v>
      </c>
      <c r="CR12" s="111" t="s">
        <v>176</v>
      </c>
      <c r="CS12" s="111" t="s">
        <v>177</v>
      </c>
      <c r="CT12" s="111" t="s">
        <v>178</v>
      </c>
      <c r="CU12" s="111" t="s">
        <v>179</v>
      </c>
      <c r="CV12" s="111" t="s">
        <v>180</v>
      </c>
      <c r="CX12" s="153" t="s">
        <v>76</v>
      </c>
      <c r="CY12" s="155">
        <f ca="1">CS9/1000000</f>
        <v>40</v>
      </c>
      <c r="CZ12" s="154"/>
      <c r="DA12" s="155">
        <f t="shared" si="19"/>
        <v>10</v>
      </c>
      <c r="DB12" s="156">
        <f t="shared" si="20"/>
        <v>15.463414216199608</v>
      </c>
      <c r="DE12" s="113"/>
      <c r="DF12" s="111" t="s">
        <v>174</v>
      </c>
      <c r="DG12" s="111" t="s">
        <v>175</v>
      </c>
      <c r="DH12" s="111" t="s">
        <v>176</v>
      </c>
      <c r="DI12" s="111" t="s">
        <v>177</v>
      </c>
      <c r="DJ12" s="111" t="s">
        <v>178</v>
      </c>
      <c r="DK12" s="111" t="s">
        <v>179</v>
      </c>
      <c r="DL12" s="111" t="s">
        <v>180</v>
      </c>
      <c r="DN12" s="153" t="s">
        <v>76</v>
      </c>
      <c r="DO12" s="155">
        <f ca="1">DI9/1000000</f>
        <v>40</v>
      </c>
      <c r="DP12" s="154"/>
      <c r="DQ12" s="154"/>
      <c r="DR12" s="155">
        <f t="shared" si="21"/>
        <v>10</v>
      </c>
      <c r="DS12" s="154"/>
      <c r="DT12" s="154"/>
      <c r="DU12" s="156">
        <f t="shared" si="22"/>
        <v>14.678466</v>
      </c>
      <c r="DX12" s="113"/>
      <c r="DY12" s="111" t="s">
        <v>174</v>
      </c>
      <c r="DZ12" s="111" t="s">
        <v>175</v>
      </c>
      <c r="EA12" s="111" t="s">
        <v>176</v>
      </c>
      <c r="EB12" s="111" t="s">
        <v>177</v>
      </c>
      <c r="EC12" s="111" t="s">
        <v>178</v>
      </c>
      <c r="ED12" s="111" t="s">
        <v>179</v>
      </c>
      <c r="EE12" s="111" t="s">
        <v>180</v>
      </c>
      <c r="EG12" s="153" t="s">
        <v>169</v>
      </c>
      <c r="EH12" s="165">
        <f>DZ10</f>
        <v>0.85</v>
      </c>
      <c r="EI12" s="154"/>
      <c r="EJ12" s="154"/>
      <c r="EK12" s="155">
        <f t="shared" si="12"/>
        <v>10</v>
      </c>
      <c r="EL12" s="154"/>
      <c r="EM12" s="154"/>
      <c r="EN12" s="156">
        <f t="shared" si="13"/>
        <v>14.721024651720747</v>
      </c>
      <c r="ER12" s="153" t="s">
        <v>169</v>
      </c>
      <c r="ES12" s="165">
        <f>EH11</f>
        <v>43062</v>
      </c>
      <c r="ET12" s="154"/>
      <c r="EU12" s="154"/>
      <c r="EV12" s="155">
        <f>EH14/1000000</f>
        <v>7.6767600000000007E-5</v>
      </c>
      <c r="EW12" s="154"/>
      <c r="EX12" s="154"/>
      <c r="EY12" s="156">
        <f t="shared" si="14"/>
        <v>5.0000000000000002E-5</v>
      </c>
    </row>
    <row r="13" spans="2:155" x14ac:dyDescent="0.2">
      <c r="B13" s="129">
        <v>41340</v>
      </c>
      <c r="C13" s="129">
        <v>43208</v>
      </c>
      <c r="D13" s="151">
        <v>0.85</v>
      </c>
      <c r="F13" s="86" t="s">
        <v>181</v>
      </c>
      <c r="G13" s="131">
        <f t="shared" si="2"/>
        <v>45108</v>
      </c>
      <c r="H13" s="131">
        <f t="shared" si="1"/>
        <v>45473</v>
      </c>
      <c r="J13" s="86" t="str" cm="1">
        <f t="array" ref="J13">LOOKUP(2,1/($G$17:$G$33&lt;=$L13)/($H$17:$H$33&gt;=$L13),$F$17:$F$33)</f>
        <v>2H24</v>
      </c>
      <c r="K13" s="86" t="str" cm="1">
        <f t="array" ref="K13">LOOKUP(2,1/($G$6:$G$14&lt;=$L13)/($H$6:$H$14&gt;=$L13),$F$6:$F$14)</f>
        <v>FY24</v>
      </c>
      <c r="L13" s="118">
        <v>45412</v>
      </c>
      <c r="M13" s="49">
        <v>11943663.894663893</v>
      </c>
      <c r="N13" s="49">
        <v>17436554.919819817</v>
      </c>
      <c r="O13" s="50">
        <v>8000000</v>
      </c>
      <c r="P13" s="119" cm="1">
        <f t="array" ref="P13">LOOKUP(2,1/($B$10:$B$14&lt;=$L13)/($C$10:$C$14&gt;=$L13),$D$10:$D$14)</f>
        <v>1.1000000000000001</v>
      </c>
      <c r="Q13" s="120" cm="1">
        <f t="array" ref="Q13">LOOKUP(2,1/($B$17:$B$21&lt;=$L13)/($C$17:$C$21&gt;=$L13),$D$17:$D$21)</f>
        <v>134.49039999999999</v>
      </c>
      <c r="R13" s="113" t="str">
        <f t="shared" si="3"/>
        <v/>
      </c>
      <c r="S13" s="113" t="str">
        <f t="shared" si="4"/>
        <v>2H24</v>
      </c>
      <c r="T13" s="113" t="str">
        <f t="shared" ca="1" si="5"/>
        <v/>
      </c>
      <c r="U13" s="113" t="str">
        <f t="shared" si="6"/>
        <v/>
      </c>
      <c r="V13" s="113" t="str">
        <f t="shared" si="0"/>
        <v>FY24</v>
      </c>
      <c r="W13" s="113" t="str">
        <f t="shared" ca="1" si="7"/>
        <v/>
      </c>
      <c r="X13" s="113"/>
      <c r="Y13" s="146">
        <v>1</v>
      </c>
      <c r="Z13" s="166">
        <v>8000000</v>
      </c>
      <c r="AA13" s="167" t="e">
        <f>AVERAGEIFS($M:$M,$L:$L,"&gt;="&amp;Z$6,$L:$L,"&lt;="&amp;AB$6,$O:$O,"="&amp;Z13)*AB$11</f>
        <v>#DIV/0!</v>
      </c>
      <c r="AB13" s="168"/>
      <c r="AC13" s="168"/>
      <c r="AD13" s="168"/>
      <c r="AE13" s="167">
        <f t="shared" ref="AE13:AE19" si="23">COUNTIFS($L:$L,"&gt;="&amp;Z$6,$L:$L,"&lt;="&amp;AB$6,$O:$O,"="&amp;Z13)</f>
        <v>0</v>
      </c>
      <c r="AF13" s="167"/>
      <c r="AH13" s="153" t="s">
        <v>149</v>
      </c>
      <c r="AI13" s="169">
        <f>AB10</f>
        <v>0.10299999999999999</v>
      </c>
      <c r="AJ13" s="154"/>
      <c r="AK13" s="154"/>
      <c r="AL13" s="155">
        <f t="shared" si="8"/>
        <v>50</v>
      </c>
      <c r="AM13" s="154"/>
      <c r="AN13" s="154"/>
      <c r="AO13" s="156">
        <f t="shared" si="9"/>
        <v>41.464495575221243</v>
      </c>
      <c r="AR13" s="113"/>
      <c r="AS13" s="146">
        <v>1</v>
      </c>
      <c r="AT13" s="166">
        <v>8000000</v>
      </c>
      <c r="AU13" s="167" t="e">
        <f t="shared" ref="AU13:AU18" si="24">AVERAGEIFS($M:$M,$L:$L,"&gt;="&amp;AT$6,$L:$L,"&lt;="&amp;AV$6,$O:$O,"="&amp;AT13)*AV$11</f>
        <v>#DIV/0!</v>
      </c>
      <c r="AV13" s="168"/>
      <c r="AW13" s="167">
        <f t="shared" ref="AW13:AW18" si="25">COUNTIFS($L:$L,"&gt;="&amp;AT$6,$L:$L,"&lt;="&amp;AV$6,$O:$O,"="&amp;$AT13)</f>
        <v>0</v>
      </c>
      <c r="AY13" s="153" t="s">
        <v>169</v>
      </c>
      <c r="AZ13" s="165">
        <f>AT10</f>
        <v>1.1000000000000001</v>
      </c>
      <c r="BA13" s="154"/>
      <c r="BB13" s="155">
        <f t="shared" si="15"/>
        <v>50</v>
      </c>
      <c r="BC13" s="156">
        <f t="shared" si="16"/>
        <v>41.464495575221243</v>
      </c>
      <c r="BF13" s="113"/>
      <c r="BG13" s="146">
        <v>1</v>
      </c>
      <c r="BH13" s="166">
        <v>4000000</v>
      </c>
      <c r="BI13" s="146">
        <v>19109771.374760438</v>
      </c>
      <c r="BJ13" s="168"/>
      <c r="BK13" s="168"/>
      <c r="BL13" s="168"/>
      <c r="BM13" s="167"/>
      <c r="BO13" s="153" t="s">
        <v>149</v>
      </c>
      <c r="BP13" s="169">
        <f>BJ10</f>
        <v>0.10299999999999999</v>
      </c>
      <c r="BQ13" s="154"/>
      <c r="BR13" s="154"/>
      <c r="BS13" s="155">
        <f t="shared" si="10"/>
        <v>40</v>
      </c>
      <c r="BT13" s="154"/>
      <c r="BU13" s="154"/>
      <c r="BV13" s="156">
        <f t="shared" si="11"/>
        <v>53.171402923389799</v>
      </c>
      <c r="BY13" s="113"/>
      <c r="BZ13" s="146">
        <v>1</v>
      </c>
      <c r="CA13" s="166">
        <v>4000000</v>
      </c>
      <c r="CB13" s="146">
        <v>19109771.374760438</v>
      </c>
      <c r="CC13" s="168"/>
      <c r="CD13" s="168"/>
      <c r="CE13" s="168"/>
      <c r="CF13" s="167"/>
      <c r="CH13" s="153" t="s">
        <v>169</v>
      </c>
      <c r="CI13" s="165">
        <f>CA10</f>
        <v>1.1000000000000001</v>
      </c>
      <c r="CJ13" s="154"/>
      <c r="CK13" s="155">
        <f t="shared" si="17"/>
        <v>40</v>
      </c>
      <c r="CL13" s="156">
        <f t="shared" si="18"/>
        <v>53.171402923389799</v>
      </c>
      <c r="CO13" s="113"/>
      <c r="CP13" s="146">
        <v>1</v>
      </c>
      <c r="CQ13" s="166">
        <v>3000000</v>
      </c>
      <c r="CR13" s="168" t="e">
        <f t="shared" ref="CR13:CR19" si="26">AVERAGEIFS($M:$M,$L:$L,"&gt;="&amp;CQ$6,$L:$L,"&lt;="&amp;CS$6,$O:$O,"="&amp;CQ13)</f>
        <v>#DIV/0!</v>
      </c>
      <c r="CS13" s="168"/>
      <c r="CT13" s="168"/>
      <c r="CU13" s="168"/>
      <c r="CV13" s="167">
        <f t="shared" ref="CV13:CV19" si="27">COUNTIFS($L:$L,"&gt;="&amp;CQ$6,$L:$L,"&lt;="&amp;CS$6,$O:$O,"="&amp;CQ13)</f>
        <v>0</v>
      </c>
      <c r="CX13" s="153" t="s">
        <v>169</v>
      </c>
      <c r="CY13" s="165">
        <f>CQ10</f>
        <v>0.85</v>
      </c>
      <c r="CZ13" s="154"/>
      <c r="DA13" s="155">
        <f t="shared" si="19"/>
        <v>15</v>
      </c>
      <c r="DB13" s="156">
        <f t="shared" si="20"/>
        <v>18.349197278269422</v>
      </c>
      <c r="DE13" s="113"/>
      <c r="DF13" s="146">
        <v>1</v>
      </c>
      <c r="DG13" s="166">
        <v>3000000</v>
      </c>
      <c r="DH13" s="168" t="e">
        <f>AVERAGEIFS($M:$M,$L:$L,"&gt;="&amp;DG$6,$L:$L,"&lt;="&amp;DI$6,$O:$O,"="&amp;DG13)</f>
        <v>#DIV/0!</v>
      </c>
      <c r="DI13" s="168"/>
      <c r="DJ13" s="168"/>
      <c r="DK13" s="168"/>
      <c r="DL13" s="167">
        <f t="shared" ref="DL13:DL18" si="28">COUNTIFS($L:$L,"&gt;="&amp;DG$6,$L:$L,"&lt;="&amp;DI$6,$O:$O,"="&amp;DG13)</f>
        <v>0</v>
      </c>
      <c r="DN13" s="153" t="s">
        <v>169</v>
      </c>
      <c r="DO13" s="165">
        <f>DG10</f>
        <v>0.85</v>
      </c>
      <c r="DP13" s="154"/>
      <c r="DQ13" s="154"/>
      <c r="DR13" s="155">
        <f t="shared" si="21"/>
        <v>15</v>
      </c>
      <c r="DS13" s="154"/>
      <c r="DT13" s="154"/>
      <c r="DU13" s="156">
        <f t="shared" si="22"/>
        <v>17.9500575</v>
      </c>
      <c r="DX13" s="113"/>
      <c r="DY13" s="146">
        <v>1</v>
      </c>
      <c r="DZ13" s="166">
        <v>3000000</v>
      </c>
      <c r="EA13" s="168" t="e">
        <f t="shared" ref="EA13:EA18" si="29">AVERAGEIFS($M:$M,$L:$L,"&gt;="&amp;DZ$6,$L:$L,"&lt;="&amp;EB$6,$O:$O,"="&amp;DZ13)*EB$11</f>
        <v>#DIV/0!</v>
      </c>
      <c r="EB13" s="168"/>
      <c r="EC13" s="168"/>
      <c r="ED13" s="168"/>
      <c r="EE13" s="167">
        <f t="shared" ref="EE13:EE18" si="30">COUNTIFS($L:$L,"&gt;="&amp;DZ$6,$L:$L,"&lt;="&amp;EB$6,$O:$O,"="&amp;DZ13)</f>
        <v>0</v>
      </c>
      <c r="EG13" s="153" t="s">
        <v>149</v>
      </c>
      <c r="EH13" s="169">
        <f>EB10</f>
        <v>9.2999999999999999E-2</v>
      </c>
      <c r="EI13" s="154"/>
      <c r="EJ13" s="154"/>
      <c r="EK13" s="155">
        <f t="shared" si="12"/>
        <v>15</v>
      </c>
      <c r="EL13" s="154"/>
      <c r="EM13" s="154"/>
      <c r="EN13" s="156">
        <f t="shared" si="13"/>
        <v>18.068154627335304</v>
      </c>
      <c r="ER13" s="153" t="s">
        <v>149</v>
      </c>
      <c r="ES13" s="169">
        <f>EK10</f>
        <v>3</v>
      </c>
      <c r="ET13" s="154"/>
      <c r="EU13" s="154"/>
      <c r="EV13" s="155" t="e">
        <f>#REF!/1000000</f>
        <v>#REF!</v>
      </c>
      <c r="EW13" s="154"/>
      <c r="EX13" s="154"/>
      <c r="EY13" s="156">
        <f t="shared" si="14"/>
        <v>6.9999999999999994E-5</v>
      </c>
    </row>
    <row r="14" spans="2:155" x14ac:dyDescent="0.2">
      <c r="B14" s="129">
        <v>43209</v>
      </c>
      <c r="C14" s="131">
        <f>EOMONTH(MAX($L:$L),0)</f>
        <v>45473</v>
      </c>
      <c r="D14" s="151">
        <v>1.1000000000000001</v>
      </c>
      <c r="F14" s="86" t="s">
        <v>182</v>
      </c>
      <c r="G14" s="131">
        <f t="shared" si="2"/>
        <v>45474</v>
      </c>
      <c r="H14" s="131">
        <f t="shared" si="1"/>
        <v>45838</v>
      </c>
      <c r="J14" s="86" t="str" cm="1">
        <f t="array" ref="J14">LOOKUP(2,1/($G$17:$G$33&lt;=$L14)/($H$17:$H$33&gt;=$L14),$F$17:$F$33)</f>
        <v>2H24</v>
      </c>
      <c r="K14" s="86" t="str" cm="1">
        <f t="array" ref="K14">LOOKUP(2,1/($G$6:$G$14&lt;=$L14)/($H$6:$H$14&gt;=$L14),$F$6:$F$14)</f>
        <v>FY24</v>
      </c>
      <c r="L14" s="118">
        <v>45405</v>
      </c>
      <c r="M14" s="49">
        <v>8794471.933471933</v>
      </c>
      <c r="N14" s="49">
        <v>12839049.575675676</v>
      </c>
      <c r="O14" s="50">
        <v>3000000</v>
      </c>
      <c r="P14" s="119" cm="1">
        <f t="array" ref="P14">LOOKUP(2,1/($B$10:$B$14&lt;=$L14)/($C$10:$C$14&gt;=$L14),$D$10:$D$14)</f>
        <v>1.1000000000000001</v>
      </c>
      <c r="Q14" s="120" cm="1">
        <f t="array" ref="Q14">LOOKUP(2,1/($B$17:$B$21&lt;=$L14)/($C$17:$C$21&gt;=$L14),$D$17:$D$21)</f>
        <v>134.49039999999999</v>
      </c>
      <c r="R14" s="113" t="str">
        <f t="shared" si="3"/>
        <v/>
      </c>
      <c r="S14" s="113" t="str">
        <f t="shared" si="4"/>
        <v>2H24</v>
      </c>
      <c r="T14" s="113" t="str">
        <f t="shared" ca="1" si="5"/>
        <v/>
      </c>
      <c r="U14" s="113" t="str">
        <f t="shared" si="6"/>
        <v/>
      </c>
      <c r="V14" s="113" t="str">
        <f t="shared" si="0"/>
        <v>FY24</v>
      </c>
      <c r="W14" s="113" t="str">
        <f t="shared" ca="1" si="7"/>
        <v/>
      </c>
      <c r="X14" s="113"/>
      <c r="Y14" s="146">
        <v>2</v>
      </c>
      <c r="Z14" s="166">
        <v>20000000</v>
      </c>
      <c r="AA14" s="167">
        <f>AVERAGEIFS($M:$M,$L:$L,"&gt;="&amp;Z$6,$L:$L,"&lt;="&amp;AB$6,$O:$O,"="&amp;Z14)*AB$11</f>
        <v>20856062.892587233</v>
      </c>
      <c r="AE14" s="167">
        <f t="shared" si="23"/>
        <v>7</v>
      </c>
      <c r="AF14" s="167"/>
      <c r="AH14" s="153" t="s">
        <v>172</v>
      </c>
      <c r="AI14" s="170">
        <f>Z11</f>
        <v>134.49039999999999</v>
      </c>
      <c r="AJ14" s="154"/>
      <c r="AK14" s="154"/>
      <c r="AL14" s="155">
        <f t="shared" si="8"/>
        <v>100</v>
      </c>
      <c r="AM14" s="154"/>
      <c r="AN14" s="154"/>
      <c r="AO14" s="156">
        <f t="shared" si="9"/>
        <v>169.11959999999999</v>
      </c>
      <c r="AR14" s="113"/>
      <c r="AS14" s="146">
        <v>2</v>
      </c>
      <c r="AT14" s="166">
        <v>20000000</v>
      </c>
      <c r="AU14" s="167">
        <f t="shared" si="24"/>
        <v>21177352.518720217</v>
      </c>
      <c r="AW14" s="167">
        <f t="shared" si="25"/>
        <v>5</v>
      </c>
      <c r="AY14" s="153" t="s">
        <v>149</v>
      </c>
      <c r="AZ14" s="169">
        <f>AV10</f>
        <v>0.10299999999999999</v>
      </c>
      <c r="BA14" s="154"/>
      <c r="BB14" s="155">
        <f t="shared" si="15"/>
        <v>100</v>
      </c>
      <c r="BC14" s="156" t="e">
        <f t="shared" si="16"/>
        <v>#DIV/0!</v>
      </c>
      <c r="BF14" s="113"/>
      <c r="BG14" s="146">
        <v>2</v>
      </c>
      <c r="BH14" s="166">
        <v>8000000</v>
      </c>
      <c r="BI14" s="146">
        <v>23289148.265343774</v>
      </c>
      <c r="BM14" s="167"/>
      <c r="BO14" s="153" t="s">
        <v>172</v>
      </c>
      <c r="BP14" s="170">
        <f>BH11</f>
        <v>134.49039999999999</v>
      </c>
      <c r="BQ14" s="154"/>
      <c r="BR14" s="154"/>
      <c r="BS14" s="155">
        <f t="shared" si="10"/>
        <v>60</v>
      </c>
      <c r="BT14" s="154"/>
      <c r="BU14" s="154"/>
      <c r="BV14" s="156">
        <f t="shared" si="11"/>
        <v>77.545671333813914</v>
      </c>
      <c r="BY14" s="113"/>
      <c r="BZ14" s="146">
        <v>2</v>
      </c>
      <c r="CA14" s="166">
        <v>8000000</v>
      </c>
      <c r="CB14" s="146">
        <v>23289148.265343774</v>
      </c>
      <c r="CF14" s="167"/>
      <c r="CH14" s="153" t="s">
        <v>149</v>
      </c>
      <c r="CI14" s="169">
        <f>CC10</f>
        <v>0.10299999999999999</v>
      </c>
      <c r="CJ14" s="154"/>
      <c r="CK14" s="155">
        <f t="shared" si="17"/>
        <v>60</v>
      </c>
      <c r="CL14" s="156">
        <f t="shared" si="18"/>
        <v>84.873999999999995</v>
      </c>
      <c r="CO14" s="113"/>
      <c r="CP14" s="146">
        <v>2</v>
      </c>
      <c r="CQ14" s="166">
        <v>6000000</v>
      </c>
      <c r="CR14" s="168" t="e">
        <f t="shared" si="26"/>
        <v>#DIV/0!</v>
      </c>
      <c r="CV14" s="167">
        <f t="shared" si="27"/>
        <v>0</v>
      </c>
      <c r="CX14" s="153" t="s">
        <v>149</v>
      </c>
      <c r="CY14" s="169">
        <f>CS10</f>
        <v>9.2999999999999999E-2</v>
      </c>
      <c r="CZ14" s="154"/>
      <c r="DA14" s="155">
        <f t="shared" si="19"/>
        <v>25</v>
      </c>
      <c r="DB14" s="156" t="e">
        <f t="shared" si="20"/>
        <v>#DIV/0!</v>
      </c>
      <c r="DE14" s="113"/>
      <c r="DF14" s="146">
        <v>2</v>
      </c>
      <c r="DG14" s="166">
        <v>6000000</v>
      </c>
      <c r="DH14" s="168" t="e">
        <f>AVERAGEIFS($M:$M,$L:$L,"&gt;="&amp;$DG$6,$L:$L,"&lt;="&amp;$DI$6,$O:$O,"="&amp;$DG14)</f>
        <v>#DIV/0!</v>
      </c>
      <c r="DL14" s="167">
        <f t="shared" si="28"/>
        <v>0</v>
      </c>
      <c r="DN14" s="153" t="s">
        <v>149</v>
      </c>
      <c r="DO14" s="169">
        <f>DI10</f>
        <v>9.2999999999999999E-2</v>
      </c>
      <c r="DP14" s="154"/>
      <c r="DQ14" s="154"/>
      <c r="DR14" s="155">
        <f t="shared" si="21"/>
        <v>30</v>
      </c>
      <c r="DS14" s="154"/>
      <c r="DT14" s="154"/>
      <c r="DU14" s="156">
        <f t="shared" si="22"/>
        <v>29.662236750000002</v>
      </c>
      <c r="DX14" s="113"/>
      <c r="DY14" s="146">
        <v>2</v>
      </c>
      <c r="DZ14" s="166">
        <v>6000000</v>
      </c>
      <c r="EA14" s="168" t="e">
        <f t="shared" si="29"/>
        <v>#DIV/0!</v>
      </c>
      <c r="EE14" s="167">
        <f t="shared" si="30"/>
        <v>0</v>
      </c>
      <c r="EG14" s="153" t="s">
        <v>172</v>
      </c>
      <c r="EH14" s="170">
        <f>DZ11</f>
        <v>76.767600000000002</v>
      </c>
      <c r="EI14" s="154"/>
      <c r="EJ14" s="154"/>
      <c r="EK14" s="155">
        <f t="shared" si="12"/>
        <v>30</v>
      </c>
      <c r="EL14" s="154"/>
      <c r="EM14" s="154"/>
      <c r="EN14" s="156">
        <f t="shared" si="13"/>
        <v>29.589320605703044</v>
      </c>
      <c r="ER14" s="153" t="s">
        <v>172</v>
      </c>
      <c r="ES14" s="170">
        <f>EH16</f>
        <v>6</v>
      </c>
      <c r="ET14" s="154"/>
      <c r="EU14" s="154"/>
      <c r="EV14" s="155">
        <f>EH18/1000000</f>
        <v>4.2838000000000001E-2</v>
      </c>
      <c r="EW14" s="154"/>
      <c r="EX14" s="154"/>
      <c r="EY14" s="156">
        <f t="shared" si="14"/>
        <v>1E-4</v>
      </c>
    </row>
    <row r="15" spans="2:155" x14ac:dyDescent="0.25">
      <c r="B15" s="86"/>
      <c r="C15" s="86"/>
      <c r="D15" s="86"/>
      <c r="F15" s="86"/>
      <c r="G15" s="86"/>
      <c r="H15" s="86"/>
      <c r="J15" s="86" t="str" cm="1">
        <f t="array" ref="J15">LOOKUP(2,1/($G$17:$G$33&lt;=$L15)/($H$17:$H$33&gt;=$L15),$F$17:$F$33)</f>
        <v>2H24</v>
      </c>
      <c r="K15" s="86" t="str" cm="1">
        <f t="array" ref="K15">LOOKUP(2,1/($G$6:$G$14&lt;=$L15)/($H$6:$H$14&gt;=$L15),$F$6:$F$14)</f>
        <v>FY24</v>
      </c>
      <c r="L15" s="118">
        <v>45398</v>
      </c>
      <c r="M15" s="49">
        <v>9091124.0471240468</v>
      </c>
      <c r="N15" s="49">
        <v>13272131.996396396</v>
      </c>
      <c r="O15" s="50">
        <v>3000000</v>
      </c>
      <c r="P15" s="119" cm="1">
        <f t="array" ref="P15">LOOKUP(2,1/($B$10:$B$14&lt;=$L15)/($C$10:$C$14&gt;=$L15),$D$10:$D$14)</f>
        <v>1.1000000000000001</v>
      </c>
      <c r="Q15" s="120" cm="1">
        <f t="array" ref="Q15">LOOKUP(2,1/($B$17:$B$21&lt;=$L15)/($C$17:$C$21&gt;=$L15),$D$17:$D$21)</f>
        <v>134.49039999999999</v>
      </c>
      <c r="R15" s="113" t="str">
        <f t="shared" si="3"/>
        <v/>
      </c>
      <c r="S15" s="113" t="str">
        <f t="shared" si="4"/>
        <v>2H24</v>
      </c>
      <c r="T15" s="113" t="str">
        <f t="shared" ca="1" si="5"/>
        <v/>
      </c>
      <c r="U15" s="113" t="str">
        <f t="shared" si="6"/>
        <v/>
      </c>
      <c r="V15" s="113" t="str">
        <f t="shared" si="0"/>
        <v>FY24</v>
      </c>
      <c r="W15" s="113" t="str">
        <f t="shared" ca="1" si="7"/>
        <v/>
      </c>
      <c r="X15" s="113"/>
      <c r="Y15" s="146">
        <v>3</v>
      </c>
      <c r="Z15" s="166">
        <v>30000000</v>
      </c>
      <c r="AA15" s="167">
        <f>AVERAGEIFS($M:$M,$L:$L,"&gt;="&amp;Z$6,$L:$L,"&lt;="&amp;AB$6,$O:$O,"="&amp;Z15)*AB$11</f>
        <v>25744501.172377277</v>
      </c>
      <c r="AE15" s="167">
        <f t="shared" si="23"/>
        <v>3</v>
      </c>
      <c r="AF15" s="167"/>
      <c r="AH15" s="171"/>
      <c r="AJ15" s="154"/>
      <c r="AK15" s="154"/>
      <c r="AL15" s="155">
        <f t="shared" si="8"/>
        <v>160</v>
      </c>
      <c r="AM15" s="154"/>
      <c r="AN15" s="154"/>
      <c r="AO15" s="156">
        <f t="shared" si="9"/>
        <v>257.40779999999995</v>
      </c>
      <c r="AR15" s="113"/>
      <c r="AS15" s="146">
        <v>3</v>
      </c>
      <c r="AT15" s="166">
        <v>30000000</v>
      </c>
      <c r="AU15" s="167">
        <f t="shared" si="24"/>
        <v>26613097.572044477</v>
      </c>
      <c r="AW15" s="167">
        <f t="shared" si="25"/>
        <v>2</v>
      </c>
      <c r="AY15" s="153" t="s">
        <v>172</v>
      </c>
      <c r="AZ15" s="170">
        <f>AT11</f>
        <v>134.49039999999999</v>
      </c>
      <c r="BA15" s="154"/>
      <c r="BB15" s="155">
        <f t="shared" si="15"/>
        <v>160</v>
      </c>
      <c r="BC15" s="156" t="e">
        <f t="shared" si="16"/>
        <v>#DIV/0!</v>
      </c>
      <c r="BF15" s="113"/>
      <c r="BG15" s="146">
        <v>3</v>
      </c>
      <c r="BH15" s="166">
        <v>20000000</v>
      </c>
      <c r="BI15" s="146">
        <v>37073147.564176887</v>
      </c>
      <c r="BM15" s="167"/>
      <c r="BO15" s="171"/>
      <c r="BQ15" s="154"/>
      <c r="BR15" s="154"/>
      <c r="BS15" s="155">
        <f t="shared" si="10"/>
        <v>80</v>
      </c>
      <c r="BT15" s="154"/>
      <c r="BU15" s="154"/>
      <c r="BV15" s="156">
        <f t="shared" si="11"/>
        <v>113.75124441664214</v>
      </c>
      <c r="BY15" s="113"/>
      <c r="BZ15" s="146">
        <v>3</v>
      </c>
      <c r="CA15" s="166">
        <v>20000000</v>
      </c>
      <c r="CB15" s="146">
        <v>37073147.564176887</v>
      </c>
      <c r="CF15" s="167"/>
      <c r="CH15" s="153" t="s">
        <v>172</v>
      </c>
      <c r="CI15" s="170">
        <f>CA11</f>
        <v>134.49039999999999</v>
      </c>
      <c r="CJ15" s="154"/>
      <c r="CK15" s="155">
        <f t="shared" si="17"/>
        <v>80</v>
      </c>
      <c r="CL15" s="156">
        <f t="shared" si="18"/>
        <v>113.75124441664214</v>
      </c>
      <c r="CO15" s="113"/>
      <c r="CP15" s="146">
        <v>3</v>
      </c>
      <c r="CQ15" s="166">
        <v>10000000</v>
      </c>
      <c r="CR15" s="168">
        <f t="shared" si="26"/>
        <v>15463414.216199609</v>
      </c>
      <c r="CV15" s="167">
        <f t="shared" si="27"/>
        <v>8</v>
      </c>
      <c r="CX15" s="153" t="s">
        <v>172</v>
      </c>
      <c r="CY15" s="170">
        <f>CQ11</f>
        <v>76.767600000000002</v>
      </c>
      <c r="CZ15" s="154"/>
      <c r="DA15" s="155">
        <f t="shared" si="19"/>
        <v>40</v>
      </c>
      <c r="DB15" s="156">
        <f t="shared" si="20"/>
        <v>39.675925946247141</v>
      </c>
      <c r="DE15" s="113"/>
      <c r="DF15" s="146">
        <v>3</v>
      </c>
      <c r="DG15" s="166">
        <v>10000000</v>
      </c>
      <c r="DH15" s="168">
        <f>AVERAGEIFS($M:$M,$L:$L,"&gt;="&amp;$DG$6,$L:$L,"&lt;="&amp;$DI$6,$O:$O,"="&amp;$DG15)</f>
        <v>14678466</v>
      </c>
      <c r="DL15" s="167">
        <f t="shared" si="28"/>
        <v>4</v>
      </c>
      <c r="DN15" s="153" t="s">
        <v>172</v>
      </c>
      <c r="DO15" s="170">
        <f>DG11</f>
        <v>76.767600000000002</v>
      </c>
      <c r="DP15" s="154"/>
      <c r="DQ15" s="154"/>
      <c r="DR15" s="155">
        <f t="shared" si="21"/>
        <v>50</v>
      </c>
      <c r="DS15" s="154"/>
      <c r="DT15" s="154"/>
      <c r="DU15" s="156">
        <f t="shared" si="22"/>
        <v>59.494776000000002</v>
      </c>
      <c r="DX15" s="113"/>
      <c r="DY15" s="146">
        <v>3</v>
      </c>
      <c r="DZ15" s="166">
        <v>10000000</v>
      </c>
      <c r="EA15" s="168">
        <f t="shared" si="29"/>
        <v>14721024.651720747</v>
      </c>
      <c r="EE15" s="167">
        <f t="shared" si="30"/>
        <v>10</v>
      </c>
      <c r="EG15" s="171"/>
      <c r="EI15" s="154"/>
      <c r="EJ15" s="154"/>
      <c r="EK15" s="155">
        <f t="shared" si="12"/>
        <v>50</v>
      </c>
      <c r="EL15" s="154"/>
      <c r="EM15" s="154"/>
      <c r="EN15" s="156">
        <f t="shared" si="13"/>
        <v>59.494776000000002</v>
      </c>
      <c r="ER15" s="171"/>
      <c r="ES15"/>
      <c r="ET15" s="154"/>
      <c r="EU15" s="154"/>
      <c r="EV15" s="155">
        <f>EH19/1000000</f>
        <v>4.3201999999999997E-2</v>
      </c>
      <c r="EW15" s="154"/>
      <c r="EX15" s="154"/>
      <c r="EY15" s="156">
        <f t="shared" si="14"/>
        <v>1.2E-4</v>
      </c>
    </row>
    <row r="16" spans="2:155" x14ac:dyDescent="0.2">
      <c r="B16" s="117" t="s">
        <v>183</v>
      </c>
      <c r="C16" s="117"/>
      <c r="D16" s="117"/>
      <c r="F16" s="117" t="s">
        <v>184</v>
      </c>
      <c r="G16" s="117"/>
      <c r="H16" s="117"/>
      <c r="J16" s="86" t="str" cm="1">
        <f t="array" ref="J16">LOOKUP(2,1/($G$17:$G$33&lt;=$L16)/($H$17:$H$33&gt;=$L16),$F$17:$F$33)</f>
        <v>2H24</v>
      </c>
      <c r="K16" s="86" t="str" cm="1">
        <f t="array" ref="K16">LOOKUP(2,1/($G$6:$G$14&lt;=$L16)/($H$6:$H$14&gt;=$L16),$F$6:$F$14)</f>
        <v>FY24</v>
      </c>
      <c r="L16" s="118">
        <v>45391</v>
      </c>
      <c r="M16" s="49">
        <v>44051448.371448368</v>
      </c>
      <c r="N16" s="49">
        <v>64310709.477477469</v>
      </c>
      <c r="O16" s="50">
        <v>50000000</v>
      </c>
      <c r="P16" s="119" cm="1">
        <f t="array" ref="P16">LOOKUP(2,1/($B$10:$B$14&lt;=$L16)/($C$10:$C$14&gt;=$L16),$D$10:$D$14)</f>
        <v>1.1000000000000001</v>
      </c>
      <c r="Q16" s="120" cm="1">
        <f t="array" ref="Q16">LOOKUP(2,1/($B$17:$B$21&lt;=$L16)/($C$17:$C$21&gt;=$L16),$D$17:$D$21)</f>
        <v>134.49039999999999</v>
      </c>
      <c r="R16" s="113" t="str">
        <f t="shared" si="3"/>
        <v/>
      </c>
      <c r="S16" s="113" t="str">
        <f t="shared" si="4"/>
        <v>2H24</v>
      </c>
      <c r="T16" s="113" t="str">
        <f t="shared" ca="1" si="5"/>
        <v/>
      </c>
      <c r="U16" s="113" t="str">
        <f t="shared" si="6"/>
        <v/>
      </c>
      <c r="V16" s="113" t="str">
        <f t="shared" si="0"/>
        <v>FY24</v>
      </c>
      <c r="W16" s="113" t="str">
        <f t="shared" ca="1" si="7"/>
        <v/>
      </c>
      <c r="X16" s="113"/>
      <c r="Y16" s="146">
        <v>4</v>
      </c>
      <c r="Z16" s="166">
        <v>50000000</v>
      </c>
      <c r="AA16" s="167">
        <f>AVERAGEIFS($M:$M,$L:$L,"&gt;="&amp;Z$6,$L:$L,"&lt;="&amp;AB$6,$O:$O,"="&amp;Z16)*AB$11</f>
        <v>41464495.575221241</v>
      </c>
      <c r="AE16" s="167">
        <f t="shared" si="23"/>
        <v>1</v>
      </c>
      <c r="AF16" s="167"/>
      <c r="AH16" s="153" t="s">
        <v>91</v>
      </c>
      <c r="AI16" s="155" t="e">
        <f>Z9/1000000</f>
        <v>#N/A</v>
      </c>
      <c r="AJ16" s="154"/>
      <c r="AK16" s="154"/>
      <c r="AL16" s="155">
        <f t="shared" si="8"/>
        <v>200</v>
      </c>
      <c r="AM16" s="154"/>
      <c r="AN16" s="154"/>
      <c r="AO16" s="156">
        <f t="shared" si="9"/>
        <v>316.26659999999998</v>
      </c>
      <c r="AR16" s="113"/>
      <c r="AS16" s="146">
        <v>4</v>
      </c>
      <c r="AT16" s="166">
        <v>50000000</v>
      </c>
      <c r="AU16" s="167">
        <f t="shared" si="24"/>
        <v>41464495.575221241</v>
      </c>
      <c r="AW16" s="167">
        <f t="shared" si="25"/>
        <v>1</v>
      </c>
      <c r="AY16" s="172"/>
      <c r="AZ16" s="2"/>
      <c r="BA16" s="154"/>
      <c r="BB16" s="155">
        <f t="shared" si="15"/>
        <v>200</v>
      </c>
      <c r="BC16" s="156">
        <f t="shared" si="16"/>
        <v>400</v>
      </c>
      <c r="BF16" s="113"/>
      <c r="BG16" s="146">
        <v>4</v>
      </c>
      <c r="BH16" s="166">
        <v>40000000</v>
      </c>
      <c r="BI16" s="146">
        <v>53171402.9233898</v>
      </c>
      <c r="BM16" s="167"/>
      <c r="BO16" s="153" t="s">
        <v>91</v>
      </c>
      <c r="BP16" s="155">
        <f>BH9/1000000</f>
        <v>30</v>
      </c>
      <c r="BQ16" s="154"/>
      <c r="BR16" s="154"/>
      <c r="BS16" s="155">
        <f t="shared" si="10"/>
        <v>120</v>
      </c>
      <c r="BT16" s="154"/>
      <c r="BU16" s="154"/>
      <c r="BV16" s="156">
        <f t="shared" si="11"/>
        <v>226.12630409125558</v>
      </c>
      <c r="BY16" s="113"/>
      <c r="BZ16" s="146">
        <v>4</v>
      </c>
      <c r="CA16" s="166">
        <v>40000000</v>
      </c>
      <c r="CB16" s="146">
        <v>53171402.9233898</v>
      </c>
      <c r="CF16" s="167"/>
      <c r="CH16" s="172"/>
      <c r="CI16" s="2"/>
      <c r="CJ16" s="154"/>
      <c r="CK16" s="155">
        <f t="shared" si="17"/>
        <v>120</v>
      </c>
      <c r="CL16" s="156">
        <f t="shared" si="18"/>
        <v>226.12630409125558</v>
      </c>
      <c r="CO16" s="113"/>
      <c r="CP16" s="146">
        <v>4</v>
      </c>
      <c r="CQ16" s="166">
        <v>15000000</v>
      </c>
      <c r="CR16" s="168">
        <f t="shared" si="26"/>
        <v>18349197.278269421</v>
      </c>
      <c r="CV16" s="167">
        <f t="shared" si="27"/>
        <v>5</v>
      </c>
      <c r="CX16" s="172"/>
      <c r="CY16" s="2"/>
      <c r="CZ16" s="154"/>
      <c r="DA16" s="155">
        <f t="shared" si="19"/>
        <v>55</v>
      </c>
      <c r="DB16" s="156" t="e">
        <f t="shared" si="20"/>
        <v>#DIV/0!</v>
      </c>
      <c r="DE16" s="113"/>
      <c r="DF16" s="146">
        <v>4</v>
      </c>
      <c r="DG16" s="166">
        <v>15000000</v>
      </c>
      <c r="DH16" s="168">
        <f>AVERAGEIFS($M:$M,$L:$L,"&gt;="&amp;$DG$6,$L:$L,"&lt;="&amp;$DI$6,$O:$O,"="&amp;$DG16)</f>
        <v>17950057.5</v>
      </c>
      <c r="DL16" s="167">
        <f t="shared" si="28"/>
        <v>4</v>
      </c>
      <c r="DN16" s="172"/>
      <c r="DO16" s="2"/>
      <c r="DP16" s="154"/>
      <c r="DQ16" s="154"/>
      <c r="DR16" s="155">
        <f t="shared" si="21"/>
        <v>80</v>
      </c>
      <c r="DS16" s="154"/>
      <c r="DT16" s="154"/>
      <c r="DU16" s="156">
        <f t="shared" si="22"/>
        <v>128.35499999999999</v>
      </c>
      <c r="DX16" s="113"/>
      <c r="DY16" s="146">
        <v>4</v>
      </c>
      <c r="DZ16" s="166">
        <v>15000000</v>
      </c>
      <c r="EA16" s="168">
        <f t="shared" si="29"/>
        <v>18068154.627335303</v>
      </c>
      <c r="EE16" s="167">
        <f t="shared" si="30"/>
        <v>7</v>
      </c>
      <c r="EG16" s="153" t="s">
        <v>91</v>
      </c>
      <c r="EH16" s="155">
        <f>DZ9/1000000</f>
        <v>6</v>
      </c>
      <c r="EI16" s="154"/>
      <c r="EJ16" s="154"/>
      <c r="EK16" s="155">
        <f t="shared" si="12"/>
        <v>70</v>
      </c>
      <c r="EL16" s="154"/>
      <c r="EM16" s="154"/>
      <c r="EN16" s="156">
        <f t="shared" si="13"/>
        <v>90.484999999999985</v>
      </c>
      <c r="ER16" s="153" t="s">
        <v>91</v>
      </c>
      <c r="ES16" s="155">
        <f>EH10/1000000</f>
        <v>4.2838000000000001E-2</v>
      </c>
      <c r="ET16" s="154"/>
      <c r="EU16" s="154"/>
      <c r="EV16" s="155">
        <f>EH20/1000000</f>
        <v>9.9999999999999995E-7</v>
      </c>
      <c r="EW16" s="154"/>
      <c r="EX16" s="154"/>
      <c r="EY16" s="156">
        <f t="shared" si="14"/>
        <v>1.4999999999999999E-4</v>
      </c>
    </row>
    <row r="17" spans="2:155" x14ac:dyDescent="0.25">
      <c r="B17" s="129">
        <v>35208</v>
      </c>
      <c r="C17" s="129">
        <v>40237</v>
      </c>
      <c r="D17" s="151"/>
      <c r="F17" s="86" t="s">
        <v>185</v>
      </c>
      <c r="G17" s="129">
        <v>42736</v>
      </c>
      <c r="H17" s="131">
        <f>EOMONTH(G17,5)</f>
        <v>42916</v>
      </c>
      <c r="J17" s="86" t="str" cm="1">
        <f t="array" ref="J17">LOOKUP(2,1/($G$17:$G$33&lt;=$L17)/($H$17:$H$33&gt;=$L17),$F$17:$F$33)</f>
        <v>2H24</v>
      </c>
      <c r="K17" s="86" t="str" cm="1">
        <f t="array" ref="K17">LOOKUP(2,1/($G$6:$G$14&lt;=$L17)/($H$6:$H$14&gt;=$L17),$F$6:$F$14)</f>
        <v>FY24</v>
      </c>
      <c r="L17" s="118">
        <v>45384</v>
      </c>
      <c r="M17" s="49">
        <v>30707917.417417414</v>
      </c>
      <c r="N17" s="49">
        <v>44830488.637687683</v>
      </c>
      <c r="O17" s="50">
        <v>40000000</v>
      </c>
      <c r="P17" s="119" cm="1">
        <f t="array" ref="P17">LOOKUP(2,1/($B$10:$B$14&lt;=$L17)/($C$10:$C$14&gt;=$L17),$D$10:$D$14)</f>
        <v>1.1000000000000001</v>
      </c>
      <c r="Q17" s="120" cm="1">
        <f t="array" ref="Q17">LOOKUP(2,1/($B$17:$B$21&lt;=$L17)/($C$17:$C$21&gt;=$L17),$D$17:$D$21)</f>
        <v>134.49039999999999</v>
      </c>
      <c r="R17" s="113" t="str">
        <f t="shared" si="3"/>
        <v/>
      </c>
      <c r="S17" s="113" t="str">
        <f t="shared" si="4"/>
        <v>2H24</v>
      </c>
      <c r="T17" s="113" t="str">
        <f t="shared" ca="1" si="5"/>
        <v/>
      </c>
      <c r="U17" s="113" t="str">
        <f t="shared" si="6"/>
        <v/>
      </c>
      <c r="V17" s="113" t="str">
        <f t="shared" si="0"/>
        <v>FY24</v>
      </c>
      <c r="W17" s="113" t="str">
        <f t="shared" ca="1" si="7"/>
        <v/>
      </c>
      <c r="X17" s="113"/>
      <c r="Y17" s="146">
        <v>5</v>
      </c>
      <c r="Z17" s="166">
        <v>100000000</v>
      </c>
      <c r="AA17" s="167"/>
      <c r="AB17" s="173">
        <f t="shared" ref="AB17:AB22" si="31">IF($Z17&gt;=100000000,$AC$8*AC$11*AC17+$AD$8*AD$11*AD17,AC$11*AC17+AD$11*AD17)*AB$11</f>
        <v>169119600</v>
      </c>
      <c r="AC17" s="145">
        <v>130091999.99999999</v>
      </c>
      <c r="AD17" s="145">
        <v>142170000</v>
      </c>
      <c r="AE17" s="167">
        <f t="shared" si="23"/>
        <v>0</v>
      </c>
      <c r="AF17" s="167"/>
      <c r="AH17" s="172" t="s">
        <v>147</v>
      </c>
      <c r="AI17" s="174">
        <f>Z6</f>
        <v>44587</v>
      </c>
      <c r="AJ17" s="154"/>
      <c r="AK17" s="154"/>
      <c r="AL17" s="155">
        <f t="shared" si="8"/>
        <v>250</v>
      </c>
      <c r="AM17" s="154"/>
      <c r="AN17" s="154"/>
      <c r="AO17" s="156">
        <f t="shared" si="9"/>
        <v>389.84009999999995</v>
      </c>
      <c r="AR17" s="113"/>
      <c r="AS17" s="146">
        <v>5</v>
      </c>
      <c r="AT17" s="166">
        <v>100000000</v>
      </c>
      <c r="AU17" s="167" t="e">
        <f t="shared" si="24"/>
        <v>#DIV/0!</v>
      </c>
      <c r="AW17" s="167">
        <f t="shared" si="25"/>
        <v>0</v>
      </c>
      <c r="AY17" s="172" t="s">
        <v>147</v>
      </c>
      <c r="AZ17" s="174">
        <f>AT6</f>
        <v>44652</v>
      </c>
      <c r="BA17" s="154"/>
      <c r="BB17" s="155">
        <f t="shared" si="15"/>
        <v>250</v>
      </c>
      <c r="BC17" s="156">
        <f t="shared" si="16"/>
        <v>510</v>
      </c>
      <c r="BF17" s="113"/>
      <c r="BG17" s="146">
        <v>5</v>
      </c>
      <c r="BH17" s="166">
        <v>60000000</v>
      </c>
      <c r="BI17" s="146">
        <v>77545671.333813921</v>
      </c>
      <c r="BM17" s="167"/>
      <c r="BO17" s="171"/>
      <c r="BQ17" s="154"/>
      <c r="BR17" s="154"/>
      <c r="BS17" s="155">
        <f t="shared" si="10"/>
        <v>150</v>
      </c>
      <c r="BT17" s="154"/>
      <c r="BU17" s="154"/>
      <c r="BV17" s="156">
        <f t="shared" si="11"/>
        <v>295</v>
      </c>
      <c r="BY17" s="113"/>
      <c r="BZ17" s="146">
        <v>5</v>
      </c>
      <c r="CA17" s="166">
        <v>60000000</v>
      </c>
      <c r="CB17" s="146">
        <v>77545671.333813921</v>
      </c>
      <c r="CC17" s="173">
        <f t="shared" ref="CC17:CC22" si="32">IF($CA17&gt;=100000000,$CD$8*CD$11*CD17+$CE$8*CE$11*CE17,CD$11*CD17+CE$11*CE17)</f>
        <v>84874000</v>
      </c>
      <c r="CD17" s="145">
        <v>84874000</v>
      </c>
      <c r="CE17" s="145">
        <v>83587000</v>
      </c>
      <c r="CF17" s="167"/>
      <c r="CH17" s="172" t="s">
        <v>147</v>
      </c>
      <c r="CI17" s="174" t="str">
        <f>CA6</f>
        <v>EST</v>
      </c>
      <c r="CJ17" s="154"/>
      <c r="CK17" s="155">
        <f t="shared" si="17"/>
        <v>160</v>
      </c>
      <c r="CL17" s="156">
        <f t="shared" si="18"/>
        <v>277.9896</v>
      </c>
      <c r="CO17" s="113"/>
      <c r="CP17" s="146">
        <v>5</v>
      </c>
      <c r="CQ17" s="166">
        <v>25000000</v>
      </c>
      <c r="CR17" s="168" t="e">
        <f t="shared" si="26"/>
        <v>#DIV/0!</v>
      </c>
      <c r="CV17" s="167">
        <f t="shared" si="27"/>
        <v>0</v>
      </c>
      <c r="CX17" s="172" t="s">
        <v>147</v>
      </c>
      <c r="CY17" s="174">
        <f>CQ6</f>
        <v>42917</v>
      </c>
      <c r="CZ17" s="154"/>
      <c r="DA17" s="155">
        <f t="shared" si="19"/>
        <v>80</v>
      </c>
      <c r="DB17" s="156">
        <f t="shared" si="20"/>
        <v>128.35499999999999</v>
      </c>
      <c r="DE17" s="113"/>
      <c r="DF17" s="146">
        <v>5</v>
      </c>
      <c r="DG17" s="166">
        <v>30000000</v>
      </c>
      <c r="DH17" s="168">
        <f>AVERAGEIFS($M:$M,$L:$L,"&gt;="&amp;$DG$6,$L:$L,"&lt;="&amp;$DI$6,$O:$O,"="&amp;$DG17)</f>
        <v>29662236.75</v>
      </c>
      <c r="DL17" s="167">
        <f t="shared" si="28"/>
        <v>4</v>
      </c>
      <c r="DN17" s="172" t="s">
        <v>147</v>
      </c>
      <c r="DO17" s="174">
        <f>DG6</f>
        <v>42917</v>
      </c>
      <c r="DP17" s="154"/>
      <c r="DQ17" s="154"/>
      <c r="DR17" s="155">
        <f t="shared" si="21"/>
        <v>100</v>
      </c>
      <c r="DS17" s="154"/>
      <c r="DT17" s="154"/>
      <c r="DU17" s="156">
        <f t="shared" si="22"/>
        <v>197.19125</v>
      </c>
      <c r="DX17" s="113"/>
      <c r="DY17" s="146">
        <v>5</v>
      </c>
      <c r="DZ17" s="166">
        <v>30000000</v>
      </c>
      <c r="EA17" s="168">
        <f t="shared" si="29"/>
        <v>29589320.605703045</v>
      </c>
      <c r="EE17" s="167">
        <f t="shared" si="30"/>
        <v>6</v>
      </c>
      <c r="EG17" s="171"/>
      <c r="EI17" s="154"/>
      <c r="EJ17" s="154"/>
      <c r="EK17" s="155">
        <f t="shared" si="12"/>
        <v>100</v>
      </c>
      <c r="EL17" s="154"/>
      <c r="EM17" s="154"/>
      <c r="EN17" s="156">
        <f t="shared" si="13"/>
        <v>168.65280000000001</v>
      </c>
      <c r="ER17" s="172"/>
      <c r="ES17" s="2"/>
      <c r="ET17" s="154"/>
      <c r="EU17" s="154"/>
      <c r="EV17" s="155" t="e">
        <f>#REF!/1000000</f>
        <v>#REF!</v>
      </c>
      <c r="EW17" s="154"/>
      <c r="EX17" s="154"/>
      <c r="EY17" s="156">
        <f t="shared" si="14"/>
        <v>0</v>
      </c>
    </row>
    <row r="18" spans="2:155" x14ac:dyDescent="0.2">
      <c r="B18" s="129">
        <v>40238</v>
      </c>
      <c r="C18" s="129">
        <v>40694</v>
      </c>
      <c r="D18" s="151"/>
      <c r="F18" s="86" t="s">
        <v>43</v>
      </c>
      <c r="G18" s="131">
        <f>H17+1</f>
        <v>42917</v>
      </c>
      <c r="H18" s="131">
        <f>EOMONTH(G18,5)</f>
        <v>43100</v>
      </c>
      <c r="J18" s="86" t="str" cm="1">
        <f t="array" ref="J18">LOOKUP(2,1/($G$17:$G$33&lt;=$L18)/($H$17:$H$33&gt;=$L18),$F$17:$F$33)</f>
        <v>2H24</v>
      </c>
      <c r="K18" s="86" t="str" cm="1">
        <f t="array" ref="K18">LOOKUP(2,1/($G$6:$G$14&lt;=$L18)/($H$6:$H$14&gt;=$L18),$F$6:$F$14)</f>
        <v>FY24</v>
      </c>
      <c r="L18" s="118">
        <v>45377</v>
      </c>
      <c r="M18" s="49">
        <v>26972456.802956805</v>
      </c>
      <c r="N18" s="49">
        <v>39377089.686636642</v>
      </c>
      <c r="O18" s="50">
        <v>30000000</v>
      </c>
      <c r="P18" s="119" cm="1">
        <f t="array" ref="P18">LOOKUP(2,1/($B$10:$B$14&lt;=$L18)/($C$10:$C$14&gt;=$L18),$D$10:$D$14)</f>
        <v>1.1000000000000001</v>
      </c>
      <c r="Q18" s="120" cm="1">
        <f t="array" ref="Q18">LOOKUP(2,1/($B$17:$B$21&lt;=$L18)/($C$17:$C$21&gt;=$L18),$D$17:$D$21)</f>
        <v>134.49039999999999</v>
      </c>
      <c r="R18" s="113" t="str">
        <f t="shared" si="3"/>
        <v/>
      </c>
      <c r="S18" s="113" t="str">
        <f t="shared" si="4"/>
        <v>2H24</v>
      </c>
      <c r="T18" s="113" t="str">
        <f t="shared" ca="1" si="5"/>
        <v/>
      </c>
      <c r="U18" s="113" t="str">
        <f t="shared" si="6"/>
        <v/>
      </c>
      <c r="V18" s="113" t="str">
        <f t="shared" si="0"/>
        <v>FY24</v>
      </c>
      <c r="W18" s="113" t="str">
        <f t="shared" ref="W18:W32" ca="1" si="33">IF(AND(V18&lt;&gt;V17,ISNUMBER(MATCH($V17,$F$6:$F$14,0))),OFFSET($F$5,MATCH($K18,$F$6:$F$14,0)+1,0),"")</f>
        <v/>
      </c>
      <c r="X18" s="113"/>
      <c r="Y18" s="146">
        <v>6</v>
      </c>
      <c r="Z18" s="166">
        <v>160000000</v>
      </c>
      <c r="AA18" s="167"/>
      <c r="AB18" s="173">
        <f t="shared" si="31"/>
        <v>257407799.99999997</v>
      </c>
      <c r="AC18" s="145">
        <v>198005999.99999997</v>
      </c>
      <c r="AD18" s="145">
        <v>246312000</v>
      </c>
      <c r="AE18" s="167">
        <f t="shared" si="23"/>
        <v>0</v>
      </c>
      <c r="AF18" s="167"/>
      <c r="AH18" s="172" t="s">
        <v>148</v>
      </c>
      <c r="AI18" s="174">
        <f>AB6</f>
        <v>44952</v>
      </c>
      <c r="AJ18" s="154"/>
      <c r="AK18" s="154"/>
      <c r="AL18" s="155">
        <f t="shared" si="8"/>
        <v>300</v>
      </c>
      <c r="AM18" s="154"/>
      <c r="AN18" s="154"/>
      <c r="AO18" s="156">
        <f t="shared" si="9"/>
        <v>463.41359999999997</v>
      </c>
      <c r="AR18" s="113"/>
      <c r="AS18" s="146">
        <v>6</v>
      </c>
      <c r="AT18" s="166">
        <v>160000000</v>
      </c>
      <c r="AU18" s="167" t="e">
        <f t="shared" si="24"/>
        <v>#DIV/0!</v>
      </c>
      <c r="AW18" s="167">
        <f t="shared" si="25"/>
        <v>0</v>
      </c>
      <c r="AY18" s="172" t="s">
        <v>148</v>
      </c>
      <c r="AZ18" s="174">
        <f>AV6</f>
        <v>44868</v>
      </c>
      <c r="BA18" s="154"/>
      <c r="BB18" s="155">
        <f t="shared" si="15"/>
        <v>300</v>
      </c>
      <c r="BC18" s="156">
        <f t="shared" si="16"/>
        <v>640</v>
      </c>
      <c r="BF18" s="113"/>
      <c r="BG18" s="146">
        <v>6</v>
      </c>
      <c r="BH18" s="166">
        <v>80000000</v>
      </c>
      <c r="BI18" s="146">
        <v>113751244.41664214</v>
      </c>
      <c r="BO18" s="172" t="s">
        <v>147</v>
      </c>
      <c r="BP18" s="174" t="str">
        <f>BH6</f>
        <v>EST</v>
      </c>
      <c r="BQ18" s="154"/>
      <c r="BR18" s="154"/>
      <c r="BS18" s="155">
        <f t="shared" si="10"/>
        <v>200</v>
      </c>
      <c r="BT18" s="154"/>
      <c r="BU18" s="154"/>
      <c r="BV18" s="156">
        <f t="shared" si="11"/>
        <v>396</v>
      </c>
      <c r="BY18" s="113"/>
      <c r="BZ18" s="146">
        <v>6</v>
      </c>
      <c r="CA18" s="166">
        <v>80000000</v>
      </c>
      <c r="CB18" s="146">
        <v>113751244.41664214</v>
      </c>
      <c r="CC18" s="173">
        <f t="shared" si="32"/>
        <v>107612000</v>
      </c>
      <c r="CD18" s="145">
        <v>107612000</v>
      </c>
      <c r="CE18" s="145">
        <v>103685000.00000001</v>
      </c>
      <c r="CF18" s="167"/>
      <c r="CH18" s="172" t="s">
        <v>148</v>
      </c>
      <c r="CI18" s="174" t="str">
        <f>CC6</f>
        <v>EST</v>
      </c>
      <c r="CJ18" s="154"/>
      <c r="CK18" s="155">
        <f t="shared" si="17"/>
        <v>200</v>
      </c>
      <c r="CL18" s="156">
        <f t="shared" si="18"/>
        <v>341.65600000000001</v>
      </c>
      <c r="CO18" s="113"/>
      <c r="CP18" s="146">
        <v>6</v>
      </c>
      <c r="CQ18" s="166">
        <v>40000000</v>
      </c>
      <c r="CR18" s="168">
        <f t="shared" si="26"/>
        <v>39675925.946247138</v>
      </c>
      <c r="CV18" s="167">
        <f t="shared" si="27"/>
        <v>3</v>
      </c>
      <c r="CX18" s="172" t="s">
        <v>148</v>
      </c>
      <c r="CY18" s="174">
        <f>CS6</f>
        <v>43208</v>
      </c>
      <c r="CZ18" s="154"/>
      <c r="DA18" s="155">
        <f t="shared" si="19"/>
        <v>100</v>
      </c>
      <c r="DB18" s="156">
        <f t="shared" si="20"/>
        <v>197.19125</v>
      </c>
      <c r="DE18" s="113"/>
      <c r="DF18" s="146">
        <v>6</v>
      </c>
      <c r="DG18" s="166">
        <v>50000000</v>
      </c>
      <c r="DH18" s="168">
        <f>AVERAGEIFS($M:$M,$L:$L,"&gt;="&amp;$DG$6,$L:$L,"&lt;="&amp;$DI$6,$O:$O,"="&amp;$DG18)</f>
        <v>59494776</v>
      </c>
      <c r="DL18" s="167">
        <f t="shared" si="28"/>
        <v>1</v>
      </c>
      <c r="DN18" s="172" t="s">
        <v>148</v>
      </c>
      <c r="DO18" s="174">
        <f>DI6</f>
        <v>43100</v>
      </c>
      <c r="DP18" s="154"/>
      <c r="DQ18" s="154"/>
      <c r="DR18" s="155">
        <f t="shared" si="21"/>
        <v>120</v>
      </c>
      <c r="DS18" s="154"/>
      <c r="DT18" s="154"/>
      <c r="DU18" s="156">
        <f t="shared" si="22"/>
        <v>233.93875</v>
      </c>
      <c r="DX18" s="113"/>
      <c r="DY18" s="146">
        <v>6</v>
      </c>
      <c r="DZ18" s="166">
        <v>50000000</v>
      </c>
      <c r="EA18" s="168">
        <f t="shared" si="29"/>
        <v>59494776</v>
      </c>
      <c r="EE18" s="167">
        <f t="shared" si="30"/>
        <v>1</v>
      </c>
      <c r="EG18" s="172" t="s">
        <v>147</v>
      </c>
      <c r="EH18" s="174">
        <f>DZ6</f>
        <v>42838</v>
      </c>
      <c r="EI18" s="154"/>
      <c r="EJ18" s="154"/>
      <c r="EK18" s="155">
        <f t="shared" si="12"/>
        <v>120</v>
      </c>
      <c r="EL18" s="154"/>
      <c r="EM18" s="154"/>
      <c r="EN18" s="156">
        <f t="shared" si="13"/>
        <v>199.6515</v>
      </c>
      <c r="ER18" s="172" t="s">
        <v>147</v>
      </c>
      <c r="ES18" s="174">
        <f>EH6</f>
        <v>0</v>
      </c>
      <c r="ET18" s="154"/>
      <c r="EU18" s="154"/>
      <c r="EV18" s="155">
        <f>EH21/1000000</f>
        <v>0</v>
      </c>
      <c r="EW18" s="154"/>
      <c r="EX18" s="154"/>
      <c r="EY18" s="156">
        <f t="shared" si="14"/>
        <v>0</v>
      </c>
    </row>
    <row r="19" spans="2:155" x14ac:dyDescent="0.2">
      <c r="B19" s="129">
        <v>40695</v>
      </c>
      <c r="C19" s="129">
        <v>41339</v>
      </c>
      <c r="D19" s="151"/>
      <c r="F19" s="86" t="s">
        <v>46</v>
      </c>
      <c r="G19" s="131">
        <f t="shared" ref="G19:G33" si="34">H18+1</f>
        <v>43101</v>
      </c>
      <c r="H19" s="131">
        <f t="shared" ref="H19:H33" si="35">EOMONTH(G19,5)</f>
        <v>43281</v>
      </c>
      <c r="J19" s="86" t="str" cm="1">
        <f t="array" ref="J19">LOOKUP(2,1/($G$17:$G$33&lt;=$L19)/($H$17:$H$33&gt;=$L19),$F$17:$F$33)</f>
        <v>2H24</v>
      </c>
      <c r="K19" s="86" t="str" cm="1">
        <f t="array" ref="K19">LOOKUP(2,1/($G$6:$G$14&lt;=$L19)/($H$6:$H$14&gt;=$L19),$F$6:$F$14)</f>
        <v>FY24</v>
      </c>
      <c r="L19" s="118">
        <v>45370</v>
      </c>
      <c r="M19" s="49">
        <v>20737410.487410486</v>
      </c>
      <c r="N19" s="49">
        <v>30274545.570570569</v>
      </c>
      <c r="O19" s="50">
        <v>20000000</v>
      </c>
      <c r="P19" s="119" cm="1">
        <f t="array" ref="P19">LOOKUP(2,1/($B$10:$B$14&lt;=$L19)/($C$10:$C$14&gt;=$L19),$D$10:$D$14)</f>
        <v>1.1000000000000001</v>
      </c>
      <c r="Q19" s="120" cm="1">
        <f t="array" ref="Q19">LOOKUP(2,1/($B$17:$B$21&lt;=$L19)/($C$17:$C$21&gt;=$L19),$D$17:$D$21)</f>
        <v>134.49039999999999</v>
      </c>
      <c r="R19" s="113" t="str">
        <f t="shared" si="3"/>
        <v/>
      </c>
      <c r="S19" s="113" t="str">
        <f t="shared" si="4"/>
        <v>2H24</v>
      </c>
      <c r="T19" s="113" t="str">
        <f t="shared" ca="1" si="5"/>
        <v/>
      </c>
      <c r="U19" s="113" t="str">
        <f t="shared" si="6"/>
        <v/>
      </c>
      <c r="V19" s="113" t="str">
        <f t="shared" si="0"/>
        <v>FY24</v>
      </c>
      <c r="W19" s="113" t="str">
        <f t="shared" ca="1" si="33"/>
        <v/>
      </c>
      <c r="X19" s="113"/>
      <c r="Y19" s="146">
        <v>7</v>
      </c>
      <c r="Z19" s="145">
        <v>200000000</v>
      </c>
      <c r="AA19" s="145"/>
      <c r="AB19" s="173">
        <f t="shared" si="31"/>
        <v>316266600</v>
      </c>
      <c r="AC19" s="145">
        <v>243281999.99999997</v>
      </c>
      <c r="AD19" s="145">
        <v>328140000</v>
      </c>
      <c r="AE19" s="167">
        <f t="shared" si="23"/>
        <v>0</v>
      </c>
      <c r="AF19" s="167"/>
      <c r="AH19" s="172" t="s">
        <v>0</v>
      </c>
      <c r="AI19" s="175">
        <f>AB11</f>
        <v>1</v>
      </c>
      <c r="AJ19" s="154"/>
      <c r="AK19" s="154"/>
      <c r="AL19" s="155">
        <f t="shared" si="8"/>
        <v>350</v>
      </c>
      <c r="AM19" s="154"/>
      <c r="AN19" s="154"/>
      <c r="AO19" s="156">
        <f t="shared" si="9"/>
        <v>536.98710000000005</v>
      </c>
      <c r="AR19" s="113"/>
      <c r="AS19" s="146">
        <v>7</v>
      </c>
      <c r="AT19" s="145">
        <v>200000000</v>
      </c>
      <c r="AU19" s="145"/>
      <c r="AV19" s="145">
        <v>400000000</v>
      </c>
      <c r="AW19" s="146"/>
      <c r="AY19" s="176"/>
      <c r="AZ19" s="85"/>
      <c r="BA19" s="154"/>
      <c r="BB19" s="155">
        <f t="shared" si="15"/>
        <v>350</v>
      </c>
      <c r="BC19" s="156">
        <f t="shared" si="16"/>
        <v>800</v>
      </c>
      <c r="BF19" s="113"/>
      <c r="BG19" s="146">
        <v>7</v>
      </c>
      <c r="BH19" s="166">
        <v>120000000</v>
      </c>
      <c r="BI19" s="146">
        <v>226126304.09125558</v>
      </c>
      <c r="BJ19" s="168"/>
      <c r="BK19" s="168"/>
      <c r="BL19" s="168"/>
      <c r="BM19" s="168"/>
      <c r="BO19" s="172" t="s">
        <v>148</v>
      </c>
      <c r="BP19" s="174" t="str">
        <f>BJ6</f>
        <v>EST</v>
      </c>
      <c r="BQ19" s="154"/>
      <c r="BR19" s="154"/>
      <c r="BS19" s="155">
        <f t="shared" si="10"/>
        <v>250</v>
      </c>
      <c r="BT19" s="154"/>
      <c r="BU19" s="154"/>
      <c r="BV19" s="156">
        <f t="shared" si="11"/>
        <v>510</v>
      </c>
      <c r="BY19" s="113"/>
      <c r="BZ19" s="146">
        <v>7</v>
      </c>
      <c r="CA19" s="166">
        <v>120000000</v>
      </c>
      <c r="CB19" s="146">
        <v>226126304.09125558</v>
      </c>
      <c r="CC19" s="173">
        <f t="shared" si="32"/>
        <v>214323200</v>
      </c>
      <c r="CD19" s="145">
        <v>153088000</v>
      </c>
      <c r="CE19" s="145">
        <v>140281000</v>
      </c>
      <c r="CF19" s="167"/>
      <c r="CH19" s="176"/>
      <c r="CI19" s="85"/>
      <c r="CJ19" s="154"/>
      <c r="CK19" s="155">
        <f t="shared" si="17"/>
        <v>250</v>
      </c>
      <c r="CL19" s="156">
        <f t="shared" si="18"/>
        <v>421.23900000000003</v>
      </c>
      <c r="CO19" s="113"/>
      <c r="CP19" s="146">
        <v>7</v>
      </c>
      <c r="CQ19" s="166">
        <v>55000000</v>
      </c>
      <c r="CR19" s="168" t="e">
        <f t="shared" si="26"/>
        <v>#DIV/0!</v>
      </c>
      <c r="CS19" s="168"/>
      <c r="CT19" s="168"/>
      <c r="CU19" s="168"/>
      <c r="CV19" s="167">
        <f t="shared" si="27"/>
        <v>0</v>
      </c>
      <c r="CX19" s="172" t="s">
        <v>173</v>
      </c>
      <c r="CY19" s="177">
        <f>CS11</f>
        <v>0.78846153846153844</v>
      </c>
      <c r="CZ19" s="154"/>
      <c r="DA19" s="155">
        <f t="shared" si="19"/>
        <v>150</v>
      </c>
      <c r="DB19" s="156">
        <f t="shared" si="20"/>
        <v>289.06</v>
      </c>
      <c r="DE19" s="113"/>
      <c r="DF19" s="146">
        <v>7</v>
      </c>
      <c r="DG19" s="145">
        <v>80000000</v>
      </c>
      <c r="DH19" s="145"/>
      <c r="DI19" s="173">
        <f>IF($DG19&gt;=100000000,$DJ$8*DJ$11*DJ19+$DK$8*DK$11*DK19,DJ$11*DJ19+DK$11*DK19)</f>
        <v>128354999.99999999</v>
      </c>
      <c r="DJ19" s="145">
        <v>128354999.99999999</v>
      </c>
      <c r="DK19" s="145">
        <v>126586000</v>
      </c>
      <c r="DL19" s="167"/>
      <c r="DN19" s="172" t="s">
        <v>173</v>
      </c>
      <c r="DO19" s="177">
        <f>DI11</f>
        <v>1</v>
      </c>
      <c r="DP19" s="154"/>
      <c r="DQ19" s="154"/>
      <c r="DR19" s="155">
        <f t="shared" si="21"/>
        <v>150</v>
      </c>
      <c r="DS19" s="154"/>
      <c r="DT19" s="154"/>
      <c r="DU19" s="156">
        <f t="shared" si="22"/>
        <v>289.06</v>
      </c>
      <c r="DX19" s="113"/>
      <c r="DY19" s="146">
        <v>7</v>
      </c>
      <c r="DZ19" s="145">
        <v>70000000</v>
      </c>
      <c r="EA19" s="145"/>
      <c r="EB19" s="173">
        <f>IF($DZ19&gt;=100000000,$EC$8*EC$11*EC19+$ED$8*ED$11*ED19,EC$11*EC19+ED$11*ED19)*EB$11</f>
        <v>90484999.999999985</v>
      </c>
      <c r="EC19" s="145">
        <v>90484999.999999985</v>
      </c>
      <c r="ED19" s="145">
        <v>91498000</v>
      </c>
      <c r="EE19" s="146"/>
      <c r="EG19" s="172" t="s">
        <v>148</v>
      </c>
      <c r="EH19" s="174">
        <f>EB6</f>
        <v>43202</v>
      </c>
      <c r="EI19" s="154"/>
      <c r="EJ19" s="154"/>
      <c r="EK19" s="155">
        <f t="shared" si="12"/>
        <v>150</v>
      </c>
      <c r="EL19" s="154"/>
      <c r="EM19" s="154"/>
      <c r="EN19" s="156">
        <f t="shared" si="13"/>
        <v>246.14954999999998</v>
      </c>
      <c r="ER19" s="172" t="s">
        <v>148</v>
      </c>
      <c r="ES19" s="174">
        <f>EK6</f>
        <v>0</v>
      </c>
      <c r="ET19" s="154"/>
      <c r="EU19" s="154"/>
      <c r="EV19" s="155">
        <f>EH22/1000000</f>
        <v>0</v>
      </c>
      <c r="EW19" s="154"/>
      <c r="EX19" s="154"/>
      <c r="EY19" s="156">
        <f t="shared" si="14"/>
        <v>0</v>
      </c>
    </row>
    <row r="20" spans="2:155" x14ac:dyDescent="0.2">
      <c r="B20" s="129">
        <v>41340</v>
      </c>
      <c r="C20" s="129">
        <v>43208</v>
      </c>
      <c r="D20" s="178">
        <v>76.767600000000002</v>
      </c>
      <c r="F20" s="86" t="s">
        <v>47</v>
      </c>
      <c r="G20" s="131">
        <f t="shared" si="34"/>
        <v>43282</v>
      </c>
      <c r="H20" s="131">
        <f t="shared" si="35"/>
        <v>43465</v>
      </c>
      <c r="J20" s="86" t="str" cm="1">
        <f t="array" ref="J20">LOOKUP(2,1/($G$17:$G$33&lt;=$L20)/($H$17:$H$33&gt;=$L20),$F$17:$F$33)</f>
        <v>2H24</v>
      </c>
      <c r="K20" s="86" t="str" cm="1">
        <f t="array" ref="K20">LOOKUP(2,1/($G$6:$G$14&lt;=$L20)/($H$6:$H$14&gt;=$L20),$F$6:$F$14)</f>
        <v>FY24</v>
      </c>
      <c r="L20" s="118">
        <v>45363</v>
      </c>
      <c r="M20" s="49">
        <v>14729771.309771309</v>
      </c>
      <c r="N20" s="49">
        <v>21503993.135135133</v>
      </c>
      <c r="O20" s="50">
        <v>15000000</v>
      </c>
      <c r="P20" s="119" cm="1">
        <f t="array" ref="P20">LOOKUP(2,1/($B$10:$B$14&lt;=$L20)/($C$10:$C$14&gt;=$L20),$D$10:$D$14)</f>
        <v>1.1000000000000001</v>
      </c>
      <c r="Q20" s="120" cm="1">
        <f t="array" ref="Q20">LOOKUP(2,1/($B$17:$B$21&lt;=$L20)/($C$17:$C$21&gt;=$L20),$D$17:$D$21)</f>
        <v>134.49039999999999</v>
      </c>
      <c r="R20" s="113" t="str">
        <f t="shared" si="3"/>
        <v/>
      </c>
      <c r="S20" s="113" t="str">
        <f t="shared" si="4"/>
        <v>2H24</v>
      </c>
      <c r="T20" s="113" t="str">
        <f t="shared" ca="1" si="5"/>
        <v/>
      </c>
      <c r="U20" s="113" t="str">
        <f t="shared" si="6"/>
        <v/>
      </c>
      <c r="V20" s="113" t="str">
        <f t="shared" si="0"/>
        <v>FY24</v>
      </c>
      <c r="W20" s="113" t="str">
        <f t="shared" ca="1" si="33"/>
        <v/>
      </c>
      <c r="X20" s="113"/>
      <c r="Y20" s="146">
        <v>8</v>
      </c>
      <c r="Z20" s="145">
        <v>250000000</v>
      </c>
      <c r="AA20" s="145"/>
      <c r="AB20" s="173">
        <f t="shared" si="31"/>
        <v>389840099.99999994</v>
      </c>
      <c r="AC20" s="145">
        <v>299876999.99999994</v>
      </c>
      <c r="AD20" s="145">
        <v>444374999.99999994</v>
      </c>
      <c r="AE20" s="146"/>
      <c r="AF20" s="146"/>
      <c r="AH20" s="179" t="s">
        <v>162</v>
      </c>
      <c r="AI20" s="180">
        <f>AC8</f>
        <v>1.3</v>
      </c>
      <c r="AJ20" s="181"/>
      <c r="AK20" s="181"/>
      <c r="AL20" s="181"/>
      <c r="AM20" s="181"/>
      <c r="AN20" s="181"/>
      <c r="AO20" s="182"/>
      <c r="AR20" s="113"/>
      <c r="AS20" s="146">
        <v>8</v>
      </c>
      <c r="AT20" s="145">
        <v>250000000</v>
      </c>
      <c r="AU20" s="145"/>
      <c r="AV20" s="145">
        <v>510000000</v>
      </c>
      <c r="AW20" s="146"/>
      <c r="AY20" s="176"/>
      <c r="AZ20" s="32"/>
      <c r="BA20" s="32"/>
      <c r="BB20" s="32"/>
      <c r="BC20" s="183"/>
      <c r="BF20" s="113"/>
      <c r="BG20" s="146">
        <v>8</v>
      </c>
      <c r="BH20" s="145">
        <v>150000000</v>
      </c>
      <c r="BI20" s="184"/>
      <c r="BJ20" s="145">
        <v>295000000</v>
      </c>
      <c r="BK20" s="145"/>
      <c r="BL20" s="145"/>
      <c r="BM20" s="146"/>
      <c r="BO20" s="179" t="s">
        <v>0</v>
      </c>
      <c r="BP20" s="185">
        <f>BJ11</f>
        <v>0</v>
      </c>
      <c r="BQ20" s="181"/>
      <c r="BR20" s="181"/>
      <c r="BS20" s="181"/>
      <c r="BT20" s="181"/>
      <c r="BU20" s="181"/>
      <c r="BV20" s="182"/>
      <c r="BY20" s="113"/>
      <c r="BZ20" s="146">
        <v>8</v>
      </c>
      <c r="CA20" s="145">
        <v>160000000</v>
      </c>
      <c r="CB20" s="184"/>
      <c r="CC20" s="173">
        <f t="shared" si="32"/>
        <v>277989600</v>
      </c>
      <c r="CD20" s="145">
        <v>198564000</v>
      </c>
      <c r="CE20" s="145">
        <v>172077000</v>
      </c>
      <c r="CF20" s="146"/>
      <c r="CH20" s="176"/>
      <c r="CI20" s="32"/>
      <c r="CJ20" s="32"/>
      <c r="CK20" s="32"/>
      <c r="CL20" s="183"/>
      <c r="CO20" s="113"/>
      <c r="CP20" s="146">
        <v>8</v>
      </c>
      <c r="CQ20" s="145">
        <v>80000000</v>
      </c>
      <c r="CR20" s="145"/>
      <c r="CS20" s="173">
        <f>IF($CQ20&gt;=100000000,$CT$8*CT$11*CT20+$CU$8*CU$11*CU20,CT$11*CT20+CU$11*CU20)</f>
        <v>128354999.99999999</v>
      </c>
      <c r="CT20" s="145">
        <v>128354999.99999999</v>
      </c>
      <c r="CU20" s="145">
        <v>126586000</v>
      </c>
      <c r="CV20" s="146"/>
      <c r="CX20" s="176"/>
      <c r="CY20" s="32"/>
      <c r="CZ20" s="32"/>
      <c r="DA20" s="32"/>
      <c r="DB20" s="183"/>
      <c r="DE20" s="113"/>
      <c r="DF20" s="146">
        <v>8</v>
      </c>
      <c r="DG20" s="145">
        <v>100000000</v>
      </c>
      <c r="DH20" s="145"/>
      <c r="DI20" s="173">
        <f>IF($DG20&gt;=100000000,$DJ$8*DJ$11*DJ20+$DK$8*DK$11*DK20,DJ$11*DJ20+DK$11*DK20)</f>
        <v>197191250</v>
      </c>
      <c r="DJ20" s="145">
        <v>157753000</v>
      </c>
      <c r="DK20" s="145">
        <v>177328000</v>
      </c>
      <c r="DL20" s="146"/>
      <c r="DN20" s="176"/>
      <c r="DO20" s="32"/>
      <c r="DP20" s="32"/>
      <c r="DQ20" s="32"/>
      <c r="DR20" s="32"/>
      <c r="DS20" s="32"/>
      <c r="DT20" s="32"/>
      <c r="DU20" s="183"/>
      <c r="DX20" s="113"/>
      <c r="DY20" s="146">
        <v>8</v>
      </c>
      <c r="DZ20" s="145">
        <v>100000000</v>
      </c>
      <c r="EA20" s="145"/>
      <c r="EB20" s="173">
        <f>IF($DZ20&gt;=100000000,$EC$8*EC$11*EC20+$ED$8*ED$11*ED20,EC$11*EC20+ED$11*ED20)*EB$11</f>
        <v>168652800</v>
      </c>
      <c r="EC20" s="145">
        <v>124927999.99999999</v>
      </c>
      <c r="ED20" s="145">
        <v>128104000.00000001</v>
      </c>
      <c r="EE20" s="146"/>
      <c r="EG20" s="179" t="s">
        <v>0</v>
      </c>
      <c r="EH20" s="185">
        <f>EB11</f>
        <v>1</v>
      </c>
      <c r="EI20" s="181"/>
      <c r="EJ20" s="181"/>
      <c r="EK20" s="181"/>
      <c r="EL20" s="181"/>
      <c r="EM20" s="181"/>
      <c r="EN20" s="182"/>
      <c r="ER20" s="179" t="s">
        <v>0</v>
      </c>
      <c r="ES20" s="185">
        <f>EK11</f>
        <v>6</v>
      </c>
      <c r="ET20" s="181"/>
      <c r="EU20" s="181"/>
      <c r="EV20" s="181"/>
      <c r="EW20" s="181"/>
      <c r="EX20" s="181"/>
      <c r="EY20" s="182"/>
    </row>
    <row r="21" spans="2:155" s="105" customFormat="1" x14ac:dyDescent="0.2">
      <c r="B21" s="129">
        <v>43209</v>
      </c>
      <c r="C21" s="131">
        <f>EOMONTH(MAX($L:$L),0)</f>
        <v>45473</v>
      </c>
      <c r="D21" s="178">
        <v>134.49039999999999</v>
      </c>
      <c r="E21" s="85"/>
      <c r="F21" s="86" t="s">
        <v>48</v>
      </c>
      <c r="G21" s="131">
        <f t="shared" si="34"/>
        <v>43466</v>
      </c>
      <c r="H21" s="131">
        <f t="shared" si="35"/>
        <v>43646</v>
      </c>
      <c r="I21" s="85"/>
      <c r="J21" s="86" t="str" cm="1">
        <f t="array" ref="J21">LOOKUP(2,1/($G$17:$G$33&lt;=$L21)/($H$17:$H$33&gt;=$L21),$F$17:$F$33)</f>
        <v>2H24</v>
      </c>
      <c r="K21" s="86" t="str" cm="1">
        <f t="array" ref="K21">LOOKUP(2,1/($G$6:$G$14&lt;=$L21)/($H$6:$H$14&gt;=$L21),$F$6:$F$14)</f>
        <v>FY24</v>
      </c>
      <c r="L21" s="118">
        <v>45356</v>
      </c>
      <c r="M21" s="49">
        <v>11997695.888195887</v>
      </c>
      <c r="N21" s="49">
        <v>17515436.227177177</v>
      </c>
      <c r="O21" s="50">
        <v>8000000</v>
      </c>
      <c r="P21" s="119" cm="1">
        <f t="array" ref="P21">LOOKUP(2,1/($B$10:$B$14&lt;=$L21)/($C$10:$C$14&gt;=$L21),$D$10:$D$14)</f>
        <v>1.1000000000000001</v>
      </c>
      <c r="Q21" s="120" cm="1">
        <f t="array" ref="Q21">LOOKUP(2,1/($B$17:$B$21&lt;=$L21)/($C$17:$C$21&gt;=$L21),$D$17:$D$21)</f>
        <v>134.49039999999999</v>
      </c>
      <c r="R21" s="113" t="str">
        <f t="shared" si="3"/>
        <v/>
      </c>
      <c r="S21" s="113" t="str">
        <f t="shared" si="4"/>
        <v>2H24</v>
      </c>
      <c r="T21" s="113" t="str">
        <f t="shared" ca="1" si="5"/>
        <v/>
      </c>
      <c r="U21" s="113" t="str">
        <f t="shared" si="6"/>
        <v/>
      </c>
      <c r="V21" s="113" t="str">
        <f t="shared" si="0"/>
        <v>FY24</v>
      </c>
      <c r="W21" s="113" t="str">
        <f t="shared" ca="1" si="33"/>
        <v/>
      </c>
      <c r="X21" s="50"/>
      <c r="Y21" s="146">
        <v>9</v>
      </c>
      <c r="Z21" s="145">
        <v>300000000</v>
      </c>
      <c r="AA21" s="145"/>
      <c r="AB21" s="173">
        <f t="shared" si="31"/>
        <v>463413600</v>
      </c>
      <c r="AC21" s="145">
        <v>356472000</v>
      </c>
      <c r="AD21" s="145">
        <v>576110000</v>
      </c>
      <c r="AE21" s="146"/>
      <c r="AF21" s="146"/>
      <c r="AG21" s="85"/>
      <c r="AH21" s="2"/>
      <c r="AI21" s="2"/>
      <c r="AJ21" s="2"/>
      <c r="AK21" s="2"/>
      <c r="AL21" s="2"/>
      <c r="AM21" s="2"/>
      <c r="AN21" s="2"/>
      <c r="AO21" s="2"/>
      <c r="AP21" s="85"/>
      <c r="AQ21" s="85"/>
      <c r="AR21" s="50"/>
      <c r="AS21" s="146">
        <v>9</v>
      </c>
      <c r="AT21" s="145">
        <v>300000000</v>
      </c>
      <c r="AU21" s="145"/>
      <c r="AV21" s="145">
        <v>640000000</v>
      </c>
      <c r="AW21" s="146"/>
      <c r="AX21" s="85"/>
      <c r="AY21" s="186"/>
      <c r="AZ21" s="2"/>
      <c r="BA21" s="2"/>
      <c r="BB21" s="2"/>
      <c r="BC21" s="187"/>
      <c r="BD21" s="85"/>
      <c r="BE21" s="85"/>
      <c r="BF21" s="50"/>
      <c r="BG21" s="146">
        <v>9</v>
      </c>
      <c r="BH21" s="145">
        <v>200000000</v>
      </c>
      <c r="BI21" s="184"/>
      <c r="BJ21" s="145">
        <v>396000000</v>
      </c>
      <c r="BK21" s="145"/>
      <c r="BL21" s="145"/>
      <c r="BM21" s="146"/>
      <c r="BN21" s="85"/>
      <c r="BO21" s="2"/>
      <c r="BP21" s="2"/>
      <c r="BQ21" s="2"/>
      <c r="BR21" s="2"/>
      <c r="BS21" s="2"/>
      <c r="BT21" s="2"/>
      <c r="BU21" s="2"/>
      <c r="BV21" s="2"/>
      <c r="BW21" s="85"/>
      <c r="BX21" s="85"/>
      <c r="BY21" s="50"/>
      <c r="BZ21" s="146">
        <v>9</v>
      </c>
      <c r="CA21" s="145">
        <v>200000000</v>
      </c>
      <c r="CB21" s="184"/>
      <c r="CC21" s="173">
        <f t="shared" si="32"/>
        <v>341656000</v>
      </c>
      <c r="CD21" s="145">
        <v>244040000</v>
      </c>
      <c r="CE21" s="145">
        <v>199073000</v>
      </c>
      <c r="CF21" s="146"/>
      <c r="CG21" s="85"/>
      <c r="CH21" s="186"/>
      <c r="CI21" s="2"/>
      <c r="CJ21" s="2"/>
      <c r="CK21" s="2"/>
      <c r="CL21" s="187"/>
      <c r="CM21" s="85"/>
      <c r="CN21" s="85"/>
      <c r="CO21" s="50"/>
      <c r="CP21" s="146">
        <v>9</v>
      </c>
      <c r="CQ21" s="145">
        <v>100000000</v>
      </c>
      <c r="CR21" s="145"/>
      <c r="CS21" s="173">
        <f>IF($CQ21&gt;=100000000,$CT$8*CT$11*CT21+$CU$8*CU$11*CU21,CT$11*CT21+CU$11*CU21)</f>
        <v>197191250</v>
      </c>
      <c r="CT21" s="145">
        <v>157753000</v>
      </c>
      <c r="CU21" s="145">
        <v>177328000</v>
      </c>
      <c r="CV21" s="146"/>
      <c r="CW21" s="85"/>
      <c r="CX21" s="186"/>
      <c r="CY21" s="2"/>
      <c r="CZ21" s="2"/>
      <c r="DA21" s="2"/>
      <c r="DB21" s="187"/>
      <c r="DC21" s="85"/>
      <c r="DD21" s="85"/>
      <c r="DE21" s="50"/>
      <c r="DF21" s="146">
        <v>9</v>
      </c>
      <c r="DG21" s="145">
        <v>120000000</v>
      </c>
      <c r="DH21" s="145"/>
      <c r="DI21" s="173">
        <f>IF($DG21&gt;=100000000,$DJ$8*DJ$11*DJ21+$DK$8*DK$11*DK21,DJ$11*DJ21+DK$11*DK21)</f>
        <v>233938750</v>
      </c>
      <c r="DJ21" s="145">
        <v>187151000</v>
      </c>
      <c r="DK21" s="145">
        <v>237990000</v>
      </c>
      <c r="DL21" s="146"/>
      <c r="DM21" s="85"/>
      <c r="DN21" s="186"/>
      <c r="DO21" s="2"/>
      <c r="DP21" s="2"/>
      <c r="DQ21" s="2"/>
      <c r="DR21" s="2"/>
      <c r="DS21" s="2"/>
      <c r="DT21" s="2"/>
      <c r="DU21" s="187"/>
      <c r="DV21" s="85"/>
      <c r="DW21" s="85"/>
      <c r="DX21" s="50"/>
      <c r="DY21" s="146">
        <v>9</v>
      </c>
      <c r="DZ21" s="145">
        <v>120000000</v>
      </c>
      <c r="EA21" s="145"/>
      <c r="EB21" s="173">
        <f>IF($DZ21&gt;=100000000,$EC$8*EC$11*EC21+$ED$8*ED$11*ED21,EC$11*EC21+ED$11*ED21)*EB$11</f>
        <v>199651500</v>
      </c>
      <c r="EC21" s="145">
        <v>147890000</v>
      </c>
      <c r="ED21" s="145">
        <v>153107999.99999997</v>
      </c>
      <c r="EE21" s="146"/>
      <c r="EF21" s="85"/>
      <c r="EG21" s="2"/>
      <c r="EH21" s="2"/>
      <c r="EI21" s="2"/>
      <c r="EJ21" s="2"/>
      <c r="EK21" s="2"/>
      <c r="EL21" s="2"/>
      <c r="EM21" s="2"/>
      <c r="EN21" s="2"/>
      <c r="EO21" s="85"/>
      <c r="EP21" s="85"/>
    </row>
    <row r="22" spans="2:155" s="105" customFormat="1" x14ac:dyDescent="0.2">
      <c r="B22" s="129"/>
      <c r="C22" s="129"/>
      <c r="D22" s="129"/>
      <c r="E22" s="85"/>
      <c r="F22" s="86" t="s">
        <v>49</v>
      </c>
      <c r="G22" s="131">
        <f t="shared" si="34"/>
        <v>43647</v>
      </c>
      <c r="H22" s="131">
        <f t="shared" si="35"/>
        <v>43830</v>
      </c>
      <c r="I22" s="85"/>
      <c r="J22" s="86" t="str" cm="1">
        <f t="array" ref="J22">LOOKUP(2,1/($G$17:$G$33&lt;=$L22)/($H$17:$H$33&gt;=$L22),$F$17:$F$33)</f>
        <v>2H24</v>
      </c>
      <c r="K22" s="86" t="str" cm="1">
        <f t="array" ref="K22">LOOKUP(2,1/($G$6:$G$14&lt;=$L22)/($H$6:$H$14&gt;=$L22),$F$6:$F$14)</f>
        <v>FY24</v>
      </c>
      <c r="L22" s="118">
        <v>45349</v>
      </c>
      <c r="M22" s="49">
        <v>9128848.8103488106</v>
      </c>
      <c r="N22" s="49">
        <v>13327206.378228229</v>
      </c>
      <c r="O22" s="50">
        <v>3000000</v>
      </c>
      <c r="P22" s="119" cm="1">
        <f t="array" ref="P22">LOOKUP(2,1/($B$10:$B$14&lt;=$L22)/($C$10:$C$14&gt;=$L22),$D$10:$D$14)</f>
        <v>1.1000000000000001</v>
      </c>
      <c r="Q22" s="120" cm="1">
        <f t="array" ref="Q22">LOOKUP(2,1/($B$17:$B$21&lt;=$L22)/($C$17:$C$21&gt;=$L22),$D$17:$D$21)</f>
        <v>134.49039999999999</v>
      </c>
      <c r="R22" s="113" t="str">
        <f t="shared" si="3"/>
        <v/>
      </c>
      <c r="S22" s="113" t="str">
        <f t="shared" si="4"/>
        <v>2H24</v>
      </c>
      <c r="T22" s="113" t="str">
        <f t="shared" ca="1" si="5"/>
        <v/>
      </c>
      <c r="U22" s="113" t="str">
        <f t="shared" si="6"/>
        <v/>
      </c>
      <c r="V22" s="113" t="str">
        <f t="shared" si="0"/>
        <v>FY24</v>
      </c>
      <c r="W22" s="113" t="str">
        <f t="shared" ca="1" si="33"/>
        <v/>
      </c>
      <c r="X22" s="50"/>
      <c r="Y22" s="146">
        <v>10</v>
      </c>
      <c r="Z22" s="145">
        <v>350000000</v>
      </c>
      <c r="AA22" s="145"/>
      <c r="AB22" s="173">
        <f t="shared" si="31"/>
        <v>536987100</v>
      </c>
      <c r="AC22" s="145">
        <v>413066999.99999994</v>
      </c>
      <c r="AD22" s="145">
        <v>723345000</v>
      </c>
      <c r="AE22" s="146"/>
      <c r="AF22" s="146"/>
      <c r="AG22" s="85"/>
      <c r="AH22" s="188"/>
      <c r="AI22" s="188"/>
      <c r="AJ22" s="188"/>
      <c r="AK22" s="188"/>
      <c r="AL22" s="188"/>
      <c r="AM22" s="188"/>
      <c r="AN22" s="188"/>
      <c r="AO22" s="188"/>
      <c r="AP22" s="85"/>
      <c r="AQ22" s="85"/>
      <c r="AR22" s="50"/>
      <c r="AS22" s="146">
        <v>10</v>
      </c>
      <c r="AT22" s="145">
        <v>350000000</v>
      </c>
      <c r="AU22" s="145"/>
      <c r="AV22" s="145">
        <v>800000000</v>
      </c>
      <c r="AW22" s="146"/>
      <c r="AX22" s="85"/>
      <c r="AY22" s="189"/>
      <c r="AZ22" s="190"/>
      <c r="BA22" s="190"/>
      <c r="BB22" s="190"/>
      <c r="BC22" s="191"/>
      <c r="BD22" s="85"/>
      <c r="BE22" s="85"/>
      <c r="BF22" s="50"/>
      <c r="BG22" s="146">
        <v>10</v>
      </c>
      <c r="BH22" s="145">
        <v>250000000</v>
      </c>
      <c r="BI22" s="184"/>
      <c r="BJ22" s="145">
        <v>510000000</v>
      </c>
      <c r="BK22" s="145"/>
      <c r="BL22" s="145"/>
      <c r="BM22" s="146"/>
      <c r="BN22" s="85"/>
      <c r="BO22" s="188"/>
      <c r="BP22" s="188"/>
      <c r="BQ22" s="188"/>
      <c r="BR22" s="188"/>
      <c r="BS22" s="188"/>
      <c r="BT22" s="188"/>
      <c r="BU22" s="188"/>
      <c r="BV22" s="188"/>
      <c r="BW22" s="85"/>
      <c r="BX22" s="85"/>
      <c r="BY22" s="50"/>
      <c r="BZ22" s="146">
        <v>10</v>
      </c>
      <c r="CA22" s="145">
        <v>250000000</v>
      </c>
      <c r="CB22" s="184"/>
      <c r="CC22" s="173">
        <f t="shared" si="32"/>
        <v>421239000.00000006</v>
      </c>
      <c r="CD22" s="145">
        <v>300885000.00000006</v>
      </c>
      <c r="CE22" s="145">
        <v>226068000</v>
      </c>
      <c r="CF22" s="146"/>
      <c r="CG22" s="85"/>
      <c r="CH22" s="189"/>
      <c r="CI22" s="190"/>
      <c r="CJ22" s="190"/>
      <c r="CK22" s="190"/>
      <c r="CL22" s="191"/>
      <c r="CM22" s="85"/>
      <c r="CN22" s="85"/>
      <c r="CO22" s="50"/>
      <c r="CP22" s="146">
        <v>10</v>
      </c>
      <c r="CQ22" s="145">
        <v>150000000</v>
      </c>
      <c r="CR22" s="145"/>
      <c r="CS22" s="173">
        <f>IF($CQ22&gt;=100000000,$CT$8*CT$11*CT22+$CU$8*CU$11*CU22,CT$11*CT22+CU$11*CU22)</f>
        <v>289060000</v>
      </c>
      <c r="CT22" s="145">
        <v>231248000</v>
      </c>
      <c r="CU22" s="145">
        <v>347582999.99999994</v>
      </c>
      <c r="CV22" s="146"/>
      <c r="CW22" s="85"/>
      <c r="CX22" s="189"/>
      <c r="CY22" s="190"/>
      <c r="CZ22" s="190"/>
      <c r="DA22" s="190"/>
      <c r="DB22" s="191"/>
      <c r="DC22" s="85"/>
      <c r="DD22" s="85"/>
      <c r="DE22" s="50"/>
      <c r="DF22" s="146">
        <v>10</v>
      </c>
      <c r="DG22" s="145">
        <v>150000000</v>
      </c>
      <c r="DH22" s="145"/>
      <c r="DI22" s="173">
        <f>IF($DG22&gt;=100000000,$DJ$8*DJ$11*DJ22+$DK$8*DK$11*DK22,DJ$11*DJ22+DK$11*DK22)</f>
        <v>289060000</v>
      </c>
      <c r="DJ22" s="145">
        <v>231248000</v>
      </c>
      <c r="DK22" s="145">
        <v>347582999.99999994</v>
      </c>
      <c r="DL22" s="146"/>
      <c r="DM22" s="85"/>
      <c r="DN22" s="189"/>
      <c r="DO22" s="190"/>
      <c r="DP22" s="190"/>
      <c r="DQ22" s="190"/>
      <c r="DR22" s="190"/>
      <c r="DS22" s="190"/>
      <c r="DT22" s="190"/>
      <c r="DU22" s="191"/>
      <c r="DV22" s="85"/>
      <c r="DW22" s="85"/>
      <c r="DX22" s="50"/>
      <c r="DY22" s="146">
        <v>10</v>
      </c>
      <c r="DZ22" s="145">
        <v>150000000</v>
      </c>
      <c r="EA22" s="145"/>
      <c r="EB22" s="173">
        <f>IF($DZ22&gt;=100000000,$EC$8*EC$11*EC22+$ED$8*ED$11*ED22,EC$11*EC22+ED$11*ED22)*EB$11</f>
        <v>246149549.99999997</v>
      </c>
      <c r="EC22" s="145">
        <v>182332999.99999997</v>
      </c>
      <c r="ED22" s="145">
        <v>191514000</v>
      </c>
      <c r="EE22" s="146"/>
      <c r="EF22" s="85"/>
      <c r="EG22" s="188"/>
      <c r="EH22" s="188"/>
      <c r="EI22" s="188"/>
      <c r="EJ22" s="188"/>
      <c r="EK22" s="188"/>
      <c r="EL22" s="188"/>
      <c r="EM22" s="188"/>
      <c r="EN22" s="188"/>
      <c r="EO22" s="85"/>
      <c r="EP22" s="85"/>
    </row>
    <row r="23" spans="2:155" x14ac:dyDescent="0.2">
      <c r="B23" s="86"/>
      <c r="C23" s="86"/>
      <c r="D23" s="86"/>
      <c r="F23" s="86" t="s">
        <v>50</v>
      </c>
      <c r="G23" s="131">
        <f t="shared" si="34"/>
        <v>43831</v>
      </c>
      <c r="H23" s="131">
        <f t="shared" si="35"/>
        <v>44012</v>
      </c>
      <c r="J23" s="86" t="str" cm="1">
        <f t="array" ref="J23">LOOKUP(2,1/($G$17:$G$33&lt;=$L23)/($H$17:$H$33&gt;=$L23),$F$17:$F$33)</f>
        <v>2H24</v>
      </c>
      <c r="K23" s="86" t="str" cm="1">
        <f t="array" ref="K23">LOOKUP(2,1/($G$6:$G$14&lt;=$L23)/($H$6:$H$14&gt;=$L23),$F$6:$F$14)</f>
        <v>FY24</v>
      </c>
      <c r="L23" s="118">
        <v>45342</v>
      </c>
      <c r="M23" s="49">
        <v>31100381.612381607</v>
      </c>
      <c r="N23" s="49">
        <v>45403447.115915909</v>
      </c>
      <c r="O23" s="50">
        <v>30000000</v>
      </c>
      <c r="P23" s="119" cm="1">
        <f t="array" ref="P23">LOOKUP(2,1/($B$10:$B$14&lt;=$L23)/($C$10:$C$14&gt;=$L23),$D$10:$D$14)</f>
        <v>1.1000000000000001</v>
      </c>
      <c r="Q23" s="120" cm="1">
        <f t="array" ref="Q23">LOOKUP(2,1/($B$17:$B$21&lt;=$L23)/($C$17:$C$21&gt;=$L23),$D$17:$D$21)</f>
        <v>134.49039999999999</v>
      </c>
      <c r="R23" s="113" t="str">
        <f t="shared" si="3"/>
        <v/>
      </c>
      <c r="S23" s="113" t="str">
        <f t="shared" si="4"/>
        <v>2H24</v>
      </c>
      <c r="T23" s="113" t="str">
        <f t="shared" ca="1" si="5"/>
        <v/>
      </c>
      <c r="U23" s="113" t="str">
        <f t="shared" si="6"/>
        <v/>
      </c>
      <c r="V23" s="113" t="str">
        <f t="shared" si="0"/>
        <v>FY24</v>
      </c>
      <c r="W23" s="113" t="str">
        <f t="shared" ca="1" si="33"/>
        <v/>
      </c>
      <c r="X23" s="50"/>
      <c r="AG23" s="116"/>
      <c r="AH23" s="106"/>
      <c r="AI23" s="107"/>
      <c r="AJ23" s="107"/>
      <c r="AK23" s="107"/>
      <c r="AL23" s="108"/>
      <c r="AM23" s="107"/>
      <c r="AN23" s="107"/>
      <c r="AO23" s="108"/>
      <c r="AR23" s="50"/>
      <c r="AX23" s="116"/>
      <c r="AY23" s="106"/>
      <c r="AZ23" s="107"/>
      <c r="BA23" s="107"/>
      <c r="BB23" s="108"/>
      <c r="BC23" s="108"/>
      <c r="BF23" s="50"/>
      <c r="BG23" s="192"/>
      <c r="BN23" s="105"/>
      <c r="BO23" s="105"/>
      <c r="BP23" s="105"/>
      <c r="BQ23" s="105"/>
      <c r="BR23" s="105"/>
      <c r="BS23" s="105"/>
      <c r="BT23" s="105"/>
      <c r="BU23" s="105"/>
      <c r="BV23" s="105"/>
      <c r="BW23" s="105"/>
      <c r="BX23" s="105"/>
      <c r="BY23" s="50"/>
      <c r="BZ23" s="192"/>
      <c r="CG23" s="105"/>
      <c r="CH23" s="105"/>
      <c r="CI23" s="105"/>
      <c r="CJ23" s="105"/>
      <c r="CK23" s="105"/>
      <c r="CL23" s="105"/>
      <c r="CM23" s="105"/>
      <c r="CN23" s="105"/>
      <c r="CO23" s="50"/>
      <c r="CP23" s="192"/>
      <c r="CW23" s="105"/>
      <c r="CX23" s="105"/>
      <c r="CY23" s="105"/>
      <c r="CZ23" s="105"/>
      <c r="DA23" s="105"/>
      <c r="DB23" s="105"/>
      <c r="DC23" s="105"/>
      <c r="DD23" s="105"/>
      <c r="DE23" s="50"/>
      <c r="DF23" s="192"/>
      <c r="DM23" s="105"/>
      <c r="DN23" s="105"/>
      <c r="DO23" s="105"/>
      <c r="DP23" s="105"/>
      <c r="DQ23" s="105"/>
      <c r="DR23" s="105"/>
      <c r="DS23" s="105"/>
      <c r="DT23" s="105"/>
      <c r="DU23" s="105"/>
      <c r="DV23" s="105"/>
      <c r="DW23" s="105"/>
      <c r="DX23" s="50"/>
      <c r="EG23" s="105"/>
      <c r="EH23" s="105"/>
      <c r="EI23" s="105"/>
      <c r="EJ23" s="105"/>
      <c r="EK23" s="105"/>
      <c r="EL23" s="105"/>
      <c r="EM23" s="105"/>
      <c r="EN23" s="105"/>
    </row>
    <row r="24" spans="2:155" x14ac:dyDescent="0.2">
      <c r="B24" s="86"/>
      <c r="C24" s="86"/>
      <c r="D24" s="86"/>
      <c r="F24" s="86" t="s">
        <v>51</v>
      </c>
      <c r="G24" s="131">
        <f t="shared" si="34"/>
        <v>44013</v>
      </c>
      <c r="H24" s="131">
        <f t="shared" si="35"/>
        <v>44196</v>
      </c>
      <c r="J24" s="86" t="str" cm="1">
        <f t="array" ref="J24">LOOKUP(2,1/($G$17:$G$33&lt;=$L24)/($H$17:$H$33&gt;=$L24),$F$17:$F$33)</f>
        <v>2H24</v>
      </c>
      <c r="K24" s="86" t="str" cm="1">
        <f t="array" ref="K24">LOOKUP(2,1/($G$6:$G$14&lt;=$L24)/($H$6:$H$14&gt;=$L24),$F$6:$F$14)</f>
        <v>FY24</v>
      </c>
      <c r="L24" s="118">
        <v>45335</v>
      </c>
      <c r="M24" s="49">
        <v>24152813.005313005</v>
      </c>
      <c r="N24" s="49">
        <v>35260691.706456453</v>
      </c>
      <c r="O24" s="50">
        <v>20000000</v>
      </c>
      <c r="P24" s="119" cm="1">
        <f t="array" ref="P24">LOOKUP(2,1/($B$10:$B$14&lt;=$L24)/($C$10:$C$14&gt;=$L24),$D$10:$D$14)</f>
        <v>1.1000000000000001</v>
      </c>
      <c r="Q24" s="120" cm="1">
        <f t="array" ref="Q24">LOOKUP(2,1/($B$17:$B$21&lt;=$L24)/($C$17:$C$21&gt;=$L24),$D$17:$D$21)</f>
        <v>134.49039999999999</v>
      </c>
      <c r="R24" s="113" t="str">
        <f t="shared" si="3"/>
        <v/>
      </c>
      <c r="S24" s="113" t="str">
        <f t="shared" si="4"/>
        <v>2H24</v>
      </c>
      <c r="T24" s="113" t="str">
        <f t="shared" ca="1" si="5"/>
        <v/>
      </c>
      <c r="U24" s="113" t="str">
        <f t="shared" si="6"/>
        <v/>
      </c>
      <c r="V24" s="113" t="str">
        <f t="shared" si="0"/>
        <v>FY24</v>
      </c>
      <c r="W24" s="113" t="str">
        <f t="shared" ca="1" si="33"/>
        <v/>
      </c>
      <c r="X24" s="50"/>
      <c r="Y24" s="121" t="s">
        <v>19</v>
      </c>
      <c r="Z24" s="122"/>
      <c r="AA24" s="122"/>
      <c r="AB24" s="122"/>
      <c r="AC24" s="122"/>
      <c r="AD24" s="122"/>
      <c r="AE24" s="122"/>
      <c r="AF24" s="122"/>
      <c r="AG24" s="122"/>
      <c r="AH24" s="122"/>
      <c r="AI24" s="122"/>
      <c r="AJ24" s="122"/>
      <c r="AK24" s="122"/>
      <c r="AL24" s="122"/>
      <c r="AM24" s="122"/>
      <c r="AN24" s="122"/>
      <c r="AO24" s="122"/>
      <c r="AP24" s="122"/>
      <c r="AQ24" s="122"/>
      <c r="AR24" s="50"/>
      <c r="AS24" s="193" t="s">
        <v>187</v>
      </c>
      <c r="AT24" s="194"/>
      <c r="AU24" s="194"/>
      <c r="AV24" s="194"/>
      <c r="AW24" s="194"/>
      <c r="AX24" s="194"/>
      <c r="AY24" s="194"/>
      <c r="AZ24" s="194"/>
      <c r="BA24" s="194"/>
      <c r="BB24" s="194"/>
      <c r="BC24" s="194"/>
      <c r="BD24" s="194"/>
      <c r="BE24" s="194"/>
      <c r="BF24" s="50"/>
      <c r="BG24" s="123" t="s">
        <v>188</v>
      </c>
      <c r="BH24" s="124"/>
      <c r="BI24" s="124"/>
      <c r="BJ24" s="124"/>
      <c r="BK24" s="124"/>
      <c r="BL24" s="124"/>
      <c r="BM24" s="124"/>
      <c r="BN24" s="124"/>
      <c r="BO24" s="124"/>
      <c r="BP24" s="124"/>
      <c r="BQ24" s="124"/>
      <c r="BR24" s="124"/>
      <c r="BS24" s="124"/>
      <c r="BT24" s="124"/>
      <c r="BU24" s="124"/>
      <c r="BV24" s="124"/>
      <c r="BW24" s="124"/>
      <c r="BX24" s="124"/>
      <c r="BY24" s="50"/>
      <c r="BZ24" s="123" t="s">
        <v>189</v>
      </c>
      <c r="CA24" s="124"/>
      <c r="CB24" s="124"/>
      <c r="CC24" s="124"/>
      <c r="CD24" s="124"/>
      <c r="CE24" s="124"/>
      <c r="CF24" s="124"/>
      <c r="CG24" s="124"/>
      <c r="CH24" s="124"/>
      <c r="CI24" s="124"/>
      <c r="CJ24" s="124"/>
      <c r="CK24" s="124"/>
      <c r="CL24" s="124"/>
      <c r="CM24" s="124"/>
      <c r="CN24" s="124"/>
      <c r="CO24" s="50"/>
      <c r="CP24" s="125" t="s">
        <v>190</v>
      </c>
      <c r="CQ24" s="126"/>
      <c r="CR24" s="126"/>
      <c r="CS24" s="126"/>
      <c r="CT24" s="126"/>
      <c r="CU24" s="126"/>
      <c r="CV24" s="126"/>
      <c r="CW24" s="126"/>
      <c r="CX24" s="126"/>
      <c r="CY24" s="126"/>
      <c r="CZ24" s="126"/>
      <c r="DA24" s="126"/>
      <c r="DB24" s="126"/>
      <c r="DC24" s="126"/>
      <c r="DD24" s="126"/>
      <c r="DE24" s="50"/>
      <c r="DF24" s="125" t="s">
        <v>191</v>
      </c>
      <c r="DG24" s="126"/>
      <c r="DH24" s="126"/>
      <c r="DI24" s="126"/>
      <c r="DJ24" s="126"/>
      <c r="DK24" s="126"/>
      <c r="DL24" s="126"/>
      <c r="DM24" s="126"/>
      <c r="DN24" s="126"/>
      <c r="DO24" s="126"/>
      <c r="DP24" s="126"/>
      <c r="DQ24" s="126"/>
      <c r="DR24" s="126"/>
      <c r="DS24" s="126"/>
      <c r="DT24" s="126"/>
      <c r="DU24" s="126"/>
      <c r="DV24" s="126"/>
      <c r="DW24" s="126"/>
      <c r="DX24" s="50"/>
      <c r="DY24" s="127" t="s">
        <v>192</v>
      </c>
      <c r="DZ24" s="128"/>
      <c r="EA24" s="128"/>
      <c r="EB24" s="128"/>
      <c r="EC24" s="128"/>
      <c r="ED24" s="128"/>
      <c r="EE24" s="128"/>
      <c r="EF24" s="128"/>
      <c r="EG24" s="128"/>
      <c r="EH24" s="128"/>
      <c r="EI24" s="128"/>
      <c r="EJ24" s="128"/>
      <c r="EK24" s="128"/>
      <c r="EL24" s="128"/>
      <c r="EM24" s="128"/>
      <c r="EN24" s="128"/>
      <c r="EO24" s="128"/>
      <c r="EP24" s="128"/>
    </row>
    <row r="25" spans="2:155" x14ac:dyDescent="0.2">
      <c r="B25" s="86"/>
      <c r="C25" s="86"/>
      <c r="D25" s="86"/>
      <c r="F25" s="86" t="s">
        <v>52</v>
      </c>
      <c r="G25" s="131">
        <f t="shared" si="34"/>
        <v>44197</v>
      </c>
      <c r="H25" s="131">
        <f t="shared" si="35"/>
        <v>44377</v>
      </c>
      <c r="J25" s="86" t="str" cm="1">
        <f t="array" ref="J25">LOOKUP(2,1/($G$17:$G$33&lt;=$L25)/($H$17:$H$33&gt;=$L25),$F$17:$F$33)</f>
        <v>2H24</v>
      </c>
      <c r="K25" s="86" t="str" cm="1">
        <f t="array" ref="K25">LOOKUP(2,1/($G$6:$G$14&lt;=$L25)/($H$6:$H$14&gt;=$L25),$F$6:$F$14)</f>
        <v>FY24</v>
      </c>
      <c r="L25" s="118">
        <v>45328</v>
      </c>
      <c r="M25" s="49">
        <v>18082208.708708707</v>
      </c>
      <c r="N25" s="49">
        <v>26398216.493843842</v>
      </c>
      <c r="O25" s="50">
        <v>10000000</v>
      </c>
      <c r="P25" s="119" cm="1">
        <f t="array" ref="P25">LOOKUP(2,1/($B$10:$B$14&lt;=$L25)/($C$10:$C$14&gt;=$L25),$D$10:$D$14)</f>
        <v>1.1000000000000001</v>
      </c>
      <c r="Q25" s="120" cm="1">
        <f t="array" ref="Q25">LOOKUP(2,1/($B$17:$B$21&lt;=$L25)/($C$17:$C$21&gt;=$L25),$D$17:$D$21)</f>
        <v>134.49039999999999</v>
      </c>
      <c r="R25" s="113" t="str">
        <f t="shared" si="3"/>
        <v/>
      </c>
      <c r="S25" s="113" t="str">
        <f t="shared" si="4"/>
        <v>2H24</v>
      </c>
      <c r="T25" s="113" t="str">
        <f t="shared" ca="1" si="5"/>
        <v/>
      </c>
      <c r="U25" s="113" t="str">
        <f t="shared" si="6"/>
        <v/>
      </c>
      <c r="V25" s="113" t="str">
        <f t="shared" si="0"/>
        <v>FY24</v>
      </c>
      <c r="W25" s="113" t="str">
        <f t="shared" ca="1" si="33"/>
        <v/>
      </c>
      <c r="X25" s="50"/>
      <c r="Y25" s="114" t="s">
        <v>147</v>
      </c>
      <c r="Z25" s="115">
        <v>43282</v>
      </c>
      <c r="AA25" s="114" t="s">
        <v>148</v>
      </c>
      <c r="AB25" s="115">
        <v>43646</v>
      </c>
      <c r="AC25" s="132"/>
      <c r="AD25" s="132"/>
      <c r="AE25" s="132"/>
      <c r="AF25" s="132"/>
      <c r="AG25" s="133"/>
      <c r="AH25" s="133"/>
      <c r="AI25" s="133"/>
      <c r="AJ25" s="133"/>
      <c r="AK25" s="133"/>
      <c r="AL25" s="133"/>
      <c r="AM25" s="133"/>
      <c r="AN25" s="133"/>
      <c r="AO25" s="133"/>
      <c r="AP25" s="133"/>
      <c r="AQ25" s="133"/>
      <c r="AR25" s="50"/>
      <c r="AS25" s="114" t="s">
        <v>147</v>
      </c>
      <c r="AT25" s="115" t="s">
        <v>158</v>
      </c>
      <c r="AU25" s="114" t="s">
        <v>148</v>
      </c>
      <c r="AV25" s="115" t="s">
        <v>158</v>
      </c>
      <c r="AW25" s="132"/>
      <c r="AX25" s="133"/>
      <c r="AY25" s="133"/>
      <c r="AZ25" s="133"/>
      <c r="BA25" s="133"/>
      <c r="BB25" s="133"/>
      <c r="BC25" s="133"/>
      <c r="BD25" s="133"/>
      <c r="BE25" s="133"/>
      <c r="BF25" s="50"/>
      <c r="BG25" s="114" t="s">
        <v>147</v>
      </c>
      <c r="BH25" s="115">
        <v>44652</v>
      </c>
      <c r="BI25" s="114" t="s">
        <v>148</v>
      </c>
      <c r="BJ25" s="115">
        <v>44864</v>
      </c>
      <c r="BK25" s="132"/>
      <c r="BL25" s="132"/>
      <c r="BM25" s="132"/>
      <c r="BN25" s="133"/>
      <c r="BO25" s="133"/>
      <c r="BP25" s="133"/>
      <c r="BQ25" s="133"/>
      <c r="BR25" s="133"/>
      <c r="BS25" s="133"/>
      <c r="BT25" s="133"/>
      <c r="BU25" s="133"/>
      <c r="BV25" s="133"/>
      <c r="BW25" s="133"/>
      <c r="BX25" s="133"/>
      <c r="BY25" s="50"/>
      <c r="BZ25" s="114" t="s">
        <v>147</v>
      </c>
      <c r="CA25" s="115">
        <v>44652</v>
      </c>
      <c r="CB25" s="114" t="s">
        <v>148</v>
      </c>
      <c r="CC25" s="115">
        <v>44834</v>
      </c>
      <c r="CD25" s="132"/>
      <c r="CE25" s="132"/>
      <c r="CF25" s="132"/>
      <c r="CG25" s="133"/>
      <c r="CH25" s="133"/>
      <c r="CI25" s="133"/>
      <c r="CJ25" s="133"/>
      <c r="CK25" s="133"/>
      <c r="CL25" s="133"/>
      <c r="CM25" s="133"/>
      <c r="CN25" s="133"/>
      <c r="CO25" s="50"/>
      <c r="CP25" s="114" t="s">
        <v>147</v>
      </c>
      <c r="CQ25" s="115">
        <v>43209</v>
      </c>
      <c r="CR25" s="114" t="s">
        <v>148</v>
      </c>
      <c r="CS25" s="115">
        <v>43281</v>
      </c>
      <c r="CT25" s="132"/>
      <c r="CU25" s="132"/>
      <c r="CV25" s="132"/>
      <c r="CW25" s="133"/>
      <c r="CX25" s="133"/>
      <c r="CY25" s="133"/>
      <c r="CZ25" s="133"/>
      <c r="DA25" s="133"/>
      <c r="DB25" s="133"/>
      <c r="DC25" s="133"/>
      <c r="DD25" s="133"/>
      <c r="DE25" s="50"/>
      <c r="DF25" s="114" t="s">
        <v>147</v>
      </c>
      <c r="DG25" s="115">
        <v>43101</v>
      </c>
      <c r="DH25" s="114" t="s">
        <v>148</v>
      </c>
      <c r="DI25" s="115">
        <v>43202</v>
      </c>
      <c r="DJ25" s="132"/>
      <c r="DK25" s="132"/>
      <c r="DL25" s="132"/>
      <c r="DM25" s="133"/>
      <c r="DN25" s="133"/>
      <c r="DO25" s="133"/>
      <c r="DP25" s="133"/>
      <c r="DQ25" s="133"/>
      <c r="DR25" s="133"/>
      <c r="DS25" s="133"/>
      <c r="DT25" s="133"/>
      <c r="DU25" s="133"/>
      <c r="DV25" s="133"/>
      <c r="DW25" s="133"/>
      <c r="DX25" s="50"/>
      <c r="DY25" s="114" t="s">
        <v>147</v>
      </c>
      <c r="DZ25" s="115">
        <v>42838</v>
      </c>
      <c r="EA25" s="114" t="s">
        <v>148</v>
      </c>
      <c r="EB25" s="115">
        <v>43202</v>
      </c>
      <c r="EC25" s="132"/>
      <c r="ED25" s="132"/>
      <c r="EE25" s="132"/>
      <c r="EF25" s="133"/>
      <c r="EG25" s="133"/>
      <c r="EH25" s="133"/>
      <c r="EI25" s="133"/>
      <c r="EJ25" s="133"/>
      <c r="EK25" s="133"/>
      <c r="EL25" s="133"/>
      <c r="EM25" s="133"/>
      <c r="EN25" s="133"/>
      <c r="EO25" s="133"/>
      <c r="EP25" s="133"/>
    </row>
    <row r="26" spans="2:155" x14ac:dyDescent="0.2">
      <c r="B26" s="86"/>
      <c r="C26" s="86"/>
      <c r="D26" s="86"/>
      <c r="F26" s="86" t="s">
        <v>53</v>
      </c>
      <c r="G26" s="131">
        <f t="shared" si="34"/>
        <v>44378</v>
      </c>
      <c r="H26" s="131">
        <f t="shared" si="35"/>
        <v>44561</v>
      </c>
      <c r="J26" s="86" t="str" cm="1">
        <f t="array" ref="J26">LOOKUP(2,1/($G$17:$G$33&lt;=$L26)/($H$17:$H$33&gt;=$L26),$F$17:$F$33)</f>
        <v>2H24</v>
      </c>
      <c r="K26" s="86" t="str" cm="1">
        <f t="array" ref="K26">LOOKUP(2,1/($G$6:$G$14&lt;=$L26)/($H$6:$H$14&gt;=$L26),$F$6:$F$14)</f>
        <v>FY24</v>
      </c>
      <c r="L26" s="118">
        <v>45321</v>
      </c>
      <c r="M26" s="49">
        <v>9389303.5343035329</v>
      </c>
      <c r="N26" s="49">
        <v>13707444.229729727</v>
      </c>
      <c r="O26" s="50">
        <v>5000000</v>
      </c>
      <c r="P26" s="119" cm="1">
        <f t="array" ref="P26">LOOKUP(2,1/($B$10:$B$14&lt;=$L26)/($C$10:$C$14&gt;=$L26),$D$10:$D$14)</f>
        <v>1.1000000000000001</v>
      </c>
      <c r="Q26" s="120" cm="1">
        <f t="array" ref="Q26">LOOKUP(2,1/($B$17:$B$21&lt;=$L26)/($C$17:$C$21&gt;=$L26),$D$17:$D$21)</f>
        <v>134.49039999999999</v>
      </c>
      <c r="R26" s="113" t="str">
        <f t="shared" si="3"/>
        <v/>
      </c>
      <c r="S26" s="113" t="str">
        <f t="shared" si="4"/>
        <v>2H24</v>
      </c>
      <c r="T26" s="113" t="str">
        <f t="shared" ca="1" si="5"/>
        <v/>
      </c>
      <c r="U26" s="113" t="str">
        <f t="shared" si="6"/>
        <v/>
      </c>
      <c r="V26" s="113" t="str">
        <f t="shared" si="0"/>
        <v>FY24</v>
      </c>
      <c r="W26" s="113" t="str">
        <f t="shared" ca="1" si="33"/>
        <v/>
      </c>
      <c r="X26" s="50"/>
      <c r="Y26" s="114" t="s">
        <v>159</v>
      </c>
      <c r="Z26" s="115" t="s">
        <v>160</v>
      </c>
      <c r="AA26" s="114" t="s">
        <v>161</v>
      </c>
      <c r="AB26" s="134" t="str" cm="1">
        <f t="array" ref="AB26">IF(OR(LOOKUP(2,1/($B$10:$B$14&lt;=AB25)/($C$10:$C$14&gt;=AB25),$D$10:$D$14)&lt;&gt;Z29,LOOKUP(2,1/($B$6:$B$7&lt;=AB25)/($C$6:$C$7&gt;=AB25),$D$6:$D$7)&lt;&gt;AB29),"FAIL","PASS")</f>
        <v>FAIL</v>
      </c>
      <c r="AC26" s="134" t="s">
        <v>162</v>
      </c>
      <c r="AD26" s="134" t="s">
        <v>162</v>
      </c>
      <c r="AE26" s="134"/>
      <c r="AF26" s="134"/>
      <c r="AG26" s="133"/>
      <c r="AH26" s="133"/>
      <c r="AI26" s="133"/>
      <c r="AJ26" s="133"/>
      <c r="AK26" s="133"/>
      <c r="AL26" s="133"/>
      <c r="AM26" s="133"/>
      <c r="AN26" s="133"/>
      <c r="AO26" s="133"/>
      <c r="AP26" s="133"/>
      <c r="AQ26" s="133"/>
      <c r="AR26" s="50"/>
      <c r="AS26" s="114" t="s">
        <v>159</v>
      </c>
      <c r="AT26" s="115" t="s">
        <v>193</v>
      </c>
      <c r="AU26" s="114" t="s">
        <v>161</v>
      </c>
      <c r="AV26" s="115" t="s">
        <v>163</v>
      </c>
      <c r="AW26" s="132"/>
      <c r="AX26" s="133"/>
      <c r="AY26" s="133"/>
      <c r="AZ26" s="133"/>
      <c r="BA26" s="133"/>
      <c r="BB26" s="133"/>
      <c r="BC26" s="133"/>
      <c r="BD26" s="133"/>
      <c r="BE26" s="133"/>
      <c r="BF26" s="50"/>
      <c r="BG26" s="114" t="s">
        <v>159</v>
      </c>
      <c r="BH26" s="115" t="s">
        <v>23</v>
      </c>
      <c r="BI26" s="114" t="s">
        <v>161</v>
      </c>
      <c r="BJ26" s="134" t="str" cm="1">
        <f t="array" ref="BJ26">IF(OR(LOOKUP(2,1/($B$10:$B$14&lt;=BJ25)/($C$10:$C$14&gt;=BJ25),$D$10:$D$14)&lt;&gt;BH29,LOOKUP(2,1/($B$6:$B$7&lt;=BJ25)/($C$6:$C$7&gt;=BJ25),$D$6:$D$7)&lt;&gt;BJ29),"FAIL","PASS")</f>
        <v>PASS</v>
      </c>
      <c r="BK26" s="134" t="s">
        <v>162</v>
      </c>
      <c r="BL26" s="134" t="s">
        <v>162</v>
      </c>
      <c r="BM26" s="134"/>
      <c r="BN26" s="133"/>
      <c r="BO26" s="133"/>
      <c r="BP26" s="133"/>
      <c r="BQ26" s="133"/>
      <c r="BR26" s="133"/>
      <c r="BS26" s="133"/>
      <c r="BT26" s="133"/>
      <c r="BU26" s="133"/>
      <c r="BV26" s="133"/>
      <c r="BW26" s="133"/>
      <c r="BX26" s="133"/>
      <c r="BY26" s="50"/>
      <c r="BZ26" s="114" t="s">
        <v>159</v>
      </c>
      <c r="CA26" s="115" t="s">
        <v>164</v>
      </c>
      <c r="CB26" s="114" t="s">
        <v>161</v>
      </c>
      <c r="CC26" s="134" t="str" cm="1">
        <f t="array" ref="CC26">IF(OR(LOOKUP(2,1/($B$10:$B$14&lt;=CC25)/($C$10:$C$14&gt;=CC25),$D$10:$D$14)&lt;&gt;CA29,LOOKUP(2,1/($B$6:$B$7&lt;=CC25)/($C$6:$C$7&gt;=CC25),$D$6:$D$7)&lt;&gt;CC29),"FAIL","PASS")</f>
        <v>PASS</v>
      </c>
      <c r="CD26" s="134" t="s">
        <v>162</v>
      </c>
      <c r="CE26" s="134" t="s">
        <v>162</v>
      </c>
      <c r="CF26" s="134"/>
      <c r="CG26" s="133"/>
      <c r="CH26" s="133"/>
      <c r="CI26" s="133"/>
      <c r="CJ26" s="133"/>
      <c r="CK26" s="133"/>
      <c r="CL26" s="133"/>
      <c r="CM26" s="133"/>
      <c r="CN26" s="133"/>
      <c r="CO26" s="50"/>
      <c r="CP26" s="114" t="s">
        <v>159</v>
      </c>
      <c r="CQ26" s="115" t="s">
        <v>18</v>
      </c>
      <c r="CR26" s="114" t="s">
        <v>161</v>
      </c>
      <c r="CS26" s="134" t="str" cm="1">
        <f t="array" ref="CS26">IF(OR(LOOKUP(2,1/($B$10:$B$14&lt;=CS25)/($C$10:$C$14&gt;=CS25),$D$10:$D$14)&lt;&gt;CQ29,LOOKUP(2,1/($B$6:$B$7&lt;=CS25)/($C$6:$C$7&gt;=CS25),$D$6:$D$7)&lt;&gt;CS29),"FAIL","PASS")</f>
        <v>PASS</v>
      </c>
      <c r="CT26" s="134" t="s">
        <v>162</v>
      </c>
      <c r="CU26" s="134" t="s">
        <v>162</v>
      </c>
      <c r="CV26" s="134"/>
      <c r="CW26" s="133"/>
      <c r="CX26" s="133"/>
      <c r="CY26" s="133"/>
      <c r="CZ26" s="133"/>
      <c r="DA26" s="133"/>
      <c r="DB26" s="133"/>
      <c r="DC26" s="133"/>
      <c r="DD26" s="133"/>
      <c r="DE26" s="50"/>
      <c r="DF26" s="114" t="s">
        <v>159</v>
      </c>
      <c r="DG26" s="115" t="s">
        <v>46</v>
      </c>
      <c r="DH26" s="114" t="s">
        <v>161</v>
      </c>
      <c r="DI26" s="134" t="str" cm="1">
        <f t="array" ref="DI26">IF(OR(LOOKUP(2,1/($B$10:$B$14&lt;=DI25)/($C$10:$C$14&gt;=DI25),$D$10:$D$14)&lt;&gt;DG29,LOOKUP(2,1/($B$6:$B$7&lt;=DI25)/($C$6:$C$7&gt;=DI25),$D$6:$D$7)&lt;&gt;DI29),"FAIL","PASS")</f>
        <v>PASS</v>
      </c>
      <c r="DJ26" s="134" t="s">
        <v>162</v>
      </c>
      <c r="DK26" s="134" t="s">
        <v>162</v>
      </c>
      <c r="DL26" s="134"/>
      <c r="DM26" s="133"/>
      <c r="DN26" s="133"/>
      <c r="DO26" s="133"/>
      <c r="DP26" s="133"/>
      <c r="DQ26" s="133"/>
      <c r="DR26" s="133"/>
      <c r="DS26" s="133"/>
      <c r="DT26" s="133"/>
      <c r="DU26" s="133"/>
      <c r="DV26" s="133"/>
      <c r="DW26" s="133"/>
      <c r="DX26" s="50"/>
      <c r="DY26" s="114" t="s">
        <v>159</v>
      </c>
      <c r="DZ26" s="115" t="s">
        <v>163</v>
      </c>
      <c r="EA26" s="114" t="s">
        <v>161</v>
      </c>
      <c r="EB26" s="134" t="str" cm="1">
        <f t="array" ref="EB26">IF(OR(LOOKUP(2,1/($B$10:$B$14&lt;=EB25)/($C$10:$C$14&gt;=EB25),$D$10:$D$14)&lt;&gt;DZ29,LOOKUP(2,1/($B$6:$B$7&lt;=EB25)/($C$6:$C$7&gt;=EB25),$D$6:$D$7)&lt;&gt;EB29),"FAIL","PASS")</f>
        <v>PASS</v>
      </c>
      <c r="EC26" s="134" t="s">
        <v>162</v>
      </c>
      <c r="ED26" s="134" t="s">
        <v>162</v>
      </c>
      <c r="EE26" s="134"/>
      <c r="EF26" s="133"/>
      <c r="EG26" s="133"/>
      <c r="EH26" s="133"/>
      <c r="EI26" s="133"/>
      <c r="EJ26" s="133"/>
      <c r="EK26" s="133"/>
      <c r="EL26" s="133"/>
      <c r="EM26" s="133"/>
      <c r="EN26" s="133"/>
      <c r="EO26" s="133"/>
      <c r="EP26" s="133"/>
    </row>
    <row r="27" spans="2:155" x14ac:dyDescent="0.2">
      <c r="B27" s="86"/>
      <c r="C27" s="86"/>
      <c r="D27" s="86"/>
      <c r="F27" s="86" t="s">
        <v>54</v>
      </c>
      <c r="G27" s="131">
        <f t="shared" si="34"/>
        <v>44562</v>
      </c>
      <c r="H27" s="131">
        <f t="shared" si="35"/>
        <v>44742</v>
      </c>
      <c r="J27" s="86" t="str" cm="1">
        <f t="array" ref="J27">LOOKUP(2,1/($G$17:$G$33&lt;=$L27)/($H$17:$H$33&gt;=$L27),$F$17:$F$33)</f>
        <v>2H24</v>
      </c>
      <c r="K27" s="86" t="str" cm="1">
        <f t="array" ref="K27">LOOKUP(2,1/($G$6:$G$14&lt;=$L27)/($H$6:$H$14&gt;=$L27),$F$6:$F$14)</f>
        <v>FY24</v>
      </c>
      <c r="L27" s="118">
        <v>45314</v>
      </c>
      <c r="M27" s="49">
        <v>8527726.1492261495</v>
      </c>
      <c r="N27" s="49">
        <v>12449627.405255256</v>
      </c>
      <c r="O27" s="50">
        <v>3000000</v>
      </c>
      <c r="P27" s="119" cm="1">
        <f t="array" ref="P27">LOOKUP(2,1/($B$10:$B$14&lt;=$L27)/($C$10:$C$14&gt;=$L27),$D$10:$D$14)</f>
        <v>1.1000000000000001</v>
      </c>
      <c r="Q27" s="120" cm="1">
        <f t="array" ref="Q27">LOOKUP(2,1/($B$17:$B$21&lt;=$L27)/($C$17:$C$21&gt;=$L27),$D$17:$D$21)</f>
        <v>134.49039999999999</v>
      </c>
      <c r="R27" s="113" t="str">
        <f t="shared" si="3"/>
        <v/>
      </c>
      <c r="S27" s="113" t="str">
        <f t="shared" si="4"/>
        <v>2H24</v>
      </c>
      <c r="T27" s="113" t="str">
        <f t="shared" ca="1" si="5"/>
        <v/>
      </c>
      <c r="U27" s="113" t="str">
        <f t="shared" si="6"/>
        <v/>
      </c>
      <c r="V27" s="113" t="str">
        <f t="shared" si="0"/>
        <v>FY24</v>
      </c>
      <c r="W27" s="113" t="str">
        <f t="shared" ca="1" si="33"/>
        <v/>
      </c>
      <c r="X27" s="50"/>
      <c r="Y27" s="114" t="s">
        <v>165</v>
      </c>
      <c r="Z27" s="134">
        <f>INDEX($G:$G,MATCH(Z26,$F:$F,0))</f>
        <v>45108</v>
      </c>
      <c r="AA27" s="114" t="s">
        <v>166</v>
      </c>
      <c r="AB27" s="134">
        <f>INDEX($H:$H,MATCH(Z26,$F:$F,0))</f>
        <v>45291</v>
      </c>
      <c r="AC27" s="135">
        <v>1.3</v>
      </c>
      <c r="AD27" s="135">
        <v>1</v>
      </c>
      <c r="AE27" s="134"/>
      <c r="AF27" s="134"/>
      <c r="AH27" s="136" t="s">
        <v>167</v>
      </c>
      <c r="AI27" s="137"/>
      <c r="AJ27" s="137"/>
      <c r="AK27" s="137"/>
      <c r="AL27" s="138"/>
      <c r="AM27" s="137"/>
      <c r="AN27" s="137"/>
      <c r="AO27" s="139"/>
      <c r="AR27" s="50"/>
      <c r="AS27" s="114" t="s">
        <v>165</v>
      </c>
      <c r="AT27" s="134">
        <f>INDEX($G:$G,MATCH(AT26,$F:$F,0))</f>
        <v>44927</v>
      </c>
      <c r="AU27" s="114" t="s">
        <v>166</v>
      </c>
      <c r="AV27" s="134">
        <f>INDEX($H:$H,MATCH(AT26,$F:$F,0))</f>
        <v>45107</v>
      </c>
      <c r="AW27" s="134"/>
      <c r="AY27" s="136" t="s">
        <v>167</v>
      </c>
      <c r="AZ27" s="137"/>
      <c r="BA27" s="137"/>
      <c r="BB27" s="138"/>
      <c r="BC27" s="139"/>
      <c r="BF27" s="50"/>
      <c r="BG27" s="114" t="s">
        <v>165</v>
      </c>
      <c r="BH27" s="134">
        <f>INDEX($G:$G,MATCH(BH26,$F:$F,0))</f>
        <v>44743</v>
      </c>
      <c r="BI27" s="114" t="s">
        <v>166</v>
      </c>
      <c r="BJ27" s="134">
        <f>INDEX($H:$H,MATCH(BH26,$F:$F,0))</f>
        <v>45107</v>
      </c>
      <c r="BK27" s="135">
        <v>1.4</v>
      </c>
      <c r="BL27" s="135">
        <v>1</v>
      </c>
      <c r="BM27" s="134"/>
      <c r="BO27" s="136" t="s">
        <v>167</v>
      </c>
      <c r="BP27" s="137"/>
      <c r="BQ27" s="137"/>
      <c r="BR27" s="137"/>
      <c r="BS27" s="138"/>
      <c r="BT27" s="137"/>
      <c r="BU27" s="137"/>
      <c r="BV27" s="139"/>
      <c r="BY27" s="50"/>
      <c r="BZ27" s="114" t="s">
        <v>165</v>
      </c>
      <c r="CA27" s="134">
        <f>INDEX($G:$G,MATCH(CA26,$F:$F,0))</f>
        <v>44743</v>
      </c>
      <c r="CB27" s="114" t="s">
        <v>166</v>
      </c>
      <c r="CC27" s="134">
        <f>INDEX($H:$H,MATCH(CA26,$F:$F,0))</f>
        <v>44926</v>
      </c>
      <c r="CD27" s="135">
        <v>1.4</v>
      </c>
      <c r="CE27" s="135">
        <v>1</v>
      </c>
      <c r="CF27" s="134"/>
      <c r="CH27" s="136" t="s">
        <v>167</v>
      </c>
      <c r="CI27" s="137"/>
      <c r="CJ27" s="137"/>
      <c r="CK27" s="138"/>
      <c r="CL27" s="139"/>
      <c r="CO27" s="50"/>
      <c r="CP27" s="114" t="s">
        <v>165</v>
      </c>
      <c r="CQ27" s="134">
        <f>INDEX($G:$G,MATCH(CQ26,$F:$F,0))</f>
        <v>42917</v>
      </c>
      <c r="CR27" s="114" t="s">
        <v>166</v>
      </c>
      <c r="CS27" s="134">
        <f>INDEX($H:$H,MATCH(CQ26,$F:$F,0))</f>
        <v>43281</v>
      </c>
      <c r="CT27" s="135">
        <v>1.25</v>
      </c>
      <c r="CU27" s="135">
        <v>1</v>
      </c>
      <c r="CV27" s="134"/>
      <c r="CX27" s="136" t="s">
        <v>167</v>
      </c>
      <c r="CY27" s="137"/>
      <c r="CZ27" s="137"/>
      <c r="DA27" s="138"/>
      <c r="DB27" s="139"/>
      <c r="DE27" s="50"/>
      <c r="DF27" s="114" t="s">
        <v>165</v>
      </c>
      <c r="DG27" s="134">
        <f>INDEX($G:$G,MATCH(DG26,$F:$F,0))</f>
        <v>43101</v>
      </c>
      <c r="DH27" s="114" t="s">
        <v>166</v>
      </c>
      <c r="DI27" s="134">
        <f>INDEX($H:$H,MATCH(DG26,$F:$F,0))</f>
        <v>43281</v>
      </c>
      <c r="DJ27" s="135">
        <v>1.25</v>
      </c>
      <c r="DK27" s="135">
        <v>1</v>
      </c>
      <c r="DL27" s="134"/>
      <c r="DN27" s="136" t="s">
        <v>167</v>
      </c>
      <c r="DO27" s="137"/>
      <c r="DP27" s="137"/>
      <c r="DQ27" s="137"/>
      <c r="DR27" s="138"/>
      <c r="DS27" s="137"/>
      <c r="DT27" s="137"/>
      <c r="DU27" s="139"/>
      <c r="DX27" s="50"/>
      <c r="DY27" s="114" t="s">
        <v>165</v>
      </c>
      <c r="DZ27" s="115">
        <v>43063</v>
      </c>
      <c r="EA27" s="114" t="s">
        <v>166</v>
      </c>
      <c r="EB27" s="115">
        <v>43202</v>
      </c>
      <c r="EC27" s="135">
        <v>1.35</v>
      </c>
      <c r="ED27" s="135">
        <v>1</v>
      </c>
      <c r="EE27" s="132"/>
      <c r="EG27" s="136" t="s">
        <v>167</v>
      </c>
      <c r="EH27" s="137"/>
      <c r="EI27" s="137"/>
      <c r="EJ27" s="137"/>
      <c r="EK27" s="138"/>
      <c r="EL27" s="137"/>
      <c r="EM27" s="137"/>
      <c r="EN27" s="139"/>
    </row>
    <row r="28" spans="2:155" x14ac:dyDescent="0.2">
      <c r="B28" s="86"/>
      <c r="C28" s="86"/>
      <c r="D28" s="86"/>
      <c r="F28" s="86" t="s">
        <v>164</v>
      </c>
      <c r="G28" s="131">
        <f t="shared" si="34"/>
        <v>44743</v>
      </c>
      <c r="H28" s="131">
        <f t="shared" si="35"/>
        <v>44926</v>
      </c>
      <c r="J28" s="86" t="str" cm="1">
        <f t="array" ref="J28">LOOKUP(2,1/($G$17:$G$33&lt;=$L28)/($H$17:$H$33&gt;=$L28),$F$17:$F$33)</f>
        <v>2H24</v>
      </c>
      <c r="K28" s="86" t="str" cm="1">
        <f t="array" ref="K28">LOOKUP(2,1/($G$6:$G$14&lt;=$L28)/($H$6:$H$14&gt;=$L28),$F$6:$F$14)</f>
        <v>FY24</v>
      </c>
      <c r="L28" s="118">
        <v>45307</v>
      </c>
      <c r="M28" s="49">
        <v>14163772.002772003</v>
      </c>
      <c r="N28" s="49">
        <v>20677690.746846847</v>
      </c>
      <c r="O28" s="50">
        <v>10000000</v>
      </c>
      <c r="P28" s="119" cm="1">
        <f t="array" ref="P28">LOOKUP(2,1/($B$10:$B$14&lt;=$L28)/($C$10:$C$14&gt;=$L28),$D$10:$D$14)</f>
        <v>1.1000000000000001</v>
      </c>
      <c r="Q28" s="120" cm="1">
        <f t="array" ref="Q28">LOOKUP(2,1/($B$17:$B$21&lt;=$L28)/($C$17:$C$21&gt;=$L28),$D$17:$D$21)</f>
        <v>134.49039999999999</v>
      </c>
      <c r="R28" s="113" t="str">
        <f t="shared" si="3"/>
        <v/>
      </c>
      <c r="S28" s="113" t="str">
        <f t="shared" si="4"/>
        <v>2H24</v>
      </c>
      <c r="T28" s="113" t="str">
        <f t="shared" ca="1" si="5"/>
        <v/>
      </c>
      <c r="U28" s="113" t="str">
        <f t="shared" si="6"/>
        <v/>
      </c>
      <c r="V28" s="113" t="str">
        <f t="shared" si="0"/>
        <v>FY24</v>
      </c>
      <c r="W28" s="113" t="str">
        <f t="shared" ca="1" si="33"/>
        <v/>
      </c>
      <c r="X28" s="50"/>
      <c r="Y28" s="114" t="s">
        <v>91</v>
      </c>
      <c r="Z28" s="140" t="e">
        <f>INDEX($O:$O,MATCH(Z26,$U:$U,0))</f>
        <v>#N/A</v>
      </c>
      <c r="AA28" s="114" t="s">
        <v>76</v>
      </c>
      <c r="AB28" s="140" t="e">
        <f ca="1">INDEX($O:$O,MATCH(Z26,$W:$W,0))</f>
        <v>#N/A</v>
      </c>
      <c r="AC28" s="140"/>
      <c r="AD28" s="140"/>
      <c r="AE28" s="140"/>
      <c r="AF28" s="140"/>
      <c r="AH28" s="141" t="s">
        <v>168</v>
      </c>
      <c r="AI28" s="141"/>
      <c r="AJ28" s="142"/>
      <c r="AK28" s="142"/>
      <c r="AL28" s="143" t="s">
        <v>15</v>
      </c>
      <c r="AM28" s="142"/>
      <c r="AN28" s="142"/>
      <c r="AO28" s="144" t="s">
        <v>139</v>
      </c>
      <c r="AR28" s="50"/>
      <c r="AS28" s="114" t="s">
        <v>91</v>
      </c>
      <c r="AT28" s="145">
        <v>12000000</v>
      </c>
      <c r="AU28" s="114" t="s">
        <v>76</v>
      </c>
      <c r="AV28" s="145">
        <v>12000000</v>
      </c>
      <c r="AW28" s="146"/>
      <c r="AY28" s="147" t="s">
        <v>165</v>
      </c>
      <c r="AZ28" s="148">
        <f>AT27</f>
        <v>44927</v>
      </c>
      <c r="BA28" s="142"/>
      <c r="BB28" s="143" t="s">
        <v>15</v>
      </c>
      <c r="BC28" s="144" t="s">
        <v>139</v>
      </c>
      <c r="BF28" s="50"/>
      <c r="BG28" s="114" t="s">
        <v>91</v>
      </c>
      <c r="BH28" s="140">
        <f>INDEX($O:$O,MATCH(BH26,$U:$U,0))</f>
        <v>30000000</v>
      </c>
      <c r="BI28" s="114" t="s">
        <v>76</v>
      </c>
      <c r="BJ28" s="140">
        <f ca="1">INDEX($O:$O,MATCH(BH26,$W:$W,0))</f>
        <v>5000000</v>
      </c>
      <c r="BK28" s="140"/>
      <c r="BL28" s="140"/>
      <c r="BM28" s="140"/>
      <c r="BO28" s="141" t="s">
        <v>168</v>
      </c>
      <c r="BP28" s="141"/>
      <c r="BQ28" s="2"/>
      <c r="BR28" s="2"/>
      <c r="BS28" s="149" t="s">
        <v>15</v>
      </c>
      <c r="BT28" s="2"/>
      <c r="BU28" s="2"/>
      <c r="BV28" s="150" t="s">
        <v>139</v>
      </c>
      <c r="BY28" s="50"/>
      <c r="BZ28" s="114" t="s">
        <v>91</v>
      </c>
      <c r="CA28" s="140">
        <f>INDEX($O:$O,MATCH(CA26,$R:$R,0))</f>
        <v>30000000</v>
      </c>
      <c r="CB28" s="114" t="s">
        <v>76</v>
      </c>
      <c r="CC28" s="140">
        <f ca="1">INDEX($O:$O,MATCH(CA26,$T:$T,0))</f>
        <v>5000000</v>
      </c>
      <c r="CD28" s="140"/>
      <c r="CE28" s="140"/>
      <c r="CF28" s="140"/>
      <c r="CH28" s="147" t="s">
        <v>165</v>
      </c>
      <c r="CI28" s="148">
        <f>CA27</f>
        <v>44743</v>
      </c>
      <c r="CJ28" s="142"/>
      <c r="CK28" s="143" t="s">
        <v>15</v>
      </c>
      <c r="CL28" s="144" t="s">
        <v>139</v>
      </c>
      <c r="CO28" s="50"/>
      <c r="CP28" s="114" t="s">
        <v>91</v>
      </c>
      <c r="CQ28" s="140">
        <f>INDEX($O:$O,MATCH(CQ26,$U:$U,0))</f>
        <v>30000000</v>
      </c>
      <c r="CR28" s="114" t="s">
        <v>76</v>
      </c>
      <c r="CS28" s="140">
        <f ca="1">INDEX($O:$O,MATCH(CQ26,$W:$W,0))</f>
        <v>40000000</v>
      </c>
      <c r="CT28" s="140"/>
      <c r="CU28" s="140"/>
      <c r="CV28" s="140"/>
      <c r="CX28" s="147" t="s">
        <v>165</v>
      </c>
      <c r="CY28" s="148">
        <f>CQ27</f>
        <v>42917</v>
      </c>
      <c r="CZ28" s="142"/>
      <c r="DA28" s="143" t="s">
        <v>15</v>
      </c>
      <c r="DB28" s="144" t="s">
        <v>139</v>
      </c>
      <c r="DE28" s="50"/>
      <c r="DF28" s="114" t="s">
        <v>91</v>
      </c>
      <c r="DG28" s="140">
        <f>INDEX($O:$O,MATCH(DG26,$R:$R,0))</f>
        <v>40000000</v>
      </c>
      <c r="DH28" s="114" t="s">
        <v>76</v>
      </c>
      <c r="DI28" s="140">
        <f ca="1">INDEX($O:$O,MATCH(DG26,$T:$T,0))</f>
        <v>40000000</v>
      </c>
      <c r="DJ28" s="140"/>
      <c r="DK28" s="140"/>
      <c r="DL28" s="140"/>
      <c r="DN28" s="147" t="s">
        <v>165</v>
      </c>
      <c r="DO28" s="148">
        <f>DG27</f>
        <v>43101</v>
      </c>
      <c r="DP28" s="142"/>
      <c r="DQ28" s="142"/>
      <c r="DR28" s="143" t="s">
        <v>15</v>
      </c>
      <c r="DS28" s="142"/>
      <c r="DT28" s="142"/>
      <c r="DU28" s="144" t="s">
        <v>139</v>
      </c>
      <c r="DX28" s="50"/>
      <c r="DY28" s="114" t="s">
        <v>91</v>
      </c>
      <c r="DZ28" s="145" t="e">
        <f>NA()</f>
        <v>#N/A</v>
      </c>
      <c r="EA28" s="114" t="s">
        <v>76</v>
      </c>
      <c r="EB28" s="145">
        <v>15000000</v>
      </c>
      <c r="EC28" s="140"/>
      <c r="ED28" s="140"/>
      <c r="EE28" s="146"/>
      <c r="EG28" s="141" t="s">
        <v>168</v>
      </c>
      <c r="EH28" s="141"/>
      <c r="EI28" s="2"/>
      <c r="EJ28" s="2"/>
      <c r="EK28" s="149" t="s">
        <v>15</v>
      </c>
      <c r="EL28" s="2"/>
      <c r="EM28" s="2"/>
      <c r="EN28" s="150" t="s">
        <v>139</v>
      </c>
    </row>
    <row r="29" spans="2:155" x14ac:dyDescent="0.2">
      <c r="B29" s="86"/>
      <c r="C29" s="86"/>
      <c r="D29" s="86"/>
      <c r="F29" s="86" t="s">
        <v>193</v>
      </c>
      <c r="G29" s="131">
        <f t="shared" si="34"/>
        <v>44927</v>
      </c>
      <c r="H29" s="131">
        <f t="shared" si="35"/>
        <v>45107</v>
      </c>
      <c r="J29" s="86" t="str" cm="1">
        <f t="array" ref="J29">LOOKUP(2,1/($G$17:$G$33&lt;=$L29)/($H$17:$H$33&gt;=$L29),$F$17:$F$33)</f>
        <v>2H24</v>
      </c>
      <c r="K29" s="86" t="str" cm="1">
        <f t="array" ref="K29">LOOKUP(2,1/($G$6:$G$14&lt;=$L29)/($H$6:$H$14&gt;=$L29),$F$6:$F$14)</f>
        <v>FY24</v>
      </c>
      <c r="L29" s="118">
        <v>45300</v>
      </c>
      <c r="M29" s="49">
        <v>10258208.362208363</v>
      </c>
      <c r="N29" s="49">
        <v>14975958.387987988</v>
      </c>
      <c r="O29" s="50">
        <v>5000000</v>
      </c>
      <c r="P29" s="119" cm="1">
        <f t="array" ref="P29">LOOKUP(2,1/($B$10:$B$14&lt;=$L29)/($C$10:$C$14&gt;=$L29),$D$10:$D$14)</f>
        <v>1.1000000000000001</v>
      </c>
      <c r="Q29" s="120" cm="1">
        <f t="array" ref="Q29">LOOKUP(2,1/($B$17:$B$21&lt;=$L29)/($C$17:$C$21&gt;=$L29),$D$17:$D$21)</f>
        <v>134.49039999999999</v>
      </c>
      <c r="R29" s="113" t="str">
        <f t="shared" si="3"/>
        <v/>
      </c>
      <c r="S29" s="113" t="str">
        <f t="shared" si="4"/>
        <v>2H24</v>
      </c>
      <c r="T29" s="113" t="str">
        <f t="shared" ca="1" si="5"/>
        <v/>
      </c>
      <c r="U29" s="113" t="str">
        <f t="shared" si="6"/>
        <v/>
      </c>
      <c r="V29" s="113" t="str">
        <f t="shared" si="0"/>
        <v>FY24</v>
      </c>
      <c r="W29" s="113" t="str">
        <f t="shared" ca="1" si="33"/>
        <v/>
      </c>
      <c r="X29" s="50"/>
      <c r="Y29" s="114" t="s">
        <v>169</v>
      </c>
      <c r="Z29" s="135">
        <v>1.2</v>
      </c>
      <c r="AA29" s="114" t="s">
        <v>149</v>
      </c>
      <c r="AB29" s="152" cm="1">
        <f t="array" ref="AB29">LOOKUP(2,1/($B$6:$B$7&lt;=Z25)/($C$6:$C$7&gt;=Z25),$D$6:$D$7)</f>
        <v>9.2999999999999999E-2</v>
      </c>
      <c r="AC29" s="152" t="s">
        <v>170</v>
      </c>
      <c r="AD29" s="152" t="s">
        <v>171</v>
      </c>
      <c r="AE29" s="152"/>
      <c r="AF29" s="152"/>
      <c r="AH29" s="153" t="s">
        <v>165</v>
      </c>
      <c r="AI29" s="148">
        <f>Z27</f>
        <v>45108</v>
      </c>
      <c r="AJ29" s="154"/>
      <c r="AK29" s="154"/>
      <c r="AL29" s="155">
        <f t="shared" ref="AL29:AL38" si="36">Z32/1000000</f>
        <v>2</v>
      </c>
      <c r="AM29" s="154"/>
      <c r="AN29" s="154"/>
      <c r="AO29" s="156">
        <f t="shared" ref="AO29:AO38" si="37">MAX(AA32:AB32)/1000000</f>
        <v>7.6972096406543313</v>
      </c>
      <c r="AR29" s="50"/>
      <c r="AS29" s="114" t="s">
        <v>169</v>
      </c>
      <c r="AT29" s="159">
        <v>1.1000000000000001</v>
      </c>
      <c r="AU29" s="114" t="s">
        <v>149</v>
      </c>
      <c r="AV29" s="160">
        <v>0.10299999999999999</v>
      </c>
      <c r="AW29" s="157"/>
      <c r="AY29" s="153" t="s">
        <v>166</v>
      </c>
      <c r="AZ29" s="158">
        <f>AV27</f>
        <v>45107</v>
      </c>
      <c r="BA29" s="154"/>
      <c r="BB29" s="155">
        <f>AT32/1000000</f>
        <v>3</v>
      </c>
      <c r="BC29" s="156">
        <f>MAX(AU32:AV32)/1000000</f>
        <v>14.795254451882668</v>
      </c>
      <c r="BF29" s="50"/>
      <c r="BG29" s="114" t="s">
        <v>169</v>
      </c>
      <c r="BH29" s="119" cm="1">
        <f t="array" ref="BH29">LOOKUP(2,1/($B$10:$B$14&lt;=BH25)/($C$10:$C$14&gt;=BH25),$D$10:$D$14)</f>
        <v>1.1000000000000001</v>
      </c>
      <c r="BI29" s="114" t="s">
        <v>149</v>
      </c>
      <c r="BJ29" s="152" cm="1">
        <f t="array" ref="BJ29">LOOKUP(2,1/($B$6:$B$7&lt;=BH25)/($C$6:$C$7&gt;=BH25),$D$6:$D$7)</f>
        <v>0.10299999999999999</v>
      </c>
      <c r="BK29" s="152" t="s">
        <v>170</v>
      </c>
      <c r="BL29" s="152" t="s">
        <v>171</v>
      </c>
      <c r="BM29" s="152"/>
      <c r="BO29" s="153" t="s">
        <v>165</v>
      </c>
      <c r="BP29" s="158">
        <f>BH27</f>
        <v>44743</v>
      </c>
      <c r="BQ29" s="154"/>
      <c r="BR29" s="154"/>
      <c r="BS29" s="155">
        <f t="shared" ref="BS29:BS38" si="38">BH32/1000000</f>
        <v>4</v>
      </c>
      <c r="BT29" s="154"/>
      <c r="BU29" s="154"/>
      <c r="BV29" s="156" t="e">
        <f t="shared" ref="BV29:BV38" si="39">MAX(BI32:BJ32)/1000000</f>
        <v>#DIV/0!</v>
      </c>
      <c r="BY29" s="50"/>
      <c r="BZ29" s="114" t="s">
        <v>169</v>
      </c>
      <c r="CA29" s="119" cm="1">
        <f t="array" ref="CA29">LOOKUP(2,1/($B$10:$B$14&lt;=CA25)/($C$10:$C$14&gt;=CA25),$D$10:$D$14)</f>
        <v>1.1000000000000001</v>
      </c>
      <c r="CB29" s="114" t="s">
        <v>149</v>
      </c>
      <c r="CC29" s="152" cm="1">
        <f t="array" ref="CC29">LOOKUP(2,1/($B$6:$B$7&lt;=CA25)/($C$6:$C$7&gt;=CA25),$D$6:$D$7)</f>
        <v>0.10299999999999999</v>
      </c>
      <c r="CD29" s="152" t="s">
        <v>170</v>
      </c>
      <c r="CE29" s="152" t="s">
        <v>171</v>
      </c>
      <c r="CF29" s="152"/>
      <c r="CH29" s="153" t="s">
        <v>166</v>
      </c>
      <c r="CI29" s="158">
        <f>CC27</f>
        <v>44926</v>
      </c>
      <c r="CJ29" s="154"/>
      <c r="CK29" s="155">
        <f>CA32/1000000</f>
        <v>4</v>
      </c>
      <c r="CL29" s="156" t="e">
        <f>MAX(CB32:CC32)/1000000</f>
        <v>#DIV/0!</v>
      </c>
      <c r="CO29" s="50"/>
      <c r="CP29" s="114" t="s">
        <v>169</v>
      </c>
      <c r="CQ29" s="119" cm="1">
        <f t="array" ref="CQ29">LOOKUP(2,1/($B$10:$B$14&lt;=CQ25)/($C$10:$C$14&gt;=CQ25),$D$10:$D$14)</f>
        <v>1.1000000000000001</v>
      </c>
      <c r="CR29" s="114" t="s">
        <v>149</v>
      </c>
      <c r="CS29" s="152" cm="1">
        <f t="array" ref="CS29">LOOKUP(2,1/($B$6:$B$7&lt;=CQ25)/($C$6:$C$7&gt;=CQ25),$D$6:$D$7)</f>
        <v>9.2999999999999999E-2</v>
      </c>
      <c r="CT29" s="152" t="s">
        <v>170</v>
      </c>
      <c r="CU29" s="152" t="s">
        <v>171</v>
      </c>
      <c r="CV29" s="152"/>
      <c r="CX29" s="153" t="s">
        <v>166</v>
      </c>
      <c r="CY29" s="158">
        <f>CS27</f>
        <v>43281</v>
      </c>
      <c r="CZ29" s="154"/>
      <c r="DA29" s="155">
        <f>CQ32/1000000</f>
        <v>3</v>
      </c>
      <c r="DB29" s="156" t="e">
        <f>MAX(CR32:CS32)/1000000</f>
        <v>#DIV/0!</v>
      </c>
      <c r="DE29" s="50"/>
      <c r="DF29" s="114" t="s">
        <v>169</v>
      </c>
      <c r="DG29" s="119" cm="1">
        <f t="array" ref="DG29">LOOKUP(2,1/($B$10:$B$14&lt;=DG25)/($C$10:$C$14&gt;=DG25),$D$10:$D$14)</f>
        <v>0.85</v>
      </c>
      <c r="DH29" s="114" t="s">
        <v>149</v>
      </c>
      <c r="DI29" s="152" cm="1">
        <f t="array" ref="DI29">LOOKUP(2,1/($B$6:$B$7&lt;=DG25)/($C$6:$C$7&gt;=DG25),$D$6:$D$7)</f>
        <v>9.2999999999999999E-2</v>
      </c>
      <c r="DJ29" s="152" t="s">
        <v>170</v>
      </c>
      <c r="DK29" s="152" t="s">
        <v>171</v>
      </c>
      <c r="DL29" s="152"/>
      <c r="DN29" s="153" t="s">
        <v>166</v>
      </c>
      <c r="DO29" s="158">
        <f>DI27</f>
        <v>43281</v>
      </c>
      <c r="DP29" s="154"/>
      <c r="DQ29" s="154"/>
      <c r="DR29" s="155">
        <f>DG32/1000000</f>
        <v>3</v>
      </c>
      <c r="DS29" s="154"/>
      <c r="DT29" s="154"/>
      <c r="DU29" s="156" t="e">
        <f>MAX(DH32:DI32)/1000000</f>
        <v>#DIV/0!</v>
      </c>
      <c r="DX29" s="50"/>
      <c r="DY29" s="114" t="s">
        <v>169</v>
      </c>
      <c r="DZ29" s="119" cm="1">
        <f t="array" ref="DZ29">LOOKUP(2,1/($B$10:$B$14&lt;=DZ25)/($C$10:$C$14&gt;=DZ25),$D$10:$D$14)</f>
        <v>0.85</v>
      </c>
      <c r="EA29" s="114" t="s">
        <v>149</v>
      </c>
      <c r="EB29" s="152" cm="1">
        <f t="array" ref="EB29">LOOKUP(2,1/($B$6:$B$7&lt;=DZ25)/($C$6:$C$7&gt;=DZ25),$D$6:$D$7)</f>
        <v>9.2999999999999999E-2</v>
      </c>
      <c r="EC29" s="152" t="s">
        <v>170</v>
      </c>
      <c r="ED29" s="152" t="s">
        <v>171</v>
      </c>
      <c r="EE29" s="152"/>
      <c r="EG29" s="153" t="s">
        <v>165</v>
      </c>
      <c r="EH29" s="158">
        <f>DZ27</f>
        <v>43063</v>
      </c>
      <c r="EI29" s="154"/>
      <c r="EJ29" s="154"/>
      <c r="EK29" s="155">
        <f t="shared" ref="EK29:EK38" si="40">DZ32/1000000</f>
        <v>3</v>
      </c>
      <c r="EL29" s="154"/>
      <c r="EM29" s="154"/>
      <c r="EN29" s="156" t="e">
        <f t="shared" ref="EN29:EN38" si="41">MAX(EA32:EB32)/1000000</f>
        <v>#DIV/0!</v>
      </c>
    </row>
    <row r="30" spans="2:155" x14ac:dyDescent="0.2">
      <c r="B30" s="86"/>
      <c r="C30" s="86"/>
      <c r="D30" s="86"/>
      <c r="F30" s="86" t="s">
        <v>160</v>
      </c>
      <c r="G30" s="131">
        <f t="shared" si="34"/>
        <v>45108</v>
      </c>
      <c r="H30" s="131">
        <f t="shared" si="35"/>
        <v>45291</v>
      </c>
      <c r="J30" s="86" t="str" cm="1">
        <f t="array" ref="J30">LOOKUP(2,1/($G$17:$G$33&lt;=$L30)/($H$17:$H$33&gt;=$L30),$F$17:$F$33)</f>
        <v>2H24</v>
      </c>
      <c r="K30" s="86" t="str" cm="1">
        <f t="array" ref="K30">LOOKUP(2,1/($G$6:$G$14&lt;=$L30)/($H$6:$H$14&gt;=$L30),$F$6:$F$14)</f>
        <v>FY24</v>
      </c>
      <c r="L30" s="118">
        <v>45293</v>
      </c>
      <c r="M30" s="49">
        <v>9209292.9082929064</v>
      </c>
      <c r="N30" s="49">
        <v>13444646.716816815</v>
      </c>
      <c r="O30" s="50">
        <v>3000000</v>
      </c>
      <c r="P30" s="119" cm="1">
        <f t="array" ref="P30">LOOKUP(2,1/($B$10:$B$14&lt;=$L30)/($C$10:$C$14&gt;=$L30),$D$10:$D$14)</f>
        <v>1.1000000000000001</v>
      </c>
      <c r="Q30" s="120" cm="1">
        <f t="array" ref="Q30">LOOKUP(2,1/($B$17:$B$21&lt;=$L30)/($C$17:$C$21&gt;=$L30),$D$17:$D$21)</f>
        <v>134.49039999999999</v>
      </c>
      <c r="R30" s="113" t="str">
        <f t="shared" si="3"/>
        <v>2H24</v>
      </c>
      <c r="S30" s="113" t="str">
        <f t="shared" si="4"/>
        <v>2H24</v>
      </c>
      <c r="T30" s="113" t="str">
        <f t="shared" ca="1" si="5"/>
        <v/>
      </c>
      <c r="U30" s="113" t="str">
        <f t="shared" si="6"/>
        <v/>
      </c>
      <c r="V30" s="113" t="str">
        <f t="shared" si="0"/>
        <v>FY24</v>
      </c>
      <c r="W30" s="113" t="str">
        <f t="shared" ca="1" si="33"/>
        <v/>
      </c>
      <c r="X30" s="50"/>
      <c r="Y30" s="114" t="s">
        <v>172</v>
      </c>
      <c r="Z30" s="119" cm="1">
        <f t="array" ref="Z30">LOOKUP(2,1/($B$17:$B$21&lt;=Z25)/($C$17:$C$21&gt;=Z25),$D$17:$D$21)</f>
        <v>134.49039999999999</v>
      </c>
      <c r="AA30" s="114" t="s">
        <v>0</v>
      </c>
      <c r="AB30" s="161">
        <v>1</v>
      </c>
      <c r="AC30" s="162">
        <v>1</v>
      </c>
      <c r="AD30" s="162">
        <f>1-AC30</f>
        <v>0</v>
      </c>
      <c r="AH30" s="153" t="s">
        <v>166</v>
      </c>
      <c r="AI30" s="158">
        <f>AB27</f>
        <v>45291</v>
      </c>
      <c r="AJ30" s="154"/>
      <c r="AK30" s="154"/>
      <c r="AL30" s="155">
        <f t="shared" si="36"/>
        <v>5</v>
      </c>
      <c r="AM30" s="154"/>
      <c r="AN30" s="154"/>
      <c r="AO30" s="156">
        <f t="shared" si="37"/>
        <v>10.182766292472415</v>
      </c>
      <c r="AR30" s="50"/>
      <c r="AS30" s="114" t="s">
        <v>172</v>
      </c>
      <c r="AT30" s="159">
        <v>134.49039999999999</v>
      </c>
      <c r="AY30" s="153" t="s">
        <v>91</v>
      </c>
      <c r="AZ30" s="155">
        <f>AT28/1000000</f>
        <v>12</v>
      </c>
      <c r="BA30" s="154"/>
      <c r="BB30" s="155">
        <f t="shared" ref="BB30:BB38" si="42">AT33/1000000</f>
        <v>8</v>
      </c>
      <c r="BC30" s="156">
        <f t="shared" ref="BC30:BC37" si="43">MAX(AU33:AV33)/1000000</f>
        <v>19.901707782528003</v>
      </c>
      <c r="BF30" s="50"/>
      <c r="BG30" s="114" t="s">
        <v>172</v>
      </c>
      <c r="BH30" s="119" cm="1">
        <f t="array" ref="BH30">LOOKUP(2,1/($B$17:$B$21&lt;=BH25)/($C$17:$C$21&gt;=BH25),$D$17:$D$21)</f>
        <v>134.49039999999999</v>
      </c>
      <c r="BK30" s="162">
        <v>1</v>
      </c>
      <c r="BL30" s="162">
        <f>1-BK30</f>
        <v>0</v>
      </c>
      <c r="BO30" s="153" t="s">
        <v>166</v>
      </c>
      <c r="BP30" s="158">
        <f>BJ27</f>
        <v>45107</v>
      </c>
      <c r="BQ30" s="154"/>
      <c r="BR30" s="154"/>
      <c r="BS30" s="155">
        <f t="shared" si="38"/>
        <v>8</v>
      </c>
      <c r="BT30" s="154"/>
      <c r="BU30" s="154"/>
      <c r="BV30" s="156" t="e">
        <f t="shared" si="39"/>
        <v>#DIV/0!</v>
      </c>
      <c r="BY30" s="50"/>
      <c r="BZ30" s="114" t="s">
        <v>172</v>
      </c>
      <c r="CA30" s="119" cm="1">
        <f t="array" ref="CA30">LOOKUP(2,1/($B$17:$B$21&lt;=CA25)/($C$17:$C$21&gt;=CA25),$D$17:$D$21)</f>
        <v>134.49039999999999</v>
      </c>
      <c r="CD30" s="162">
        <v>1</v>
      </c>
      <c r="CE30" s="162">
        <f>1-CD30</f>
        <v>0</v>
      </c>
      <c r="CH30" s="153" t="s">
        <v>91</v>
      </c>
      <c r="CI30" s="155">
        <f>CA28/1000000</f>
        <v>30</v>
      </c>
      <c r="CJ30" s="154"/>
      <c r="CK30" s="155">
        <f t="shared" ref="CK30:CK38" si="44">CA33/1000000</f>
        <v>8</v>
      </c>
      <c r="CL30" s="156" t="e">
        <f t="shared" ref="CL30:CL38" si="45">MAX(CB33:CC33)/1000000</f>
        <v>#DIV/0!</v>
      </c>
      <c r="CO30" s="50"/>
      <c r="CP30" s="114" t="s">
        <v>172</v>
      </c>
      <c r="CQ30" s="119" cm="1">
        <f t="array" ref="CQ30">LOOKUP(2,1/($B$17:$B$21&lt;=CQ25)/($C$17:$C$21&gt;=CQ25),$D$17:$D$21)</f>
        <v>134.49039999999999</v>
      </c>
      <c r="CR30" s="114" t="s">
        <v>173</v>
      </c>
      <c r="CS30" s="163">
        <f>INT((WEEKDAY(CQ25-5)-CQ25+CS25)/7)/INT((WEEKDAY(CQ27-5)-CQ27+CS27)/7)</f>
        <v>0.21153846153846154</v>
      </c>
      <c r="CT30" s="162">
        <v>1</v>
      </c>
      <c r="CU30" s="162">
        <f>1-CT30</f>
        <v>0</v>
      </c>
      <c r="CV30" s="163"/>
      <c r="CX30" s="153" t="s">
        <v>91</v>
      </c>
      <c r="CY30" s="155">
        <f>CQ28/1000000</f>
        <v>30</v>
      </c>
      <c r="CZ30" s="154"/>
      <c r="DA30" s="155">
        <f t="shared" ref="DA30:DA38" si="46">CQ33/1000000</f>
        <v>8</v>
      </c>
      <c r="DB30" s="156" t="e">
        <f t="shared" ref="DB30:DB38" si="47">MAX(CR33:CS33)/1000000</f>
        <v>#DIV/0!</v>
      </c>
      <c r="DE30" s="50"/>
      <c r="DF30" s="114" t="s">
        <v>172</v>
      </c>
      <c r="DG30" s="119" cm="1">
        <f t="array" ref="DG30">LOOKUP(2,1/($B$17:$B$21&lt;=DG25)/($C$17:$C$21&gt;=DG25),$D$17:$D$21)</f>
        <v>76.767600000000002</v>
      </c>
      <c r="DH30" s="114" t="s">
        <v>173</v>
      </c>
      <c r="DI30" s="163">
        <f>INT((WEEKDAY(DG25-5)-DG25+DI25)/7)/INT((WEEKDAY(DG27-5)-DG27+DI27)/7)</f>
        <v>0.57692307692307687</v>
      </c>
      <c r="DJ30" s="162">
        <v>1</v>
      </c>
      <c r="DK30" s="162">
        <f>1-DJ30</f>
        <v>0</v>
      </c>
      <c r="DL30" s="163"/>
      <c r="DN30" s="153" t="s">
        <v>91</v>
      </c>
      <c r="DO30" s="155">
        <f>DG28/1000000</f>
        <v>40</v>
      </c>
      <c r="DP30" s="154"/>
      <c r="DQ30" s="154"/>
      <c r="DR30" s="155">
        <f t="shared" ref="DR30:DR38" si="48">DG33/1000000</f>
        <v>6</v>
      </c>
      <c r="DS30" s="154"/>
      <c r="DT30" s="154"/>
      <c r="DU30" s="156" t="e">
        <f t="shared" ref="DU30:DU38" si="49">MAX(DH33:DI33)/1000000</f>
        <v>#DIV/0!</v>
      </c>
      <c r="DX30" s="50"/>
      <c r="DY30" s="114" t="s">
        <v>172</v>
      </c>
      <c r="DZ30" s="119" cm="1">
        <f t="array" ref="DZ30">LOOKUP(2,1/($B$17:$B$21&lt;=DZ25)/($C$17:$C$21&gt;=DZ25),$D$17:$D$21)</f>
        <v>76.767600000000002</v>
      </c>
      <c r="EA30" s="114" t="s">
        <v>0</v>
      </c>
      <c r="EB30" s="135">
        <v>1</v>
      </c>
      <c r="EC30" s="162">
        <v>1</v>
      </c>
      <c r="ED30" s="162">
        <f>1-EC30</f>
        <v>0</v>
      </c>
      <c r="EE30" s="164"/>
      <c r="EG30" s="153" t="s">
        <v>166</v>
      </c>
      <c r="EH30" s="158">
        <f>EB27</f>
        <v>43202</v>
      </c>
      <c r="EI30" s="154"/>
      <c r="EJ30" s="154"/>
      <c r="EK30" s="155">
        <f t="shared" si="40"/>
        <v>6</v>
      </c>
      <c r="EL30" s="154"/>
      <c r="EM30" s="154"/>
      <c r="EN30" s="156" t="e">
        <f t="shared" si="41"/>
        <v>#DIV/0!</v>
      </c>
    </row>
    <row r="31" spans="2:155" x14ac:dyDescent="0.2">
      <c r="B31" s="86"/>
      <c r="C31" s="86"/>
      <c r="D31" s="86"/>
      <c r="F31" s="86" t="s">
        <v>194</v>
      </c>
      <c r="G31" s="131">
        <f t="shared" si="34"/>
        <v>45292</v>
      </c>
      <c r="H31" s="131">
        <f t="shared" si="35"/>
        <v>45473</v>
      </c>
      <c r="J31" s="86" t="str" cm="1">
        <f t="array" ref="J31">LOOKUP(2,1/($G$17:$G$33&lt;=$L31)/($H$17:$H$33&gt;=$L31),$F$17:$F$33)</f>
        <v>1H24</v>
      </c>
      <c r="K31" s="86" t="str" cm="1">
        <f t="array" ref="K31">LOOKUP(2,1/($G$6:$G$14&lt;=$L31)/($H$6:$H$14&gt;=$L31),$F$6:$F$14)</f>
        <v>FY24</v>
      </c>
      <c r="L31" s="118">
        <v>45286</v>
      </c>
      <c r="M31" s="49">
        <v>101791079.34857933</v>
      </c>
      <c r="N31" s="49">
        <v>148604796.74099097</v>
      </c>
      <c r="O31" s="50">
        <v>90000000</v>
      </c>
      <c r="P31" s="119" cm="1">
        <f t="array" ref="P31">LOOKUP(2,1/($B$10:$B$14&lt;=$L31)/($C$10:$C$14&gt;=$L31),$D$10:$D$14)</f>
        <v>1.1000000000000001</v>
      </c>
      <c r="Q31" s="120" cm="1">
        <f t="array" ref="Q31">LOOKUP(2,1/($B$17:$B$21&lt;=$L31)/($C$17:$C$21&gt;=$L31),$D$17:$D$21)</f>
        <v>134.49039999999999</v>
      </c>
      <c r="R31" s="113" t="str">
        <f t="shared" si="3"/>
        <v/>
      </c>
      <c r="S31" s="113" t="str">
        <f t="shared" si="4"/>
        <v>1H24</v>
      </c>
      <c r="T31" s="113" t="str">
        <f t="shared" ca="1" si="5"/>
        <v>2H24</v>
      </c>
      <c r="U31" s="113" t="str">
        <f t="shared" si="6"/>
        <v/>
      </c>
      <c r="V31" s="113" t="str">
        <f t="shared" si="0"/>
        <v>FY24</v>
      </c>
      <c r="W31" s="113" t="str">
        <f t="shared" ca="1" si="33"/>
        <v/>
      </c>
      <c r="Y31" s="111" t="s">
        <v>174</v>
      </c>
      <c r="Z31" s="111" t="s">
        <v>175</v>
      </c>
      <c r="AA31" s="111" t="s">
        <v>176</v>
      </c>
      <c r="AB31" s="111" t="s">
        <v>177</v>
      </c>
      <c r="AC31" s="111" t="s">
        <v>178</v>
      </c>
      <c r="AD31" s="111" t="s">
        <v>179</v>
      </c>
      <c r="AE31" s="111" t="s">
        <v>180</v>
      </c>
      <c r="AF31" s="37"/>
      <c r="AH31" s="153" t="s">
        <v>169</v>
      </c>
      <c r="AI31" s="165">
        <f>Z29</f>
        <v>1.2</v>
      </c>
      <c r="AJ31" s="154"/>
      <c r="AK31" s="154"/>
      <c r="AL31" s="155">
        <f t="shared" si="36"/>
        <v>10</v>
      </c>
      <c r="AM31" s="154"/>
      <c r="AN31" s="154"/>
      <c r="AO31" s="156">
        <f t="shared" si="37"/>
        <v>14.226903257128811</v>
      </c>
      <c r="AS31" s="111" t="s">
        <v>174</v>
      </c>
      <c r="AT31" s="111" t="s">
        <v>175</v>
      </c>
      <c r="AU31" s="111" t="s">
        <v>176</v>
      </c>
      <c r="AV31" s="111" t="s">
        <v>177</v>
      </c>
      <c r="AW31" s="111" t="s">
        <v>180</v>
      </c>
      <c r="AY31" s="153" t="s">
        <v>76</v>
      </c>
      <c r="AZ31" s="155">
        <f>AV28/1000000</f>
        <v>12</v>
      </c>
      <c r="BA31" s="154"/>
      <c r="BB31" s="155">
        <f t="shared" si="42"/>
        <v>12</v>
      </c>
      <c r="BC31" s="156">
        <f t="shared" si="43"/>
        <v>25.095285017088003</v>
      </c>
      <c r="BG31" s="111" t="s">
        <v>174</v>
      </c>
      <c r="BH31" s="111" t="s">
        <v>175</v>
      </c>
      <c r="BI31" s="111" t="s">
        <v>176</v>
      </c>
      <c r="BJ31" s="111" t="s">
        <v>177</v>
      </c>
      <c r="BK31" s="111" t="s">
        <v>178</v>
      </c>
      <c r="BL31" s="111" t="s">
        <v>179</v>
      </c>
      <c r="BM31" s="111" t="s">
        <v>180</v>
      </c>
      <c r="BO31" s="153" t="s">
        <v>169</v>
      </c>
      <c r="BP31" s="165">
        <f>BH29</f>
        <v>1.1000000000000001</v>
      </c>
      <c r="BQ31" s="154"/>
      <c r="BR31" s="154"/>
      <c r="BS31" s="155">
        <f t="shared" si="38"/>
        <v>20</v>
      </c>
      <c r="BT31" s="154"/>
      <c r="BU31" s="154"/>
      <c r="BV31" s="156">
        <f t="shared" si="39"/>
        <v>20.463382076809623</v>
      </c>
      <c r="BZ31" s="111" t="s">
        <v>174</v>
      </c>
      <c r="CA31" s="111" t="s">
        <v>175</v>
      </c>
      <c r="CB31" s="111" t="s">
        <v>176</v>
      </c>
      <c r="CC31" s="111" t="s">
        <v>177</v>
      </c>
      <c r="CD31" s="111" t="s">
        <v>178</v>
      </c>
      <c r="CE31" s="111" t="s">
        <v>179</v>
      </c>
      <c r="CF31" s="111" t="s">
        <v>180</v>
      </c>
      <c r="CH31" s="153" t="s">
        <v>76</v>
      </c>
      <c r="CI31" s="155">
        <f ca="1">CC28/1000000</f>
        <v>5</v>
      </c>
      <c r="CJ31" s="154"/>
      <c r="CK31" s="155">
        <f t="shared" si="44"/>
        <v>20</v>
      </c>
      <c r="CL31" s="156">
        <f t="shared" si="45"/>
        <v>20.463382076809623</v>
      </c>
      <c r="CP31" s="111" t="s">
        <v>174</v>
      </c>
      <c r="CQ31" s="111" t="s">
        <v>175</v>
      </c>
      <c r="CR31" s="111" t="s">
        <v>176</v>
      </c>
      <c r="CS31" s="111" t="s">
        <v>177</v>
      </c>
      <c r="CT31" s="111" t="s">
        <v>178</v>
      </c>
      <c r="CU31" s="111" t="s">
        <v>179</v>
      </c>
      <c r="CV31" s="111" t="s">
        <v>180</v>
      </c>
      <c r="CX31" s="153" t="s">
        <v>76</v>
      </c>
      <c r="CY31" s="155">
        <f ca="1">CS28/1000000</f>
        <v>40</v>
      </c>
      <c r="CZ31" s="154"/>
      <c r="DA31" s="155">
        <f t="shared" si="46"/>
        <v>12</v>
      </c>
      <c r="DB31" s="156" t="e">
        <f t="shared" si="47"/>
        <v>#DIV/0!</v>
      </c>
      <c r="DF31" s="111" t="s">
        <v>174</v>
      </c>
      <c r="DG31" s="111" t="s">
        <v>175</v>
      </c>
      <c r="DH31" s="111" t="s">
        <v>176</v>
      </c>
      <c r="DI31" s="111" t="s">
        <v>177</v>
      </c>
      <c r="DJ31" s="111" t="s">
        <v>178</v>
      </c>
      <c r="DK31" s="111" t="s">
        <v>179</v>
      </c>
      <c r="DL31" s="111" t="s">
        <v>180</v>
      </c>
      <c r="DN31" s="153" t="s">
        <v>76</v>
      </c>
      <c r="DO31" s="155">
        <f ca="1">DI28/1000000</f>
        <v>40</v>
      </c>
      <c r="DP31" s="154"/>
      <c r="DQ31" s="154"/>
      <c r="DR31" s="155">
        <f t="shared" si="48"/>
        <v>10</v>
      </c>
      <c r="DS31" s="154"/>
      <c r="DT31" s="154"/>
      <c r="DU31" s="156">
        <f t="shared" si="49"/>
        <v>16.455899172402493</v>
      </c>
      <c r="DY31" s="111" t="s">
        <v>174</v>
      </c>
      <c r="DZ31" s="111" t="s">
        <v>175</v>
      </c>
      <c r="EA31" s="111" t="s">
        <v>176</v>
      </c>
      <c r="EB31" s="111" t="s">
        <v>177</v>
      </c>
      <c r="EC31" s="111" t="s">
        <v>178</v>
      </c>
      <c r="ED31" s="111" t="s">
        <v>179</v>
      </c>
      <c r="EE31" s="111" t="s">
        <v>180</v>
      </c>
      <c r="EG31" s="153" t="s">
        <v>169</v>
      </c>
      <c r="EH31" s="165">
        <f>DZ29</f>
        <v>0.85</v>
      </c>
      <c r="EI31" s="154"/>
      <c r="EJ31" s="154"/>
      <c r="EK31" s="155">
        <f t="shared" si="40"/>
        <v>10</v>
      </c>
      <c r="EL31" s="154"/>
      <c r="EM31" s="154"/>
      <c r="EN31" s="156">
        <f t="shared" si="41"/>
        <v>14.721024651720747</v>
      </c>
    </row>
    <row r="32" spans="2:155" x14ac:dyDescent="0.2">
      <c r="B32" s="86"/>
      <c r="C32" s="86"/>
      <c r="D32" s="86"/>
      <c r="F32" s="86" t="s">
        <v>195</v>
      </c>
      <c r="G32" s="131">
        <f t="shared" si="34"/>
        <v>45474</v>
      </c>
      <c r="H32" s="131">
        <f t="shared" si="35"/>
        <v>45657</v>
      </c>
      <c r="J32" s="86" t="str" cm="1">
        <f t="array" ref="J32">LOOKUP(2,1/($G$17:$G$33&lt;=$L32)/($H$17:$H$33&gt;=$L32),$F$17:$F$33)</f>
        <v>1H24</v>
      </c>
      <c r="K32" s="86" t="str" cm="1">
        <f t="array" ref="K32">LOOKUP(2,1/($G$6:$G$14&lt;=$L32)/($H$6:$H$14&gt;=$L32),$F$6:$F$14)</f>
        <v>FY24</v>
      </c>
      <c r="L32" s="118">
        <v>45279</v>
      </c>
      <c r="M32" s="49">
        <v>68443644.721644714</v>
      </c>
      <c r="N32" s="49">
        <v>99920876.929129124</v>
      </c>
      <c r="O32" s="50">
        <v>70000000</v>
      </c>
      <c r="P32" s="119" cm="1">
        <f t="array" ref="P32">LOOKUP(2,1/($B$10:$B$14&lt;=$L32)/($C$10:$C$14&gt;=$L32),$D$10:$D$14)</f>
        <v>1.1000000000000001</v>
      </c>
      <c r="Q32" s="120" cm="1">
        <f t="array" ref="Q32">LOOKUP(2,1/($B$17:$B$21&lt;=$L32)/($C$17:$C$21&gt;=$L32),$D$17:$D$21)</f>
        <v>134.49039999999999</v>
      </c>
      <c r="R32" s="113" t="str">
        <f t="shared" si="3"/>
        <v/>
      </c>
      <c r="S32" s="113" t="str">
        <f t="shared" si="4"/>
        <v>1H24</v>
      </c>
      <c r="T32" s="113" t="str">
        <f t="shared" ca="1" si="5"/>
        <v/>
      </c>
      <c r="U32" s="113" t="str">
        <f t="shared" si="6"/>
        <v/>
      </c>
      <c r="V32" s="113" t="str">
        <f t="shared" si="0"/>
        <v>FY24</v>
      </c>
      <c r="W32" s="113" t="str">
        <f t="shared" ca="1" si="33"/>
        <v/>
      </c>
      <c r="X32" s="50"/>
      <c r="Y32" s="146">
        <v>1</v>
      </c>
      <c r="Z32" s="166">
        <v>2000000</v>
      </c>
      <c r="AA32" s="167">
        <f t="shared" ref="AA32:AA40" si="50">AVERAGEIFS($M:$M,$L:$L,"&gt;="&amp;Z$25,$L:$L,"&lt;="&amp;AB$25,$O:$O,"="&amp;Z32)*AB$30</f>
        <v>7697209.6406543311</v>
      </c>
      <c r="AB32" s="168"/>
      <c r="AC32" s="145">
        <v>7253000</v>
      </c>
      <c r="AD32" s="168"/>
      <c r="AE32" s="167">
        <f t="shared" ref="AE32:AE40" si="51">COUNTIFS($L:$L,"&gt;="&amp;Z$25,$L:$L,"&lt;="&amp;AB$25,$O:$O,"="&amp;Z32)</f>
        <v>11</v>
      </c>
      <c r="AF32" s="167"/>
      <c r="AH32" s="153" t="s">
        <v>149</v>
      </c>
      <c r="AI32" s="169">
        <f>AB29</f>
        <v>9.2999999999999999E-2</v>
      </c>
      <c r="AJ32" s="154"/>
      <c r="AK32" s="154"/>
      <c r="AL32" s="155">
        <f t="shared" si="36"/>
        <v>15</v>
      </c>
      <c r="AM32" s="154"/>
      <c r="AN32" s="154"/>
      <c r="AO32" s="156">
        <f t="shared" si="37"/>
        <v>17.353265311139207</v>
      </c>
      <c r="AR32" s="50"/>
      <c r="AS32" s="146">
        <v>1</v>
      </c>
      <c r="AT32" s="166">
        <v>3000000</v>
      </c>
      <c r="AU32" s="146">
        <v>14795254.451882668</v>
      </c>
      <c r="AV32" s="168"/>
      <c r="AW32" s="167"/>
      <c r="AY32" s="153" t="s">
        <v>169</v>
      </c>
      <c r="AZ32" s="165">
        <f>AT29</f>
        <v>1.1000000000000001</v>
      </c>
      <c r="BA32" s="154"/>
      <c r="BB32" s="155">
        <f t="shared" si="42"/>
        <v>20</v>
      </c>
      <c r="BC32" s="156">
        <f t="shared" si="43"/>
        <v>31.121410374912003</v>
      </c>
      <c r="BF32" s="50"/>
      <c r="BG32" s="146">
        <v>1</v>
      </c>
      <c r="BH32" s="166">
        <v>4000000</v>
      </c>
      <c r="BI32" s="167" t="e">
        <f t="shared" ref="BI32:BI37" si="52">AVERAGEIFS($M:$M,$L:$L,"&gt;="&amp;BH$25,$L:$L,"&lt;="&amp;BJ$25,$O:$O,"="&amp;BH32)</f>
        <v>#DIV/0!</v>
      </c>
      <c r="BJ32" s="168"/>
      <c r="BK32" s="168"/>
      <c r="BL32" s="168"/>
      <c r="BM32" s="167">
        <f t="shared" ref="BM32:BM38" si="53">COUNTIFS($L:$L,"&gt;="&amp;BH$25,$L:$L,"&lt;="&amp;BJ$25,$O:$O,"="&amp;BH32)</f>
        <v>0</v>
      </c>
      <c r="BO32" s="153" t="s">
        <v>149</v>
      </c>
      <c r="BP32" s="169">
        <f>BJ29</f>
        <v>0.10299999999999999</v>
      </c>
      <c r="BQ32" s="154"/>
      <c r="BR32" s="154"/>
      <c r="BS32" s="155">
        <f t="shared" si="38"/>
        <v>40</v>
      </c>
      <c r="BT32" s="154"/>
      <c r="BU32" s="154"/>
      <c r="BV32" s="156" t="e">
        <f t="shared" si="39"/>
        <v>#DIV/0!</v>
      </c>
      <c r="BY32" s="50"/>
      <c r="BZ32" s="146">
        <v>1</v>
      </c>
      <c r="CA32" s="166">
        <v>4000000</v>
      </c>
      <c r="CB32" s="167" t="e">
        <f t="shared" ref="CB32:CB37" si="54">AVERAGEIFS($M:$M,$L:$L,"&gt;="&amp;CA$25,$L:$L,"&lt;="&amp;CC$25,$O:$O,"="&amp;CA32)</f>
        <v>#DIV/0!</v>
      </c>
      <c r="CC32" s="168"/>
      <c r="CD32" s="168"/>
      <c r="CE32" s="168"/>
      <c r="CF32" s="167">
        <f t="shared" ref="CF32:CF38" si="55">COUNTIFS($L:$L,"&gt;="&amp;CA$25,$L:$L,"&lt;="&amp;CC$25,$O:$O,"="&amp;CA32)</f>
        <v>0</v>
      </c>
      <c r="CH32" s="153" t="s">
        <v>169</v>
      </c>
      <c r="CI32" s="165">
        <f>CA29</f>
        <v>1.1000000000000001</v>
      </c>
      <c r="CJ32" s="154"/>
      <c r="CK32" s="155">
        <f t="shared" si="44"/>
        <v>40</v>
      </c>
      <c r="CL32" s="156" t="e">
        <f t="shared" si="45"/>
        <v>#DIV/0!</v>
      </c>
      <c r="CO32" s="50"/>
      <c r="CP32" s="146">
        <v>1</v>
      </c>
      <c r="CQ32" s="166">
        <v>3000000</v>
      </c>
      <c r="CR32" s="168" t="e">
        <f t="shared" ref="CR32:CR38" si="56">AVERAGEIFS($M:$M,$L:$L,"&gt;="&amp;CQ$25,$L:$L,"&lt;="&amp;CS$25,$O:$O,"="&amp;CQ32)</f>
        <v>#DIV/0!</v>
      </c>
      <c r="CS32" s="168"/>
      <c r="CT32" s="168"/>
      <c r="CU32" s="168"/>
      <c r="CV32" s="167">
        <f t="shared" ref="CV32:CV38" si="57">COUNTIFS($L:$L,"&gt;="&amp;CQ$25,$L:$L,"&lt;="&amp;CS$25,$O:$O,"="&amp;CQ32)</f>
        <v>0</v>
      </c>
      <c r="CX32" s="153" t="s">
        <v>169</v>
      </c>
      <c r="CY32" s="165">
        <f>CQ29</f>
        <v>1.1000000000000001</v>
      </c>
      <c r="CZ32" s="154"/>
      <c r="DA32" s="155">
        <f t="shared" si="46"/>
        <v>20</v>
      </c>
      <c r="DB32" s="156" t="e">
        <f t="shared" si="47"/>
        <v>#DIV/0!</v>
      </c>
      <c r="DE32" s="50"/>
      <c r="DF32" s="146">
        <v>1</v>
      </c>
      <c r="DG32" s="166">
        <v>3000000</v>
      </c>
      <c r="DH32" s="168" t="e">
        <f t="shared" ref="DH32:DH37" si="58">AVERAGEIFS($M:$M,$L:$L,"&gt;="&amp;DG$25,$L:$L,"&lt;="&amp;DI$25,$O:$O,"="&amp;DG32)</f>
        <v>#DIV/0!</v>
      </c>
      <c r="DI32" s="168"/>
      <c r="DJ32" s="168"/>
      <c r="DK32" s="168"/>
      <c r="DL32" s="167">
        <f t="shared" ref="DL32:DL37" si="59">COUNTIFS($L:$L,"&gt;="&amp;DG$25,$L:$L,"&lt;="&amp;DI$25,$O:$O,"="&amp;DG32)</f>
        <v>0</v>
      </c>
      <c r="DN32" s="153" t="s">
        <v>169</v>
      </c>
      <c r="DO32" s="165">
        <f>DG29</f>
        <v>0.85</v>
      </c>
      <c r="DP32" s="154"/>
      <c r="DQ32" s="154"/>
      <c r="DR32" s="155">
        <f t="shared" si="48"/>
        <v>15</v>
      </c>
      <c r="DS32" s="154"/>
      <c r="DT32" s="154"/>
      <c r="DU32" s="156">
        <f t="shared" si="49"/>
        <v>19.945756391347103</v>
      </c>
      <c r="DX32" s="50"/>
      <c r="DY32" s="146">
        <v>1</v>
      </c>
      <c r="DZ32" s="166">
        <v>3000000</v>
      </c>
      <c r="EA32" s="168" t="e">
        <f t="shared" ref="EA32:EA38" si="60">AVERAGEIFS($M:$M,$L:$L,"&gt;="&amp;DZ$25,$L:$L,"&lt;="&amp;EB$25,$O:$O,"="&amp;DZ32)*EB$30</f>
        <v>#DIV/0!</v>
      </c>
      <c r="EB32" s="168"/>
      <c r="EC32" s="168"/>
      <c r="ED32" s="168"/>
      <c r="EE32" s="167">
        <f t="shared" ref="EE32:EE38" si="61">COUNTIFS($L:$L,"&gt;="&amp;DZ$25,$L:$L,"&lt;="&amp;EB$25,$O:$O,"="&amp;DZ32)</f>
        <v>0</v>
      </c>
      <c r="EG32" s="153" t="s">
        <v>149</v>
      </c>
      <c r="EH32" s="169">
        <f>EB29</f>
        <v>9.2999999999999999E-2</v>
      </c>
      <c r="EI32" s="154"/>
      <c r="EJ32" s="154"/>
      <c r="EK32" s="155">
        <f t="shared" si="40"/>
        <v>15</v>
      </c>
      <c r="EL32" s="154"/>
      <c r="EM32" s="154"/>
      <c r="EN32" s="156">
        <f t="shared" si="41"/>
        <v>18.068154627335304</v>
      </c>
    </row>
    <row r="33" spans="6:144" x14ac:dyDescent="0.2">
      <c r="F33" s="86" t="s">
        <v>196</v>
      </c>
      <c r="G33" s="131">
        <f t="shared" si="34"/>
        <v>45658</v>
      </c>
      <c r="H33" s="131">
        <f t="shared" si="35"/>
        <v>45838</v>
      </c>
      <c r="J33" s="86" t="str" cm="1">
        <f t="array" ref="J33">LOOKUP(2,1/($G$17:$G$33&lt;=$L33)/($H$17:$H$33&gt;=$L33),$F$17:$F$33)</f>
        <v>1H24</v>
      </c>
      <c r="K33" s="86" t="str" cm="1">
        <f t="array" ref="K33">LOOKUP(2,1/($G$6:$G$14&lt;=$L33)/($H$6:$H$14&gt;=$L33),$F$6:$F$14)</f>
        <v>FY24</v>
      </c>
      <c r="L33" s="118">
        <v>45272</v>
      </c>
      <c r="M33" s="49">
        <v>40500575.652575649</v>
      </c>
      <c r="N33" s="49">
        <v>59126790.395195186</v>
      </c>
      <c r="O33" s="50">
        <v>50000000</v>
      </c>
      <c r="P33" s="119" cm="1">
        <f t="array" ref="P33">LOOKUP(2,1/($B$10:$B$14&lt;=$L33)/($C$10:$C$14&gt;=$L33),$D$10:$D$14)</f>
        <v>1.1000000000000001</v>
      </c>
      <c r="Q33" s="120" cm="1">
        <f t="array" ref="Q33">LOOKUP(2,1/($B$17:$B$21&lt;=$L33)/($C$17:$C$21&gt;=$L33),$D$17:$D$21)</f>
        <v>134.49039999999999</v>
      </c>
      <c r="R33" s="113" t="str">
        <f t="shared" si="3"/>
        <v/>
      </c>
      <c r="S33" s="113" t="str">
        <f t="shared" si="4"/>
        <v>1H24</v>
      </c>
      <c r="T33" s="113" t="str">
        <f t="shared" ca="1" si="5"/>
        <v/>
      </c>
      <c r="U33" s="113" t="str">
        <f t="shared" si="6"/>
        <v/>
      </c>
      <c r="V33" s="113" t="str">
        <f t="shared" si="0"/>
        <v>FY24</v>
      </c>
      <c r="W33" s="113" t="str">
        <f t="shared" ref="W33:W77" ca="1" si="62">IF(AND(V33&lt;&gt;V32,ISNUMBER(MATCH($V32,$F$6:$F$14,0))),OFFSET($F$5,MATCH($K33,$F$6:$F$14,0)+1,0),"")</f>
        <v/>
      </c>
      <c r="X33" s="50"/>
      <c r="Y33" s="146">
        <v>2</v>
      </c>
      <c r="Z33" s="166">
        <v>5000000</v>
      </c>
      <c r="AA33" s="167">
        <f t="shared" si="50"/>
        <v>10182766.292472415</v>
      </c>
      <c r="AC33" s="145">
        <v>9603800</v>
      </c>
      <c r="AE33" s="167">
        <f t="shared" si="51"/>
        <v>9</v>
      </c>
      <c r="AF33" s="167"/>
      <c r="AH33" s="153" t="s">
        <v>172</v>
      </c>
      <c r="AI33" s="170">
        <f>Z30</f>
        <v>134.49039999999999</v>
      </c>
      <c r="AJ33" s="154"/>
      <c r="AK33" s="154"/>
      <c r="AL33" s="155">
        <f t="shared" si="36"/>
        <v>30</v>
      </c>
      <c r="AM33" s="154"/>
      <c r="AN33" s="154"/>
      <c r="AO33" s="156">
        <f t="shared" si="37"/>
        <v>26.116733191986238</v>
      </c>
      <c r="AR33" s="50"/>
      <c r="AS33" s="146">
        <v>2</v>
      </c>
      <c r="AT33" s="166">
        <v>8000000</v>
      </c>
      <c r="AU33" s="146">
        <v>19901707.782528002</v>
      </c>
      <c r="AW33" s="167"/>
      <c r="AY33" s="153" t="s">
        <v>149</v>
      </c>
      <c r="AZ33" s="169">
        <f>AV29</f>
        <v>0.10299999999999999</v>
      </c>
      <c r="BA33" s="154"/>
      <c r="BB33" s="155">
        <f t="shared" si="42"/>
        <v>40</v>
      </c>
      <c r="BC33" s="156">
        <f t="shared" si="43"/>
        <v>46.781737736448008</v>
      </c>
      <c r="BF33" s="50"/>
      <c r="BG33" s="146">
        <v>2</v>
      </c>
      <c r="BH33" s="166">
        <v>8000000</v>
      </c>
      <c r="BI33" s="167" t="e">
        <f t="shared" si="52"/>
        <v>#DIV/0!</v>
      </c>
      <c r="BM33" s="167">
        <f t="shared" si="53"/>
        <v>0</v>
      </c>
      <c r="BO33" s="153" t="s">
        <v>172</v>
      </c>
      <c r="BP33" s="170">
        <f>BH30</f>
        <v>134.49039999999999</v>
      </c>
      <c r="BQ33" s="154"/>
      <c r="BR33" s="154"/>
      <c r="BS33" s="155">
        <f t="shared" si="38"/>
        <v>60</v>
      </c>
      <c r="BT33" s="154"/>
      <c r="BU33" s="154"/>
      <c r="BV33" s="156" t="e">
        <f t="shared" si="39"/>
        <v>#DIV/0!</v>
      </c>
      <c r="BY33" s="50"/>
      <c r="BZ33" s="146">
        <v>2</v>
      </c>
      <c r="CA33" s="166">
        <v>8000000</v>
      </c>
      <c r="CB33" s="167" t="e">
        <f t="shared" si="54"/>
        <v>#DIV/0!</v>
      </c>
      <c r="CF33" s="167">
        <f t="shared" si="55"/>
        <v>0</v>
      </c>
      <c r="CH33" s="153" t="s">
        <v>149</v>
      </c>
      <c r="CI33" s="169">
        <f>CC29</f>
        <v>0.10299999999999999</v>
      </c>
      <c r="CJ33" s="154"/>
      <c r="CK33" s="155">
        <f t="shared" si="44"/>
        <v>60</v>
      </c>
      <c r="CL33" s="156" t="e">
        <f t="shared" si="45"/>
        <v>#DIV/0!</v>
      </c>
      <c r="CO33" s="50"/>
      <c r="CP33" s="146">
        <v>2</v>
      </c>
      <c r="CQ33" s="166">
        <v>8000000</v>
      </c>
      <c r="CR33" s="168" t="e">
        <f t="shared" si="56"/>
        <v>#DIV/0!</v>
      </c>
      <c r="CV33" s="167">
        <f t="shared" si="57"/>
        <v>0</v>
      </c>
      <c r="CX33" s="153" t="s">
        <v>149</v>
      </c>
      <c r="CY33" s="169">
        <f>CS29</f>
        <v>9.2999999999999999E-2</v>
      </c>
      <c r="CZ33" s="154"/>
      <c r="DA33" s="155">
        <f t="shared" si="46"/>
        <v>30</v>
      </c>
      <c r="DB33" s="156" t="e">
        <f t="shared" si="47"/>
        <v>#DIV/0!</v>
      </c>
      <c r="DE33" s="50"/>
      <c r="DF33" s="146">
        <v>2</v>
      </c>
      <c r="DG33" s="166">
        <v>6000000</v>
      </c>
      <c r="DH33" s="168" t="e">
        <f t="shared" si="58"/>
        <v>#DIV/0!</v>
      </c>
      <c r="DL33" s="167">
        <f t="shared" si="59"/>
        <v>0</v>
      </c>
      <c r="DN33" s="153" t="s">
        <v>149</v>
      </c>
      <c r="DO33" s="169">
        <f>DI29</f>
        <v>9.2999999999999999E-2</v>
      </c>
      <c r="DP33" s="154"/>
      <c r="DQ33" s="154"/>
      <c r="DR33" s="155">
        <f t="shared" si="48"/>
        <v>30</v>
      </c>
      <c r="DS33" s="154"/>
      <c r="DT33" s="154"/>
      <c r="DU33" s="156">
        <f t="shared" si="49"/>
        <v>29.082690634218295</v>
      </c>
      <c r="DX33" s="50"/>
      <c r="DY33" s="146">
        <v>2</v>
      </c>
      <c r="DZ33" s="166">
        <v>6000000</v>
      </c>
      <c r="EA33" s="168" t="e">
        <f t="shared" si="60"/>
        <v>#DIV/0!</v>
      </c>
      <c r="EE33" s="167">
        <f t="shared" si="61"/>
        <v>0</v>
      </c>
      <c r="EG33" s="153" t="s">
        <v>172</v>
      </c>
      <c r="EH33" s="170">
        <f>DZ30</f>
        <v>76.767600000000002</v>
      </c>
      <c r="EI33" s="154"/>
      <c r="EJ33" s="154"/>
      <c r="EK33" s="155">
        <f t="shared" si="40"/>
        <v>25</v>
      </c>
      <c r="EL33" s="154"/>
      <c r="EM33" s="154"/>
      <c r="EN33" s="156" t="e">
        <f t="shared" si="41"/>
        <v>#DIV/0!</v>
      </c>
    </row>
    <row r="34" spans="6:144" x14ac:dyDescent="0.25">
      <c r="F34" s="86"/>
      <c r="G34" s="86"/>
      <c r="H34" s="86"/>
      <c r="J34" s="86" t="str" cm="1">
        <f t="array" ref="J34">LOOKUP(2,1/($G$17:$G$33&lt;=$L34)/($H$17:$H$33&gt;=$L34),$F$17:$F$33)</f>
        <v>1H24</v>
      </c>
      <c r="K34" s="86" t="str" cm="1">
        <f t="array" ref="K34">LOOKUP(2,1/($G$6:$G$14&lt;=$L34)/($H$6:$H$14&gt;=$L34),$F$6:$F$14)</f>
        <v>FY24</v>
      </c>
      <c r="L34" s="118">
        <v>45265</v>
      </c>
      <c r="M34" s="49">
        <v>32184130.399630401</v>
      </c>
      <c r="N34" s="49">
        <v>46985611.97042042</v>
      </c>
      <c r="O34" s="50">
        <v>40000000</v>
      </c>
      <c r="P34" s="119" cm="1">
        <f t="array" ref="P34">LOOKUP(2,1/($B$10:$B$14&lt;=$L34)/($C$10:$C$14&gt;=$L34),$D$10:$D$14)</f>
        <v>1.1000000000000001</v>
      </c>
      <c r="Q34" s="120" cm="1">
        <f t="array" ref="Q34">LOOKUP(2,1/($B$17:$B$21&lt;=$L34)/($C$17:$C$21&gt;=$L34),$D$17:$D$21)</f>
        <v>134.49039999999999</v>
      </c>
      <c r="R34" s="113" t="str">
        <f t="shared" si="3"/>
        <v/>
      </c>
      <c r="S34" s="113" t="str">
        <f t="shared" si="4"/>
        <v>1H24</v>
      </c>
      <c r="T34" s="113" t="str">
        <f t="shared" ca="1" si="5"/>
        <v/>
      </c>
      <c r="U34" s="113" t="str">
        <f t="shared" si="6"/>
        <v/>
      </c>
      <c r="V34" s="113" t="str">
        <f t="shared" si="0"/>
        <v>FY24</v>
      </c>
      <c r="W34" s="113" t="str">
        <f t="shared" ca="1" si="62"/>
        <v/>
      </c>
      <c r="X34" s="50"/>
      <c r="Y34" s="146">
        <v>3</v>
      </c>
      <c r="Z34" s="166">
        <v>10000000</v>
      </c>
      <c r="AA34" s="167">
        <f t="shared" si="50"/>
        <v>14226903.257128811</v>
      </c>
      <c r="AC34" s="145">
        <v>13521799.999999998</v>
      </c>
      <c r="AE34" s="167">
        <f t="shared" si="51"/>
        <v>10</v>
      </c>
      <c r="AF34" s="167"/>
      <c r="AH34" s="171"/>
      <c r="AJ34" s="154"/>
      <c r="AK34" s="154"/>
      <c r="AL34" s="155">
        <f t="shared" si="36"/>
        <v>40</v>
      </c>
      <c r="AM34" s="154"/>
      <c r="AN34" s="154"/>
      <c r="AO34" s="156">
        <f t="shared" si="37"/>
        <v>31.951974106850219</v>
      </c>
      <c r="AR34" s="50"/>
      <c r="AS34" s="146">
        <v>3</v>
      </c>
      <c r="AT34" s="166">
        <v>12000000</v>
      </c>
      <c r="AU34" s="146">
        <v>25095285.017088003</v>
      </c>
      <c r="AW34" s="167"/>
      <c r="AY34" s="153" t="s">
        <v>172</v>
      </c>
      <c r="AZ34" s="170">
        <f>AT30</f>
        <v>134.49039999999999</v>
      </c>
      <c r="BA34" s="154"/>
      <c r="BB34" s="155">
        <f t="shared" si="42"/>
        <v>60</v>
      </c>
      <c r="BC34" s="156">
        <f t="shared" si="43"/>
        <v>78.03362671104</v>
      </c>
      <c r="BF34" s="50"/>
      <c r="BG34" s="146">
        <v>3</v>
      </c>
      <c r="BH34" s="166">
        <v>20000000</v>
      </c>
      <c r="BI34" s="167">
        <f t="shared" si="52"/>
        <v>20463382.076809622</v>
      </c>
      <c r="BM34" s="167">
        <f t="shared" si="53"/>
        <v>4</v>
      </c>
      <c r="BO34" s="171"/>
      <c r="BQ34" s="154"/>
      <c r="BR34" s="154"/>
      <c r="BS34" s="155">
        <f t="shared" si="38"/>
        <v>80</v>
      </c>
      <c r="BT34" s="154"/>
      <c r="BU34" s="154"/>
      <c r="BV34" s="156" t="e">
        <f t="shared" si="39"/>
        <v>#DIV/0!</v>
      </c>
      <c r="BY34" s="50"/>
      <c r="BZ34" s="146">
        <v>3</v>
      </c>
      <c r="CA34" s="166">
        <v>20000000</v>
      </c>
      <c r="CB34" s="167">
        <f t="shared" si="54"/>
        <v>20463382.076809622</v>
      </c>
      <c r="CF34" s="167">
        <f t="shared" si="55"/>
        <v>4</v>
      </c>
      <c r="CH34" s="153" t="s">
        <v>172</v>
      </c>
      <c r="CI34" s="170">
        <f>CA30</f>
        <v>134.49039999999999</v>
      </c>
      <c r="CJ34" s="154"/>
      <c r="CK34" s="155">
        <f t="shared" si="44"/>
        <v>80</v>
      </c>
      <c r="CL34" s="156" t="e">
        <f t="shared" si="45"/>
        <v>#DIV/0!</v>
      </c>
      <c r="CO34" s="50"/>
      <c r="CP34" s="146">
        <v>3</v>
      </c>
      <c r="CQ34" s="166">
        <v>12000000</v>
      </c>
      <c r="CR34" s="168" t="e">
        <f t="shared" si="56"/>
        <v>#DIV/0!</v>
      </c>
      <c r="CV34" s="167">
        <f t="shared" si="57"/>
        <v>0</v>
      </c>
      <c r="CX34" s="153" t="s">
        <v>172</v>
      </c>
      <c r="CY34" s="170">
        <f>CQ30</f>
        <v>134.49039999999999</v>
      </c>
      <c r="CZ34" s="154"/>
      <c r="DA34" s="155">
        <f t="shared" si="46"/>
        <v>40</v>
      </c>
      <c r="DB34" s="156" t="e">
        <f t="shared" si="47"/>
        <v>#DIV/0!</v>
      </c>
      <c r="DE34" s="50"/>
      <c r="DF34" s="146">
        <v>3</v>
      </c>
      <c r="DG34" s="166">
        <v>10000000</v>
      </c>
      <c r="DH34" s="168">
        <f t="shared" si="58"/>
        <v>16455899.172402494</v>
      </c>
      <c r="DL34" s="167">
        <f t="shared" si="59"/>
        <v>3</v>
      </c>
      <c r="DN34" s="153" t="s">
        <v>172</v>
      </c>
      <c r="DO34" s="170">
        <f>DG30</f>
        <v>76.767600000000002</v>
      </c>
      <c r="DP34" s="154"/>
      <c r="DQ34" s="154"/>
      <c r="DR34" s="155">
        <f t="shared" si="48"/>
        <v>40</v>
      </c>
      <c r="DS34" s="154"/>
      <c r="DT34" s="154"/>
      <c r="DU34" s="156">
        <f t="shared" si="49"/>
        <v>37.889141838741409</v>
      </c>
      <c r="DX34" s="50"/>
      <c r="DY34" s="146">
        <v>3</v>
      </c>
      <c r="DZ34" s="166">
        <v>10000000</v>
      </c>
      <c r="EA34" s="168">
        <f t="shared" si="60"/>
        <v>14721024.651720747</v>
      </c>
      <c r="EE34" s="167">
        <f t="shared" si="61"/>
        <v>10</v>
      </c>
      <c r="EG34" s="171"/>
      <c r="EI34" s="154"/>
      <c r="EJ34" s="154"/>
      <c r="EK34" s="155">
        <f t="shared" si="40"/>
        <v>35</v>
      </c>
      <c r="EL34" s="154"/>
      <c r="EM34" s="154"/>
      <c r="EN34" s="156" t="e">
        <f t="shared" si="41"/>
        <v>#DIV/0!</v>
      </c>
    </row>
    <row r="35" spans="6:144" x14ac:dyDescent="0.2">
      <c r="F35" s="195" t="s">
        <v>197</v>
      </c>
      <c r="G35" s="117"/>
      <c r="H35" s="117"/>
      <c r="J35" s="86" t="str" cm="1">
        <f t="array" ref="J35">LOOKUP(2,1/($G$17:$G$33&lt;=$L35)/($H$17:$H$33&gt;=$L35),$F$17:$F$33)</f>
        <v>1H24</v>
      </c>
      <c r="K35" s="86" t="str" cm="1">
        <f t="array" ref="K35">LOOKUP(2,1/($G$6:$G$14&lt;=$L35)/($H$6:$H$14&gt;=$L35),$F$6:$F$14)</f>
        <v>FY24</v>
      </c>
      <c r="L35" s="118">
        <v>45258</v>
      </c>
      <c r="M35" s="49">
        <v>26490850.080850083</v>
      </c>
      <c r="N35" s="49">
        <v>38673992.033033036</v>
      </c>
      <c r="O35" s="50">
        <v>30000000</v>
      </c>
      <c r="P35" s="119" cm="1">
        <f t="array" ref="P35">LOOKUP(2,1/($B$10:$B$14&lt;=$L35)/($C$10:$C$14&gt;=$L35),$D$10:$D$14)</f>
        <v>1.1000000000000001</v>
      </c>
      <c r="Q35" s="120" cm="1">
        <f t="array" ref="Q35">LOOKUP(2,1/($B$17:$B$21&lt;=$L35)/($C$17:$C$21&gt;=$L35),$D$17:$D$21)</f>
        <v>134.49039999999999</v>
      </c>
      <c r="R35" s="113" t="str">
        <f t="shared" si="3"/>
        <v/>
      </c>
      <c r="S35" s="113" t="str">
        <f t="shared" si="4"/>
        <v>1H24</v>
      </c>
      <c r="T35" s="113" t="str">
        <f t="shared" ca="1" si="5"/>
        <v/>
      </c>
      <c r="U35" s="113" t="str">
        <f t="shared" si="6"/>
        <v/>
      </c>
      <c r="V35" s="113" t="str">
        <f t="shared" si="0"/>
        <v>FY24</v>
      </c>
      <c r="W35" s="113" t="str">
        <f t="shared" ca="1" si="62"/>
        <v/>
      </c>
      <c r="X35" s="50"/>
      <c r="Y35" s="146">
        <v>4</v>
      </c>
      <c r="Z35" s="166">
        <v>15000000</v>
      </c>
      <c r="AA35" s="167">
        <f t="shared" si="50"/>
        <v>17353265.311139207</v>
      </c>
      <c r="AC35" s="145">
        <v>17439800</v>
      </c>
      <c r="AE35" s="167">
        <f t="shared" si="51"/>
        <v>7</v>
      </c>
      <c r="AF35" s="167"/>
      <c r="AH35" s="153" t="s">
        <v>91</v>
      </c>
      <c r="AI35" s="155" t="e">
        <f>Z28/1000000</f>
        <v>#N/A</v>
      </c>
      <c r="AJ35" s="154"/>
      <c r="AK35" s="154"/>
      <c r="AL35" s="155">
        <f t="shared" si="36"/>
        <v>50</v>
      </c>
      <c r="AM35" s="154"/>
      <c r="AN35" s="154"/>
      <c r="AO35" s="156">
        <f t="shared" si="37"/>
        <v>41.006778392330389</v>
      </c>
      <c r="AR35" s="50"/>
      <c r="AS35" s="146">
        <v>4</v>
      </c>
      <c r="AT35" s="166">
        <v>20000000</v>
      </c>
      <c r="AU35" s="146">
        <v>31121410.374912001</v>
      </c>
      <c r="AW35" s="167"/>
      <c r="AY35" s="172"/>
      <c r="AZ35" s="2"/>
      <c r="BA35" s="154"/>
      <c r="BB35" s="155">
        <f t="shared" si="42"/>
        <v>80</v>
      </c>
      <c r="BC35" s="156">
        <f t="shared" si="43"/>
        <v>112.66929163776001</v>
      </c>
      <c r="BF35" s="50"/>
      <c r="BG35" s="146">
        <v>4</v>
      </c>
      <c r="BH35" s="166">
        <v>40000000</v>
      </c>
      <c r="BI35" s="167" t="e">
        <f t="shared" si="52"/>
        <v>#DIV/0!</v>
      </c>
      <c r="BM35" s="167">
        <f t="shared" si="53"/>
        <v>0</v>
      </c>
      <c r="BO35" s="153" t="s">
        <v>91</v>
      </c>
      <c r="BP35" s="155">
        <f>BH28/1000000</f>
        <v>30</v>
      </c>
      <c r="BQ35" s="154"/>
      <c r="BR35" s="154"/>
      <c r="BS35" s="155">
        <f t="shared" si="38"/>
        <v>120</v>
      </c>
      <c r="BT35" s="154"/>
      <c r="BU35" s="154"/>
      <c r="BV35" s="156">
        <f t="shared" si="39"/>
        <v>226.12630409125558</v>
      </c>
      <c r="BY35" s="50"/>
      <c r="BZ35" s="146">
        <v>4</v>
      </c>
      <c r="CA35" s="166">
        <v>40000000</v>
      </c>
      <c r="CB35" s="167" t="e">
        <f t="shared" si="54"/>
        <v>#DIV/0!</v>
      </c>
      <c r="CF35" s="167">
        <f t="shared" si="55"/>
        <v>0</v>
      </c>
      <c r="CH35" s="172"/>
      <c r="CI35" s="2"/>
      <c r="CJ35" s="154"/>
      <c r="CK35" s="155">
        <f t="shared" si="44"/>
        <v>120</v>
      </c>
      <c r="CL35" s="156">
        <f t="shared" si="45"/>
        <v>226.126304091256</v>
      </c>
      <c r="CO35" s="50"/>
      <c r="CP35" s="146">
        <v>4</v>
      </c>
      <c r="CQ35" s="166">
        <v>20000000</v>
      </c>
      <c r="CR35" s="168" t="e">
        <f t="shared" si="56"/>
        <v>#DIV/0!</v>
      </c>
      <c r="CV35" s="167">
        <f t="shared" si="57"/>
        <v>0</v>
      </c>
      <c r="CX35" s="172"/>
      <c r="CY35" s="2"/>
      <c r="CZ35" s="154"/>
      <c r="DA35" s="155">
        <f t="shared" si="46"/>
        <v>50</v>
      </c>
      <c r="DB35" s="156" t="e">
        <f t="shared" si="47"/>
        <v>#DIV/0!</v>
      </c>
      <c r="DE35" s="50"/>
      <c r="DF35" s="146">
        <v>4</v>
      </c>
      <c r="DG35" s="166">
        <v>15000000</v>
      </c>
      <c r="DH35" s="168">
        <f t="shared" si="58"/>
        <v>19945756.391347103</v>
      </c>
      <c r="DL35" s="167">
        <f t="shared" si="59"/>
        <v>1</v>
      </c>
      <c r="DN35" s="172"/>
      <c r="DO35" s="2"/>
      <c r="DP35" s="154"/>
      <c r="DQ35" s="154"/>
      <c r="DR35" s="155">
        <f t="shared" si="48"/>
        <v>60</v>
      </c>
      <c r="DS35" s="154"/>
      <c r="DT35" s="154"/>
      <c r="DU35" s="156">
        <f t="shared" si="49"/>
        <v>98.957000000000008</v>
      </c>
      <c r="DX35" s="50"/>
      <c r="DY35" s="146">
        <v>4</v>
      </c>
      <c r="DZ35" s="166">
        <v>15000000</v>
      </c>
      <c r="EA35" s="168">
        <f t="shared" si="60"/>
        <v>18068154.627335303</v>
      </c>
      <c r="EE35" s="167">
        <f t="shared" si="61"/>
        <v>7</v>
      </c>
      <c r="EG35" s="153" t="s">
        <v>91</v>
      </c>
      <c r="EH35" s="155" t="e">
        <f>DZ28/1000000</f>
        <v>#N/A</v>
      </c>
      <c r="EI35" s="154"/>
      <c r="EJ35" s="154"/>
      <c r="EK35" s="155">
        <f t="shared" si="40"/>
        <v>55</v>
      </c>
      <c r="EL35" s="154"/>
      <c r="EM35" s="154"/>
      <c r="EN35" s="156" t="e">
        <f t="shared" si="41"/>
        <v>#DIV/0!</v>
      </c>
    </row>
    <row r="36" spans="6:144" x14ac:dyDescent="0.25">
      <c r="F36" s="86">
        <v>0</v>
      </c>
      <c r="G36" s="129">
        <v>42552</v>
      </c>
      <c r="H36" s="129">
        <v>43890</v>
      </c>
      <c r="J36" s="86" t="str" cm="1">
        <f t="array" ref="J36">LOOKUP(2,1/($G$17:$G$33&lt;=$L36)/($H$17:$H$33&gt;=$L36),$F$17:$F$33)</f>
        <v>1H24</v>
      </c>
      <c r="K36" s="86" t="str" cm="1">
        <f t="array" ref="K36">LOOKUP(2,1/($G$6:$G$14&lt;=$L36)/($H$6:$H$14&gt;=$L36),$F$6:$F$14)</f>
        <v>FY24</v>
      </c>
      <c r="L36" s="118">
        <v>45251</v>
      </c>
      <c r="M36" s="49">
        <v>19880151.651651651</v>
      </c>
      <c r="N36" s="49">
        <v>29023033.396246243</v>
      </c>
      <c r="O36" s="50">
        <v>20000000</v>
      </c>
      <c r="P36" s="119" cm="1">
        <f t="array" ref="P36">LOOKUP(2,1/($B$10:$B$14&lt;=$L36)/($C$10:$C$14&gt;=$L36),$D$10:$D$14)</f>
        <v>1.1000000000000001</v>
      </c>
      <c r="Q36" s="120" cm="1">
        <f t="array" ref="Q36">LOOKUP(2,1/($B$17:$B$21&lt;=$L36)/($C$17:$C$21&gt;=$L36),$D$17:$D$21)</f>
        <v>134.49039999999999</v>
      </c>
      <c r="R36" s="113" t="str">
        <f t="shared" si="3"/>
        <v/>
      </c>
      <c r="S36" s="113" t="str">
        <f t="shared" si="4"/>
        <v>1H24</v>
      </c>
      <c r="T36" s="113" t="str">
        <f t="shared" ca="1" si="5"/>
        <v/>
      </c>
      <c r="U36" s="113" t="str">
        <f t="shared" si="6"/>
        <v/>
      </c>
      <c r="V36" s="113" t="str">
        <f t="shared" si="0"/>
        <v>FY24</v>
      </c>
      <c r="W36" s="113" t="str">
        <f t="shared" ca="1" si="62"/>
        <v/>
      </c>
      <c r="X36" s="50"/>
      <c r="Y36" s="146">
        <v>5</v>
      </c>
      <c r="Z36" s="166">
        <v>30000000</v>
      </c>
      <c r="AA36" s="167">
        <f t="shared" si="50"/>
        <v>26116733.191986237</v>
      </c>
      <c r="AB36" s="173"/>
      <c r="AC36" s="145">
        <v>29193800</v>
      </c>
      <c r="AD36" s="145"/>
      <c r="AE36" s="167">
        <f t="shared" si="51"/>
        <v>4</v>
      </c>
      <c r="AF36" s="167"/>
      <c r="AH36" s="172" t="s">
        <v>147</v>
      </c>
      <c r="AI36" s="174">
        <f>Z25</f>
        <v>43282</v>
      </c>
      <c r="AJ36" s="154"/>
      <c r="AK36" s="154"/>
      <c r="AL36" s="155">
        <f t="shared" si="36"/>
        <v>70</v>
      </c>
      <c r="AM36" s="154"/>
      <c r="AN36" s="154"/>
      <c r="AO36" s="156">
        <f>MAX(AA39:AB39)/1000000</f>
        <v>62.264268518518534</v>
      </c>
      <c r="AR36" s="50"/>
      <c r="AS36" s="146">
        <v>5</v>
      </c>
      <c r="AT36" s="166">
        <v>40000000</v>
      </c>
      <c r="AU36" s="146">
        <v>46781737.736448005</v>
      </c>
      <c r="AW36" s="167"/>
      <c r="AY36" s="172" t="s">
        <v>147</v>
      </c>
      <c r="AZ36" s="174" t="str">
        <f>AT25</f>
        <v>EST</v>
      </c>
      <c r="BA36" s="154"/>
      <c r="BB36" s="155">
        <f t="shared" si="42"/>
        <v>100</v>
      </c>
      <c r="BC36" s="156">
        <f t="shared" si="43"/>
        <v>191.43159399936002</v>
      </c>
      <c r="BF36" s="50"/>
      <c r="BG36" s="146">
        <v>5</v>
      </c>
      <c r="BH36" s="166">
        <v>60000000</v>
      </c>
      <c r="BI36" s="167" t="e">
        <f t="shared" si="52"/>
        <v>#DIV/0!</v>
      </c>
      <c r="BK36" s="145">
        <v>82576000</v>
      </c>
      <c r="BL36" s="145">
        <v>79744000.000000015</v>
      </c>
      <c r="BM36" s="167">
        <f t="shared" si="53"/>
        <v>0</v>
      </c>
      <c r="BO36" s="171"/>
      <c r="BQ36" s="154"/>
      <c r="BR36" s="154"/>
      <c r="BS36" s="155">
        <f t="shared" si="38"/>
        <v>160</v>
      </c>
      <c r="BT36" s="154"/>
      <c r="BU36" s="154"/>
      <c r="BV36" s="156">
        <f t="shared" si="39"/>
        <v>267.53439999999995</v>
      </c>
      <c r="BY36" s="50"/>
      <c r="BZ36" s="146">
        <v>5</v>
      </c>
      <c r="CA36" s="166">
        <v>60000000</v>
      </c>
      <c r="CB36" s="167" t="e">
        <f t="shared" si="54"/>
        <v>#DIV/0!</v>
      </c>
      <c r="CC36" s="140"/>
      <c r="CD36" s="145">
        <v>84874000</v>
      </c>
      <c r="CE36" s="145">
        <v>83587000</v>
      </c>
      <c r="CF36" s="167">
        <f t="shared" si="55"/>
        <v>0</v>
      </c>
      <c r="CH36" s="172" t="s">
        <v>147</v>
      </c>
      <c r="CI36" s="174">
        <f>CA25</f>
        <v>44652</v>
      </c>
      <c r="CJ36" s="154"/>
      <c r="CK36" s="155">
        <f t="shared" si="44"/>
        <v>150</v>
      </c>
      <c r="CL36" s="156">
        <f t="shared" si="45"/>
        <v>277.9896</v>
      </c>
      <c r="CO36" s="50"/>
      <c r="CP36" s="146">
        <v>5</v>
      </c>
      <c r="CQ36" s="166">
        <v>30000000</v>
      </c>
      <c r="CR36" s="168" t="e">
        <f t="shared" si="56"/>
        <v>#DIV/0!</v>
      </c>
      <c r="CV36" s="167">
        <f t="shared" si="57"/>
        <v>0</v>
      </c>
      <c r="CX36" s="172" t="s">
        <v>147</v>
      </c>
      <c r="CY36" s="174">
        <f>CQ25</f>
        <v>43209</v>
      </c>
      <c r="CZ36" s="154"/>
      <c r="DA36" s="155">
        <f t="shared" si="46"/>
        <v>80</v>
      </c>
      <c r="DB36" s="156">
        <f t="shared" si="47"/>
        <v>101.3292</v>
      </c>
      <c r="DE36" s="50"/>
      <c r="DF36" s="146">
        <v>5</v>
      </c>
      <c r="DG36" s="166">
        <v>30000000</v>
      </c>
      <c r="DH36" s="168">
        <f t="shared" si="58"/>
        <v>29082690.634218294</v>
      </c>
      <c r="DL36" s="167">
        <f t="shared" si="59"/>
        <v>1</v>
      </c>
      <c r="DN36" s="172" t="s">
        <v>147</v>
      </c>
      <c r="DO36" s="174">
        <f>DG25</f>
        <v>43101</v>
      </c>
      <c r="DP36" s="154"/>
      <c r="DQ36" s="154"/>
      <c r="DR36" s="155">
        <f t="shared" si="48"/>
        <v>80</v>
      </c>
      <c r="DS36" s="154"/>
      <c r="DT36" s="154"/>
      <c r="DU36" s="156">
        <f t="shared" si="49"/>
        <v>128.35499999999999</v>
      </c>
      <c r="DX36" s="50"/>
      <c r="DY36" s="146">
        <v>5</v>
      </c>
      <c r="DZ36" s="166">
        <v>25000000</v>
      </c>
      <c r="EA36" s="168" t="e">
        <f t="shared" si="60"/>
        <v>#DIV/0!</v>
      </c>
      <c r="EE36" s="167">
        <f t="shared" si="61"/>
        <v>0</v>
      </c>
      <c r="EG36" s="171"/>
      <c r="EI36" s="154"/>
      <c r="EJ36" s="154"/>
      <c r="EK36" s="155">
        <f t="shared" si="40"/>
        <v>80</v>
      </c>
      <c r="EL36" s="154"/>
      <c r="EM36" s="154"/>
      <c r="EN36" s="156">
        <f t="shared" si="41"/>
        <v>101.96599999999998</v>
      </c>
    </row>
    <row r="37" spans="6:144" x14ac:dyDescent="0.2">
      <c r="F37" s="86">
        <v>1</v>
      </c>
      <c r="G37" s="129">
        <v>43891</v>
      </c>
      <c r="H37" s="131">
        <f>EOMONTH(MAX($L:$L),0)</f>
        <v>45473</v>
      </c>
      <c r="J37" s="86" t="str" cm="1">
        <f t="array" ref="J37">LOOKUP(2,1/($G$17:$G$33&lt;=$L37)/($H$17:$H$33&gt;=$L37),$F$17:$F$33)</f>
        <v>1H24</v>
      </c>
      <c r="K37" s="86" t="str" cm="1">
        <f t="array" ref="K37">LOOKUP(2,1/($G$6:$G$14&lt;=$L37)/($H$6:$H$14&gt;=$L37),$F$6:$F$14)</f>
        <v>FY24</v>
      </c>
      <c r="L37" s="118">
        <v>45244</v>
      </c>
      <c r="M37" s="49">
        <v>17853845.345345344</v>
      </c>
      <c r="N37" s="49">
        <v>26064828.819669668</v>
      </c>
      <c r="O37" s="50">
        <v>15000000</v>
      </c>
      <c r="P37" s="119" cm="1">
        <f t="array" ref="P37">LOOKUP(2,1/($B$10:$B$14&lt;=$L37)/($C$10:$C$14&gt;=$L37),$D$10:$D$14)</f>
        <v>1.1000000000000001</v>
      </c>
      <c r="Q37" s="120" cm="1">
        <f t="array" ref="Q37">LOOKUP(2,1/($B$17:$B$21&lt;=$L37)/($C$17:$C$21&gt;=$L37),$D$17:$D$21)</f>
        <v>134.49039999999999</v>
      </c>
      <c r="R37" s="113" t="str">
        <f t="shared" si="3"/>
        <v/>
      </c>
      <c r="S37" s="113" t="str">
        <f t="shared" si="4"/>
        <v>1H24</v>
      </c>
      <c r="T37" s="113" t="str">
        <f t="shared" ca="1" si="5"/>
        <v/>
      </c>
      <c r="U37" s="113" t="str">
        <f t="shared" si="6"/>
        <v/>
      </c>
      <c r="V37" s="113" t="str">
        <f t="shared" si="0"/>
        <v>FY24</v>
      </c>
      <c r="W37" s="113" t="str">
        <f t="shared" ca="1" si="62"/>
        <v/>
      </c>
      <c r="X37" s="50"/>
      <c r="Y37" s="146">
        <v>6</v>
      </c>
      <c r="Z37" s="166">
        <v>40000000</v>
      </c>
      <c r="AA37" s="167">
        <f t="shared" si="50"/>
        <v>31951974.106850218</v>
      </c>
      <c r="AB37" s="173"/>
      <c r="AC37" s="145">
        <v>37029799.999999993</v>
      </c>
      <c r="AD37" s="145"/>
      <c r="AE37" s="167">
        <f t="shared" si="51"/>
        <v>3</v>
      </c>
      <c r="AF37" s="167"/>
      <c r="AH37" s="172" t="s">
        <v>148</v>
      </c>
      <c r="AI37" s="174">
        <f>AB25</f>
        <v>43646</v>
      </c>
      <c r="AJ37" s="154"/>
      <c r="AK37" s="154"/>
      <c r="AL37" s="155">
        <f t="shared" si="36"/>
        <v>80</v>
      </c>
      <c r="AM37" s="154"/>
      <c r="AN37" s="154"/>
      <c r="AO37" s="156">
        <f t="shared" si="37"/>
        <v>80.928666175024588</v>
      </c>
      <c r="AR37" s="50"/>
      <c r="AS37" s="146">
        <v>6</v>
      </c>
      <c r="AT37" s="166">
        <v>60000000</v>
      </c>
      <c r="AU37" s="146">
        <v>78033626.711040005</v>
      </c>
      <c r="AW37" s="167"/>
      <c r="AY37" s="172" t="s">
        <v>148</v>
      </c>
      <c r="AZ37" s="174" t="str">
        <f>AV25</f>
        <v>EST</v>
      </c>
      <c r="BA37" s="154"/>
      <c r="BB37" s="155">
        <f t="shared" si="42"/>
        <v>150</v>
      </c>
      <c r="BC37" s="156">
        <f t="shared" si="43"/>
        <v>245</v>
      </c>
      <c r="BF37" s="50"/>
      <c r="BG37" s="146">
        <v>6</v>
      </c>
      <c r="BH37" s="166">
        <v>80000000</v>
      </c>
      <c r="BI37" s="167" t="e">
        <f t="shared" si="52"/>
        <v>#DIV/0!</v>
      </c>
      <c r="BK37" s="145">
        <v>104280000</v>
      </c>
      <c r="BL37" s="145">
        <v>94654000</v>
      </c>
      <c r="BM37" s="167">
        <f t="shared" si="53"/>
        <v>0</v>
      </c>
      <c r="BO37" s="172" t="s">
        <v>147</v>
      </c>
      <c r="BP37" s="174">
        <f>BH25</f>
        <v>44652</v>
      </c>
      <c r="BQ37" s="154"/>
      <c r="BR37" s="154"/>
      <c r="BS37" s="155">
        <f t="shared" si="38"/>
        <v>200</v>
      </c>
      <c r="BT37" s="154"/>
      <c r="BU37" s="154"/>
      <c r="BV37" s="156">
        <f t="shared" si="39"/>
        <v>328.30560000000003</v>
      </c>
      <c r="BY37" s="50"/>
      <c r="BZ37" s="146">
        <v>6</v>
      </c>
      <c r="CA37" s="166">
        <v>80000000</v>
      </c>
      <c r="CB37" s="167" t="e">
        <f t="shared" si="54"/>
        <v>#DIV/0!</v>
      </c>
      <c r="CC37" s="140"/>
      <c r="CD37" s="145">
        <v>107612000</v>
      </c>
      <c r="CE37" s="145">
        <v>103685000.00000001</v>
      </c>
      <c r="CF37" s="167">
        <f t="shared" si="55"/>
        <v>0</v>
      </c>
      <c r="CH37" s="172" t="s">
        <v>148</v>
      </c>
      <c r="CI37" s="174">
        <f>CC25</f>
        <v>44834</v>
      </c>
      <c r="CJ37" s="154"/>
      <c r="CK37" s="155">
        <f t="shared" si="44"/>
        <v>200</v>
      </c>
      <c r="CL37" s="156">
        <f t="shared" si="45"/>
        <v>341.65600000000001</v>
      </c>
      <c r="CO37" s="50"/>
      <c r="CP37" s="146">
        <v>6</v>
      </c>
      <c r="CQ37" s="166">
        <v>40000000</v>
      </c>
      <c r="CR37" s="168" t="e">
        <f t="shared" si="56"/>
        <v>#DIV/0!</v>
      </c>
      <c r="CV37" s="167">
        <f t="shared" si="57"/>
        <v>0</v>
      </c>
      <c r="CX37" s="172" t="s">
        <v>148</v>
      </c>
      <c r="CY37" s="174">
        <f>CS25</f>
        <v>43281</v>
      </c>
      <c r="CZ37" s="154"/>
      <c r="DA37" s="155">
        <f t="shared" si="46"/>
        <v>100</v>
      </c>
      <c r="DB37" s="156">
        <f t="shared" si="47"/>
        <v>156.8065</v>
      </c>
      <c r="DE37" s="50"/>
      <c r="DF37" s="146">
        <v>6</v>
      </c>
      <c r="DG37" s="166">
        <v>40000000</v>
      </c>
      <c r="DH37" s="168">
        <f t="shared" si="58"/>
        <v>37889141.838741407</v>
      </c>
      <c r="DL37" s="167">
        <f t="shared" si="59"/>
        <v>1</v>
      </c>
      <c r="DN37" s="172" t="s">
        <v>148</v>
      </c>
      <c r="DO37" s="174">
        <f>DI25</f>
        <v>43202</v>
      </c>
      <c r="DP37" s="154"/>
      <c r="DQ37" s="154"/>
      <c r="DR37" s="155">
        <f t="shared" si="48"/>
        <v>100</v>
      </c>
      <c r="DS37" s="154"/>
      <c r="DT37" s="154"/>
      <c r="DU37" s="156">
        <f t="shared" si="49"/>
        <v>197.19125</v>
      </c>
      <c r="DX37" s="50"/>
      <c r="DY37" s="146">
        <v>6</v>
      </c>
      <c r="DZ37" s="166">
        <v>35000000</v>
      </c>
      <c r="EA37" s="168" t="e">
        <f t="shared" si="60"/>
        <v>#DIV/0!</v>
      </c>
      <c r="EE37" s="167">
        <f t="shared" si="61"/>
        <v>0</v>
      </c>
      <c r="EG37" s="172" t="s">
        <v>147</v>
      </c>
      <c r="EH37" s="174">
        <f>DZ25</f>
        <v>42838</v>
      </c>
      <c r="EI37" s="154"/>
      <c r="EJ37" s="154"/>
      <c r="EK37" s="155">
        <f t="shared" si="40"/>
        <v>100</v>
      </c>
      <c r="EL37" s="154"/>
      <c r="EM37" s="154"/>
      <c r="EN37" s="156">
        <f t="shared" si="41"/>
        <v>168.65280000000001</v>
      </c>
    </row>
    <row r="38" spans="6:144" x14ac:dyDescent="0.2">
      <c r="F38" s="86"/>
      <c r="G38" s="86"/>
      <c r="H38" s="86"/>
      <c r="J38" s="86" t="str" cm="1">
        <f t="array" ref="J38">LOOKUP(2,1/($G$17:$G$33&lt;=$L38)/($H$17:$H$33&gt;=$L38),$F$17:$F$33)</f>
        <v>1H24</v>
      </c>
      <c r="K38" s="86" t="str" cm="1">
        <f t="array" ref="K38">LOOKUP(2,1/($G$6:$G$14&lt;=$L38)/($H$6:$H$14&gt;=$L38),$F$6:$F$14)</f>
        <v>FY24</v>
      </c>
      <c r="L38" s="118">
        <v>45237</v>
      </c>
      <c r="M38" s="49">
        <v>14501044.583044585</v>
      </c>
      <c r="N38" s="49">
        <v>21170074.98678679</v>
      </c>
      <c r="O38" s="50">
        <v>10000000</v>
      </c>
      <c r="P38" s="119" cm="1">
        <f t="array" ref="P38">LOOKUP(2,1/($B$10:$B$14&lt;=$L38)/($C$10:$C$14&gt;=$L38),$D$10:$D$14)</f>
        <v>1.1000000000000001</v>
      </c>
      <c r="Q38" s="120" cm="1">
        <f t="array" ref="Q38">LOOKUP(2,1/($B$17:$B$21&lt;=$L38)/($C$17:$C$21&gt;=$L38),$D$17:$D$21)</f>
        <v>134.49039999999999</v>
      </c>
      <c r="R38" s="113" t="str">
        <f t="shared" si="3"/>
        <v/>
      </c>
      <c r="S38" s="113" t="str">
        <f t="shared" si="4"/>
        <v>1H24</v>
      </c>
      <c r="T38" s="113" t="str">
        <f t="shared" ca="1" si="5"/>
        <v/>
      </c>
      <c r="U38" s="113" t="str">
        <f t="shared" si="6"/>
        <v/>
      </c>
      <c r="V38" s="113" t="str">
        <f t="shared" si="0"/>
        <v>FY24</v>
      </c>
      <c r="W38" s="113" t="str">
        <f t="shared" ca="1" si="62"/>
        <v/>
      </c>
      <c r="X38" s="50"/>
      <c r="Y38" s="146">
        <v>7</v>
      </c>
      <c r="Z38" s="166">
        <v>50000000</v>
      </c>
      <c r="AA38" s="167">
        <f t="shared" si="50"/>
        <v>41006778.392330386</v>
      </c>
      <c r="AB38" s="173"/>
      <c r="AC38" s="145">
        <v>44865800</v>
      </c>
      <c r="AD38" s="145"/>
      <c r="AE38" s="167">
        <f t="shared" si="51"/>
        <v>3</v>
      </c>
      <c r="AF38" s="167"/>
      <c r="AH38" s="172" t="s">
        <v>0</v>
      </c>
      <c r="AI38" s="175">
        <f>AB30</f>
        <v>1</v>
      </c>
      <c r="AJ38" s="154"/>
      <c r="AK38" s="154"/>
      <c r="AL38" s="155">
        <f t="shared" si="36"/>
        <v>120</v>
      </c>
      <c r="AM38" s="154"/>
      <c r="AN38" s="154"/>
      <c r="AO38" s="156">
        <f t="shared" si="37"/>
        <v>129.63314</v>
      </c>
      <c r="AR38" s="50"/>
      <c r="AS38" s="146">
        <v>7</v>
      </c>
      <c r="AT38" s="166">
        <v>80000000</v>
      </c>
      <c r="AU38" s="146">
        <v>112669291.63776001</v>
      </c>
      <c r="AV38" s="168"/>
      <c r="AW38" s="168"/>
      <c r="AY38" s="176"/>
      <c r="AZ38" s="85"/>
      <c r="BA38" s="154"/>
      <c r="BB38" s="155">
        <f t="shared" si="42"/>
        <v>200</v>
      </c>
      <c r="BC38" s="156">
        <f>MAX(AU41:AV41)/1000000</f>
        <v>315</v>
      </c>
      <c r="BF38" s="50"/>
      <c r="BG38" s="146">
        <v>7</v>
      </c>
      <c r="BH38" s="166">
        <v>120000000</v>
      </c>
      <c r="BI38" s="146">
        <v>226126304.09125558</v>
      </c>
      <c r="BK38" s="145">
        <v>147688000</v>
      </c>
      <c r="BL38" s="145">
        <v>114874000.00000003</v>
      </c>
      <c r="BM38" s="167">
        <f t="shared" si="53"/>
        <v>0</v>
      </c>
      <c r="BO38" s="172" t="s">
        <v>148</v>
      </c>
      <c r="BP38" s="174">
        <f>BJ25</f>
        <v>44864</v>
      </c>
      <c r="BQ38" s="154"/>
      <c r="BR38" s="154"/>
      <c r="BS38" s="155">
        <f t="shared" si="38"/>
        <v>250</v>
      </c>
      <c r="BT38" s="154"/>
      <c r="BU38" s="154"/>
      <c r="BV38" s="156">
        <f t="shared" si="39"/>
        <v>404.26960000000003</v>
      </c>
      <c r="BY38" s="50"/>
      <c r="BZ38" s="146">
        <v>7</v>
      </c>
      <c r="CA38" s="166">
        <v>120000000</v>
      </c>
      <c r="CB38" s="146">
        <v>226126304.09125599</v>
      </c>
      <c r="CC38" s="140"/>
      <c r="CD38" s="145">
        <v>153088000</v>
      </c>
      <c r="CE38" s="145">
        <v>140281000</v>
      </c>
      <c r="CF38" s="167">
        <f t="shared" si="55"/>
        <v>0</v>
      </c>
      <c r="CH38" s="176"/>
      <c r="CI38" s="85"/>
      <c r="CJ38" s="154"/>
      <c r="CK38" s="155">
        <f t="shared" si="44"/>
        <v>250</v>
      </c>
      <c r="CL38" s="156">
        <f t="shared" si="45"/>
        <v>421.23900000000003</v>
      </c>
      <c r="CO38" s="50"/>
      <c r="CP38" s="146">
        <v>7</v>
      </c>
      <c r="CQ38" s="166">
        <v>50000000</v>
      </c>
      <c r="CR38" s="168" t="e">
        <f t="shared" si="56"/>
        <v>#DIV/0!</v>
      </c>
      <c r="CS38" s="168"/>
      <c r="CT38" s="168"/>
      <c r="CU38" s="168"/>
      <c r="CV38" s="167">
        <f t="shared" si="57"/>
        <v>0</v>
      </c>
      <c r="CX38" s="172" t="s">
        <v>173</v>
      </c>
      <c r="CY38" s="177">
        <f>CS30</f>
        <v>0.21153846153846154</v>
      </c>
      <c r="CZ38" s="154"/>
      <c r="DA38" s="155">
        <f t="shared" si="46"/>
        <v>150</v>
      </c>
      <c r="DB38" s="156">
        <f t="shared" si="47"/>
        <v>232.16900000000001</v>
      </c>
      <c r="DE38" s="50"/>
      <c r="DF38" s="146">
        <v>7</v>
      </c>
      <c r="DG38" s="145">
        <v>60000000</v>
      </c>
      <c r="DH38" s="145"/>
      <c r="DI38" s="173">
        <f>IF($DG38&gt;=100000000,$DJ$27*DJ$30*DJ38+$DK$27*DK$30*DK38,DJ$30*DJ38+DK$30*DK38)</f>
        <v>98957000.000000015</v>
      </c>
      <c r="DJ38" s="145">
        <v>98957000.000000015</v>
      </c>
      <c r="DK38" s="145">
        <v>85764000</v>
      </c>
      <c r="DL38" s="146"/>
      <c r="DN38" s="172" t="s">
        <v>173</v>
      </c>
      <c r="DO38" s="177">
        <f>DI30</f>
        <v>0.57692307692307687</v>
      </c>
      <c r="DP38" s="154"/>
      <c r="DQ38" s="154"/>
      <c r="DR38" s="155">
        <f t="shared" si="48"/>
        <v>150</v>
      </c>
      <c r="DS38" s="154"/>
      <c r="DT38" s="154"/>
      <c r="DU38" s="156">
        <f t="shared" si="49"/>
        <v>289.06</v>
      </c>
      <c r="DX38" s="50"/>
      <c r="DY38" s="146">
        <v>7</v>
      </c>
      <c r="DZ38" s="166">
        <v>55000000</v>
      </c>
      <c r="EA38" s="168" t="e">
        <f t="shared" si="60"/>
        <v>#DIV/0!</v>
      </c>
      <c r="EE38" s="167">
        <f t="shared" si="61"/>
        <v>0</v>
      </c>
      <c r="EG38" s="172" t="s">
        <v>148</v>
      </c>
      <c r="EH38" s="174">
        <f>EB25</f>
        <v>43202</v>
      </c>
      <c r="EI38" s="154"/>
      <c r="EJ38" s="154"/>
      <c r="EK38" s="155">
        <f t="shared" si="40"/>
        <v>150</v>
      </c>
      <c r="EL38" s="154"/>
      <c r="EM38" s="154"/>
      <c r="EN38" s="156">
        <f t="shared" si="41"/>
        <v>246.14954999999998</v>
      </c>
    </row>
    <row r="39" spans="6:144" x14ac:dyDescent="0.2">
      <c r="F39" s="117" t="s">
        <v>198</v>
      </c>
      <c r="G39" s="117"/>
      <c r="H39" s="117"/>
      <c r="J39" s="86" t="str" cm="1">
        <f t="array" ref="J39">LOOKUP(2,1/($G$17:$G$33&lt;=$L39)/($H$17:$H$33&gt;=$L39),$F$17:$F$33)</f>
        <v>1H24</v>
      </c>
      <c r="K39" s="86" t="str" cm="1">
        <f t="array" ref="K39">LOOKUP(2,1/($G$6:$G$14&lt;=$L39)/($H$6:$H$14&gt;=$L39),$F$6:$F$14)</f>
        <v>FY24</v>
      </c>
      <c r="L39" s="118">
        <v>45230</v>
      </c>
      <c r="M39" s="49">
        <v>9287015.7080157064</v>
      </c>
      <c r="N39" s="49">
        <v>13558114.232132129</v>
      </c>
      <c r="O39" s="50">
        <v>5000000</v>
      </c>
      <c r="P39" s="119" cm="1">
        <f t="array" ref="P39">LOOKUP(2,1/($B$10:$B$14&lt;=$L39)/($C$10:$C$14&gt;=$L39),$D$10:$D$14)</f>
        <v>1.1000000000000001</v>
      </c>
      <c r="Q39" s="120" cm="1">
        <f t="array" ref="Q39">LOOKUP(2,1/($B$17:$B$21&lt;=$L39)/($C$17:$C$21&gt;=$L39),$D$17:$D$21)</f>
        <v>134.49039999999999</v>
      </c>
      <c r="R39" s="113" t="str">
        <f t="shared" si="3"/>
        <v/>
      </c>
      <c r="S39" s="113" t="str">
        <f t="shared" si="4"/>
        <v>1H24</v>
      </c>
      <c r="T39" s="113" t="str">
        <f t="shared" ca="1" si="5"/>
        <v/>
      </c>
      <c r="U39" s="113" t="str">
        <f t="shared" si="6"/>
        <v/>
      </c>
      <c r="V39" s="113" t="str">
        <f t="shared" si="0"/>
        <v>FY24</v>
      </c>
      <c r="W39" s="113" t="str">
        <f t="shared" ca="1" si="62"/>
        <v/>
      </c>
      <c r="X39" s="50"/>
      <c r="Y39" s="146">
        <v>8</v>
      </c>
      <c r="Z39" s="166">
        <v>70000000</v>
      </c>
      <c r="AA39" s="167">
        <f t="shared" si="50"/>
        <v>62264268.518518537</v>
      </c>
      <c r="AB39" s="173"/>
      <c r="AC39" s="145">
        <v>60537800</v>
      </c>
      <c r="AD39" s="145"/>
      <c r="AE39" s="167">
        <f t="shared" si="51"/>
        <v>3</v>
      </c>
      <c r="AF39" s="146"/>
      <c r="AH39" s="179" t="s">
        <v>162</v>
      </c>
      <c r="AI39" s="180">
        <f>AC27</f>
        <v>1.3</v>
      </c>
      <c r="AJ39" s="181"/>
      <c r="AK39" s="181"/>
      <c r="AL39" s="181"/>
      <c r="AM39" s="181"/>
      <c r="AN39" s="181"/>
      <c r="AO39" s="182"/>
      <c r="AR39" s="50"/>
      <c r="AS39" s="146">
        <v>8</v>
      </c>
      <c r="AT39" s="166">
        <v>100000000</v>
      </c>
      <c r="AU39" s="146">
        <v>191431593.99936002</v>
      </c>
      <c r="AV39" s="168"/>
      <c r="AW39" s="168"/>
      <c r="AY39" s="176"/>
      <c r="AZ39" s="32"/>
      <c r="BA39" s="32"/>
      <c r="BB39" s="32"/>
      <c r="BC39" s="183"/>
      <c r="BF39" s="50"/>
      <c r="BG39" s="146">
        <v>8</v>
      </c>
      <c r="BH39" s="145">
        <v>160000000</v>
      </c>
      <c r="BI39" s="145"/>
      <c r="BJ39" s="173">
        <f>IF($BH39&gt;=100000000,$BK$27*BK$30*BK39+$CE$8*BL$30*BL39,BK$30*BK39+BL$30*BL39)</f>
        <v>267534399.99999997</v>
      </c>
      <c r="BK39" s="145">
        <v>191096000</v>
      </c>
      <c r="BL39" s="145">
        <v>122294000.00000001</v>
      </c>
      <c r="BM39" s="146"/>
      <c r="BO39" s="179" t="s">
        <v>0</v>
      </c>
      <c r="BP39" s="185">
        <f>BJ30</f>
        <v>0</v>
      </c>
      <c r="BQ39" s="181"/>
      <c r="BR39" s="181"/>
      <c r="BS39" s="181"/>
      <c r="BT39" s="181"/>
      <c r="BU39" s="181"/>
      <c r="BV39" s="182"/>
      <c r="BY39" s="50"/>
      <c r="BZ39" s="146">
        <v>8</v>
      </c>
      <c r="CA39" s="145">
        <v>150000000</v>
      </c>
      <c r="CB39" s="145"/>
      <c r="CC39" s="173">
        <f>IF($CA39&gt;=100000000,$CD$8*CD$11*CD39+$CE$8*CE$11*CE39,CD$11*CD39+CE$11*CE39)</f>
        <v>277989600</v>
      </c>
      <c r="CD39" s="145">
        <v>198564000</v>
      </c>
      <c r="CE39" s="145">
        <v>172077000</v>
      </c>
      <c r="CF39" s="146"/>
      <c r="CH39" s="176"/>
      <c r="CI39" s="32"/>
      <c r="CJ39" s="32"/>
      <c r="CK39" s="32"/>
      <c r="CL39" s="183"/>
      <c r="CO39" s="50"/>
      <c r="CP39" s="146">
        <v>8</v>
      </c>
      <c r="CQ39" s="145">
        <v>80000000</v>
      </c>
      <c r="CR39" s="145"/>
      <c r="CS39" s="173">
        <f>IF($CQ39&gt;=100000000,$CT$27*CT$30*CT39+$CU$27*CU$30*CU39,CT$30*CT39+CU$30*CU39)</f>
        <v>101329200</v>
      </c>
      <c r="CT39" s="145">
        <v>101329200</v>
      </c>
      <c r="CU39" s="145">
        <v>109018999.99999999</v>
      </c>
      <c r="CV39" s="146"/>
      <c r="CX39" s="176"/>
      <c r="CY39" s="32"/>
      <c r="CZ39" s="32"/>
      <c r="DA39" s="32"/>
      <c r="DB39" s="183"/>
      <c r="DE39" s="50"/>
      <c r="DF39" s="146">
        <v>8</v>
      </c>
      <c r="DG39" s="145">
        <v>80000000</v>
      </c>
      <c r="DH39" s="145"/>
      <c r="DI39" s="173">
        <f>IF($DG39&gt;=100000000,$DJ$27*DJ$30*DJ39+$DK$27*DK$30*DK39,DJ$30*DJ39+DK$30*DK39)</f>
        <v>128354999.99999999</v>
      </c>
      <c r="DJ39" s="145">
        <v>128354999.99999999</v>
      </c>
      <c r="DK39" s="145">
        <v>126586000</v>
      </c>
      <c r="DL39" s="146"/>
      <c r="DN39" s="176"/>
      <c r="DO39" s="32"/>
      <c r="DP39" s="32"/>
      <c r="DQ39" s="32"/>
      <c r="DR39" s="32"/>
      <c r="DS39" s="32"/>
      <c r="DT39" s="32"/>
      <c r="DU39" s="183"/>
      <c r="DX39" s="50"/>
      <c r="DY39" s="146">
        <v>8</v>
      </c>
      <c r="DZ39" s="145">
        <v>80000000</v>
      </c>
      <c r="EA39" s="145"/>
      <c r="EB39" s="173">
        <f>IF($DZ39&gt;=100000000,$EC$27*EC$30*EC39+$ED$27*ED$30*ED39,EC$30*EC39+ED$30*ED39)*EB$30</f>
        <v>101965999.99999999</v>
      </c>
      <c r="EC39" s="145">
        <v>101965999.99999999</v>
      </c>
      <c r="ED39" s="145">
        <v>103580000.00000001</v>
      </c>
      <c r="EE39" s="146"/>
      <c r="EG39" s="179" t="s">
        <v>0</v>
      </c>
      <c r="EH39" s="185">
        <f>EB30</f>
        <v>1</v>
      </c>
      <c r="EI39" s="181"/>
      <c r="EJ39" s="181"/>
      <c r="EK39" s="181"/>
      <c r="EL39" s="181"/>
      <c r="EM39" s="181"/>
      <c r="EN39" s="182"/>
    </row>
    <row r="40" spans="6:144" x14ac:dyDescent="0.2">
      <c r="F40" s="86">
        <v>0</v>
      </c>
      <c r="G40" s="129">
        <v>42552</v>
      </c>
      <c r="H40" s="129">
        <v>44697</v>
      </c>
      <c r="J40" s="86" t="str" cm="1">
        <f t="array" ref="J40">LOOKUP(2,1/($G$17:$G$33&lt;=$L40)/($H$17:$H$33&gt;=$L40),$F$17:$F$33)</f>
        <v>1H24</v>
      </c>
      <c r="K40" s="86" t="str" cm="1">
        <f t="array" ref="K40">LOOKUP(2,1/($G$6:$G$14&lt;=$L40)/($H$6:$H$14&gt;=$L40),$F$6:$F$14)</f>
        <v>FY24</v>
      </c>
      <c r="L40" s="118">
        <v>45223</v>
      </c>
      <c r="M40" s="49">
        <v>8433054.6315546315</v>
      </c>
      <c r="N40" s="49">
        <v>12311416.456606606</v>
      </c>
      <c r="O40" s="50">
        <v>3000000</v>
      </c>
      <c r="P40" s="119" cm="1">
        <f t="array" ref="P40">LOOKUP(2,1/($B$10:$B$14&lt;=$L40)/($C$10:$C$14&gt;=$L40),$D$10:$D$14)</f>
        <v>1.1000000000000001</v>
      </c>
      <c r="Q40" s="120" cm="1">
        <f t="array" ref="Q40">LOOKUP(2,1/($B$17:$B$21&lt;=$L40)/($C$17:$C$21&gt;=$L40),$D$17:$D$21)</f>
        <v>134.49039999999999</v>
      </c>
      <c r="R40" s="113" t="str">
        <f t="shared" si="3"/>
        <v/>
      </c>
      <c r="S40" s="113" t="str">
        <f t="shared" si="4"/>
        <v>1H24</v>
      </c>
      <c r="T40" s="113" t="str">
        <f t="shared" ca="1" si="5"/>
        <v/>
      </c>
      <c r="U40" s="113" t="str">
        <f t="shared" si="6"/>
        <v/>
      </c>
      <c r="V40" s="113" t="str">
        <f t="shared" si="0"/>
        <v>FY24</v>
      </c>
      <c r="W40" s="113" t="str">
        <f t="shared" ca="1" si="62"/>
        <v/>
      </c>
      <c r="X40" s="50"/>
      <c r="Y40" s="146">
        <v>9</v>
      </c>
      <c r="Z40" s="166">
        <v>80000000</v>
      </c>
      <c r="AA40" s="167">
        <f t="shared" si="50"/>
        <v>80928666.175024584</v>
      </c>
      <c r="AC40" s="145">
        <v>68373799.999999985</v>
      </c>
      <c r="AD40" s="145"/>
      <c r="AE40" s="167">
        <f t="shared" si="51"/>
        <v>1</v>
      </c>
      <c r="AF40" s="146"/>
      <c r="AH40" s="2"/>
      <c r="AI40" s="2"/>
      <c r="AJ40" s="2"/>
      <c r="AK40" s="2"/>
      <c r="AL40" s="2"/>
      <c r="AM40" s="2"/>
      <c r="AN40" s="2"/>
      <c r="AO40" s="2"/>
      <c r="AR40" s="50"/>
      <c r="AS40" s="146">
        <v>9</v>
      </c>
      <c r="AT40" s="145">
        <v>150000000</v>
      </c>
      <c r="AU40" s="184"/>
      <c r="AV40" s="145">
        <v>245000000</v>
      </c>
      <c r="AW40" s="146"/>
      <c r="AY40" s="186"/>
      <c r="AZ40" s="2"/>
      <c r="BA40" s="2"/>
      <c r="BB40" s="2"/>
      <c r="BC40" s="187"/>
      <c r="BF40" s="50"/>
      <c r="BG40" s="146">
        <v>9</v>
      </c>
      <c r="BH40" s="145">
        <v>200000000</v>
      </c>
      <c r="BI40" s="145"/>
      <c r="BJ40" s="173">
        <f>IF($BH40&gt;=100000000,$BK$27*BK$30*BK40+$CE$8*BL$30*BL40,BK$30*BK40+BL$30*BL40)</f>
        <v>328305600</v>
      </c>
      <c r="BK40" s="145">
        <v>234504000</v>
      </c>
      <c r="BL40" s="145">
        <v>116914000.00000001</v>
      </c>
      <c r="BM40" s="146"/>
      <c r="BO40" s="2"/>
      <c r="BP40" s="2"/>
      <c r="BQ40" s="2"/>
      <c r="BR40" s="2"/>
      <c r="BS40" s="2"/>
      <c r="BT40" s="2"/>
      <c r="BU40" s="2"/>
      <c r="BV40" s="2"/>
      <c r="BY40" s="50"/>
      <c r="BZ40" s="146">
        <v>9</v>
      </c>
      <c r="CA40" s="145">
        <v>200000000</v>
      </c>
      <c r="CB40" s="145"/>
      <c r="CC40" s="173">
        <f>IF($CA40&gt;=100000000,$CD$8*CD$11*CD40+$CE$8*CE$11*CE40,CD$11*CD40+CE$11*CE40)</f>
        <v>341656000</v>
      </c>
      <c r="CD40" s="145">
        <v>244040000</v>
      </c>
      <c r="CE40" s="145">
        <v>199073000</v>
      </c>
      <c r="CF40" s="146"/>
      <c r="CH40" s="186"/>
      <c r="CI40" s="2"/>
      <c r="CJ40" s="2"/>
      <c r="CK40" s="2"/>
      <c r="CL40" s="187"/>
      <c r="CO40" s="50"/>
      <c r="CP40" s="146">
        <v>9</v>
      </c>
      <c r="CQ40" s="145">
        <v>100000000</v>
      </c>
      <c r="CR40" s="145"/>
      <c r="CS40" s="173">
        <f>IF($CQ40&gt;=100000000,$CT$27*CT$30*CT40+$CU$27*CU$30*CU40,CT$30*CT40+CU$30*CU40)</f>
        <v>156806500</v>
      </c>
      <c r="CT40" s="145">
        <v>125445200</v>
      </c>
      <c r="CU40" s="145">
        <v>155857000</v>
      </c>
      <c r="CV40" s="146"/>
      <c r="CX40" s="186"/>
      <c r="CY40" s="2"/>
      <c r="CZ40" s="2"/>
      <c r="DA40" s="2"/>
      <c r="DB40" s="187"/>
      <c r="DE40" s="50"/>
      <c r="DF40" s="146">
        <v>9</v>
      </c>
      <c r="DG40" s="145">
        <v>100000000</v>
      </c>
      <c r="DH40" s="145"/>
      <c r="DI40" s="173">
        <f>IF($DG40&gt;=100000000,$DJ$27*DJ$30*DJ40+$DK$27*DK$30*DK40,DJ$30*DJ40+DK$30*DK40)</f>
        <v>197191250</v>
      </c>
      <c r="DJ40" s="145">
        <v>157753000</v>
      </c>
      <c r="DK40" s="145">
        <v>177328000</v>
      </c>
      <c r="DL40" s="146"/>
      <c r="DN40" s="186"/>
      <c r="DO40" s="2"/>
      <c r="DP40" s="2"/>
      <c r="DQ40" s="2"/>
      <c r="DR40" s="2"/>
      <c r="DS40" s="2"/>
      <c r="DT40" s="2"/>
      <c r="DU40" s="187"/>
      <c r="DX40" s="50"/>
      <c r="DY40" s="146">
        <v>9</v>
      </c>
      <c r="DZ40" s="145">
        <v>100000000</v>
      </c>
      <c r="EA40" s="145"/>
      <c r="EB40" s="173">
        <f>IF($DZ40&gt;=100000000,$EC$27*EC$30*EC40+$ED$27*ED$30*ED40,EC$30*EC40+ED$30*ED40)*EB$30</f>
        <v>168652800</v>
      </c>
      <c r="EC40" s="145">
        <v>124927999.99999999</v>
      </c>
      <c r="ED40" s="145">
        <v>128104000.00000001</v>
      </c>
      <c r="EE40" s="146"/>
      <c r="EG40" s="2"/>
      <c r="EH40" s="2"/>
      <c r="EI40" s="2"/>
      <c r="EJ40" s="2"/>
      <c r="EK40" s="2"/>
      <c r="EL40" s="2"/>
      <c r="EM40" s="2"/>
      <c r="EN40" s="2"/>
    </row>
    <row r="41" spans="6:144" x14ac:dyDescent="0.2">
      <c r="F41" s="86">
        <v>1</v>
      </c>
      <c r="G41" s="129">
        <v>44698</v>
      </c>
      <c r="H41" s="131">
        <f>EOMONTH(MAX($L:$L),0)</f>
        <v>45473</v>
      </c>
      <c r="J41" s="86" t="str" cm="1">
        <f t="array" ref="J41">LOOKUP(2,1/($G$17:$G$33&lt;=$L41)/($H$17:$H$33&gt;=$L41),$F$17:$F$33)</f>
        <v>1H24</v>
      </c>
      <c r="K41" s="86" t="str" cm="1">
        <f t="array" ref="K41">LOOKUP(2,1/($G$6:$G$14&lt;=$L41)/($H$6:$H$14&gt;=$L41),$F$6:$F$14)</f>
        <v>FY24</v>
      </c>
      <c r="L41" s="118">
        <v>45216</v>
      </c>
      <c r="M41" s="49">
        <v>26420194.848694846</v>
      </c>
      <c r="N41" s="49">
        <v>38570842.459609605</v>
      </c>
      <c r="O41" s="50">
        <v>30000000</v>
      </c>
      <c r="P41" s="119" cm="1">
        <f t="array" ref="P41">LOOKUP(2,1/($B$10:$B$14&lt;=$L41)/($C$10:$C$14&gt;=$L41),$D$10:$D$14)</f>
        <v>1.1000000000000001</v>
      </c>
      <c r="Q41" s="120" cm="1">
        <f t="array" ref="Q41">LOOKUP(2,1/($B$17:$B$21&lt;=$L41)/($C$17:$C$21&gt;=$L41),$D$17:$D$21)</f>
        <v>134.49039999999999</v>
      </c>
      <c r="R41" s="113" t="str">
        <f t="shared" si="3"/>
        <v/>
      </c>
      <c r="S41" s="113" t="str">
        <f t="shared" si="4"/>
        <v>1H24</v>
      </c>
      <c r="T41" s="113" t="str">
        <f t="shared" ca="1" si="5"/>
        <v/>
      </c>
      <c r="U41" s="113" t="str">
        <f t="shared" si="6"/>
        <v/>
      </c>
      <c r="V41" s="113" t="str">
        <f t="shared" si="0"/>
        <v>FY24</v>
      </c>
      <c r="W41" s="113" t="str">
        <f t="shared" ca="1" si="62"/>
        <v/>
      </c>
      <c r="X41" s="50"/>
      <c r="Y41" s="146">
        <v>10</v>
      </c>
      <c r="Z41" s="145">
        <v>120000000</v>
      </c>
      <c r="AA41" s="145"/>
      <c r="AB41" s="173">
        <f>IF($Z41&gt;=100000000,$AC$27*AC$30*AC41+$AD$27*AD$30*AD41,AC$30*AC41+AD$30*AD41)*AB$30</f>
        <v>129633140</v>
      </c>
      <c r="AC41" s="145">
        <v>99717800</v>
      </c>
      <c r="AD41" s="145"/>
      <c r="AE41" s="146"/>
      <c r="AF41" s="146"/>
      <c r="AH41" s="188"/>
      <c r="AI41" s="188"/>
      <c r="AJ41" s="188"/>
      <c r="AK41" s="188"/>
      <c r="AL41" s="188"/>
      <c r="AM41" s="188"/>
      <c r="AN41" s="188"/>
      <c r="AO41" s="188"/>
      <c r="AR41" s="50"/>
      <c r="AS41" s="146">
        <v>10</v>
      </c>
      <c r="AT41" s="145">
        <v>200000000</v>
      </c>
      <c r="AU41" s="184"/>
      <c r="AV41" s="145">
        <v>315000000</v>
      </c>
      <c r="AW41" s="146"/>
      <c r="AY41" s="189"/>
      <c r="AZ41" s="190"/>
      <c r="BA41" s="190"/>
      <c r="BB41" s="190"/>
      <c r="BC41" s="191"/>
      <c r="BF41" s="50"/>
      <c r="BG41" s="146">
        <v>10</v>
      </c>
      <c r="BH41" s="145">
        <v>250000000</v>
      </c>
      <c r="BI41" s="145"/>
      <c r="BJ41" s="173">
        <f>IF($BH41&gt;=100000000,$BK$27*BK$30*BK41+$CE$8*BL$30*BL41,BK$30*BK41+BL$30*BL41)</f>
        <v>404269600</v>
      </c>
      <c r="BK41" s="145">
        <v>288764000</v>
      </c>
      <c r="BL41" s="145">
        <v>92189000</v>
      </c>
      <c r="BM41" s="146"/>
      <c r="BO41" s="188"/>
      <c r="BP41" s="188"/>
      <c r="BQ41" s="188"/>
      <c r="BR41" s="188"/>
      <c r="BS41" s="188"/>
      <c r="BT41" s="188"/>
      <c r="BU41" s="188"/>
      <c r="BV41" s="188"/>
      <c r="BY41" s="50"/>
      <c r="BZ41" s="146">
        <v>10</v>
      </c>
      <c r="CA41" s="145">
        <v>250000000</v>
      </c>
      <c r="CB41" s="145"/>
      <c r="CC41" s="173">
        <f>IF($CA41&gt;=100000000,$CD$8*CD$11*CD41+$CE$8*CE$11*CE41,CD$11*CD41+CE$11*CE41)</f>
        <v>421239000.00000006</v>
      </c>
      <c r="CD41" s="145">
        <v>300885000.00000006</v>
      </c>
      <c r="CE41" s="145">
        <v>226068000</v>
      </c>
      <c r="CF41" s="146"/>
      <c r="CH41" s="189"/>
      <c r="CI41" s="190"/>
      <c r="CJ41" s="190"/>
      <c r="CK41" s="190"/>
      <c r="CL41" s="191"/>
      <c r="CO41" s="50"/>
      <c r="CP41" s="146">
        <v>10</v>
      </c>
      <c r="CQ41" s="145">
        <v>150000000</v>
      </c>
      <c r="CR41" s="145"/>
      <c r="CS41" s="173">
        <f>IF($CQ41&gt;=100000000,$CT$27*CT$30*CT41+$CU$27*CU$30*CU41,CT$30*CT41+CU$30*CU41)</f>
        <v>232169000</v>
      </c>
      <c r="CT41" s="145">
        <v>185735200</v>
      </c>
      <c r="CU41" s="145">
        <v>313902000</v>
      </c>
      <c r="CV41" s="146"/>
      <c r="CX41" s="189"/>
      <c r="CY41" s="190"/>
      <c r="CZ41" s="190"/>
      <c r="DA41" s="190"/>
      <c r="DB41" s="191"/>
      <c r="DE41" s="50"/>
      <c r="DF41" s="146">
        <v>10</v>
      </c>
      <c r="DG41" s="145">
        <v>150000000</v>
      </c>
      <c r="DH41" s="145"/>
      <c r="DI41" s="173">
        <f>IF($DG41&gt;=100000000,$DJ$27*DJ$30*DJ41+$DK$27*DK$30*DK41,DJ$30*DJ41+DK$30*DK41)</f>
        <v>289060000</v>
      </c>
      <c r="DJ41" s="145">
        <v>231248000</v>
      </c>
      <c r="DK41" s="145">
        <v>347582999.99999994</v>
      </c>
      <c r="DL41" s="146"/>
      <c r="DN41" s="189"/>
      <c r="DO41" s="190"/>
      <c r="DP41" s="190"/>
      <c r="DQ41" s="190"/>
      <c r="DR41" s="190"/>
      <c r="DS41" s="190"/>
      <c r="DT41" s="190"/>
      <c r="DU41" s="191"/>
      <c r="DX41" s="50"/>
      <c r="DY41" s="146">
        <v>10</v>
      </c>
      <c r="DZ41" s="145">
        <v>150000000</v>
      </c>
      <c r="EA41" s="145"/>
      <c r="EB41" s="173">
        <f>IF($DZ41&gt;=100000000,$EC$27*EC$30*EC41+$ED$27*ED$30*ED41,EC$30*EC41+ED$30*ED41)*EB$30</f>
        <v>246149549.99999997</v>
      </c>
      <c r="EC41" s="145">
        <v>182332999.99999997</v>
      </c>
      <c r="ED41" s="145">
        <v>191514000</v>
      </c>
      <c r="EE41" s="146"/>
      <c r="EG41" s="188"/>
      <c r="EH41" s="188"/>
      <c r="EI41" s="188"/>
      <c r="EJ41" s="188"/>
      <c r="EK41" s="188"/>
      <c r="EL41" s="188"/>
      <c r="EM41" s="188"/>
      <c r="EN41" s="188"/>
    </row>
    <row r="42" spans="6:144" x14ac:dyDescent="0.25">
      <c r="F42" s="86"/>
      <c r="G42" s="129"/>
      <c r="H42" s="129"/>
      <c r="J42" s="86" t="str" cm="1">
        <f t="array" ref="J42">LOOKUP(2,1/($G$17:$G$33&lt;=$L42)/($H$17:$H$33&gt;=$L42),$F$17:$F$33)</f>
        <v>1H24</v>
      </c>
      <c r="K42" s="86" t="str" cm="1">
        <f t="array" ref="K42">LOOKUP(2,1/($G$6:$G$14&lt;=$L42)/($H$6:$H$14&gt;=$L42),$F$6:$F$14)</f>
        <v>FY24</v>
      </c>
      <c r="L42" s="118">
        <v>45209</v>
      </c>
      <c r="M42" s="49">
        <v>21005378.84037884</v>
      </c>
      <c r="N42" s="49">
        <v>30665752.569069069</v>
      </c>
      <c r="O42" s="50">
        <v>20000000</v>
      </c>
      <c r="P42" s="119" cm="1">
        <f t="array" ref="P42">LOOKUP(2,1/($B$10:$B$14&lt;=$L42)/($C$10:$C$14&gt;=$L42),$D$10:$D$14)</f>
        <v>1.1000000000000001</v>
      </c>
      <c r="Q42" s="120" cm="1">
        <f t="array" ref="Q42">LOOKUP(2,1/($B$17:$B$21&lt;=$L42)/($C$17:$C$21&gt;=$L42),$D$17:$D$21)</f>
        <v>134.49039999999999</v>
      </c>
      <c r="R42" s="113" t="str">
        <f t="shared" si="3"/>
        <v/>
      </c>
      <c r="S42" s="113" t="str">
        <f t="shared" si="4"/>
        <v>1H24</v>
      </c>
      <c r="T42" s="113" t="str">
        <f t="shared" ca="1" si="5"/>
        <v/>
      </c>
      <c r="U42" s="113" t="str">
        <f t="shared" si="6"/>
        <v/>
      </c>
      <c r="V42" s="113" t="str">
        <f t="shared" si="0"/>
        <v>FY24</v>
      </c>
      <c r="W42" s="113" t="str">
        <f t="shared" ca="1" si="62"/>
        <v/>
      </c>
      <c r="X42" s="50"/>
      <c r="AG42" s="116"/>
      <c r="AH42" s="106"/>
      <c r="AI42" s="107"/>
      <c r="AJ42" s="107"/>
      <c r="AK42" s="107"/>
      <c r="AL42" s="108"/>
      <c r="AM42" s="107"/>
      <c r="AN42" s="107"/>
      <c r="AO42" s="108"/>
      <c r="AR42" s="50"/>
      <c r="AS42" s="192"/>
      <c r="AX42" s="105"/>
      <c r="AY42" s="105"/>
      <c r="AZ42" s="105"/>
      <c r="BA42" s="105"/>
      <c r="BB42" s="105"/>
      <c r="BC42" s="105"/>
      <c r="BD42" s="105"/>
      <c r="BE42" s="105"/>
      <c r="BF42" s="50"/>
      <c r="BY42" s="50"/>
      <c r="CO42" s="50"/>
      <c r="DE42" s="50"/>
      <c r="DF42" s="192"/>
      <c r="DM42" s="105"/>
      <c r="DN42" s="105"/>
      <c r="DO42" s="105"/>
      <c r="DP42" s="105"/>
      <c r="DQ42" s="105"/>
      <c r="DR42" s="105"/>
      <c r="DS42" s="105"/>
      <c r="DT42" s="105"/>
      <c r="DU42" s="105"/>
      <c r="DV42" s="105"/>
      <c r="DW42" s="105"/>
      <c r="DX42" s="50"/>
      <c r="EG42" s="105"/>
      <c r="EH42" s="105"/>
      <c r="EI42" s="105"/>
      <c r="EJ42" s="105"/>
      <c r="EK42" s="105"/>
      <c r="EL42" s="105"/>
      <c r="EM42" s="105"/>
      <c r="EN42" s="105"/>
    </row>
    <row r="43" spans="6:144" x14ac:dyDescent="0.25">
      <c r="F43" s="86"/>
      <c r="G43" s="86"/>
      <c r="H43" s="86"/>
      <c r="J43" s="86" t="str" cm="1">
        <f t="array" ref="J43">LOOKUP(2,1/($G$17:$G$33&lt;=$L43)/($H$17:$H$33&gt;=$L43),$F$17:$F$33)</f>
        <v>1H24</v>
      </c>
      <c r="K43" s="86" t="str" cm="1">
        <f t="array" ref="K43">LOOKUP(2,1/($G$6:$G$14&lt;=$L43)/($H$6:$H$14&gt;=$L43),$F$6:$F$14)</f>
        <v>FY24</v>
      </c>
      <c r="L43" s="118">
        <v>45202</v>
      </c>
      <c r="M43" s="49">
        <v>14203781.011781011</v>
      </c>
      <c r="N43" s="49">
        <v>20736099.899099097</v>
      </c>
      <c r="O43" s="50">
        <v>15000000</v>
      </c>
      <c r="P43" s="119" cm="1">
        <f t="array" ref="P43">LOOKUP(2,1/($B$10:$B$14&lt;=$L43)/($C$10:$C$14&gt;=$L43),$D$10:$D$14)</f>
        <v>1.1000000000000001</v>
      </c>
      <c r="Q43" s="120" cm="1">
        <f t="array" ref="Q43">LOOKUP(2,1/($B$17:$B$21&lt;=$L43)/($C$17:$C$21&gt;=$L43),$D$17:$D$21)</f>
        <v>134.49039999999999</v>
      </c>
      <c r="R43" s="113" t="str">
        <f t="shared" si="3"/>
        <v/>
      </c>
      <c r="S43" s="113" t="str">
        <f t="shared" si="4"/>
        <v>1H24</v>
      </c>
      <c r="T43" s="113" t="str">
        <f t="shared" ca="1" si="5"/>
        <v/>
      </c>
      <c r="U43" s="113" t="str">
        <f t="shared" si="6"/>
        <v/>
      </c>
      <c r="V43" s="113" t="str">
        <f t="shared" si="0"/>
        <v>FY24</v>
      </c>
      <c r="W43" s="113" t="str">
        <f t="shared" ca="1" si="62"/>
        <v/>
      </c>
      <c r="X43" s="50"/>
      <c r="Y43" s="121" t="s">
        <v>20</v>
      </c>
      <c r="Z43" s="122"/>
      <c r="AA43" s="122"/>
      <c r="AB43" s="122"/>
      <c r="AC43" s="122"/>
      <c r="AD43" s="122"/>
      <c r="AE43" s="122"/>
      <c r="AF43" s="122"/>
      <c r="AG43" s="122"/>
      <c r="AH43" s="122"/>
      <c r="AI43" s="122"/>
      <c r="AJ43" s="122"/>
      <c r="AK43" s="122"/>
      <c r="AL43" s="122"/>
      <c r="AM43" s="122"/>
      <c r="AN43" s="122"/>
      <c r="AO43" s="122"/>
      <c r="AP43" s="122"/>
      <c r="AQ43" s="122"/>
      <c r="AR43" s="50"/>
      <c r="AS43" s="121" t="s">
        <v>200</v>
      </c>
      <c r="AT43" s="122"/>
      <c r="AU43" s="122"/>
      <c r="AV43" s="122"/>
      <c r="AW43" s="122"/>
      <c r="AX43" s="122"/>
      <c r="AY43" s="122"/>
      <c r="AZ43" s="122"/>
      <c r="BA43" s="122"/>
      <c r="BB43" s="122"/>
      <c r="BC43" s="122"/>
      <c r="BD43" s="122"/>
      <c r="BE43" s="122"/>
      <c r="BF43" s="50"/>
      <c r="BY43" s="50"/>
      <c r="CO43" s="50"/>
      <c r="CP43" s="125" t="s">
        <v>19</v>
      </c>
      <c r="CQ43" s="126"/>
      <c r="CR43" s="126"/>
      <c r="CS43" s="126"/>
      <c r="CT43" s="126"/>
      <c r="CU43" s="126"/>
      <c r="CV43" s="126"/>
      <c r="CW43" s="126"/>
      <c r="CX43" s="126"/>
      <c r="CY43" s="126"/>
      <c r="CZ43" s="126"/>
      <c r="DA43" s="126"/>
      <c r="DB43" s="126"/>
      <c r="DC43" s="126"/>
      <c r="DD43" s="126"/>
      <c r="DE43" s="50"/>
      <c r="DF43" s="125" t="s">
        <v>201</v>
      </c>
      <c r="DG43" s="126"/>
      <c r="DH43" s="126"/>
      <c r="DI43" s="126"/>
      <c r="DJ43" s="126"/>
      <c r="DK43" s="126"/>
      <c r="DL43" s="126"/>
      <c r="DM43" s="126"/>
      <c r="DN43" s="126"/>
      <c r="DO43" s="126"/>
      <c r="DP43" s="126"/>
      <c r="DQ43" s="126"/>
      <c r="DR43" s="126"/>
      <c r="DS43" s="126"/>
      <c r="DT43" s="126"/>
      <c r="DU43" s="126"/>
      <c r="DV43" s="126"/>
      <c r="DW43" s="126"/>
      <c r="DX43" s="50"/>
      <c r="DY43" s="127" t="s">
        <v>202</v>
      </c>
      <c r="DZ43" s="128"/>
      <c r="EA43" s="128"/>
      <c r="EB43" s="128"/>
      <c r="EC43" s="128"/>
      <c r="ED43" s="128"/>
      <c r="EE43" s="128"/>
      <c r="EF43" s="128"/>
      <c r="EG43" s="128"/>
      <c r="EH43" s="128"/>
      <c r="EI43" s="128"/>
      <c r="EJ43" s="128"/>
      <c r="EK43" s="128"/>
      <c r="EL43" s="128"/>
      <c r="EM43" s="128"/>
      <c r="EN43" s="128"/>
    </row>
    <row r="44" spans="6:144" x14ac:dyDescent="0.25">
      <c r="F44" s="86"/>
      <c r="G44" s="86"/>
      <c r="H44" s="86"/>
      <c r="J44" s="86" t="str" cm="1">
        <f t="array" ref="J44">LOOKUP(2,1/($G$17:$G$33&lt;=$L44)/($H$17:$H$33&gt;=$L44),$F$17:$F$33)</f>
        <v>1H24</v>
      </c>
      <c r="K44" s="86" t="str" cm="1">
        <f t="array" ref="K44">LOOKUP(2,1/($G$6:$G$14&lt;=$L44)/($H$6:$H$14&gt;=$L44),$F$6:$F$14)</f>
        <v>FY24</v>
      </c>
      <c r="L44" s="118">
        <v>45195</v>
      </c>
      <c r="M44" s="49">
        <v>12154527.258027257</v>
      </c>
      <c r="N44" s="49">
        <v>17744394.343993992</v>
      </c>
      <c r="O44" s="50">
        <v>10000000</v>
      </c>
      <c r="P44" s="119" cm="1">
        <f t="array" ref="P44">LOOKUP(2,1/($B$10:$B$14&lt;=$L44)/($C$10:$C$14&gt;=$L44),$D$10:$D$14)</f>
        <v>1.1000000000000001</v>
      </c>
      <c r="Q44" s="120" cm="1">
        <f t="array" ref="Q44">LOOKUP(2,1/($B$17:$B$21&lt;=$L44)/($C$17:$C$21&gt;=$L44),$D$17:$D$21)</f>
        <v>134.49039999999999</v>
      </c>
      <c r="R44" s="113" t="str">
        <f t="shared" si="3"/>
        <v/>
      </c>
      <c r="S44" s="113" t="str">
        <f t="shared" si="4"/>
        <v>1H24</v>
      </c>
      <c r="T44" s="113" t="str">
        <f t="shared" ca="1" si="5"/>
        <v/>
      </c>
      <c r="U44" s="113" t="str">
        <f t="shared" si="6"/>
        <v/>
      </c>
      <c r="V44" s="113" t="str">
        <f t="shared" si="0"/>
        <v>FY24</v>
      </c>
      <c r="W44" s="113" t="str">
        <f t="shared" ca="1" si="62"/>
        <v/>
      </c>
      <c r="X44" s="50"/>
      <c r="Y44" s="114" t="s">
        <v>147</v>
      </c>
      <c r="Z44" s="115">
        <v>43647</v>
      </c>
      <c r="AA44" s="114" t="s">
        <v>148</v>
      </c>
      <c r="AB44" s="115">
        <v>44012</v>
      </c>
      <c r="AC44" s="132"/>
      <c r="AD44" s="132"/>
      <c r="AE44" s="132"/>
      <c r="AF44" s="132"/>
      <c r="AG44" s="133"/>
      <c r="AH44" s="133"/>
      <c r="AI44" s="133"/>
      <c r="AJ44" s="133"/>
      <c r="AK44" s="133"/>
      <c r="AL44" s="133"/>
      <c r="AM44" s="133"/>
      <c r="AN44" s="133"/>
      <c r="AO44" s="133"/>
      <c r="AP44" s="133"/>
      <c r="AQ44" s="133"/>
      <c r="AR44" s="50"/>
      <c r="AS44" s="114" t="s">
        <v>147</v>
      </c>
      <c r="AT44" s="115">
        <v>44652</v>
      </c>
      <c r="AU44" s="114" t="s">
        <v>148</v>
      </c>
      <c r="AV44" s="115">
        <v>44868</v>
      </c>
      <c r="AW44" s="132"/>
      <c r="AX44" s="133"/>
      <c r="AY44" s="133"/>
      <c r="AZ44" s="133"/>
      <c r="BA44" s="133"/>
      <c r="BB44" s="133"/>
      <c r="BC44" s="133"/>
      <c r="BD44" s="133"/>
      <c r="BE44" s="133"/>
      <c r="BF44" s="50"/>
      <c r="BG44" s="123" t="s">
        <v>203</v>
      </c>
      <c r="BH44" s="124"/>
      <c r="BI44" s="124"/>
      <c r="BJ44" s="124"/>
      <c r="BK44" s="124"/>
      <c r="BL44" s="124"/>
      <c r="BM44" s="124"/>
      <c r="BN44" s="124"/>
      <c r="BO44" s="124"/>
      <c r="BP44" s="124"/>
      <c r="BQ44" s="124"/>
      <c r="BR44" s="124"/>
      <c r="BS44" s="124"/>
      <c r="BT44" s="124"/>
      <c r="BU44" s="124"/>
      <c r="BV44" s="124"/>
      <c r="BW44" s="124"/>
      <c r="BX44" s="124"/>
      <c r="BY44" s="50"/>
      <c r="CO44" s="50"/>
      <c r="CP44" s="114" t="s">
        <v>147</v>
      </c>
      <c r="CQ44" s="115">
        <v>43282</v>
      </c>
      <c r="CR44" s="114" t="s">
        <v>148</v>
      </c>
      <c r="CS44" s="115">
        <v>43646</v>
      </c>
      <c r="CT44" s="132"/>
      <c r="CU44" s="132"/>
      <c r="CV44" s="132"/>
      <c r="CW44" s="133"/>
      <c r="CX44" s="133"/>
      <c r="CY44" s="133"/>
      <c r="CZ44" s="133"/>
      <c r="DA44" s="133"/>
      <c r="DB44" s="133"/>
      <c r="DC44" s="133"/>
      <c r="DD44" s="133"/>
      <c r="DE44" s="50"/>
      <c r="DF44" s="114" t="s">
        <v>147</v>
      </c>
      <c r="DG44" s="115">
        <v>43203</v>
      </c>
      <c r="DH44" s="114" t="s">
        <v>148</v>
      </c>
      <c r="DI44" s="115">
        <v>43281</v>
      </c>
      <c r="DJ44" s="132"/>
      <c r="DK44" s="132"/>
      <c r="DL44" s="132"/>
      <c r="DM44" s="133"/>
      <c r="DN44" s="133"/>
      <c r="DO44" s="133"/>
      <c r="DP44" s="133"/>
      <c r="DQ44" s="133"/>
      <c r="DR44" s="133"/>
      <c r="DS44" s="133"/>
      <c r="DT44" s="133"/>
      <c r="DU44" s="133"/>
      <c r="DV44" s="133"/>
      <c r="DW44" s="133"/>
      <c r="DX44" s="50"/>
      <c r="DY44" s="114" t="s">
        <v>147</v>
      </c>
      <c r="DZ44" s="115">
        <v>43209</v>
      </c>
      <c r="EA44" s="114" t="s">
        <v>148</v>
      </c>
      <c r="EB44" s="115">
        <v>43573</v>
      </c>
      <c r="EC44" s="132"/>
      <c r="ED44" s="132"/>
      <c r="EE44" s="132"/>
      <c r="EF44" s="133"/>
      <c r="EG44" s="133"/>
      <c r="EH44" s="133"/>
      <c r="EI44" s="133"/>
      <c r="EJ44" s="133"/>
      <c r="EK44" s="133"/>
      <c r="EL44" s="133"/>
      <c r="EM44" s="133"/>
      <c r="EN44" s="133"/>
    </row>
    <row r="45" spans="6:144" x14ac:dyDescent="0.25">
      <c r="F45" s="86"/>
      <c r="G45" s="86"/>
      <c r="H45" s="86"/>
      <c r="J45" s="86" t="str" cm="1">
        <f t="array" ref="J45">LOOKUP(2,1/($G$17:$G$33&lt;=$L45)/($H$17:$H$33&gt;=$L45),$F$17:$F$33)</f>
        <v>1H24</v>
      </c>
      <c r="K45" s="86" t="str" cm="1">
        <f t="array" ref="K45">LOOKUP(2,1/($G$6:$G$14&lt;=$L45)/($H$6:$H$14&gt;=$L45),$F$6:$F$14)</f>
        <v>FY24</v>
      </c>
      <c r="L45" s="118">
        <v>45188</v>
      </c>
      <c r="M45" s="49">
        <v>9208195.4261954259</v>
      </c>
      <c r="N45" s="49">
        <v>13443044.502702702</v>
      </c>
      <c r="O45" s="50">
        <v>5000000</v>
      </c>
      <c r="P45" s="119" cm="1">
        <f t="array" ref="P45">LOOKUP(2,1/($B$10:$B$14&lt;=$L45)/($C$10:$C$14&gt;=$L45),$D$10:$D$14)</f>
        <v>1.1000000000000001</v>
      </c>
      <c r="Q45" s="120" cm="1">
        <f t="array" ref="Q45">LOOKUP(2,1/($B$17:$B$21&lt;=$L45)/($C$17:$C$21&gt;=$L45),$D$17:$D$21)</f>
        <v>134.49039999999999</v>
      </c>
      <c r="R45" s="113" t="str">
        <f t="shared" si="3"/>
        <v/>
      </c>
      <c r="S45" s="113" t="str">
        <f t="shared" si="4"/>
        <v>1H24</v>
      </c>
      <c r="T45" s="113" t="str">
        <f t="shared" ca="1" si="5"/>
        <v/>
      </c>
      <c r="U45" s="113" t="str">
        <f t="shared" si="6"/>
        <v/>
      </c>
      <c r="V45" s="113" t="str">
        <f t="shared" si="0"/>
        <v>FY24</v>
      </c>
      <c r="W45" s="113" t="str">
        <f t="shared" ca="1" si="62"/>
        <v/>
      </c>
      <c r="X45" s="50"/>
      <c r="Y45" s="114" t="s">
        <v>159</v>
      </c>
      <c r="Z45" s="115" t="s">
        <v>160</v>
      </c>
      <c r="AA45" s="114" t="s">
        <v>161</v>
      </c>
      <c r="AB45" s="134" t="str" cm="1">
        <f t="array" ref="AB45">IF(OR(LOOKUP(2,1/($B$10:$B$14&lt;=AB44)/($C$10:$C$14&gt;=AB44),$D$10:$D$14)&lt;&gt;Z48,LOOKUP(2,1/($B$6:$B$7&lt;=AB44)/($C$6:$C$7&gt;=AB44),$D$6:$D$7)&lt;&gt;AB48),"FAIL","PASS")</f>
        <v>FAIL</v>
      </c>
      <c r="AC45" s="134" t="s">
        <v>162</v>
      </c>
      <c r="AD45" s="134" t="s">
        <v>162</v>
      </c>
      <c r="AE45" s="134"/>
      <c r="AF45" s="134"/>
      <c r="AG45" s="133"/>
      <c r="AH45" s="133"/>
      <c r="AI45" s="133"/>
      <c r="AJ45" s="133"/>
      <c r="AK45" s="133"/>
      <c r="AL45" s="133"/>
      <c r="AM45" s="133"/>
      <c r="AN45" s="133"/>
      <c r="AO45" s="133"/>
      <c r="AP45" s="133"/>
      <c r="AQ45" s="133"/>
      <c r="AR45" s="50"/>
      <c r="AS45" s="114" t="s">
        <v>159</v>
      </c>
      <c r="AT45" s="115" t="s">
        <v>193</v>
      </c>
      <c r="AU45" s="114" t="s">
        <v>161</v>
      </c>
      <c r="AV45" s="134" t="str" cm="1">
        <f t="array" ref="AV45">IF(OR(LOOKUP(2,1/($B$10:$B$14&lt;=AV44)/($C$10:$C$14&gt;=AV44),$D$10:$D$14)&lt;&gt;AT48,LOOKUP(2,1/($B$6:$B$7&lt;=AV44)/($C$6:$C$7&gt;=AV44),$D$6:$D$7)&lt;&gt;AV48),"FAIL","PASS")</f>
        <v>PASS</v>
      </c>
      <c r="AW45" s="132"/>
      <c r="AX45" s="133"/>
      <c r="AY45" s="133"/>
      <c r="AZ45" s="133"/>
      <c r="BA45" s="133"/>
      <c r="BB45" s="133"/>
      <c r="BC45" s="133"/>
      <c r="BD45" s="133"/>
      <c r="BE45" s="133"/>
      <c r="BF45" s="50"/>
      <c r="BG45" s="114" t="s">
        <v>147</v>
      </c>
      <c r="BH45" s="115">
        <v>44652</v>
      </c>
      <c r="BI45" s="114" t="s">
        <v>148</v>
      </c>
      <c r="BJ45" s="115">
        <v>44864</v>
      </c>
      <c r="BK45" s="132"/>
      <c r="BL45" s="132"/>
      <c r="BM45" s="132"/>
      <c r="BN45" s="133"/>
      <c r="BO45" s="133"/>
      <c r="BP45" s="133"/>
      <c r="BQ45" s="133"/>
      <c r="BR45" s="133"/>
      <c r="BS45" s="133"/>
      <c r="BT45" s="133"/>
      <c r="BU45" s="133"/>
      <c r="BV45" s="133"/>
      <c r="BW45" s="133"/>
      <c r="BX45" s="133"/>
      <c r="BY45" s="50"/>
      <c r="CO45" s="50"/>
      <c r="CP45" s="114" t="s">
        <v>159</v>
      </c>
      <c r="CQ45" s="115" t="s">
        <v>19</v>
      </c>
      <c r="CR45" s="114" t="s">
        <v>161</v>
      </c>
      <c r="CS45" s="134" t="str" cm="1">
        <f t="array" ref="CS45">IF(OR(LOOKUP(2,1/($B$10:$B$14&lt;=CS44)/($C$10:$C$14&gt;=CS44),$D$10:$D$14)&lt;&gt;CQ48,LOOKUP(2,1/($B$6:$B$7&lt;=CS44)/($C$6:$C$7&gt;=CS44),$D$6:$D$7)&lt;&gt;CS48),"FAIL","PASS")</f>
        <v>PASS</v>
      </c>
      <c r="CT45" s="134" t="s">
        <v>162</v>
      </c>
      <c r="CU45" s="134" t="s">
        <v>162</v>
      </c>
      <c r="CV45" s="134"/>
      <c r="CW45" s="133"/>
      <c r="CX45" s="133"/>
      <c r="CY45" s="133"/>
      <c r="CZ45" s="133"/>
      <c r="DA45" s="133"/>
      <c r="DB45" s="133"/>
      <c r="DC45" s="133"/>
      <c r="DD45" s="133"/>
      <c r="DE45" s="50"/>
      <c r="DF45" s="114" t="s">
        <v>159</v>
      </c>
      <c r="DG45" s="115" t="s">
        <v>46</v>
      </c>
      <c r="DH45" s="114" t="s">
        <v>161</v>
      </c>
      <c r="DI45" s="134" t="str" cm="1">
        <f t="array" ref="DI45">IF(OR(LOOKUP(2,1/($B$10:$B$14&lt;=DI44)/($C$10:$C$14&gt;=DI44),$D$10:$D$14)&lt;&gt;DG48,LOOKUP(2,1/($B$6:$B$7&lt;=DI44)/($C$6:$C$7&gt;=DI44),$D$6:$D$7)&lt;&gt;DI48),"FAIL","PASS")</f>
        <v>FAIL</v>
      </c>
      <c r="DJ45" s="134" t="s">
        <v>162</v>
      </c>
      <c r="DK45" s="134" t="s">
        <v>162</v>
      </c>
      <c r="DL45" s="134"/>
      <c r="DM45" s="133"/>
      <c r="DN45" s="133"/>
      <c r="DO45" s="133"/>
      <c r="DP45" s="133"/>
      <c r="DQ45" s="133"/>
      <c r="DR45" s="133"/>
      <c r="DS45" s="133"/>
      <c r="DT45" s="133"/>
      <c r="DU45" s="133"/>
      <c r="DV45" s="133"/>
      <c r="DW45" s="133"/>
      <c r="DX45" s="50"/>
      <c r="DY45" s="114" t="s">
        <v>159</v>
      </c>
      <c r="DZ45" s="115" t="s">
        <v>163</v>
      </c>
      <c r="EA45" s="114" t="s">
        <v>161</v>
      </c>
      <c r="EB45" s="134" t="str" cm="1">
        <f t="array" ref="EB45">IF(OR(LOOKUP(2,1/($B$10:$B$14&lt;=EB44)/($C$10:$C$14&gt;=EB44),$D$10:$D$14)&lt;&gt;DZ48,LOOKUP(2,1/($B$6:$B$7&lt;=EB44)/($C$6:$C$7&gt;=EB44),$D$6:$D$7)&lt;&gt;EB48),"FAIL","PASS")</f>
        <v>PASS</v>
      </c>
      <c r="EC45" s="134" t="s">
        <v>162</v>
      </c>
      <c r="ED45" s="134" t="s">
        <v>162</v>
      </c>
      <c r="EE45" s="134"/>
      <c r="EF45" s="133"/>
      <c r="EG45" s="133"/>
      <c r="EH45" s="133"/>
      <c r="EI45" s="133"/>
      <c r="EJ45" s="133"/>
      <c r="EK45" s="133"/>
      <c r="EL45" s="133"/>
      <c r="EM45" s="133"/>
      <c r="EN45" s="133"/>
    </row>
    <row r="46" spans="6:144" x14ac:dyDescent="0.25">
      <c r="F46" s="86"/>
      <c r="G46" s="86"/>
      <c r="H46" s="86"/>
      <c r="J46" s="86" t="str" cm="1">
        <f t="array" ref="J46">LOOKUP(2,1/($G$17:$G$33&lt;=$L46)/($H$17:$H$33&gt;=$L46),$F$17:$F$33)</f>
        <v>1H24</v>
      </c>
      <c r="K46" s="86" t="str" cm="1">
        <f t="array" ref="K46">LOOKUP(2,1/($G$6:$G$14&lt;=$L46)/($H$6:$H$14&gt;=$L46),$F$6:$F$14)</f>
        <v>FY24</v>
      </c>
      <c r="L46" s="118">
        <v>45181</v>
      </c>
      <c r="M46" s="49">
        <v>8320856.8953568954</v>
      </c>
      <c r="N46" s="49">
        <v>12147618.981531531</v>
      </c>
      <c r="O46" s="50">
        <v>3000000</v>
      </c>
      <c r="P46" s="119" cm="1">
        <f t="array" ref="P46">LOOKUP(2,1/($B$10:$B$14&lt;=$L46)/($C$10:$C$14&gt;=$L46),$D$10:$D$14)</f>
        <v>1.1000000000000001</v>
      </c>
      <c r="Q46" s="120" cm="1">
        <f t="array" ref="Q46">LOOKUP(2,1/($B$17:$B$21&lt;=$L46)/($C$17:$C$21&gt;=$L46),$D$17:$D$21)</f>
        <v>134.49039999999999</v>
      </c>
      <c r="R46" s="113" t="str">
        <f t="shared" si="3"/>
        <v/>
      </c>
      <c r="S46" s="113" t="str">
        <f t="shared" si="4"/>
        <v>1H24</v>
      </c>
      <c r="T46" s="113" t="str">
        <f t="shared" ca="1" si="5"/>
        <v/>
      </c>
      <c r="U46" s="113" t="str">
        <f t="shared" si="6"/>
        <v/>
      </c>
      <c r="V46" s="113" t="str">
        <f t="shared" si="0"/>
        <v>FY24</v>
      </c>
      <c r="W46" s="113" t="str">
        <f t="shared" ca="1" si="62"/>
        <v/>
      </c>
      <c r="X46" s="50"/>
      <c r="Y46" s="114" t="s">
        <v>165</v>
      </c>
      <c r="Z46" s="134">
        <f>INDEX($G:$G,MATCH(Z45,$F:$F,0))</f>
        <v>45108</v>
      </c>
      <c r="AA46" s="114" t="s">
        <v>166</v>
      </c>
      <c r="AB46" s="134">
        <f>INDEX($H:$H,MATCH(Z45,$F:$F,0))</f>
        <v>45291</v>
      </c>
      <c r="AC46" s="135">
        <v>1.3</v>
      </c>
      <c r="AD46" s="135">
        <v>1</v>
      </c>
      <c r="AE46" s="134"/>
      <c r="AF46" s="134"/>
      <c r="AH46" s="136" t="s">
        <v>167</v>
      </c>
      <c r="AI46" s="137"/>
      <c r="AJ46" s="137"/>
      <c r="AK46" s="137"/>
      <c r="AL46" s="138"/>
      <c r="AM46" s="137"/>
      <c r="AN46" s="137"/>
      <c r="AO46" s="139"/>
      <c r="AR46" s="50"/>
      <c r="AS46" s="114" t="s">
        <v>165</v>
      </c>
      <c r="AT46" s="134">
        <f>INDEX($G:$G,MATCH(AT45,$F:$F,0))</f>
        <v>44927</v>
      </c>
      <c r="AU46" s="114" t="s">
        <v>166</v>
      </c>
      <c r="AV46" s="134">
        <f>INDEX($H:$H,MATCH(AT45,$F:$F,0))</f>
        <v>45107</v>
      </c>
      <c r="AW46" s="134"/>
      <c r="AY46" s="136" t="s">
        <v>167</v>
      </c>
      <c r="AZ46" s="137"/>
      <c r="BA46" s="137"/>
      <c r="BB46" s="138"/>
      <c r="BC46" s="139"/>
      <c r="BF46" s="50"/>
      <c r="BG46" s="114" t="s">
        <v>159</v>
      </c>
      <c r="BH46" s="115" t="s">
        <v>23</v>
      </c>
      <c r="BI46" s="114" t="s">
        <v>161</v>
      </c>
      <c r="BJ46" s="134" t="str" cm="1">
        <f t="array" ref="BJ46">IF(OR(LOOKUP(2,1/($B$10:$B$14&lt;=BJ45)/($C$10:$C$14&gt;=BJ45),$D$10:$D$14)&lt;&gt;BH49,LOOKUP(2,1/($B$6:$B$7&lt;=BJ45)/($C$6:$C$7&gt;=BJ45),$D$6:$D$7)&lt;&gt;BJ49),"FAIL","PASS")</f>
        <v>PASS</v>
      </c>
      <c r="BK46" s="134" t="s">
        <v>162</v>
      </c>
      <c r="BL46" s="134" t="s">
        <v>162</v>
      </c>
      <c r="BM46" s="134"/>
      <c r="BN46" s="133"/>
      <c r="BO46" s="133"/>
      <c r="BP46" s="133"/>
      <c r="BQ46" s="133"/>
      <c r="BR46" s="133"/>
      <c r="BS46" s="133"/>
      <c r="BT46" s="133"/>
      <c r="BU46" s="133"/>
      <c r="BV46" s="133"/>
      <c r="BW46" s="133"/>
      <c r="BX46" s="133"/>
      <c r="BY46" s="50"/>
      <c r="CO46" s="50"/>
      <c r="CP46" s="114" t="s">
        <v>165</v>
      </c>
      <c r="CQ46" s="134">
        <f>INDEX($G:$G,MATCH(CQ45,$F:$F,0))</f>
        <v>43282</v>
      </c>
      <c r="CR46" s="114" t="s">
        <v>166</v>
      </c>
      <c r="CS46" s="134">
        <f>INDEX($H:$H,MATCH(CQ45,$F:$F,0))</f>
        <v>43646</v>
      </c>
      <c r="CT46" s="135">
        <v>1.25</v>
      </c>
      <c r="CU46" s="135">
        <v>1</v>
      </c>
      <c r="CV46" s="134"/>
      <c r="CX46" s="136" t="s">
        <v>167</v>
      </c>
      <c r="CY46" s="137"/>
      <c r="CZ46" s="137"/>
      <c r="DA46" s="138"/>
      <c r="DB46" s="139"/>
      <c r="DE46" s="50"/>
      <c r="DF46" s="114" t="s">
        <v>165</v>
      </c>
      <c r="DG46" s="134">
        <f>INDEX($G:$G,MATCH(DG45,$F:$F,0))</f>
        <v>43101</v>
      </c>
      <c r="DH46" s="114" t="s">
        <v>166</v>
      </c>
      <c r="DI46" s="134">
        <f>INDEX($H:$H,MATCH(DG45,$F:$F,0))</f>
        <v>43281</v>
      </c>
      <c r="DJ46" s="135">
        <v>1.25</v>
      </c>
      <c r="DK46" s="135">
        <v>1</v>
      </c>
      <c r="DL46" s="134"/>
      <c r="DN46" s="136" t="s">
        <v>167</v>
      </c>
      <c r="DO46" s="137"/>
      <c r="DP46" s="137"/>
      <c r="DQ46" s="137"/>
      <c r="DR46" s="138"/>
      <c r="DS46" s="137"/>
      <c r="DT46" s="137"/>
      <c r="DU46" s="139"/>
      <c r="DX46" s="50"/>
      <c r="DY46" s="114" t="s">
        <v>165</v>
      </c>
      <c r="DZ46" s="115">
        <v>43209</v>
      </c>
      <c r="EA46" s="114" t="s">
        <v>166</v>
      </c>
      <c r="EB46" s="115">
        <v>43573</v>
      </c>
      <c r="EC46" s="135">
        <v>1.35</v>
      </c>
      <c r="ED46" s="135">
        <v>1</v>
      </c>
      <c r="EE46" s="132"/>
      <c r="EG46" s="136" t="s">
        <v>167</v>
      </c>
      <c r="EH46" s="137"/>
      <c r="EI46" s="137"/>
      <c r="EJ46" s="137"/>
      <c r="EK46" s="138"/>
      <c r="EL46" s="137"/>
      <c r="EM46" s="137"/>
      <c r="EN46" s="139"/>
    </row>
    <row r="47" spans="6:144" x14ac:dyDescent="0.25">
      <c r="F47" s="86"/>
      <c r="G47" s="86"/>
      <c r="H47" s="86"/>
      <c r="J47" s="86" t="str" cm="1">
        <f t="array" ref="J47">LOOKUP(2,1/($G$17:$G$33&lt;=$L47)/($H$17:$H$33&gt;=$L47),$F$17:$F$33)</f>
        <v>1H24</v>
      </c>
      <c r="K47" s="86" t="str" cm="1">
        <f t="array" ref="K47">LOOKUP(2,1/($G$6:$G$14&lt;=$L47)/($H$6:$H$14&gt;=$L47),$F$6:$F$14)</f>
        <v>FY24</v>
      </c>
      <c r="L47" s="118">
        <v>45174</v>
      </c>
      <c r="M47" s="49">
        <v>14653323.169323169</v>
      </c>
      <c r="N47" s="49">
        <v>21392386.494894892</v>
      </c>
      <c r="O47" s="50">
        <v>10000000</v>
      </c>
      <c r="P47" s="119" cm="1">
        <f t="array" ref="P47">LOOKUP(2,1/($B$10:$B$14&lt;=$L47)/($C$10:$C$14&gt;=$L47),$D$10:$D$14)</f>
        <v>1.1000000000000001</v>
      </c>
      <c r="Q47" s="120" cm="1">
        <f t="array" ref="Q47">LOOKUP(2,1/($B$17:$B$21&lt;=$L47)/($C$17:$C$21&gt;=$L47),$D$17:$D$21)</f>
        <v>134.49039999999999</v>
      </c>
      <c r="R47" s="113" t="str">
        <f t="shared" si="3"/>
        <v/>
      </c>
      <c r="S47" s="113" t="str">
        <f t="shared" si="4"/>
        <v>1H24</v>
      </c>
      <c r="T47" s="113" t="str">
        <f t="shared" ca="1" si="5"/>
        <v/>
      </c>
      <c r="U47" s="113" t="str">
        <f t="shared" si="6"/>
        <v/>
      </c>
      <c r="V47" s="113" t="str">
        <f t="shared" si="0"/>
        <v>FY24</v>
      </c>
      <c r="W47" s="113" t="str">
        <f t="shared" ca="1" si="62"/>
        <v/>
      </c>
      <c r="X47" s="50"/>
      <c r="Y47" s="114" t="s">
        <v>91</v>
      </c>
      <c r="Z47" s="140" t="e">
        <f>INDEX($O:$O,MATCH(Z45,$U:$U,0))</f>
        <v>#N/A</v>
      </c>
      <c r="AA47" s="114" t="s">
        <v>76</v>
      </c>
      <c r="AB47" s="140" t="e">
        <f ca="1">INDEX($O:$O,MATCH(Z45,$W:$W,0))</f>
        <v>#N/A</v>
      </c>
      <c r="AC47" s="140"/>
      <c r="AD47" s="140"/>
      <c r="AE47" s="140"/>
      <c r="AF47" s="140"/>
      <c r="AH47" s="141" t="s">
        <v>168</v>
      </c>
      <c r="AI47" s="141"/>
      <c r="AJ47" s="142"/>
      <c r="AK47" s="142"/>
      <c r="AL47" s="143" t="s">
        <v>15</v>
      </c>
      <c r="AM47" s="142"/>
      <c r="AN47" s="142"/>
      <c r="AO47" s="144" t="s">
        <v>139</v>
      </c>
      <c r="AR47" s="50"/>
      <c r="AS47" s="114" t="s">
        <v>91</v>
      </c>
      <c r="AT47" s="145">
        <v>20000000</v>
      </c>
      <c r="AU47" s="114" t="s">
        <v>76</v>
      </c>
      <c r="AV47" s="145">
        <v>20000000</v>
      </c>
      <c r="AW47" s="146"/>
      <c r="AY47" s="147" t="s">
        <v>165</v>
      </c>
      <c r="AZ47" s="148">
        <f>AT46</f>
        <v>44927</v>
      </c>
      <c r="BA47" s="142"/>
      <c r="BB47" s="143" t="s">
        <v>15</v>
      </c>
      <c r="BC47" s="144" t="s">
        <v>139</v>
      </c>
      <c r="BF47" s="50"/>
      <c r="BG47" s="114" t="s">
        <v>165</v>
      </c>
      <c r="BH47" s="134">
        <f>INDEX($G:$G,MATCH(BH46,$F:$F,0))</f>
        <v>44743</v>
      </c>
      <c r="BI47" s="114" t="s">
        <v>166</v>
      </c>
      <c r="BJ47" s="134">
        <f>INDEX($H:$H,MATCH(BH46,$F:$F,0))</f>
        <v>45107</v>
      </c>
      <c r="BK47" s="135">
        <v>1.4</v>
      </c>
      <c r="BL47" s="135">
        <v>1</v>
      </c>
      <c r="BM47" s="134"/>
      <c r="BO47" s="136" t="s">
        <v>167</v>
      </c>
      <c r="BP47" s="137"/>
      <c r="BQ47" s="137"/>
      <c r="BR47" s="137"/>
      <c r="BS47" s="138"/>
      <c r="BT47" s="137"/>
      <c r="BU47" s="137"/>
      <c r="BV47" s="139"/>
      <c r="BY47" s="50"/>
      <c r="CO47" s="50"/>
      <c r="CP47" s="114" t="s">
        <v>91</v>
      </c>
      <c r="CQ47" s="140">
        <f>INDEX($O:$O,MATCH(CQ45,$U:$U,0))</f>
        <v>10000000</v>
      </c>
      <c r="CR47" s="114" t="s">
        <v>76</v>
      </c>
      <c r="CS47" s="140">
        <f ca="1">INDEX($O:$O,MATCH(CQ45,$W:$W,0))</f>
        <v>15000000</v>
      </c>
      <c r="CT47" s="140"/>
      <c r="CU47" s="140"/>
      <c r="CV47" s="140"/>
      <c r="CX47" s="147" t="s">
        <v>165</v>
      </c>
      <c r="CY47" s="148">
        <f>CQ46</f>
        <v>43282</v>
      </c>
      <c r="CZ47" s="142"/>
      <c r="DA47" s="143" t="s">
        <v>15</v>
      </c>
      <c r="DB47" s="144" t="s">
        <v>139</v>
      </c>
      <c r="DE47" s="50"/>
      <c r="DF47" s="114" t="s">
        <v>91</v>
      </c>
      <c r="DG47" s="140">
        <f>INDEX($O:$O,MATCH(DG45,$R:$R,0))</f>
        <v>40000000</v>
      </c>
      <c r="DH47" s="114" t="s">
        <v>76</v>
      </c>
      <c r="DI47" s="140">
        <f ca="1">INDEX($O:$O,MATCH(DG45,$T:$T,0))</f>
        <v>40000000</v>
      </c>
      <c r="DJ47" s="140"/>
      <c r="DK47" s="140"/>
      <c r="DL47" s="140"/>
      <c r="DN47" s="147" t="s">
        <v>165</v>
      </c>
      <c r="DO47" s="148">
        <f>DG46</f>
        <v>43101</v>
      </c>
      <c r="DP47" s="142"/>
      <c r="DQ47" s="142"/>
      <c r="DR47" s="143" t="s">
        <v>15</v>
      </c>
      <c r="DS47" s="142"/>
      <c r="DT47" s="142"/>
      <c r="DU47" s="144" t="s">
        <v>139</v>
      </c>
      <c r="DX47" s="50"/>
      <c r="DY47" s="114" t="s">
        <v>91</v>
      </c>
      <c r="DZ47" s="145">
        <v>8000000</v>
      </c>
      <c r="EA47" s="114" t="s">
        <v>76</v>
      </c>
      <c r="EB47" s="145">
        <v>6000000</v>
      </c>
      <c r="EC47" s="140"/>
      <c r="ED47" s="140"/>
      <c r="EE47" s="146"/>
      <c r="EG47" s="141" t="s">
        <v>168</v>
      </c>
      <c r="EH47" s="141"/>
      <c r="EI47" s="2"/>
      <c r="EJ47" s="2"/>
      <c r="EK47" s="149" t="s">
        <v>15</v>
      </c>
      <c r="EL47" s="2"/>
      <c r="EM47" s="2"/>
      <c r="EN47" s="150" t="s">
        <v>139</v>
      </c>
    </row>
    <row r="48" spans="6:144" x14ac:dyDescent="0.25">
      <c r="F48" s="86"/>
      <c r="G48" s="86"/>
      <c r="H48" s="86"/>
      <c r="J48" s="86" t="str" cm="1">
        <f t="array" ref="J48">LOOKUP(2,1/($G$17:$G$33&lt;=$L48)/($H$17:$H$33&gt;=$L48),$F$17:$F$33)</f>
        <v>1H24</v>
      </c>
      <c r="K48" s="86" t="str" cm="1">
        <f t="array" ref="K48">LOOKUP(2,1/($G$6:$G$14&lt;=$L48)/($H$6:$H$14&gt;=$L48),$F$6:$F$14)</f>
        <v>FY24</v>
      </c>
      <c r="L48" s="118">
        <v>45167</v>
      </c>
      <c r="M48" s="49">
        <v>9293070.4550704546</v>
      </c>
      <c r="N48" s="49">
        <v>13566953.557357356</v>
      </c>
      <c r="O48" s="50">
        <v>5000000</v>
      </c>
      <c r="P48" s="119" cm="1">
        <f t="array" ref="P48">LOOKUP(2,1/($B$10:$B$14&lt;=$L48)/($C$10:$C$14&gt;=$L48),$D$10:$D$14)</f>
        <v>1.1000000000000001</v>
      </c>
      <c r="Q48" s="120" cm="1">
        <f t="array" ref="Q48">LOOKUP(2,1/($B$17:$B$21&lt;=$L48)/($C$17:$C$21&gt;=$L48),$D$17:$D$21)</f>
        <v>134.49039999999999</v>
      </c>
      <c r="R48" s="113" t="str">
        <f t="shared" si="3"/>
        <v/>
      </c>
      <c r="S48" s="113" t="str">
        <f t="shared" si="4"/>
        <v>1H24</v>
      </c>
      <c r="T48" s="113" t="str">
        <f t="shared" ca="1" si="5"/>
        <v/>
      </c>
      <c r="U48" s="113" t="str">
        <f t="shared" si="6"/>
        <v/>
      </c>
      <c r="V48" s="113" t="str">
        <f t="shared" si="0"/>
        <v>FY24</v>
      </c>
      <c r="W48" s="113" t="str">
        <f t="shared" ca="1" si="62"/>
        <v/>
      </c>
      <c r="X48" s="50"/>
      <c r="Y48" s="114" t="s">
        <v>169</v>
      </c>
      <c r="Z48" s="135">
        <v>1.2</v>
      </c>
      <c r="AA48" s="114" t="s">
        <v>149</v>
      </c>
      <c r="AB48" s="162">
        <f>9.3%*13/52+10.3%*39/52</f>
        <v>0.10050000000000001</v>
      </c>
      <c r="AC48" s="152" t="s">
        <v>170</v>
      </c>
      <c r="AD48" s="152" t="s">
        <v>171</v>
      </c>
      <c r="AE48" s="152"/>
      <c r="AF48" s="152"/>
      <c r="AH48" s="153" t="s">
        <v>165</v>
      </c>
      <c r="AI48" s="148">
        <f>Z46</f>
        <v>45108</v>
      </c>
      <c r="AJ48" s="154"/>
      <c r="AK48" s="154"/>
      <c r="AL48" s="155">
        <f t="shared" ref="AL48:AL57" si="63">Z51/1000000</f>
        <v>2</v>
      </c>
      <c r="AM48" s="154"/>
      <c r="AN48" s="154"/>
      <c r="AO48" s="156">
        <f t="shared" ref="AO48:AO57" si="64">MAX(AA51:AB51)/1000000</f>
        <v>8.5413024991805955</v>
      </c>
      <c r="AR48" s="50"/>
      <c r="AS48" s="114" t="s">
        <v>169</v>
      </c>
      <c r="AT48" s="119" cm="1">
        <f t="array" ref="AT48">LOOKUP(2,1/($B$10:$B$14&lt;=AT44)/($C$10:$C$14&gt;=AT44),$D$10:$D$14)</f>
        <v>1.1000000000000001</v>
      </c>
      <c r="AU48" s="114" t="s">
        <v>149</v>
      </c>
      <c r="AV48" s="152" cm="1">
        <f t="array" ref="AV48">LOOKUP(2,1/($B$6:$B$7&lt;=AT44)/($C$6:$C$7&gt;=AT44),$D$6:$D$7)</f>
        <v>0.10299999999999999</v>
      </c>
      <c r="AW48" s="157"/>
      <c r="AY48" s="153" t="s">
        <v>166</v>
      </c>
      <c r="AZ48" s="158">
        <f>AV46</f>
        <v>45107</v>
      </c>
      <c r="BA48" s="154"/>
      <c r="BB48" s="155">
        <f>AT51/1000000</f>
        <v>4</v>
      </c>
      <c r="BC48" s="156" t="e">
        <f>MAX(AU51:AV51)/1000000</f>
        <v>#DIV/0!</v>
      </c>
      <c r="BF48" s="50"/>
      <c r="BG48" s="114" t="s">
        <v>91</v>
      </c>
      <c r="BH48" s="140">
        <f>INDEX($O:$O,MATCH(BH46,$U:$U,0))</f>
        <v>30000000</v>
      </c>
      <c r="BI48" s="114" t="s">
        <v>76</v>
      </c>
      <c r="BJ48" s="140">
        <f ca="1">INDEX($O:$O,MATCH(BH46,$W:$W,0))</f>
        <v>5000000</v>
      </c>
      <c r="BK48" s="140"/>
      <c r="BL48" s="140"/>
      <c r="BM48" s="140"/>
      <c r="BO48" s="141" t="s">
        <v>168</v>
      </c>
      <c r="BP48" s="141"/>
      <c r="BQ48" s="2"/>
      <c r="BR48" s="2"/>
      <c r="BS48" s="149" t="s">
        <v>15</v>
      </c>
      <c r="BT48" s="2"/>
      <c r="BU48" s="2"/>
      <c r="BV48" s="150" t="s">
        <v>139</v>
      </c>
      <c r="BY48" s="50"/>
      <c r="CO48" s="50"/>
      <c r="CP48" s="114" t="s">
        <v>169</v>
      </c>
      <c r="CQ48" s="119" cm="1">
        <f t="array" ref="CQ48">LOOKUP(2,1/($B$10:$B$14&lt;=CQ44)/($C$10:$C$14&gt;=CQ44),$D$10:$D$14)</f>
        <v>1.1000000000000001</v>
      </c>
      <c r="CR48" s="114" t="s">
        <v>149</v>
      </c>
      <c r="CS48" s="152" cm="1">
        <f t="array" ref="CS48">LOOKUP(2,1/($B$6:$B$7&lt;=CQ44)/($C$6:$C$7&gt;=CQ44),$D$6:$D$7)</f>
        <v>9.2999999999999999E-2</v>
      </c>
      <c r="CT48" s="152" t="s">
        <v>170</v>
      </c>
      <c r="CU48" s="152" t="s">
        <v>171</v>
      </c>
      <c r="CV48" s="152"/>
      <c r="CX48" s="153" t="s">
        <v>166</v>
      </c>
      <c r="CY48" s="158">
        <f>CS46</f>
        <v>43646</v>
      </c>
      <c r="CZ48" s="154"/>
      <c r="DA48" s="155">
        <f>CQ51/1000000</f>
        <v>3</v>
      </c>
      <c r="DB48" s="156" t="e">
        <f>MAX(CR51:CS51)/1000000</f>
        <v>#DIV/0!</v>
      </c>
      <c r="DE48" s="50"/>
      <c r="DF48" s="114" t="s">
        <v>169</v>
      </c>
      <c r="DG48" s="119" cm="1">
        <f t="array" ref="DG48">LOOKUP(2,1/($B$10:$B$14&lt;=DG44)/($C$10:$C$14&gt;=DG44),$D$10:$D$14)</f>
        <v>0.85</v>
      </c>
      <c r="DH48" s="114" t="s">
        <v>149</v>
      </c>
      <c r="DI48" s="152" cm="1">
        <f t="array" ref="DI48">LOOKUP(2,1/($B$6:$B$7&lt;=DG44)/($C$6:$C$7&gt;=DG44),$D$6:$D$7)</f>
        <v>9.2999999999999999E-2</v>
      </c>
      <c r="DJ48" s="152" t="s">
        <v>170</v>
      </c>
      <c r="DK48" s="152" t="s">
        <v>171</v>
      </c>
      <c r="DL48" s="152"/>
      <c r="DN48" s="153" t="s">
        <v>166</v>
      </c>
      <c r="DO48" s="158">
        <f>DI46</f>
        <v>43281</v>
      </c>
      <c r="DP48" s="154"/>
      <c r="DQ48" s="154"/>
      <c r="DR48" s="155">
        <f>DG51/1000000</f>
        <v>3</v>
      </c>
      <c r="DS48" s="154"/>
      <c r="DT48" s="154"/>
      <c r="DU48" s="156" t="e">
        <f>MAX(DH51:DI51)/1000000</f>
        <v>#DIV/0!</v>
      </c>
      <c r="DX48" s="50"/>
      <c r="DY48" s="114" t="s">
        <v>169</v>
      </c>
      <c r="DZ48" s="119" cm="1">
        <f t="array" ref="DZ48">LOOKUP(2,1/($B$10:$B$14&lt;=DZ44)/($C$10:$C$14&gt;=DZ44),$D$10:$D$14)</f>
        <v>1.1000000000000001</v>
      </c>
      <c r="EA48" s="114" t="s">
        <v>149</v>
      </c>
      <c r="EB48" s="152" cm="1">
        <f t="array" ref="EB48">LOOKUP(2,1/($B$6:$B$7&lt;=DZ44)/($C$6:$C$7&gt;=DZ44),$D$6:$D$7)</f>
        <v>9.2999999999999999E-2</v>
      </c>
      <c r="EC48" s="152" t="s">
        <v>170</v>
      </c>
      <c r="ED48" s="152" t="s">
        <v>171</v>
      </c>
      <c r="EE48" s="152"/>
      <c r="EG48" s="153" t="s">
        <v>165</v>
      </c>
      <c r="EH48" s="158">
        <f>DZ46</f>
        <v>43209</v>
      </c>
      <c r="EI48" s="154"/>
      <c r="EJ48" s="154"/>
      <c r="EK48" s="155">
        <f t="shared" ref="EK48:EK57" si="65">DZ51/1000000</f>
        <v>3</v>
      </c>
      <c r="EL48" s="154"/>
      <c r="EM48" s="154"/>
      <c r="EN48" s="156" t="e">
        <f t="shared" ref="EN48:EN57" si="66">MAX(EA51:EB51)/1000000</f>
        <v>#DIV/0!</v>
      </c>
    </row>
    <row r="49" spans="10:144" x14ac:dyDescent="0.25">
      <c r="J49" s="86" t="str" cm="1">
        <f t="array" ref="J49">LOOKUP(2,1/($G$17:$G$33&lt;=$L49)/($H$17:$H$33&gt;=$L49),$F$17:$F$33)</f>
        <v>1H24</v>
      </c>
      <c r="K49" s="86" t="str" cm="1">
        <f t="array" ref="K49">LOOKUP(2,1/($G$6:$G$14&lt;=$L49)/($H$6:$H$14&gt;=$L49),$F$6:$F$14)</f>
        <v>FY24</v>
      </c>
      <c r="L49" s="118">
        <v>45160</v>
      </c>
      <c r="M49" s="49">
        <v>8680352.275352275</v>
      </c>
      <c r="N49" s="49">
        <v>12672446.286786785</v>
      </c>
      <c r="O49" s="50">
        <v>3000000</v>
      </c>
      <c r="P49" s="119" cm="1">
        <f t="array" ref="P49">LOOKUP(2,1/($B$10:$B$14&lt;=$L49)/($C$10:$C$14&gt;=$L49),$D$10:$D$14)</f>
        <v>1.1000000000000001</v>
      </c>
      <c r="Q49" s="120" cm="1">
        <f t="array" ref="Q49">LOOKUP(2,1/($B$17:$B$21&lt;=$L49)/($C$17:$C$21&gt;=$L49),$D$17:$D$21)</f>
        <v>134.49039999999999</v>
      </c>
      <c r="R49" s="113" t="str">
        <f t="shared" si="3"/>
        <v/>
      </c>
      <c r="S49" s="113" t="str">
        <f t="shared" si="4"/>
        <v>1H24</v>
      </c>
      <c r="T49" s="113" t="str">
        <f t="shared" ca="1" si="5"/>
        <v/>
      </c>
      <c r="U49" s="113" t="str">
        <f t="shared" si="6"/>
        <v/>
      </c>
      <c r="V49" s="113" t="str">
        <f t="shared" si="0"/>
        <v>FY24</v>
      </c>
      <c r="W49" s="113" t="str">
        <f t="shared" ca="1" si="62"/>
        <v/>
      </c>
      <c r="X49" s="50"/>
      <c r="Y49" s="114" t="s">
        <v>172</v>
      </c>
      <c r="Z49" s="119" cm="1">
        <f t="array" ref="Z49">LOOKUP(2,1/($B$17:$B$21&lt;=Z44)/($C$17:$C$21&gt;=Z44),$D$17:$D$21)</f>
        <v>134.49039999999999</v>
      </c>
      <c r="AA49" s="114" t="s">
        <v>0</v>
      </c>
      <c r="AB49" s="161">
        <v>1</v>
      </c>
      <c r="AC49" s="162">
        <v>1</v>
      </c>
      <c r="AD49" s="162">
        <f>1-AC49</f>
        <v>0</v>
      </c>
      <c r="AH49" s="153" t="s">
        <v>166</v>
      </c>
      <c r="AI49" s="158">
        <f>AB46</f>
        <v>45291</v>
      </c>
      <c r="AJ49" s="154"/>
      <c r="AK49" s="154"/>
      <c r="AL49" s="155">
        <f t="shared" si="63"/>
        <v>5</v>
      </c>
      <c r="AM49" s="154"/>
      <c r="AN49" s="154"/>
      <c r="AO49" s="156">
        <f t="shared" si="64"/>
        <v>10.423223271688981</v>
      </c>
      <c r="AR49" s="50"/>
      <c r="AS49" s="114" t="s">
        <v>172</v>
      </c>
      <c r="AT49" s="119" cm="1">
        <f t="array" ref="AT49">LOOKUP(2,1/($B$17:$B$21&lt;=AT44)/($C$17:$C$21&gt;=AT44),$D$17:$D$21)</f>
        <v>134.49039999999999</v>
      </c>
      <c r="AU49" s="114" t="s">
        <v>0</v>
      </c>
      <c r="AV49" s="135">
        <v>0.95</v>
      </c>
      <c r="AY49" s="153" t="s">
        <v>91</v>
      </c>
      <c r="AZ49" s="155">
        <f>AT47/1000000</f>
        <v>20</v>
      </c>
      <c r="BA49" s="154"/>
      <c r="BB49" s="155">
        <f t="shared" ref="BB49:BB57" si="67">AT52/1000000</f>
        <v>8</v>
      </c>
      <c r="BC49" s="156" t="e">
        <f t="shared" ref="BC49:BC56" si="68">MAX(AU52:AV52)/1000000</f>
        <v>#DIV/0!</v>
      </c>
      <c r="BF49" s="50"/>
      <c r="BG49" s="114" t="s">
        <v>169</v>
      </c>
      <c r="BH49" s="119" cm="1">
        <f t="array" ref="BH49">LOOKUP(2,1/($B$10:$B$14&lt;=BH45)/($C$10:$C$14&gt;=BH45),$D$10:$D$14)</f>
        <v>1.1000000000000001</v>
      </c>
      <c r="BI49" s="114" t="s">
        <v>149</v>
      </c>
      <c r="BJ49" s="152" cm="1">
        <f t="array" ref="BJ49">LOOKUP(2,1/($B$6:$B$7&lt;=BH45)/($C$6:$C$7&gt;=BH45),$D$6:$D$7)</f>
        <v>0.10299999999999999</v>
      </c>
      <c r="BK49" s="152" t="s">
        <v>170</v>
      </c>
      <c r="BL49" s="152" t="s">
        <v>171</v>
      </c>
      <c r="BM49" s="152"/>
      <c r="BO49" s="153" t="s">
        <v>165</v>
      </c>
      <c r="BP49" s="158">
        <f>BH47</f>
        <v>44743</v>
      </c>
      <c r="BQ49" s="154"/>
      <c r="BR49" s="154"/>
      <c r="BS49" s="155">
        <f t="shared" ref="BS49:BS58" si="69">BH52/1000000</f>
        <v>8</v>
      </c>
      <c r="BT49" s="154"/>
      <c r="BU49" s="154"/>
      <c r="BV49" s="156" t="e">
        <f t="shared" ref="BV49:BV58" si="70">MAX(BI52:BJ52)/1000000</f>
        <v>#DIV/0!</v>
      </c>
      <c r="BY49" s="50"/>
      <c r="CO49" s="50"/>
      <c r="CP49" s="114" t="s">
        <v>172</v>
      </c>
      <c r="CQ49" s="119" cm="1">
        <f t="array" ref="CQ49">LOOKUP(2,1/($B$17:$B$21&lt;=CQ44)/($C$17:$C$21&gt;=CQ44),$D$17:$D$21)</f>
        <v>134.49039999999999</v>
      </c>
      <c r="CR49" s="114" t="s">
        <v>173</v>
      </c>
      <c r="CS49" s="163">
        <f>INT((WEEKDAY(CQ44-5)-CQ44+CS44)/7)/INT((WEEKDAY(CQ46-5)-CQ46+CS46)/7)</f>
        <v>1</v>
      </c>
      <c r="CT49" s="162">
        <v>1</v>
      </c>
      <c r="CU49" s="162">
        <f>1-CT49</f>
        <v>0</v>
      </c>
      <c r="CV49" s="163"/>
      <c r="CX49" s="153" t="s">
        <v>91</v>
      </c>
      <c r="CY49" s="155">
        <f>CQ47/1000000</f>
        <v>10</v>
      </c>
      <c r="CZ49" s="154"/>
      <c r="DA49" s="155">
        <f t="shared" ref="DA49:DA57" si="71">CQ52/1000000</f>
        <v>8</v>
      </c>
      <c r="DB49" s="156" t="e">
        <f t="shared" ref="DB49:DB57" si="72">MAX(CR52:CS52)/1000000</f>
        <v>#DIV/0!</v>
      </c>
      <c r="DE49" s="50"/>
      <c r="DF49" s="114" t="s">
        <v>172</v>
      </c>
      <c r="DG49" s="119" cm="1">
        <f t="array" ref="DG49">LOOKUP(2,1/($B$17:$B$21&lt;=DG44)/($C$17:$C$21&gt;=DG44),$D$17:$D$21)</f>
        <v>76.767600000000002</v>
      </c>
      <c r="DH49" s="114" t="s">
        <v>173</v>
      </c>
      <c r="DI49" s="163">
        <f>INT((WEEKDAY(DG44-5)-DG44+DI44)/7)/INT((WEEKDAY(DG46-5)-DG46+DI46)/7)</f>
        <v>0.42307692307692307</v>
      </c>
      <c r="DJ49" s="162">
        <v>1</v>
      </c>
      <c r="DK49" s="162">
        <f>1-DJ49</f>
        <v>0</v>
      </c>
      <c r="DL49" s="163"/>
      <c r="DN49" s="153" t="s">
        <v>91</v>
      </c>
      <c r="DO49" s="155">
        <f>DG47/1000000</f>
        <v>40</v>
      </c>
      <c r="DP49" s="154"/>
      <c r="DQ49" s="154"/>
      <c r="DR49" s="155">
        <f t="shared" ref="DR49:DR57" si="73">DG52/1000000</f>
        <v>8</v>
      </c>
      <c r="DS49" s="154"/>
      <c r="DT49" s="154"/>
      <c r="DU49" s="156" t="e">
        <f t="shared" ref="DU49:DU57" si="74">MAX(DH52:DI52)/1000000</f>
        <v>#DIV/0!</v>
      </c>
      <c r="DX49" s="50"/>
      <c r="DY49" s="114" t="s">
        <v>172</v>
      </c>
      <c r="DZ49" s="119" cm="1">
        <f t="array" ref="DZ49">LOOKUP(2,1/($B$17:$B$21&lt;=DZ44)/($C$17:$C$21&gt;=DZ44),$D$17:$D$21)</f>
        <v>134.49039999999999</v>
      </c>
      <c r="EA49" s="114" t="s">
        <v>0</v>
      </c>
      <c r="EB49" s="135">
        <v>1</v>
      </c>
      <c r="EC49" s="162">
        <v>1</v>
      </c>
      <c r="ED49" s="162">
        <f>1-EC49</f>
        <v>0</v>
      </c>
      <c r="EE49" s="164"/>
      <c r="EG49" s="153" t="s">
        <v>166</v>
      </c>
      <c r="EH49" s="158">
        <f>EB46</f>
        <v>43573</v>
      </c>
      <c r="EI49" s="154"/>
      <c r="EJ49" s="154"/>
      <c r="EK49" s="155">
        <f t="shared" si="65"/>
        <v>8</v>
      </c>
      <c r="EL49" s="154"/>
      <c r="EM49" s="154"/>
      <c r="EN49" s="156" t="e">
        <f t="shared" si="66"/>
        <v>#DIV/0!</v>
      </c>
    </row>
    <row r="50" spans="10:144" x14ac:dyDescent="0.25">
      <c r="J50" s="86" t="str" cm="1">
        <f t="array" ref="J50">LOOKUP(2,1/($G$17:$G$33&lt;=$L50)/($H$17:$H$33&gt;=$L50),$F$17:$F$33)</f>
        <v>1H24</v>
      </c>
      <c r="K50" s="86" t="str" cm="1">
        <f t="array" ref="K50">LOOKUP(2,1/($G$6:$G$14&lt;=$L50)/($H$6:$H$14&gt;=$L50),$F$6:$F$14)</f>
        <v>FY24</v>
      </c>
      <c r="L50" s="118">
        <v>45153</v>
      </c>
      <c r="M50" s="49">
        <v>29189057.750057742</v>
      </c>
      <c r="N50" s="49">
        <v>42613105.409309298</v>
      </c>
      <c r="O50" s="50">
        <v>30000000</v>
      </c>
      <c r="P50" s="119" cm="1">
        <f t="array" ref="P50">LOOKUP(2,1/($B$10:$B$14&lt;=$L50)/($C$10:$C$14&gt;=$L50),$D$10:$D$14)</f>
        <v>1.1000000000000001</v>
      </c>
      <c r="Q50" s="120" cm="1">
        <f t="array" ref="Q50">LOOKUP(2,1/($B$17:$B$21&lt;=$L50)/($C$17:$C$21&gt;=$L50),$D$17:$D$21)</f>
        <v>134.49039999999999</v>
      </c>
      <c r="R50" s="113" t="str">
        <f t="shared" si="3"/>
        <v/>
      </c>
      <c r="S50" s="113" t="str">
        <f t="shared" si="4"/>
        <v>1H24</v>
      </c>
      <c r="T50" s="113" t="str">
        <f t="shared" ca="1" si="5"/>
        <v/>
      </c>
      <c r="U50" s="113" t="str">
        <f t="shared" si="6"/>
        <v/>
      </c>
      <c r="V50" s="113" t="str">
        <f t="shared" si="0"/>
        <v>FY24</v>
      </c>
      <c r="W50" s="113" t="str">
        <f t="shared" ca="1" si="62"/>
        <v/>
      </c>
      <c r="X50" s="50"/>
      <c r="Y50" s="111" t="s">
        <v>174</v>
      </c>
      <c r="Z50" s="111" t="s">
        <v>175</v>
      </c>
      <c r="AA50" s="111" t="s">
        <v>176</v>
      </c>
      <c r="AB50" s="111" t="s">
        <v>177</v>
      </c>
      <c r="AC50" s="111" t="s">
        <v>178</v>
      </c>
      <c r="AD50" s="111" t="s">
        <v>179</v>
      </c>
      <c r="AE50" s="111" t="s">
        <v>180</v>
      </c>
      <c r="AF50" s="37"/>
      <c r="AH50" s="153" t="s">
        <v>169</v>
      </c>
      <c r="AI50" s="165">
        <f>Z48</f>
        <v>1.2</v>
      </c>
      <c r="AJ50" s="154"/>
      <c r="AK50" s="154"/>
      <c r="AL50" s="155">
        <f t="shared" si="63"/>
        <v>10</v>
      </c>
      <c r="AM50" s="154"/>
      <c r="AN50" s="154"/>
      <c r="AO50" s="156">
        <f t="shared" si="64"/>
        <v>15.025692310270854</v>
      </c>
      <c r="AR50" s="50"/>
      <c r="AS50" s="111" t="s">
        <v>174</v>
      </c>
      <c r="AT50" s="111" t="s">
        <v>175</v>
      </c>
      <c r="AU50" s="111" t="s">
        <v>176</v>
      </c>
      <c r="AV50" s="111" t="s">
        <v>177</v>
      </c>
      <c r="AW50" s="111" t="s">
        <v>180</v>
      </c>
      <c r="AY50" s="153" t="s">
        <v>76</v>
      </c>
      <c r="AZ50" s="155">
        <f>AV47/1000000</f>
        <v>20</v>
      </c>
      <c r="BA50" s="154"/>
      <c r="BB50" s="155">
        <f t="shared" si="67"/>
        <v>20</v>
      </c>
      <c r="BC50" s="156">
        <f t="shared" si="68"/>
        <v>20.118484892784203</v>
      </c>
      <c r="BF50" s="50"/>
      <c r="BG50" s="114" t="s">
        <v>172</v>
      </c>
      <c r="BH50" s="119" cm="1">
        <f t="array" ref="BH50">LOOKUP(2,1/($B$17:$B$21&lt;=BH45)/($C$17:$C$21&gt;=BH45),$D$17:$D$21)</f>
        <v>134.49039999999999</v>
      </c>
      <c r="BK50" s="162">
        <v>1</v>
      </c>
      <c r="BL50" s="162">
        <f>1-BK50</f>
        <v>0</v>
      </c>
      <c r="BO50" s="153" t="s">
        <v>166</v>
      </c>
      <c r="BP50" s="158">
        <f>BJ47</f>
        <v>45107</v>
      </c>
      <c r="BQ50" s="154"/>
      <c r="BR50" s="154"/>
      <c r="BS50" s="155">
        <f t="shared" si="69"/>
        <v>20</v>
      </c>
      <c r="BT50" s="154"/>
      <c r="BU50" s="154"/>
      <c r="BV50" s="156">
        <f t="shared" si="70"/>
        <v>20.463382076809623</v>
      </c>
      <c r="BY50" s="50"/>
      <c r="CO50" s="50"/>
      <c r="CP50" s="111" t="s">
        <v>174</v>
      </c>
      <c r="CQ50" s="111" t="s">
        <v>175</v>
      </c>
      <c r="CR50" s="111" t="s">
        <v>176</v>
      </c>
      <c r="CS50" s="111" t="s">
        <v>177</v>
      </c>
      <c r="CT50" s="111" t="s">
        <v>178</v>
      </c>
      <c r="CU50" s="111" t="s">
        <v>179</v>
      </c>
      <c r="CV50" s="111" t="s">
        <v>180</v>
      </c>
      <c r="CX50" s="153" t="s">
        <v>76</v>
      </c>
      <c r="CY50" s="155">
        <f ca="1">CS47/1000000</f>
        <v>15</v>
      </c>
      <c r="CZ50" s="154"/>
      <c r="DA50" s="155">
        <f t="shared" si="71"/>
        <v>12</v>
      </c>
      <c r="DB50" s="156" t="e">
        <f t="shared" si="72"/>
        <v>#DIV/0!</v>
      </c>
      <c r="DE50" s="50"/>
      <c r="DF50" s="111" t="s">
        <v>174</v>
      </c>
      <c r="DG50" s="111" t="s">
        <v>175</v>
      </c>
      <c r="DH50" s="111" t="s">
        <v>176</v>
      </c>
      <c r="DI50" s="111" t="s">
        <v>177</v>
      </c>
      <c r="DJ50" s="111" t="s">
        <v>178</v>
      </c>
      <c r="DK50" s="111" t="s">
        <v>179</v>
      </c>
      <c r="DL50" s="111" t="s">
        <v>180</v>
      </c>
      <c r="DN50" s="153" t="s">
        <v>76</v>
      </c>
      <c r="DO50" s="155">
        <f ca="1">DI47/1000000</f>
        <v>40</v>
      </c>
      <c r="DP50" s="154"/>
      <c r="DQ50" s="154"/>
      <c r="DR50" s="155">
        <f t="shared" si="73"/>
        <v>12</v>
      </c>
      <c r="DS50" s="154"/>
      <c r="DT50" s="154"/>
      <c r="DU50" s="156" t="e">
        <f t="shared" si="74"/>
        <v>#DIV/0!</v>
      </c>
      <c r="DX50" s="50"/>
      <c r="DY50" s="111" t="s">
        <v>174</v>
      </c>
      <c r="DZ50" s="111" t="s">
        <v>175</v>
      </c>
      <c r="EA50" s="111" t="s">
        <v>176</v>
      </c>
      <c r="EB50" s="111" t="s">
        <v>177</v>
      </c>
      <c r="EC50" s="111" t="s">
        <v>178</v>
      </c>
      <c r="ED50" s="111" t="s">
        <v>179</v>
      </c>
      <c r="EE50" s="111" t="s">
        <v>180</v>
      </c>
      <c r="EG50" s="153" t="s">
        <v>169</v>
      </c>
      <c r="EH50" s="165">
        <f>DZ48</f>
        <v>1.1000000000000001</v>
      </c>
      <c r="EI50" s="154"/>
      <c r="EJ50" s="154"/>
      <c r="EK50" s="155">
        <f t="shared" si="65"/>
        <v>12</v>
      </c>
      <c r="EL50" s="154"/>
      <c r="EM50" s="154"/>
      <c r="EN50" s="156" t="e">
        <f t="shared" si="66"/>
        <v>#DIV/0!</v>
      </c>
    </row>
    <row r="51" spans="10:144" x14ac:dyDescent="0.25">
      <c r="J51" s="86" t="str" cm="1">
        <f t="array" ref="J51">LOOKUP(2,1/($G$17:$G$33&lt;=$L51)/($H$17:$H$33&gt;=$L51),$F$17:$F$33)</f>
        <v>1H24</v>
      </c>
      <c r="K51" s="86" t="str" cm="1">
        <f t="array" ref="K51">LOOKUP(2,1/($G$6:$G$14&lt;=$L51)/($H$6:$H$14&gt;=$L51),$F$6:$F$14)</f>
        <v>FY24</v>
      </c>
      <c r="L51" s="118">
        <v>45146</v>
      </c>
      <c r="M51" s="49">
        <v>22289923.538923535</v>
      </c>
      <c r="N51" s="49">
        <v>32541059.37447447</v>
      </c>
      <c r="O51" s="50">
        <v>20000000</v>
      </c>
      <c r="P51" s="119" cm="1">
        <f t="array" ref="P51">LOOKUP(2,1/($B$10:$B$14&lt;=$L51)/($C$10:$C$14&gt;=$L51),$D$10:$D$14)</f>
        <v>1.1000000000000001</v>
      </c>
      <c r="Q51" s="120" cm="1">
        <f t="array" ref="Q51">LOOKUP(2,1/($B$17:$B$21&lt;=$L51)/($C$17:$C$21&gt;=$L51),$D$17:$D$21)</f>
        <v>134.49039999999999</v>
      </c>
      <c r="R51" s="113" t="str">
        <f t="shared" si="3"/>
        <v/>
      </c>
      <c r="S51" s="113" t="str">
        <f t="shared" si="4"/>
        <v>1H24</v>
      </c>
      <c r="T51" s="113" t="str">
        <f t="shared" ca="1" si="5"/>
        <v/>
      </c>
      <c r="U51" s="113" t="str">
        <f t="shared" si="6"/>
        <v/>
      </c>
      <c r="V51" s="113" t="str">
        <f t="shared" si="0"/>
        <v>FY24</v>
      </c>
      <c r="W51" s="113" t="str">
        <f t="shared" ca="1" si="62"/>
        <v/>
      </c>
      <c r="X51" s="50"/>
      <c r="Y51" s="146">
        <v>1</v>
      </c>
      <c r="Z51" s="166">
        <v>2000000</v>
      </c>
      <c r="AA51" s="167">
        <f t="shared" ref="AA51:AA57" si="75">AVERAGEIFS($M:$M,$L:$L,"&gt;="&amp;Z$44,$L:$L,"&lt;="&amp;AB$44,$O:$O,"="&amp;Z51)*AB$49</f>
        <v>8541302.4991805963</v>
      </c>
      <c r="AB51" s="168"/>
      <c r="AC51" s="145">
        <v>8758799.9999999981</v>
      </c>
      <c r="AD51" s="168"/>
      <c r="AE51" s="167">
        <f t="shared" ref="AE51:AE57" si="76">COUNTIFS($L:$L,"&gt;="&amp;Z$44,$L:$L,"&lt;="&amp;AB$44,$O:$O,"="&amp;Z51)</f>
        <v>15</v>
      </c>
      <c r="AF51" s="167"/>
      <c r="AH51" s="153" t="s">
        <v>149</v>
      </c>
      <c r="AI51" s="169">
        <f>AB48</f>
        <v>0.10050000000000001</v>
      </c>
      <c r="AJ51" s="154"/>
      <c r="AK51" s="154"/>
      <c r="AL51" s="155">
        <f t="shared" si="63"/>
        <v>15</v>
      </c>
      <c r="AM51" s="154"/>
      <c r="AN51" s="154"/>
      <c r="AO51" s="156">
        <f t="shared" si="64"/>
        <v>19.989514749262536</v>
      </c>
      <c r="AR51" s="50"/>
      <c r="AS51" s="146">
        <v>1</v>
      </c>
      <c r="AT51" s="166">
        <v>4000000</v>
      </c>
      <c r="AU51" s="167" t="e">
        <f t="shared" ref="AU51:AU56" si="77">AVERAGEIFS($M:$M,$L:$L,"&gt;="&amp;AT$44,$L:$L,"&lt;="&amp;AV$44,$O:$O,"="&amp;AT51)*AV$49</f>
        <v>#DIV/0!</v>
      </c>
      <c r="AV51" s="168"/>
      <c r="AW51" s="167">
        <f t="shared" ref="AW51:AW57" si="78">COUNTIFS($L:$L,"&gt;="&amp;AT$6,$L:$L,"&lt;="&amp;AV$6,$O:$O,"="&amp;$AT51)</f>
        <v>0</v>
      </c>
      <c r="AY51" s="153" t="s">
        <v>169</v>
      </c>
      <c r="AZ51" s="165">
        <f>AT48</f>
        <v>1.1000000000000001</v>
      </c>
      <c r="BA51" s="154"/>
      <c r="BB51" s="155">
        <f t="shared" si="67"/>
        <v>40</v>
      </c>
      <c r="BC51" s="156" t="e">
        <f t="shared" si="68"/>
        <v>#DIV/0!</v>
      </c>
      <c r="BF51" s="50"/>
      <c r="BG51" s="111" t="s">
        <v>174</v>
      </c>
      <c r="BH51" s="111" t="s">
        <v>175</v>
      </c>
      <c r="BI51" s="111" t="s">
        <v>176</v>
      </c>
      <c r="BJ51" s="111" t="s">
        <v>177</v>
      </c>
      <c r="BK51" s="111" t="s">
        <v>178</v>
      </c>
      <c r="BL51" s="111" t="s">
        <v>179</v>
      </c>
      <c r="BM51" s="111" t="s">
        <v>180</v>
      </c>
      <c r="BO51" s="153" t="s">
        <v>169</v>
      </c>
      <c r="BP51" s="165">
        <f>BH49</f>
        <v>1.1000000000000001</v>
      </c>
      <c r="BQ51" s="154"/>
      <c r="BR51" s="154"/>
      <c r="BS51" s="155">
        <f t="shared" si="69"/>
        <v>30</v>
      </c>
      <c r="BT51" s="154"/>
      <c r="BU51" s="154"/>
      <c r="BV51" s="156">
        <f t="shared" si="70"/>
        <v>26.613097572044477</v>
      </c>
      <c r="BY51" s="50"/>
      <c r="CO51" s="50"/>
      <c r="CP51" s="146">
        <v>1</v>
      </c>
      <c r="CQ51" s="166">
        <v>3000000</v>
      </c>
      <c r="CR51" s="168" t="e">
        <f t="shared" ref="CR51:CR59" si="79">AVERAGEIFS($M:$M,$L:$L,"&gt;="&amp;CQ$44,$L:$L,"&lt;="&amp;CS$44,$O:$O,"="&amp;CQ51)</f>
        <v>#DIV/0!</v>
      </c>
      <c r="CS51" s="168"/>
      <c r="CT51" s="168"/>
      <c r="CU51" s="168"/>
      <c r="CV51" s="167">
        <f t="shared" ref="CV51:CV59" si="80">COUNTIFS($L:$L,"&gt;="&amp;CQ$44,$L:$L,"&lt;="&amp;CS$44,$O:$O,"="&amp;CQ51)</f>
        <v>0</v>
      </c>
      <c r="CX51" s="153" t="s">
        <v>169</v>
      </c>
      <c r="CY51" s="165">
        <f>CQ48</f>
        <v>1.1000000000000001</v>
      </c>
      <c r="CZ51" s="154"/>
      <c r="DA51" s="155">
        <f t="shared" si="71"/>
        <v>20</v>
      </c>
      <c r="DB51" s="156">
        <f t="shared" si="72"/>
        <v>23.609991027531958</v>
      </c>
      <c r="DE51" s="50"/>
      <c r="DF51" s="146">
        <v>1</v>
      </c>
      <c r="DG51" s="166">
        <v>3000000</v>
      </c>
      <c r="DH51" s="168" t="e">
        <f t="shared" ref="DH51:DH57" si="81">AVERAGEIFS($M:$M,$L:$L,"&gt;="&amp;DG$44,$L:$L,"&lt;="&amp;DI$44,$O:$O,"="&amp;DG51)</f>
        <v>#DIV/0!</v>
      </c>
      <c r="DI51" s="168"/>
      <c r="DJ51" s="168"/>
      <c r="DK51" s="168"/>
      <c r="DL51" s="167">
        <f t="shared" ref="DL51:DL57" si="82">COUNTIFS($L:$L,"&gt;="&amp;DG$44,$L:$L,"&lt;="&amp;DI$44,$O:$O,"="&amp;DG51)</f>
        <v>0</v>
      </c>
      <c r="DN51" s="153" t="s">
        <v>169</v>
      </c>
      <c r="DO51" s="165">
        <f>DG48</f>
        <v>0.85</v>
      </c>
      <c r="DP51" s="154"/>
      <c r="DQ51" s="154"/>
      <c r="DR51" s="155">
        <f t="shared" si="73"/>
        <v>20</v>
      </c>
      <c r="DS51" s="154"/>
      <c r="DT51" s="154"/>
      <c r="DU51" s="156" t="e">
        <f t="shared" si="74"/>
        <v>#DIV/0!</v>
      </c>
      <c r="DX51" s="50"/>
      <c r="DY51" s="146">
        <v>1</v>
      </c>
      <c r="DZ51" s="166">
        <v>3000000</v>
      </c>
      <c r="EA51" s="168" t="e">
        <f t="shared" ref="EA51:EA59" si="83">AVERAGEIFS($M:$M,$L:$L,"&gt;="&amp;DZ$44,$L:$L,"&lt;="&amp;EB$44,$O:$O,"="&amp;DZ51)*EB$49</f>
        <v>#DIV/0!</v>
      </c>
      <c r="EB51" s="168"/>
      <c r="EC51" s="168"/>
      <c r="ED51" s="168"/>
      <c r="EE51" s="167">
        <f t="shared" ref="EE51:EE59" si="84">COUNTIFS($L:$L,"&gt;="&amp;DZ$44,$L:$L,"&lt;="&amp;EB$44,$O:$O,"="&amp;DZ51)</f>
        <v>0</v>
      </c>
      <c r="EG51" s="153" t="s">
        <v>149</v>
      </c>
      <c r="EH51" s="169">
        <f>EB48</f>
        <v>9.2999999999999999E-2</v>
      </c>
      <c r="EI51" s="154"/>
      <c r="EJ51" s="154"/>
      <c r="EK51" s="155">
        <f t="shared" si="65"/>
        <v>20</v>
      </c>
      <c r="EL51" s="154"/>
      <c r="EM51" s="154"/>
      <c r="EN51" s="156">
        <f t="shared" si="66"/>
        <v>23.609991027531958</v>
      </c>
    </row>
    <row r="52" spans="10:144" x14ac:dyDescent="0.25">
      <c r="J52" s="86" t="str" cm="1">
        <f t="array" ref="J52">LOOKUP(2,1/($G$17:$G$33&lt;=$L52)/($H$17:$H$33&gt;=$L52),$F$17:$F$33)</f>
        <v>1H24</v>
      </c>
      <c r="K52" s="86" t="str" cm="1">
        <f t="array" ref="K52">LOOKUP(2,1/($G$6:$G$14&lt;=$L52)/($H$6:$H$14&gt;=$L52),$F$6:$F$14)</f>
        <v>FY24</v>
      </c>
      <c r="L52" s="118">
        <v>45139</v>
      </c>
      <c r="M52" s="49">
        <v>12713646.107646106</v>
      </c>
      <c r="N52" s="49">
        <v>18560651.95255255</v>
      </c>
      <c r="O52" s="50">
        <v>10000000</v>
      </c>
      <c r="P52" s="119" cm="1">
        <f t="array" ref="P52">LOOKUP(2,1/($B$10:$B$14&lt;=$L52)/($C$10:$C$14&gt;=$L52),$D$10:$D$14)</f>
        <v>1.1000000000000001</v>
      </c>
      <c r="Q52" s="120" cm="1">
        <f t="array" ref="Q52">LOOKUP(2,1/($B$17:$B$21&lt;=$L52)/($C$17:$C$21&gt;=$L52),$D$17:$D$21)</f>
        <v>134.49039999999999</v>
      </c>
      <c r="R52" s="113" t="str">
        <f t="shared" si="3"/>
        <v/>
      </c>
      <c r="S52" s="113" t="str">
        <f t="shared" si="4"/>
        <v>1H24</v>
      </c>
      <c r="T52" s="113" t="str">
        <f t="shared" ca="1" si="5"/>
        <v/>
      </c>
      <c r="U52" s="113" t="str">
        <f t="shared" si="6"/>
        <v/>
      </c>
      <c r="V52" s="113" t="str">
        <f t="shared" si="0"/>
        <v>FY24</v>
      </c>
      <c r="W52" s="113" t="str">
        <f t="shared" ca="1" si="62"/>
        <v/>
      </c>
      <c r="X52" s="50"/>
      <c r="Y52" s="146">
        <v>2</v>
      </c>
      <c r="Z52" s="166">
        <v>5000000</v>
      </c>
      <c r="AA52" s="167">
        <f t="shared" si="75"/>
        <v>10423223.271688981</v>
      </c>
      <c r="AC52" s="145">
        <v>11028600</v>
      </c>
      <c r="AE52" s="167">
        <f t="shared" si="76"/>
        <v>13</v>
      </c>
      <c r="AF52" s="167"/>
      <c r="AH52" s="153" t="s">
        <v>172</v>
      </c>
      <c r="AI52" s="170">
        <f>Z49</f>
        <v>134.49039999999999</v>
      </c>
      <c r="AJ52" s="154"/>
      <c r="AK52" s="154"/>
      <c r="AL52" s="155">
        <f t="shared" si="63"/>
        <v>25</v>
      </c>
      <c r="AM52" s="154"/>
      <c r="AN52" s="154"/>
      <c r="AO52" s="156">
        <f t="shared" si="64"/>
        <v>28.255217797443468</v>
      </c>
      <c r="AR52" s="50"/>
      <c r="AS52" s="146">
        <v>2</v>
      </c>
      <c r="AT52" s="166">
        <v>8000000</v>
      </c>
      <c r="AU52" s="167" t="e">
        <f t="shared" si="77"/>
        <v>#DIV/0!</v>
      </c>
      <c r="AV52" s="168"/>
      <c r="AW52" s="167">
        <f t="shared" si="78"/>
        <v>0</v>
      </c>
      <c r="AY52" s="153" t="s">
        <v>149</v>
      </c>
      <c r="AZ52" s="169">
        <f>AV48</f>
        <v>0.10299999999999999</v>
      </c>
      <c r="BA52" s="154"/>
      <c r="BB52" s="155">
        <f t="shared" si="67"/>
        <v>60</v>
      </c>
      <c r="BC52" s="156" t="e">
        <f t="shared" si="68"/>
        <v>#DIV/0!</v>
      </c>
      <c r="BF52" s="50"/>
      <c r="BG52" s="146">
        <v>1</v>
      </c>
      <c r="BH52" s="166">
        <v>8000000</v>
      </c>
      <c r="BI52" s="167" t="e">
        <f>AVERAGEIFS($M:$M,$L:$L,"&gt;="&amp;BH$45,$L:$L,"&lt;="&amp;BJ$45,$O:$O,"="&amp;BH52)</f>
        <v>#DIV/0!</v>
      </c>
      <c r="BJ52" s="168"/>
      <c r="BK52" s="168"/>
      <c r="BL52" s="168"/>
      <c r="BM52" s="167">
        <f>COUNTIFS($L:$L,"&gt;="&amp;BH$45,$L:$L,"&lt;="&amp;BJ$45,$O:$O,"="&amp;BH52)</f>
        <v>0</v>
      </c>
      <c r="BO52" s="153" t="s">
        <v>149</v>
      </c>
      <c r="BP52" s="169">
        <f>BJ49</f>
        <v>0.10299999999999999</v>
      </c>
      <c r="BQ52" s="154"/>
      <c r="BR52" s="154"/>
      <c r="BS52" s="155">
        <f t="shared" si="69"/>
        <v>50</v>
      </c>
      <c r="BT52" s="154"/>
      <c r="BU52" s="154"/>
      <c r="BV52" s="156">
        <f t="shared" si="70"/>
        <v>41.464495575221243</v>
      </c>
      <c r="BY52" s="50"/>
      <c r="CO52" s="50"/>
      <c r="CP52" s="146">
        <v>2</v>
      </c>
      <c r="CQ52" s="166">
        <v>8000000</v>
      </c>
      <c r="CR52" s="168" t="e">
        <f t="shared" si="79"/>
        <v>#DIV/0!</v>
      </c>
      <c r="CV52" s="167">
        <f t="shared" si="80"/>
        <v>0</v>
      </c>
      <c r="CX52" s="153" t="s">
        <v>149</v>
      </c>
      <c r="CY52" s="169">
        <f>CS48</f>
        <v>9.2999999999999999E-2</v>
      </c>
      <c r="CZ52" s="154"/>
      <c r="DA52" s="155">
        <f t="shared" si="71"/>
        <v>30</v>
      </c>
      <c r="DB52" s="156">
        <f t="shared" si="72"/>
        <v>26.116733191986238</v>
      </c>
      <c r="DE52" s="50"/>
      <c r="DF52" s="146">
        <v>2</v>
      </c>
      <c r="DG52" s="166">
        <v>8000000</v>
      </c>
      <c r="DH52" s="168" t="e">
        <f t="shared" si="81"/>
        <v>#DIV/0!</v>
      </c>
      <c r="DL52" s="167">
        <f t="shared" si="82"/>
        <v>0</v>
      </c>
      <c r="DN52" s="153" t="s">
        <v>149</v>
      </c>
      <c r="DO52" s="169">
        <f>DI48</f>
        <v>9.2999999999999999E-2</v>
      </c>
      <c r="DP52" s="154"/>
      <c r="DQ52" s="154"/>
      <c r="DR52" s="155">
        <f t="shared" si="73"/>
        <v>30</v>
      </c>
      <c r="DS52" s="154"/>
      <c r="DT52" s="154"/>
      <c r="DU52" s="156" t="e">
        <f t="shared" si="74"/>
        <v>#DIV/0!</v>
      </c>
      <c r="DX52" s="50"/>
      <c r="DY52" s="146">
        <v>2</v>
      </c>
      <c r="DZ52" s="166">
        <v>8000000</v>
      </c>
      <c r="EA52" s="168" t="e">
        <f t="shared" si="83"/>
        <v>#DIV/0!</v>
      </c>
      <c r="EE52" s="167">
        <f t="shared" si="84"/>
        <v>0</v>
      </c>
      <c r="EG52" s="153" t="s">
        <v>172</v>
      </c>
      <c r="EH52" s="170">
        <f>DZ49</f>
        <v>134.49039999999999</v>
      </c>
      <c r="EI52" s="154"/>
      <c r="EJ52" s="154"/>
      <c r="EK52" s="155">
        <f t="shared" si="65"/>
        <v>30</v>
      </c>
      <c r="EL52" s="154"/>
      <c r="EM52" s="154"/>
      <c r="EN52" s="156">
        <f t="shared" si="66"/>
        <v>25.768685553916754</v>
      </c>
    </row>
    <row r="53" spans="10:144" x14ac:dyDescent="0.25">
      <c r="J53" s="86" t="str" cm="1">
        <f t="array" ref="J53">LOOKUP(2,1/($G$17:$G$33&lt;=$L53)/($H$17:$H$33&gt;=$L53),$F$17:$F$33)</f>
        <v>1H24</v>
      </c>
      <c r="K53" s="86" t="str" cm="1">
        <f t="array" ref="K53">LOOKUP(2,1/($G$6:$G$14&lt;=$L53)/($H$6:$H$14&gt;=$L53),$F$6:$F$14)</f>
        <v>FY24</v>
      </c>
      <c r="L53" s="118">
        <v>45132</v>
      </c>
      <c r="M53" s="49">
        <v>9303610.3026103005</v>
      </c>
      <c r="N53" s="49">
        <v>13582340.680780778</v>
      </c>
      <c r="O53" s="50">
        <v>5000000</v>
      </c>
      <c r="P53" s="119" cm="1">
        <f t="array" ref="P53">LOOKUP(2,1/($B$10:$B$14&lt;=$L53)/($C$10:$C$14&gt;=$L53),$D$10:$D$14)</f>
        <v>1.1000000000000001</v>
      </c>
      <c r="Q53" s="120" cm="1">
        <f t="array" ref="Q53">LOOKUP(2,1/($B$17:$B$21&lt;=$L53)/($C$17:$C$21&gt;=$L53),$D$17:$D$21)</f>
        <v>134.49039999999999</v>
      </c>
      <c r="R53" s="113" t="str">
        <f t="shared" si="3"/>
        <v/>
      </c>
      <c r="S53" s="113" t="str">
        <f t="shared" si="4"/>
        <v>1H24</v>
      </c>
      <c r="T53" s="113" t="str">
        <f t="shared" ca="1" si="5"/>
        <v/>
      </c>
      <c r="U53" s="113" t="str">
        <f t="shared" si="6"/>
        <v/>
      </c>
      <c r="V53" s="113" t="str">
        <f t="shared" si="0"/>
        <v>FY24</v>
      </c>
      <c r="W53" s="113" t="str">
        <f t="shared" ca="1" si="62"/>
        <v/>
      </c>
      <c r="X53" s="50"/>
      <c r="Y53" s="146">
        <v>3</v>
      </c>
      <c r="Z53" s="166">
        <v>10000000</v>
      </c>
      <c r="AA53" s="167">
        <f t="shared" si="75"/>
        <v>15025692.310270853</v>
      </c>
      <c r="AC53" s="145">
        <v>14811600</v>
      </c>
      <c r="AE53" s="167">
        <f t="shared" si="76"/>
        <v>11</v>
      </c>
      <c r="AF53" s="167"/>
      <c r="AH53" s="171"/>
      <c r="AJ53" s="154"/>
      <c r="AK53" s="154"/>
      <c r="AL53" s="155">
        <f t="shared" si="63"/>
        <v>40</v>
      </c>
      <c r="AM53" s="154"/>
      <c r="AN53" s="154"/>
      <c r="AO53" s="156">
        <f t="shared" si="64"/>
        <v>34.731075344149467</v>
      </c>
      <c r="AR53" s="50"/>
      <c r="AS53" s="146">
        <v>3</v>
      </c>
      <c r="AT53" s="166">
        <v>20000000</v>
      </c>
      <c r="AU53" s="167">
        <f t="shared" si="77"/>
        <v>20118484.892784204</v>
      </c>
      <c r="AV53" s="168"/>
      <c r="AW53" s="167">
        <f t="shared" si="78"/>
        <v>5</v>
      </c>
      <c r="AY53" s="153" t="s">
        <v>172</v>
      </c>
      <c r="AZ53" s="170">
        <f>AT49</f>
        <v>134.49039999999999</v>
      </c>
      <c r="BA53" s="154"/>
      <c r="BB53" s="155">
        <f t="shared" si="67"/>
        <v>80</v>
      </c>
      <c r="BC53" s="156" t="e">
        <f t="shared" si="68"/>
        <v>#DIV/0!</v>
      </c>
      <c r="BF53" s="50"/>
      <c r="BG53" s="146">
        <v>2</v>
      </c>
      <c r="BH53" s="166">
        <v>20000000</v>
      </c>
      <c r="BI53" s="167">
        <f>AVERAGEIFS($M:$M,$L:$L,"&gt;="&amp;BH$45,$L:$L,"&lt;="&amp;BJ$45,$O:$O,"="&amp;BH53)</f>
        <v>20463382.076809622</v>
      </c>
      <c r="BM53" s="167">
        <f>COUNTIFS($L:$L,"&gt;="&amp;BH$45,$L:$L,"&lt;="&amp;BJ$45,$O:$O,"="&amp;BH53)</f>
        <v>4</v>
      </c>
      <c r="BO53" s="153" t="s">
        <v>172</v>
      </c>
      <c r="BP53" s="170">
        <f>BH50</f>
        <v>134.49039999999999</v>
      </c>
      <c r="BQ53" s="154"/>
      <c r="BR53" s="154"/>
      <c r="BS53" s="155">
        <f t="shared" si="69"/>
        <v>100</v>
      </c>
      <c r="BT53" s="154"/>
      <c r="BU53" s="154"/>
      <c r="BV53" s="156" t="e">
        <f t="shared" si="70"/>
        <v>#DIV/0!</v>
      </c>
      <c r="BY53" s="50"/>
      <c r="CO53" s="50"/>
      <c r="CP53" s="146">
        <v>3</v>
      </c>
      <c r="CQ53" s="166">
        <v>12000000</v>
      </c>
      <c r="CR53" s="168" t="e">
        <f t="shared" si="79"/>
        <v>#DIV/0!</v>
      </c>
      <c r="CV53" s="167">
        <f t="shared" si="80"/>
        <v>0</v>
      </c>
      <c r="CX53" s="153" t="s">
        <v>172</v>
      </c>
      <c r="CY53" s="170">
        <f>CQ49</f>
        <v>134.49039999999999</v>
      </c>
      <c r="CZ53" s="154"/>
      <c r="DA53" s="155">
        <f t="shared" si="71"/>
        <v>40</v>
      </c>
      <c r="DB53" s="156">
        <f t="shared" si="72"/>
        <v>31.951974106850219</v>
      </c>
      <c r="DE53" s="50"/>
      <c r="DF53" s="146">
        <v>3</v>
      </c>
      <c r="DG53" s="166">
        <v>12000000</v>
      </c>
      <c r="DH53" s="168" t="e">
        <f t="shared" si="81"/>
        <v>#DIV/0!</v>
      </c>
      <c r="DL53" s="167">
        <f t="shared" si="82"/>
        <v>0</v>
      </c>
      <c r="DN53" s="153" t="s">
        <v>172</v>
      </c>
      <c r="DO53" s="170">
        <f>DG49</f>
        <v>76.767600000000002</v>
      </c>
      <c r="DP53" s="154"/>
      <c r="DQ53" s="154"/>
      <c r="DR53" s="155">
        <f t="shared" si="73"/>
        <v>40</v>
      </c>
      <c r="DS53" s="154"/>
      <c r="DT53" s="154"/>
      <c r="DU53" s="156" t="e">
        <f t="shared" si="74"/>
        <v>#DIV/0!</v>
      </c>
      <c r="DX53" s="50"/>
      <c r="DY53" s="146">
        <v>3</v>
      </c>
      <c r="DZ53" s="166">
        <v>12000000</v>
      </c>
      <c r="EA53" s="168" t="e">
        <f t="shared" si="83"/>
        <v>#DIV/0!</v>
      </c>
      <c r="EE53" s="167">
        <f t="shared" si="84"/>
        <v>0</v>
      </c>
      <c r="EG53" s="171"/>
      <c r="EI53" s="154"/>
      <c r="EJ53" s="154"/>
      <c r="EK53" s="155">
        <f t="shared" si="65"/>
        <v>40</v>
      </c>
      <c r="EL53" s="154"/>
      <c r="EM53" s="154"/>
      <c r="EN53" s="156">
        <f t="shared" si="66"/>
        <v>31.358838495575228</v>
      </c>
    </row>
    <row r="54" spans="10:144" x14ac:dyDescent="0.25">
      <c r="J54" s="86" t="str" cm="1">
        <f t="array" ref="J54">LOOKUP(2,1/($G$17:$G$33&lt;=$L54)/($H$17:$H$33&gt;=$L54),$F$17:$F$33)</f>
        <v>1H24</v>
      </c>
      <c r="K54" s="86" t="str" cm="1">
        <f t="array" ref="K54">LOOKUP(2,1/($G$6:$G$14&lt;=$L54)/($H$6:$H$14&gt;=$L54),$F$6:$F$14)</f>
        <v>FY24</v>
      </c>
      <c r="L54" s="118">
        <v>45125</v>
      </c>
      <c r="M54" s="49">
        <v>8391166.3201663196</v>
      </c>
      <c r="N54" s="49">
        <v>12250263.71081081</v>
      </c>
      <c r="O54" s="50">
        <v>3000000</v>
      </c>
      <c r="P54" s="119" cm="1">
        <f t="array" ref="P54">LOOKUP(2,1/($B$10:$B$14&lt;=$L54)/($C$10:$C$14&gt;=$L54),$D$10:$D$14)</f>
        <v>1.1000000000000001</v>
      </c>
      <c r="Q54" s="120" cm="1">
        <f t="array" ref="Q54">LOOKUP(2,1/($B$17:$B$21&lt;=$L54)/($C$17:$C$21&gt;=$L54),$D$17:$D$21)</f>
        <v>134.49039999999999</v>
      </c>
      <c r="R54" s="113" t="str">
        <f t="shared" si="3"/>
        <v/>
      </c>
      <c r="S54" s="113" t="str">
        <f t="shared" si="4"/>
        <v>1H24</v>
      </c>
      <c r="T54" s="113" t="str">
        <f t="shared" ca="1" si="5"/>
        <v/>
      </c>
      <c r="U54" s="113" t="str">
        <f t="shared" si="6"/>
        <v/>
      </c>
      <c r="V54" s="113" t="str">
        <f t="shared" si="0"/>
        <v>FY24</v>
      </c>
      <c r="W54" s="113" t="str">
        <f t="shared" ca="1" si="62"/>
        <v/>
      </c>
      <c r="X54" s="50"/>
      <c r="Y54" s="146">
        <v>4</v>
      </c>
      <c r="Z54" s="166">
        <v>15000000</v>
      </c>
      <c r="AA54" s="167">
        <f t="shared" si="75"/>
        <v>19989514.749262538</v>
      </c>
      <c r="AC54" s="145">
        <v>18594600</v>
      </c>
      <c r="AE54" s="167">
        <f t="shared" si="76"/>
        <v>6</v>
      </c>
      <c r="AF54" s="167"/>
      <c r="AH54" s="153" t="s">
        <v>91</v>
      </c>
      <c r="AI54" s="155" t="e">
        <f>Z47/1000000</f>
        <v>#N/A</v>
      </c>
      <c r="AJ54" s="154"/>
      <c r="AK54" s="154"/>
      <c r="AL54" s="155">
        <f t="shared" si="63"/>
        <v>50</v>
      </c>
      <c r="AM54" s="154"/>
      <c r="AN54" s="154"/>
      <c r="AO54" s="156">
        <f t="shared" si="64"/>
        <v>43.907561578171098</v>
      </c>
      <c r="AR54" s="50"/>
      <c r="AS54" s="146">
        <v>4</v>
      </c>
      <c r="AT54" s="166">
        <v>40000000</v>
      </c>
      <c r="AU54" s="167" t="e">
        <f t="shared" si="77"/>
        <v>#DIV/0!</v>
      </c>
      <c r="AV54" s="168"/>
      <c r="AW54" s="167">
        <f t="shared" si="78"/>
        <v>0</v>
      </c>
      <c r="AY54" s="172"/>
      <c r="AZ54" s="2"/>
      <c r="BA54" s="154"/>
      <c r="BB54" s="155">
        <f t="shared" si="67"/>
        <v>120</v>
      </c>
      <c r="BC54" s="156">
        <f t="shared" si="68"/>
        <v>214.81998888669318</v>
      </c>
      <c r="BF54" s="50"/>
      <c r="BG54" s="146">
        <v>3</v>
      </c>
      <c r="BH54" s="166">
        <v>30000000</v>
      </c>
      <c r="BI54" s="167">
        <f>AVERAGEIFS($M:$M,$L:$L,"&gt;="&amp;BH$45,$L:$L,"&lt;="&amp;BJ$45,$O:$O,"="&amp;BH54)</f>
        <v>26613097.572044477</v>
      </c>
      <c r="BM54" s="167">
        <f>COUNTIFS($L:$L,"&gt;="&amp;BH$45,$L:$L,"&lt;="&amp;BJ$45,$O:$O,"="&amp;BH54)</f>
        <v>2</v>
      </c>
      <c r="BO54" s="171"/>
      <c r="BQ54" s="154"/>
      <c r="BR54" s="154"/>
      <c r="BS54" s="155">
        <f t="shared" si="69"/>
        <v>160</v>
      </c>
      <c r="BT54" s="154"/>
      <c r="BU54" s="154"/>
      <c r="BV54" s="156">
        <f t="shared" si="70"/>
        <v>300</v>
      </c>
      <c r="BY54" s="50"/>
      <c r="CO54" s="50"/>
      <c r="CP54" s="146">
        <v>4</v>
      </c>
      <c r="CQ54" s="166">
        <v>20000000</v>
      </c>
      <c r="CR54" s="168">
        <f t="shared" si="79"/>
        <v>23609991.027531959</v>
      </c>
      <c r="CV54" s="167">
        <f t="shared" si="80"/>
        <v>1</v>
      </c>
      <c r="CX54" s="172"/>
      <c r="CY54" s="2"/>
      <c r="CZ54" s="154"/>
      <c r="DA54" s="155">
        <f t="shared" si="71"/>
        <v>50</v>
      </c>
      <c r="DB54" s="156">
        <f t="shared" si="72"/>
        <v>41.006778392330389</v>
      </c>
      <c r="DE54" s="50"/>
      <c r="DF54" s="146">
        <v>4</v>
      </c>
      <c r="DG54" s="166">
        <v>20000000</v>
      </c>
      <c r="DH54" s="168" t="e">
        <f t="shared" si="81"/>
        <v>#DIV/0!</v>
      </c>
      <c r="DL54" s="167">
        <f t="shared" si="82"/>
        <v>0</v>
      </c>
      <c r="DN54" s="172"/>
      <c r="DO54" s="2"/>
      <c r="DP54" s="154"/>
      <c r="DQ54" s="154"/>
      <c r="DR54" s="155">
        <f t="shared" si="73"/>
        <v>50</v>
      </c>
      <c r="DS54" s="154"/>
      <c r="DT54" s="154"/>
      <c r="DU54" s="156" t="e">
        <f t="shared" si="74"/>
        <v>#DIV/0!</v>
      </c>
      <c r="DX54" s="50"/>
      <c r="DY54" s="146">
        <v>4</v>
      </c>
      <c r="DZ54" s="166">
        <v>20000000</v>
      </c>
      <c r="EA54" s="168">
        <f t="shared" si="83"/>
        <v>23609991.027531959</v>
      </c>
      <c r="EE54" s="167">
        <f t="shared" si="84"/>
        <v>1</v>
      </c>
      <c r="EG54" s="153" t="s">
        <v>91</v>
      </c>
      <c r="EH54" s="155">
        <f>DZ47/1000000</f>
        <v>8</v>
      </c>
      <c r="EI54" s="154"/>
      <c r="EJ54" s="154"/>
      <c r="EK54" s="155">
        <f t="shared" si="65"/>
        <v>50</v>
      </c>
      <c r="EL54" s="154"/>
      <c r="EM54" s="154"/>
      <c r="EN54" s="156">
        <f t="shared" si="66"/>
        <v>41.376560410521151</v>
      </c>
    </row>
    <row r="55" spans="10:144" x14ac:dyDescent="0.25">
      <c r="J55" s="86" t="str" cm="1">
        <f t="array" ref="J55">LOOKUP(2,1/($G$17:$G$33&lt;=$L55)/($H$17:$H$33&gt;=$L55),$F$17:$F$33)</f>
        <v>1H24</v>
      </c>
      <c r="K55" s="86" t="str" cm="1">
        <f t="array" ref="K55">LOOKUP(2,1/($G$6:$G$14&lt;=$L55)/($H$6:$H$14&gt;=$L55),$F$6:$F$14)</f>
        <v>FY24</v>
      </c>
      <c r="L55" s="118">
        <v>45118</v>
      </c>
      <c r="M55" s="49">
        <v>20429754.215754211</v>
      </c>
      <c r="N55" s="49">
        <v>29825398.179579571</v>
      </c>
      <c r="O55" s="50">
        <v>20000000</v>
      </c>
      <c r="P55" s="119" cm="1">
        <f t="array" ref="P55">LOOKUP(2,1/($B$10:$B$14&lt;=$L55)/($C$10:$C$14&gt;=$L55),$D$10:$D$14)</f>
        <v>1.1000000000000001</v>
      </c>
      <c r="Q55" s="120" cm="1">
        <f t="array" ref="Q55">LOOKUP(2,1/($B$17:$B$21&lt;=$L55)/($C$17:$C$21&gt;=$L55),$D$17:$D$21)</f>
        <v>134.49039999999999</v>
      </c>
      <c r="R55" s="113" t="str">
        <f t="shared" si="3"/>
        <v/>
      </c>
      <c r="S55" s="113" t="str">
        <f t="shared" si="4"/>
        <v>1H24</v>
      </c>
      <c r="T55" s="113" t="str">
        <f t="shared" ca="1" si="5"/>
        <v/>
      </c>
      <c r="U55" s="113" t="str">
        <f t="shared" si="6"/>
        <v/>
      </c>
      <c r="V55" s="113" t="str">
        <f t="shared" si="0"/>
        <v>FY24</v>
      </c>
      <c r="W55" s="113" t="str">
        <f t="shared" ca="1" si="62"/>
        <v/>
      </c>
      <c r="X55" s="50"/>
      <c r="Y55" s="146">
        <v>5</v>
      </c>
      <c r="Z55" s="166">
        <v>25000000</v>
      </c>
      <c r="AA55" s="167">
        <f t="shared" si="75"/>
        <v>28255217.797443468</v>
      </c>
      <c r="AB55" s="173"/>
      <c r="AC55" s="145">
        <v>26160600.000000004</v>
      </c>
      <c r="AD55" s="145"/>
      <c r="AE55" s="167">
        <f t="shared" si="76"/>
        <v>2</v>
      </c>
      <c r="AF55" s="167"/>
      <c r="AH55" s="172" t="s">
        <v>147</v>
      </c>
      <c r="AI55" s="174">
        <f>Z44</f>
        <v>43647</v>
      </c>
      <c r="AJ55" s="154"/>
      <c r="AK55" s="154"/>
      <c r="AL55" s="155">
        <f t="shared" si="63"/>
        <v>70</v>
      </c>
      <c r="AM55" s="154"/>
      <c r="AN55" s="154"/>
      <c r="AO55" s="156">
        <f t="shared" si="64"/>
        <v>60.207599999999999</v>
      </c>
      <c r="AR55" s="50"/>
      <c r="AS55" s="146">
        <v>5</v>
      </c>
      <c r="AT55" s="166">
        <v>60000000</v>
      </c>
      <c r="AU55" s="167" t="e">
        <f t="shared" si="77"/>
        <v>#DIV/0!</v>
      </c>
      <c r="AV55" s="168"/>
      <c r="AW55" s="167">
        <f t="shared" si="78"/>
        <v>0</v>
      </c>
      <c r="AY55" s="172" t="s">
        <v>147</v>
      </c>
      <c r="AZ55" s="174">
        <f>AT44</f>
        <v>44652</v>
      </c>
      <c r="BA55" s="154"/>
      <c r="BB55" s="155">
        <f t="shared" si="67"/>
        <v>150</v>
      </c>
      <c r="BC55" s="156">
        <f t="shared" si="68"/>
        <v>275</v>
      </c>
      <c r="BF55" s="50"/>
      <c r="BG55" s="146">
        <v>4</v>
      </c>
      <c r="BH55" s="166">
        <v>50000000</v>
      </c>
      <c r="BI55" s="167">
        <f>AVERAGEIFS($M:$M,$L:$L,"&gt;="&amp;BH$45,$L:$L,"&lt;="&amp;BJ$45,$O:$O,"="&amp;BH55)</f>
        <v>41464495.575221241</v>
      </c>
      <c r="BM55" s="167">
        <f>COUNTIFS($L:$L,"&gt;="&amp;BH$45,$L:$L,"&lt;="&amp;BJ$45,$O:$O,"="&amp;BH55)</f>
        <v>1</v>
      </c>
      <c r="BO55" s="153" t="s">
        <v>91</v>
      </c>
      <c r="BP55" s="155">
        <f>BH48/1000000</f>
        <v>30</v>
      </c>
      <c r="BQ55" s="154"/>
      <c r="BR55" s="154"/>
      <c r="BS55" s="155">
        <f t="shared" si="69"/>
        <v>200</v>
      </c>
      <c r="BT55" s="154"/>
      <c r="BU55" s="154"/>
      <c r="BV55" s="156">
        <f t="shared" si="70"/>
        <v>440</v>
      </c>
      <c r="BY55" s="50"/>
      <c r="CO55" s="50"/>
      <c r="CP55" s="146">
        <v>5</v>
      </c>
      <c r="CQ55" s="166">
        <v>30000000</v>
      </c>
      <c r="CR55" s="168">
        <f t="shared" si="79"/>
        <v>26116733.191986237</v>
      </c>
      <c r="CV55" s="167">
        <f t="shared" si="80"/>
        <v>4</v>
      </c>
      <c r="CX55" s="172" t="s">
        <v>147</v>
      </c>
      <c r="CY55" s="174">
        <f>CQ44</f>
        <v>43282</v>
      </c>
      <c r="CZ55" s="154"/>
      <c r="DA55" s="155">
        <f t="shared" si="71"/>
        <v>80</v>
      </c>
      <c r="DB55" s="156">
        <f t="shared" si="72"/>
        <v>80.928666175024588</v>
      </c>
      <c r="DE55" s="50"/>
      <c r="DF55" s="146">
        <v>5</v>
      </c>
      <c r="DG55" s="166">
        <v>30000000</v>
      </c>
      <c r="DH55" s="168" t="e">
        <f t="shared" si="81"/>
        <v>#DIV/0!</v>
      </c>
      <c r="DL55" s="167">
        <f t="shared" si="82"/>
        <v>0</v>
      </c>
      <c r="DN55" s="172" t="s">
        <v>147</v>
      </c>
      <c r="DO55" s="174">
        <f>DG44</f>
        <v>43203</v>
      </c>
      <c r="DP55" s="154"/>
      <c r="DQ55" s="154"/>
      <c r="DR55" s="155">
        <f t="shared" si="73"/>
        <v>80</v>
      </c>
      <c r="DS55" s="154"/>
      <c r="DT55" s="154"/>
      <c r="DU55" s="156">
        <f t="shared" si="74"/>
        <v>101.3292</v>
      </c>
      <c r="DX55" s="50"/>
      <c r="DY55" s="146">
        <v>5</v>
      </c>
      <c r="DZ55" s="166">
        <v>30000000</v>
      </c>
      <c r="EA55" s="168">
        <f t="shared" si="83"/>
        <v>25768685.553916752</v>
      </c>
      <c r="EE55" s="167">
        <f t="shared" si="84"/>
        <v>3</v>
      </c>
      <c r="EG55" s="171"/>
      <c r="EI55" s="154"/>
      <c r="EJ55" s="154"/>
      <c r="EK55" s="155">
        <f t="shared" si="65"/>
        <v>80</v>
      </c>
      <c r="EL55" s="154"/>
      <c r="EM55" s="154"/>
      <c r="EN55" s="156" t="e">
        <f t="shared" si="66"/>
        <v>#DIV/0!</v>
      </c>
    </row>
    <row r="56" spans="10:144" x14ac:dyDescent="0.25">
      <c r="J56" s="86" t="str" cm="1">
        <f t="array" ref="J56">LOOKUP(2,1/($G$17:$G$33&lt;=$L56)/($H$17:$H$33&gt;=$L56),$F$17:$F$33)</f>
        <v>1H24</v>
      </c>
      <c r="K56" s="86" t="str" cm="1">
        <f t="array" ref="K56">LOOKUP(2,1/($G$6:$G$14&lt;=$L56)/($H$6:$H$14&gt;=$L56),$F$6:$F$14)</f>
        <v>FY24</v>
      </c>
      <c r="L56" s="118">
        <v>45111</v>
      </c>
      <c r="M56" s="49">
        <v>14557561.099561101</v>
      </c>
      <c r="N56" s="49">
        <v>21252583.449249249</v>
      </c>
      <c r="O56" s="50">
        <v>10000000</v>
      </c>
      <c r="P56" s="119" cm="1">
        <f t="array" ref="P56">LOOKUP(2,1/($B$10:$B$14&lt;=$L56)/($C$10:$C$14&gt;=$L56),$D$10:$D$14)</f>
        <v>1.1000000000000001</v>
      </c>
      <c r="Q56" s="120" cm="1">
        <f t="array" ref="Q56">LOOKUP(2,1/($B$17:$B$21&lt;=$L56)/($C$17:$C$21&gt;=$L56),$D$17:$D$21)</f>
        <v>134.49039999999999</v>
      </c>
      <c r="R56" s="113" t="str">
        <f t="shared" si="3"/>
        <v>1H24</v>
      </c>
      <c r="S56" s="113" t="str">
        <f t="shared" si="4"/>
        <v>1H24</v>
      </c>
      <c r="T56" s="113" t="str">
        <f t="shared" ca="1" si="5"/>
        <v/>
      </c>
      <c r="U56" s="113" t="str">
        <f t="shared" si="6"/>
        <v>FY24</v>
      </c>
      <c r="V56" s="113" t="str">
        <f t="shared" si="0"/>
        <v>FY24</v>
      </c>
      <c r="W56" s="113" t="str">
        <f t="shared" ca="1" si="62"/>
        <v/>
      </c>
      <c r="X56" s="50"/>
      <c r="Y56" s="146">
        <v>6</v>
      </c>
      <c r="Z56" s="166">
        <v>40000000</v>
      </c>
      <c r="AA56" s="167">
        <f t="shared" si="75"/>
        <v>34731075.34414947</v>
      </c>
      <c r="AB56" s="173"/>
      <c r="AC56" s="145">
        <v>37509600.000000007</v>
      </c>
      <c r="AD56" s="145"/>
      <c r="AE56" s="167">
        <f t="shared" si="76"/>
        <v>2</v>
      </c>
      <c r="AF56" s="167"/>
      <c r="AH56" s="172" t="s">
        <v>148</v>
      </c>
      <c r="AI56" s="174">
        <f>AB44</f>
        <v>44012</v>
      </c>
      <c r="AJ56" s="154"/>
      <c r="AK56" s="154"/>
      <c r="AL56" s="155">
        <f t="shared" si="63"/>
        <v>100</v>
      </c>
      <c r="AM56" s="154"/>
      <c r="AN56" s="154"/>
      <c r="AO56" s="156">
        <f t="shared" si="64"/>
        <v>107.77728</v>
      </c>
      <c r="AR56" s="50"/>
      <c r="AS56" s="146">
        <v>6</v>
      </c>
      <c r="AT56" s="166">
        <v>80000000</v>
      </c>
      <c r="AU56" s="167" t="e">
        <f t="shared" si="77"/>
        <v>#DIV/0!</v>
      </c>
      <c r="AV56" s="168"/>
      <c r="AW56" s="167">
        <f t="shared" si="78"/>
        <v>0</v>
      </c>
      <c r="AY56" s="172" t="s">
        <v>148</v>
      </c>
      <c r="AZ56" s="174">
        <f>AV44</f>
        <v>44868</v>
      </c>
      <c r="BA56" s="154"/>
      <c r="BB56" s="155">
        <f t="shared" si="67"/>
        <v>200</v>
      </c>
      <c r="BC56" s="156">
        <f t="shared" si="68"/>
        <v>370</v>
      </c>
      <c r="BF56" s="50"/>
      <c r="BG56" s="146">
        <v>5</v>
      </c>
      <c r="BH56" s="166">
        <v>100000000</v>
      </c>
      <c r="BI56" s="167" t="e">
        <f>AVERAGEIFS($M:$M,$L:$L,"&gt;="&amp;BH$45,$L:$L,"&lt;="&amp;BJ$45,$O:$O,"="&amp;BH56)</f>
        <v>#DIV/0!</v>
      </c>
      <c r="BK56" s="145">
        <v>84874000</v>
      </c>
      <c r="BL56" s="145">
        <v>83587000</v>
      </c>
      <c r="BM56" s="167">
        <f>COUNTIFS($L:$L,"&gt;="&amp;BH$45,$L:$L,"&lt;="&amp;BJ$45,$O:$O,"="&amp;BH56)</f>
        <v>0</v>
      </c>
      <c r="BO56" s="171"/>
      <c r="BQ56" s="154"/>
      <c r="BR56" s="154"/>
      <c r="BS56" s="155">
        <f t="shared" si="69"/>
        <v>250</v>
      </c>
      <c r="BT56" s="154"/>
      <c r="BU56" s="154"/>
      <c r="BV56" s="156">
        <f t="shared" si="70"/>
        <v>590</v>
      </c>
      <c r="BY56" s="50"/>
      <c r="CO56" s="50"/>
      <c r="CP56" s="146">
        <v>6</v>
      </c>
      <c r="CQ56" s="166">
        <v>40000000</v>
      </c>
      <c r="CR56" s="168">
        <f t="shared" si="79"/>
        <v>31951974.106850218</v>
      </c>
      <c r="CV56" s="167">
        <f t="shared" si="80"/>
        <v>3</v>
      </c>
      <c r="CX56" s="172" t="s">
        <v>148</v>
      </c>
      <c r="CY56" s="174">
        <f>CS44</f>
        <v>43646</v>
      </c>
      <c r="CZ56" s="154"/>
      <c r="DA56" s="155">
        <f t="shared" si="71"/>
        <v>100</v>
      </c>
      <c r="DB56" s="156" t="e">
        <f t="shared" si="72"/>
        <v>#DIV/0!</v>
      </c>
      <c r="DE56" s="50"/>
      <c r="DF56" s="146">
        <v>6</v>
      </c>
      <c r="DG56" s="166">
        <v>40000000</v>
      </c>
      <c r="DH56" s="168" t="e">
        <f t="shared" si="81"/>
        <v>#DIV/0!</v>
      </c>
      <c r="DL56" s="167">
        <f t="shared" si="82"/>
        <v>0</v>
      </c>
      <c r="DN56" s="172" t="s">
        <v>148</v>
      </c>
      <c r="DO56" s="174">
        <f>DI44</f>
        <v>43281</v>
      </c>
      <c r="DP56" s="154"/>
      <c r="DQ56" s="154"/>
      <c r="DR56" s="155">
        <f t="shared" si="73"/>
        <v>100</v>
      </c>
      <c r="DS56" s="154"/>
      <c r="DT56" s="154"/>
      <c r="DU56" s="156">
        <f t="shared" si="74"/>
        <v>156.8065</v>
      </c>
      <c r="DX56" s="50"/>
      <c r="DY56" s="146">
        <v>6</v>
      </c>
      <c r="DZ56" s="166">
        <v>40000000</v>
      </c>
      <c r="EA56" s="168">
        <f t="shared" si="83"/>
        <v>31358838.495575227</v>
      </c>
      <c r="EE56" s="167">
        <f t="shared" si="84"/>
        <v>2</v>
      </c>
      <c r="EG56" s="172" t="s">
        <v>147</v>
      </c>
      <c r="EH56" s="174">
        <f>DZ44</f>
        <v>43209</v>
      </c>
      <c r="EI56" s="154"/>
      <c r="EJ56" s="154"/>
      <c r="EK56" s="155">
        <f t="shared" si="65"/>
        <v>100</v>
      </c>
      <c r="EL56" s="154"/>
      <c r="EM56" s="154"/>
      <c r="EN56" s="156" t="e">
        <f t="shared" si="66"/>
        <v>#DIV/0!</v>
      </c>
    </row>
    <row r="57" spans="10:144" x14ac:dyDescent="0.25">
      <c r="J57" s="86" t="str" cm="1">
        <f t="array" ref="J57">LOOKUP(2,1/($G$17:$G$33&lt;=$L57)/($H$17:$H$33&gt;=$L57),$F$17:$F$33)</f>
        <v>2H23</v>
      </c>
      <c r="K57" s="86" t="str" cm="1">
        <f t="array" ref="K57">LOOKUP(2,1/($G$6:$G$14&lt;=$L57)/($H$6:$H$14&gt;=$L57),$F$6:$F$14)</f>
        <v>FY23</v>
      </c>
      <c r="L57" s="118">
        <v>45104</v>
      </c>
      <c r="M57" s="49">
        <v>10458440.863940863</v>
      </c>
      <c r="N57" s="49">
        <v>15268277.817267265</v>
      </c>
      <c r="O57" s="50">
        <v>5000000</v>
      </c>
      <c r="P57" s="119" cm="1">
        <f t="array" ref="P57">LOOKUP(2,1/($B$10:$B$14&lt;=$L57)/($C$10:$C$14&gt;=$L57),$D$10:$D$14)</f>
        <v>1.1000000000000001</v>
      </c>
      <c r="Q57" s="120" cm="1">
        <f t="array" ref="Q57">LOOKUP(2,1/($B$17:$B$21&lt;=$L57)/($C$17:$C$21&gt;=$L57),$D$17:$D$21)</f>
        <v>134.49039999999999</v>
      </c>
      <c r="R57" s="113" t="str">
        <f t="shared" si="3"/>
        <v/>
      </c>
      <c r="S57" s="113" t="str">
        <f t="shared" si="4"/>
        <v>1H24</v>
      </c>
      <c r="T57" s="113" t="str">
        <f t="shared" ca="1" si="5"/>
        <v/>
      </c>
      <c r="U57" s="113" t="str">
        <f t="shared" si="6"/>
        <v/>
      </c>
      <c r="V57" s="113" t="str">
        <f t="shared" si="0"/>
        <v>FY24</v>
      </c>
      <c r="W57" s="113" t="str">
        <f t="shared" ca="1" si="62"/>
        <v/>
      </c>
      <c r="X57" s="50"/>
      <c r="Y57" s="146">
        <v>7</v>
      </c>
      <c r="Z57" s="166">
        <v>50000000</v>
      </c>
      <c r="AA57" s="167">
        <f t="shared" si="75"/>
        <v>43907561.578171097</v>
      </c>
      <c r="AB57" s="173"/>
      <c r="AC57" s="145">
        <v>45075600.000000007</v>
      </c>
      <c r="AD57" s="145"/>
      <c r="AE57" s="167">
        <f t="shared" si="76"/>
        <v>1</v>
      </c>
      <c r="AF57" s="167"/>
      <c r="AH57" s="172" t="s">
        <v>0</v>
      </c>
      <c r="AI57" s="175">
        <f>AB49</f>
        <v>1</v>
      </c>
      <c r="AJ57" s="154"/>
      <c r="AK57" s="154"/>
      <c r="AL57" s="155">
        <f t="shared" si="63"/>
        <v>150</v>
      </c>
      <c r="AM57" s="154"/>
      <c r="AN57" s="154"/>
      <c r="AO57" s="156">
        <f t="shared" si="64"/>
        <v>156.95627999999999</v>
      </c>
      <c r="AR57" s="50"/>
      <c r="AS57" s="146">
        <v>7</v>
      </c>
      <c r="AT57" s="166">
        <v>120000000</v>
      </c>
      <c r="AU57" s="146">
        <v>214819988.88669318</v>
      </c>
      <c r="AV57" s="168"/>
      <c r="AW57" s="167">
        <f t="shared" si="78"/>
        <v>0</v>
      </c>
      <c r="AY57" s="176"/>
      <c r="AZ57" s="85"/>
      <c r="BA57" s="154"/>
      <c r="BB57" s="155">
        <f t="shared" si="67"/>
        <v>250</v>
      </c>
      <c r="BC57" s="156">
        <f>MAX(AU60:AV60)/1000000</f>
        <v>480</v>
      </c>
      <c r="BF57" s="50"/>
      <c r="BG57" s="146">
        <v>6</v>
      </c>
      <c r="BH57" s="145">
        <v>160000000</v>
      </c>
      <c r="BI57" s="145"/>
      <c r="BJ57" s="145">
        <v>300000000</v>
      </c>
      <c r="BK57" s="145">
        <v>107612000</v>
      </c>
      <c r="BL57" s="145">
        <v>103685000.00000001</v>
      </c>
      <c r="BM57" s="146"/>
      <c r="BO57" s="172" t="s">
        <v>147</v>
      </c>
      <c r="BP57" s="174">
        <f>BH45</f>
        <v>44652</v>
      </c>
      <c r="BQ57" s="154"/>
      <c r="BR57" s="154"/>
      <c r="BS57" s="155">
        <f t="shared" si="69"/>
        <v>300</v>
      </c>
      <c r="BT57" s="154"/>
      <c r="BU57" s="154"/>
      <c r="BV57" s="156">
        <f t="shared" si="70"/>
        <v>800</v>
      </c>
      <c r="BY57" s="50"/>
      <c r="CO57" s="50"/>
      <c r="CP57" s="146">
        <v>7</v>
      </c>
      <c r="CQ57" s="166">
        <v>50000000</v>
      </c>
      <c r="CR57" s="168">
        <f t="shared" si="79"/>
        <v>41006778.392330386</v>
      </c>
      <c r="CS57" s="168"/>
      <c r="CT57" s="168"/>
      <c r="CU57" s="168"/>
      <c r="CV57" s="167">
        <f t="shared" si="80"/>
        <v>3</v>
      </c>
      <c r="CX57" s="172" t="s">
        <v>173</v>
      </c>
      <c r="CY57" s="177">
        <f>CS49</f>
        <v>1</v>
      </c>
      <c r="CZ57" s="154"/>
      <c r="DA57" s="155">
        <f t="shared" si="71"/>
        <v>150</v>
      </c>
      <c r="DB57" s="156">
        <f t="shared" si="72"/>
        <v>251.81112499999998</v>
      </c>
      <c r="DE57" s="50"/>
      <c r="DF57" s="146">
        <v>7</v>
      </c>
      <c r="DG57" s="166">
        <v>50000000</v>
      </c>
      <c r="DH57" s="168" t="e">
        <f t="shared" si="81"/>
        <v>#DIV/0!</v>
      </c>
      <c r="DL57" s="167">
        <f t="shared" si="82"/>
        <v>0</v>
      </c>
      <c r="DN57" s="172" t="s">
        <v>173</v>
      </c>
      <c r="DO57" s="177">
        <f>DI49</f>
        <v>0.42307692307692307</v>
      </c>
      <c r="DP57" s="154"/>
      <c r="DQ57" s="154"/>
      <c r="DR57" s="155">
        <f t="shared" si="73"/>
        <v>150</v>
      </c>
      <c r="DS57" s="154"/>
      <c r="DT57" s="154"/>
      <c r="DU57" s="156">
        <f t="shared" si="74"/>
        <v>232.16900000000001</v>
      </c>
      <c r="DX57" s="50"/>
      <c r="DY57" s="146">
        <v>7</v>
      </c>
      <c r="DZ57" s="166">
        <v>50000000</v>
      </c>
      <c r="EA57" s="168">
        <f t="shared" si="83"/>
        <v>41376560.41052115</v>
      </c>
      <c r="EE57" s="167">
        <f t="shared" si="84"/>
        <v>2</v>
      </c>
      <c r="EG57" s="172" t="s">
        <v>148</v>
      </c>
      <c r="EH57" s="174">
        <f>EB44</f>
        <v>43573</v>
      </c>
      <c r="EI57" s="154"/>
      <c r="EJ57" s="154"/>
      <c r="EK57" s="155">
        <f t="shared" si="65"/>
        <v>150</v>
      </c>
      <c r="EL57" s="154"/>
      <c r="EM57" s="154"/>
      <c r="EN57" s="156">
        <f t="shared" si="66"/>
        <v>250.74252000000004</v>
      </c>
    </row>
    <row r="58" spans="10:144" x14ac:dyDescent="0.25">
      <c r="J58" s="86" t="str" cm="1">
        <f t="array" ref="J58">LOOKUP(2,1/($G$17:$G$33&lt;=$L58)/($H$17:$H$33&gt;=$L58),$F$17:$F$33)</f>
        <v>2H23</v>
      </c>
      <c r="K58" s="86" t="str" cm="1">
        <f t="array" ref="K58">LOOKUP(2,1/($G$6:$G$14&lt;=$L58)/($H$6:$H$14&gt;=$L58),$F$6:$F$14)</f>
        <v>FY23</v>
      </c>
      <c r="L58" s="118">
        <v>45097</v>
      </c>
      <c r="M58" s="49">
        <v>7897734.6962346965</v>
      </c>
      <c r="N58" s="49">
        <v>11529902.883033033</v>
      </c>
      <c r="O58" s="50">
        <v>3000000</v>
      </c>
      <c r="P58" s="119" cm="1">
        <f t="array" ref="P58">LOOKUP(2,1/($B$10:$B$14&lt;=$L58)/($C$10:$C$14&gt;=$L58),$D$10:$D$14)</f>
        <v>1.1000000000000001</v>
      </c>
      <c r="Q58" s="120" cm="1">
        <f t="array" ref="Q58">LOOKUP(2,1/($B$17:$B$21&lt;=$L58)/($C$17:$C$21&gt;=$L58),$D$17:$D$21)</f>
        <v>134.49039999999999</v>
      </c>
      <c r="R58" s="113" t="str">
        <f t="shared" si="3"/>
        <v/>
      </c>
      <c r="S58" s="113" t="str">
        <f t="shared" si="4"/>
        <v>1H24</v>
      </c>
      <c r="T58" s="113" t="str">
        <f t="shared" ca="1" si="5"/>
        <v/>
      </c>
      <c r="U58" s="113" t="str">
        <f t="shared" si="6"/>
        <v/>
      </c>
      <c r="V58" s="113" t="str">
        <f t="shared" si="0"/>
        <v>FY24</v>
      </c>
      <c r="W58" s="113" t="str">
        <f t="shared" ca="1" si="62"/>
        <v/>
      </c>
      <c r="Y58" s="146">
        <v>8</v>
      </c>
      <c r="Z58" s="145">
        <v>70000000</v>
      </c>
      <c r="AA58" s="145"/>
      <c r="AB58" s="173">
        <f>IF($Z58&gt;=100000000,$AC$46*AC$49*AC58+$AD$46*AD$49*AD58,AC$49*AC58+AD$49*AD58)*AB$49</f>
        <v>60207600</v>
      </c>
      <c r="AC58" s="145">
        <v>60207600</v>
      </c>
      <c r="AD58" s="145"/>
      <c r="AE58" s="146"/>
      <c r="AF58" s="146"/>
      <c r="AH58" s="179" t="s">
        <v>162</v>
      </c>
      <c r="AI58" s="180">
        <f>AC46</f>
        <v>1.3</v>
      </c>
      <c r="AJ58" s="181"/>
      <c r="AK58" s="181"/>
      <c r="AL58" s="181"/>
      <c r="AM58" s="181"/>
      <c r="AN58" s="181"/>
      <c r="AO58" s="182"/>
      <c r="AS58" s="146">
        <v>8</v>
      </c>
      <c r="AT58" s="145">
        <v>150000000</v>
      </c>
      <c r="AU58" s="145"/>
      <c r="AV58" s="145">
        <v>275000000</v>
      </c>
      <c r="AW58" s="146"/>
      <c r="AY58" s="176"/>
      <c r="AZ58" s="32"/>
      <c r="BA58" s="32"/>
      <c r="BB58" s="32"/>
      <c r="BC58" s="183"/>
      <c r="BG58" s="146">
        <v>7</v>
      </c>
      <c r="BH58" s="145">
        <v>200000000</v>
      </c>
      <c r="BI58" s="145"/>
      <c r="BJ58" s="145">
        <v>440000000</v>
      </c>
      <c r="BK58" s="145">
        <v>153088000</v>
      </c>
      <c r="BL58" s="145">
        <v>140281000</v>
      </c>
      <c r="BM58" s="146"/>
      <c r="BO58" s="172" t="s">
        <v>148</v>
      </c>
      <c r="BP58" s="174">
        <f>BJ45</f>
        <v>44864</v>
      </c>
      <c r="BQ58" s="154"/>
      <c r="BR58" s="154"/>
      <c r="BS58" s="155">
        <f t="shared" si="69"/>
        <v>350</v>
      </c>
      <c r="BT58" s="154"/>
      <c r="BU58" s="154"/>
      <c r="BV58" s="156">
        <f t="shared" si="70"/>
        <v>1000</v>
      </c>
      <c r="CP58" s="146">
        <v>8</v>
      </c>
      <c r="CQ58" s="166">
        <v>80000000</v>
      </c>
      <c r="CR58" s="168">
        <f t="shared" si="79"/>
        <v>80928666.175024584</v>
      </c>
      <c r="CS58" s="168"/>
      <c r="CT58" s="145">
        <v>108838900.00000001</v>
      </c>
      <c r="CU58" s="145">
        <v>112756999.99999999</v>
      </c>
      <c r="CV58" s="167">
        <f t="shared" si="80"/>
        <v>1</v>
      </c>
      <c r="CX58" s="176"/>
      <c r="CY58" s="32"/>
      <c r="CZ58" s="32"/>
      <c r="DA58" s="32"/>
      <c r="DB58" s="183"/>
      <c r="DF58" s="146">
        <v>8</v>
      </c>
      <c r="DG58" s="145">
        <v>80000000</v>
      </c>
      <c r="DH58" s="145"/>
      <c r="DI58" s="173">
        <f>IF($DG58&gt;=100000000,$DJ$46*DJ$49*DJ58+$DK$46*DK$49*DK58,DJ$49*DJ58+DK$49*DK58)</f>
        <v>101329200</v>
      </c>
      <c r="DJ58" s="145">
        <v>101329200</v>
      </c>
      <c r="DK58" s="145">
        <v>109018999.99999999</v>
      </c>
      <c r="DL58" s="146"/>
      <c r="DN58" s="176"/>
      <c r="DO58" s="32"/>
      <c r="DP58" s="32"/>
      <c r="DQ58" s="32"/>
      <c r="DR58" s="32"/>
      <c r="DS58" s="32"/>
      <c r="DT58" s="32"/>
      <c r="DU58" s="183"/>
      <c r="DY58" s="146">
        <v>8</v>
      </c>
      <c r="DZ58" s="166">
        <v>80000000</v>
      </c>
      <c r="EA58" s="168" t="e">
        <f t="shared" si="83"/>
        <v>#DIV/0!</v>
      </c>
      <c r="EB58" s="173">
        <f>IF($DZ58&gt;=100000000,$EC$46*EC$49*EC58+$ED$46*ED$49*ED58,EC$49*EC58+ED$49*ED58)*EB$49</f>
        <v>101329200</v>
      </c>
      <c r="EC58" s="145">
        <v>101329200</v>
      </c>
      <c r="ED58" s="145">
        <v>109018999.99999999</v>
      </c>
      <c r="EE58" s="167">
        <f t="shared" si="84"/>
        <v>0</v>
      </c>
      <c r="EG58" s="179" t="s">
        <v>0</v>
      </c>
      <c r="EH58" s="185">
        <f>EB49</f>
        <v>1</v>
      </c>
      <c r="EI58" s="181"/>
      <c r="EJ58" s="181"/>
      <c r="EK58" s="181"/>
      <c r="EL58" s="181"/>
      <c r="EM58" s="181"/>
      <c r="EN58" s="182"/>
    </row>
    <row r="59" spans="10:144" x14ac:dyDescent="0.25">
      <c r="J59" s="86" t="str" cm="1">
        <f t="array" ref="J59">LOOKUP(2,1/($G$17:$G$33&lt;=$L59)/($H$17:$H$33&gt;=$L59),$F$17:$F$33)</f>
        <v>2H23</v>
      </c>
      <c r="K59" s="86" t="str" cm="1">
        <f t="array" ref="K59">LOOKUP(2,1/($G$6:$G$14&lt;=$L59)/($H$6:$H$14&gt;=$L59),$F$6:$F$14)</f>
        <v>FY23</v>
      </c>
      <c r="L59" s="118">
        <v>45090</v>
      </c>
      <c r="M59" s="49">
        <v>17313915.453915451</v>
      </c>
      <c r="N59" s="49">
        <v>25276585.171171166</v>
      </c>
      <c r="O59" s="50">
        <v>20000000</v>
      </c>
      <c r="P59" s="119" cm="1">
        <f t="array" ref="P59">LOOKUP(2,1/($B$10:$B$14&lt;=$L59)/($C$10:$C$14&gt;=$L59),$D$10:$D$14)</f>
        <v>1.1000000000000001</v>
      </c>
      <c r="Q59" s="120" cm="1">
        <f t="array" ref="Q59">LOOKUP(2,1/($B$17:$B$21&lt;=$L59)/($C$17:$C$21&gt;=$L59),$D$17:$D$21)</f>
        <v>134.49039999999999</v>
      </c>
      <c r="R59" s="113" t="str">
        <f t="shared" si="3"/>
        <v/>
      </c>
      <c r="S59" s="113" t="str">
        <f t="shared" si="4"/>
        <v>2H23</v>
      </c>
      <c r="T59" s="113" t="str">
        <f t="shared" ca="1" si="5"/>
        <v>1H24</v>
      </c>
      <c r="U59" s="113" t="str">
        <f t="shared" si="6"/>
        <v/>
      </c>
      <c r="V59" s="113" t="str">
        <f t="shared" si="0"/>
        <v>FY23</v>
      </c>
      <c r="W59" s="113" t="str">
        <f t="shared" ca="1" si="62"/>
        <v>FY24</v>
      </c>
      <c r="Y59" s="146">
        <v>9</v>
      </c>
      <c r="Z59" s="145">
        <v>100000000</v>
      </c>
      <c r="AA59" s="145"/>
      <c r="AB59" s="173">
        <f>IF($Z59&gt;=100000000,$AC$46*AC$49*AC59+$AD$46*AD$49*AD59,AC$49*AC59+AD$49*AD59)*AB$49</f>
        <v>107777280</v>
      </c>
      <c r="AC59" s="145">
        <v>82905600</v>
      </c>
      <c r="AD59" s="145"/>
      <c r="AE59" s="146"/>
      <c r="AF59" s="146"/>
      <c r="AH59" s="2"/>
      <c r="AI59" s="2"/>
      <c r="AJ59" s="2"/>
      <c r="AK59" s="2"/>
      <c r="AL59" s="2"/>
      <c r="AM59" s="2"/>
      <c r="AN59" s="2"/>
      <c r="AO59" s="2"/>
      <c r="AS59" s="146">
        <v>9</v>
      </c>
      <c r="AT59" s="145">
        <v>200000000</v>
      </c>
      <c r="AU59" s="145"/>
      <c r="AV59" s="145">
        <v>370000000</v>
      </c>
      <c r="AW59" s="146"/>
      <c r="AY59" s="186"/>
      <c r="AZ59" s="2"/>
      <c r="BA59" s="2"/>
      <c r="BB59" s="2"/>
      <c r="BC59" s="187"/>
      <c r="BG59" s="146">
        <v>8</v>
      </c>
      <c r="BH59" s="145">
        <v>250000000</v>
      </c>
      <c r="BI59" s="145"/>
      <c r="BJ59" s="145">
        <v>590000000</v>
      </c>
      <c r="BK59" s="145">
        <v>198564000</v>
      </c>
      <c r="BL59" s="145">
        <v>172077000</v>
      </c>
      <c r="BM59" s="146"/>
      <c r="BO59" s="179" t="s">
        <v>0</v>
      </c>
      <c r="BP59" s="185">
        <f>BJ50</f>
        <v>0</v>
      </c>
      <c r="BQ59" s="181"/>
      <c r="BR59" s="181"/>
      <c r="BS59" s="181"/>
      <c r="BT59" s="181"/>
      <c r="BU59" s="181"/>
      <c r="BV59" s="182"/>
      <c r="CP59" s="146">
        <v>9</v>
      </c>
      <c r="CQ59" s="166">
        <v>100000000</v>
      </c>
      <c r="CR59" s="168" t="e">
        <f t="shared" si="79"/>
        <v>#DIV/0!</v>
      </c>
      <c r="CS59" s="168"/>
      <c r="CT59" s="145">
        <v>135298899.99999997</v>
      </c>
      <c r="CU59" s="145">
        <v>162217000</v>
      </c>
      <c r="CV59" s="167">
        <f t="shared" si="80"/>
        <v>0</v>
      </c>
      <c r="CX59" s="186"/>
      <c r="CY59" s="2"/>
      <c r="CZ59" s="2"/>
      <c r="DA59" s="2"/>
      <c r="DB59" s="187"/>
      <c r="DF59" s="146">
        <v>9</v>
      </c>
      <c r="DG59" s="145">
        <v>100000000</v>
      </c>
      <c r="DH59" s="145"/>
      <c r="DI59" s="173">
        <f>IF($DG59&gt;=100000000,$DJ$46*DJ$49*DJ59+$DK$46*DK$49*DK59,DJ$49*DJ59+DK$49*DK59)</f>
        <v>156806500</v>
      </c>
      <c r="DJ59" s="145">
        <v>125445200</v>
      </c>
      <c r="DK59" s="145">
        <v>155857000</v>
      </c>
      <c r="DL59" s="146"/>
      <c r="DN59" s="186"/>
      <c r="DO59" s="2"/>
      <c r="DP59" s="2"/>
      <c r="DQ59" s="2"/>
      <c r="DR59" s="2"/>
      <c r="DS59" s="2"/>
      <c r="DT59" s="2"/>
      <c r="DU59" s="187"/>
      <c r="DY59" s="146">
        <v>9</v>
      </c>
      <c r="DZ59" s="166">
        <v>100000000</v>
      </c>
      <c r="EA59" s="168" t="e">
        <f t="shared" si="83"/>
        <v>#DIV/0!</v>
      </c>
      <c r="EB59" s="173">
        <f>IF($DZ59&gt;=100000000,$EC$46*EC$49*EC59+$ED$46*ED$49*ED59,EC$49*EC59+ED$49*ED59)*EB$49</f>
        <v>169351020</v>
      </c>
      <c r="EC59" s="145">
        <v>125445200</v>
      </c>
      <c r="ED59" s="145">
        <v>155857000</v>
      </c>
      <c r="EE59" s="167">
        <f t="shared" si="84"/>
        <v>0</v>
      </c>
      <c r="EG59" s="2"/>
      <c r="EH59" s="2"/>
      <c r="EI59" s="2"/>
      <c r="EJ59" s="2"/>
      <c r="EK59" s="2"/>
      <c r="EL59" s="2"/>
      <c r="EM59" s="2"/>
      <c r="EN59" s="2"/>
    </row>
    <row r="60" spans="10:144" x14ac:dyDescent="0.25">
      <c r="J60" s="86" t="str" cm="1">
        <f t="array" ref="J60">LOOKUP(2,1/($G$17:$G$33&lt;=$L60)/($H$17:$H$33&gt;=$L60),$F$17:$F$33)</f>
        <v>2H23</v>
      </c>
      <c r="K60" s="86" t="str" cm="1">
        <f t="array" ref="K60">LOOKUP(2,1/($G$6:$G$14&lt;=$L60)/($H$6:$H$14&gt;=$L60),$F$6:$F$14)</f>
        <v>FY23</v>
      </c>
      <c r="L60" s="118">
        <v>45083</v>
      </c>
      <c r="M60" s="49">
        <v>13397146.454146456</v>
      </c>
      <c r="N60" s="49">
        <v>19558494.10840841</v>
      </c>
      <c r="O60" s="50">
        <v>10000000</v>
      </c>
      <c r="P60" s="119" cm="1">
        <f t="array" ref="P60">LOOKUP(2,1/($B$10:$B$14&lt;=$L60)/($C$10:$C$14&gt;=$L60),$D$10:$D$14)</f>
        <v>1.1000000000000001</v>
      </c>
      <c r="Q60" s="120" cm="1">
        <f t="array" ref="Q60">LOOKUP(2,1/($B$17:$B$21&lt;=$L60)/($C$17:$C$21&gt;=$L60),$D$17:$D$21)</f>
        <v>134.49039999999999</v>
      </c>
      <c r="R60" s="113" t="str">
        <f t="shared" si="3"/>
        <v/>
      </c>
      <c r="S60" s="113" t="str">
        <f t="shared" si="4"/>
        <v>2H23</v>
      </c>
      <c r="T60" s="113" t="str">
        <f t="shared" ca="1" si="5"/>
        <v/>
      </c>
      <c r="U60" s="113" t="str">
        <f t="shared" si="6"/>
        <v/>
      </c>
      <c r="V60" s="113" t="str">
        <f t="shared" si="0"/>
        <v>FY23</v>
      </c>
      <c r="W60" s="113" t="str">
        <f t="shared" ca="1" si="62"/>
        <v/>
      </c>
      <c r="X60" s="50"/>
      <c r="Y60" s="146">
        <v>10</v>
      </c>
      <c r="Z60" s="145">
        <v>150000000</v>
      </c>
      <c r="AA60" s="145"/>
      <c r="AB60" s="173">
        <f>IF($Z60&gt;=100000000,$AC$46*AC$49*AC60+$AD$46*AD$49*AD60,AC$49*AC60+AD$49*AD60)*AB$49</f>
        <v>156956280</v>
      </c>
      <c r="AC60" s="145">
        <v>120735600</v>
      </c>
      <c r="AD60" s="145"/>
      <c r="AE60" s="146"/>
      <c r="AF60" s="146"/>
      <c r="AH60" s="188"/>
      <c r="AI60" s="188"/>
      <c r="AJ60" s="188"/>
      <c r="AK60" s="188"/>
      <c r="AL60" s="188"/>
      <c r="AM60" s="188"/>
      <c r="AN60" s="188"/>
      <c r="AO60" s="188"/>
      <c r="AR60" s="50"/>
      <c r="AS60" s="146">
        <v>10</v>
      </c>
      <c r="AT60" s="145">
        <v>250000000</v>
      </c>
      <c r="AU60" s="145"/>
      <c r="AV60" s="145">
        <v>480000000</v>
      </c>
      <c r="AW60" s="146"/>
      <c r="AY60" s="189"/>
      <c r="AZ60" s="190"/>
      <c r="BA60" s="190"/>
      <c r="BB60" s="190"/>
      <c r="BC60" s="191"/>
      <c r="BF60" s="50"/>
      <c r="BG60" s="146">
        <v>9</v>
      </c>
      <c r="BH60" s="145">
        <v>300000000</v>
      </c>
      <c r="BI60" s="145"/>
      <c r="BJ60" s="145">
        <v>800000000</v>
      </c>
      <c r="BK60" s="145">
        <v>244040000</v>
      </c>
      <c r="BL60" s="145">
        <v>199073000</v>
      </c>
      <c r="BM60" s="146"/>
      <c r="BO60" s="2"/>
      <c r="BP60" s="2"/>
      <c r="BQ60" s="2"/>
      <c r="BR60" s="2"/>
      <c r="BS60" s="2"/>
      <c r="BT60" s="2"/>
      <c r="BU60" s="2"/>
      <c r="BV60" s="2"/>
      <c r="BY60" s="50"/>
      <c r="CO60" s="50"/>
      <c r="CP60" s="146">
        <v>10</v>
      </c>
      <c r="CQ60" s="145">
        <v>150000000</v>
      </c>
      <c r="CR60" s="145"/>
      <c r="CS60" s="173">
        <f>IF($CQ60&gt;=100000000,$CT$46*CT$49*CT60+$CU$46*CU$49*CU60,CT$49*CT60+CU$49*CU60)</f>
        <v>251811124.99999997</v>
      </c>
      <c r="CT60" s="145">
        <v>201448899.99999997</v>
      </c>
      <c r="CU60" s="145">
        <v>329967000</v>
      </c>
      <c r="CV60" s="146"/>
      <c r="CX60" s="189"/>
      <c r="CY60" s="190"/>
      <c r="CZ60" s="190"/>
      <c r="DA60" s="190"/>
      <c r="DB60" s="191"/>
      <c r="DE60" s="50"/>
      <c r="DF60" s="146">
        <v>10</v>
      </c>
      <c r="DG60" s="145">
        <v>150000000</v>
      </c>
      <c r="DH60" s="145"/>
      <c r="DI60" s="173">
        <f>IF($DG60&gt;=100000000,$DJ$46*DJ$49*DJ60+$DK$46*DK$49*DK60,DJ$49*DJ60+DK$49*DK60)</f>
        <v>232169000</v>
      </c>
      <c r="DJ60" s="145">
        <v>185735200</v>
      </c>
      <c r="DK60" s="145">
        <v>313902000</v>
      </c>
      <c r="DL60" s="146"/>
      <c r="DN60" s="189"/>
      <c r="DO60" s="190"/>
      <c r="DP60" s="190"/>
      <c r="DQ60" s="190"/>
      <c r="DR60" s="190"/>
      <c r="DS60" s="190"/>
      <c r="DT60" s="190"/>
      <c r="DU60" s="191"/>
      <c r="DX60" s="50"/>
      <c r="DY60" s="146">
        <v>10</v>
      </c>
      <c r="DZ60" s="145">
        <v>150000000</v>
      </c>
      <c r="EA60" s="145"/>
      <c r="EB60" s="173">
        <f>IF($DZ60&gt;=100000000,$EC$46*EC$49*EC60+$ED$46*ED$49*ED60,EC$49*EC60+ED$49*ED60)*EB$49</f>
        <v>250742520.00000003</v>
      </c>
      <c r="EC60" s="145">
        <v>185735200</v>
      </c>
      <c r="ED60" s="145">
        <v>313902000</v>
      </c>
      <c r="EE60" s="146"/>
      <c r="EG60" s="188"/>
      <c r="EH60" s="188"/>
      <c r="EI60" s="188"/>
      <c r="EJ60" s="188"/>
      <c r="EK60" s="188"/>
      <c r="EL60" s="188"/>
      <c r="EM60" s="188"/>
      <c r="EN60" s="188"/>
    </row>
    <row r="61" spans="10:144" x14ac:dyDescent="0.25">
      <c r="J61" s="86" t="str" cm="1">
        <f t="array" ref="J61">LOOKUP(2,1/($G$17:$G$33&lt;=$L61)/($H$17:$H$33&gt;=$L61),$F$17:$F$33)</f>
        <v>2H23</v>
      </c>
      <c r="K61" s="86" t="str" cm="1">
        <f t="array" ref="K61">LOOKUP(2,1/($G$6:$G$14&lt;=$L61)/($H$6:$H$14&gt;=$L61),$F$6:$F$14)</f>
        <v>FY23</v>
      </c>
      <c r="L61" s="118">
        <v>45076</v>
      </c>
      <c r="M61" s="49">
        <v>9865218.9882189874</v>
      </c>
      <c r="N61" s="49">
        <v>14402233.200900899</v>
      </c>
      <c r="O61" s="50">
        <v>5000000</v>
      </c>
      <c r="P61" s="119" cm="1">
        <f t="array" ref="P61">LOOKUP(2,1/($B$10:$B$14&lt;=$L61)/($C$10:$C$14&gt;=$L61),$D$10:$D$14)</f>
        <v>1.1000000000000001</v>
      </c>
      <c r="Q61" s="120" cm="1">
        <f t="array" ref="Q61">LOOKUP(2,1/($B$17:$B$21&lt;=$L61)/($C$17:$C$21&gt;=$L61),$D$17:$D$21)</f>
        <v>134.49039999999999</v>
      </c>
      <c r="R61" s="113" t="str">
        <f t="shared" si="3"/>
        <v/>
      </c>
      <c r="S61" s="113" t="str">
        <f t="shared" si="4"/>
        <v>2H23</v>
      </c>
      <c r="T61" s="113" t="str">
        <f t="shared" ca="1" si="5"/>
        <v/>
      </c>
      <c r="U61" s="113" t="str">
        <f t="shared" si="6"/>
        <v/>
      </c>
      <c r="V61" s="113" t="str">
        <f t="shared" si="0"/>
        <v>FY23</v>
      </c>
      <c r="W61" s="113" t="str">
        <f t="shared" ca="1" si="62"/>
        <v/>
      </c>
      <c r="X61" s="50"/>
      <c r="AG61" s="116"/>
      <c r="AH61" s="106"/>
      <c r="AI61" s="107"/>
      <c r="AJ61" s="107"/>
      <c r="AK61" s="107"/>
      <c r="AL61" s="108"/>
      <c r="AM61" s="107"/>
      <c r="AN61" s="107"/>
      <c r="AO61" s="108"/>
      <c r="AR61" s="50"/>
      <c r="AS61" s="192"/>
      <c r="AX61" s="105"/>
      <c r="AY61" s="105"/>
      <c r="AZ61" s="105"/>
      <c r="BA61" s="105"/>
      <c r="BB61" s="105"/>
      <c r="BC61" s="105"/>
      <c r="BD61" s="105"/>
      <c r="BE61" s="105"/>
      <c r="BF61" s="50"/>
      <c r="BG61" s="146">
        <v>10</v>
      </c>
      <c r="BH61" s="145">
        <v>350000000</v>
      </c>
      <c r="BI61" s="145"/>
      <c r="BJ61" s="145">
        <v>1000000000</v>
      </c>
      <c r="BK61" s="145">
        <v>300885000.00000006</v>
      </c>
      <c r="BL61" s="145">
        <v>226068000</v>
      </c>
      <c r="BM61" s="146"/>
      <c r="BO61" s="188"/>
      <c r="BP61" s="188"/>
      <c r="BQ61" s="188"/>
      <c r="BR61" s="188"/>
      <c r="BS61" s="188"/>
      <c r="BT61" s="188"/>
      <c r="BU61" s="188"/>
      <c r="BV61" s="188"/>
      <c r="BY61" s="50"/>
      <c r="CO61" s="50"/>
      <c r="DE61" s="50"/>
      <c r="DF61" s="192"/>
      <c r="DM61" s="105"/>
      <c r="DN61" s="105"/>
      <c r="DO61" s="105"/>
      <c r="DP61" s="105"/>
      <c r="DQ61" s="105"/>
      <c r="DR61" s="105"/>
      <c r="DS61" s="105"/>
      <c r="DT61" s="105"/>
      <c r="DU61" s="105"/>
      <c r="DV61" s="105"/>
      <c r="DW61" s="105"/>
      <c r="DX61" s="50"/>
      <c r="EG61" s="105"/>
      <c r="EH61" s="105"/>
      <c r="EI61" s="105"/>
      <c r="EJ61" s="105"/>
      <c r="EK61" s="105"/>
      <c r="EL61" s="105"/>
      <c r="EM61" s="105"/>
      <c r="EN61" s="105"/>
    </row>
    <row r="62" spans="10:144" x14ac:dyDescent="0.25">
      <c r="J62" s="86" t="str" cm="1">
        <f t="array" ref="J62">LOOKUP(2,1/($G$17:$G$33&lt;=$L62)/($H$17:$H$33&gt;=$L62),$F$17:$F$33)</f>
        <v>2H23</v>
      </c>
      <c r="K62" s="86" t="str" cm="1">
        <f t="array" ref="K62">LOOKUP(2,1/($G$6:$G$14&lt;=$L62)/($H$6:$H$14&gt;=$L62),$F$6:$F$14)</f>
        <v>FY23</v>
      </c>
      <c r="L62" s="118">
        <v>45069</v>
      </c>
      <c r="M62" s="49">
        <v>8703118.3876183871</v>
      </c>
      <c r="N62" s="49">
        <v>12479401.456006005</v>
      </c>
      <c r="O62" s="50">
        <v>3000000</v>
      </c>
      <c r="P62" s="119" cm="1">
        <f t="array" ref="P62">LOOKUP(2,1/($B$10:$B$14&lt;=$L62)/($C$10:$C$14&gt;=$L62),$D$10:$D$14)</f>
        <v>1.1000000000000001</v>
      </c>
      <c r="Q62" s="120" cm="1">
        <f t="array" ref="Q62">LOOKUP(2,1/($B$17:$B$21&lt;=$L62)/($C$17:$C$21&gt;=$L62),$D$17:$D$21)</f>
        <v>134.49039999999999</v>
      </c>
      <c r="R62" s="113" t="str">
        <f t="shared" si="3"/>
        <v/>
      </c>
      <c r="S62" s="113" t="str">
        <f t="shared" si="4"/>
        <v>2H23</v>
      </c>
      <c r="T62" s="113" t="str">
        <f t="shared" ca="1" si="5"/>
        <v/>
      </c>
      <c r="U62" s="113" t="str">
        <f t="shared" si="6"/>
        <v/>
      </c>
      <c r="V62" s="113" t="str">
        <f t="shared" si="0"/>
        <v>FY23</v>
      </c>
      <c r="W62" s="113" t="str">
        <f t="shared" ca="1" si="62"/>
        <v/>
      </c>
      <c r="X62" s="50"/>
      <c r="Y62" s="193" t="s">
        <v>257</v>
      </c>
      <c r="Z62" s="122"/>
      <c r="AA62" s="122"/>
      <c r="AB62" s="122"/>
      <c r="AC62" s="122"/>
      <c r="AD62" s="122"/>
      <c r="AE62" s="122"/>
      <c r="AF62" s="122"/>
      <c r="AG62" s="122"/>
      <c r="AH62" s="122"/>
      <c r="AI62" s="122"/>
      <c r="AJ62" s="122"/>
      <c r="AK62" s="122"/>
      <c r="AL62" s="122"/>
      <c r="AM62" s="122"/>
      <c r="AN62" s="122"/>
      <c r="AO62" s="122"/>
      <c r="AP62" s="122"/>
      <c r="AQ62" s="122"/>
      <c r="AR62" s="50"/>
      <c r="BF62" s="50"/>
      <c r="BY62" s="50"/>
      <c r="CO62" s="50"/>
      <c r="CP62" s="125" t="s">
        <v>20</v>
      </c>
      <c r="CQ62" s="126"/>
      <c r="CR62" s="126"/>
      <c r="CS62" s="126"/>
      <c r="CT62" s="126"/>
      <c r="CU62" s="126"/>
      <c r="CV62" s="126"/>
      <c r="CW62" s="126"/>
      <c r="CX62" s="126"/>
      <c r="CY62" s="126"/>
      <c r="CZ62" s="126"/>
      <c r="DA62" s="126"/>
      <c r="DB62" s="126"/>
      <c r="DC62" s="126"/>
      <c r="DD62" s="126"/>
      <c r="DE62" s="50"/>
      <c r="DF62" s="125" t="s">
        <v>47</v>
      </c>
      <c r="DG62" s="126"/>
      <c r="DH62" s="126"/>
      <c r="DI62" s="126"/>
      <c r="DJ62" s="126"/>
      <c r="DK62" s="126"/>
      <c r="DL62" s="126"/>
      <c r="DM62" s="126"/>
      <c r="DN62" s="126"/>
      <c r="DO62" s="126"/>
      <c r="DP62" s="126"/>
      <c r="DQ62" s="126"/>
      <c r="DR62" s="126"/>
      <c r="DS62" s="126"/>
      <c r="DT62" s="126"/>
      <c r="DU62" s="126"/>
      <c r="DV62" s="126"/>
      <c r="DW62" s="126"/>
      <c r="DX62" s="50"/>
    </row>
    <row r="63" spans="10:144" x14ac:dyDescent="0.25">
      <c r="J63" s="86" t="str" cm="1">
        <f t="array" ref="J63">LOOKUP(2,1/($G$17:$G$33&lt;=$L63)/($H$17:$H$33&gt;=$L63),$F$17:$F$33)</f>
        <v>2H23</v>
      </c>
      <c r="K63" s="86" t="str" cm="1">
        <f t="array" ref="K63">LOOKUP(2,1/($G$6:$G$14&lt;=$L63)/($H$6:$H$14&gt;=$L63),$F$6:$F$14)</f>
        <v>FY23</v>
      </c>
      <c r="L63" s="118">
        <v>45062</v>
      </c>
      <c r="M63" s="49">
        <v>29237498.960498959</v>
      </c>
      <c r="N63" s="49">
        <v>41923649.759459458</v>
      </c>
      <c r="O63" s="50">
        <v>30000000</v>
      </c>
      <c r="P63" s="119" cm="1">
        <f t="array" ref="P63">LOOKUP(2,1/($B$10:$B$14&lt;=$L63)/($C$10:$C$14&gt;=$L63),$D$10:$D$14)</f>
        <v>1.1000000000000001</v>
      </c>
      <c r="Q63" s="120" cm="1">
        <f t="array" ref="Q63">LOOKUP(2,1/($B$17:$B$21&lt;=$L63)/($C$17:$C$21&gt;=$L63),$D$17:$D$21)</f>
        <v>134.49039999999999</v>
      </c>
      <c r="R63" s="113" t="str">
        <f t="shared" si="3"/>
        <v/>
      </c>
      <c r="S63" s="113" t="str">
        <f t="shared" si="4"/>
        <v>2H23</v>
      </c>
      <c r="T63" s="113" t="str">
        <f t="shared" ca="1" si="5"/>
        <v/>
      </c>
      <c r="U63" s="113" t="str">
        <f t="shared" si="6"/>
        <v/>
      </c>
      <c r="V63" s="113" t="str">
        <f t="shared" si="0"/>
        <v>FY23</v>
      </c>
      <c r="W63" s="113" t="str">
        <f t="shared" ca="1" si="62"/>
        <v/>
      </c>
      <c r="X63" s="50"/>
      <c r="Y63" s="114" t="s">
        <v>147</v>
      </c>
      <c r="Z63" s="115">
        <v>44013</v>
      </c>
      <c r="AA63" s="114" t="s">
        <v>148</v>
      </c>
      <c r="AB63" s="115">
        <v>44377</v>
      </c>
      <c r="AC63" s="132"/>
      <c r="AD63" s="132"/>
      <c r="AE63" s="132"/>
      <c r="AF63" s="132"/>
      <c r="AG63" s="133"/>
      <c r="AH63" s="133"/>
      <c r="AI63" s="133"/>
      <c r="AJ63" s="133"/>
      <c r="AK63" s="133"/>
      <c r="AL63" s="133"/>
      <c r="AM63" s="133"/>
      <c r="AN63" s="133"/>
      <c r="AO63" s="133"/>
      <c r="AP63" s="133"/>
      <c r="AQ63" s="133"/>
      <c r="AR63" s="50"/>
      <c r="AS63" s="197" t="s">
        <v>205</v>
      </c>
      <c r="AT63" s="198"/>
      <c r="AU63" s="198"/>
      <c r="AV63" s="198"/>
      <c r="AW63" s="198"/>
      <c r="AX63" s="198"/>
      <c r="AY63" s="198"/>
      <c r="AZ63" s="198"/>
      <c r="BA63" s="198"/>
      <c r="BB63" s="198"/>
      <c r="BC63" s="198"/>
      <c r="BD63" s="198"/>
      <c r="BE63" s="198"/>
      <c r="BF63" s="50"/>
      <c r="BG63" s="123" t="s">
        <v>206</v>
      </c>
      <c r="BH63" s="124"/>
      <c r="BI63" s="124"/>
      <c r="BJ63" s="124"/>
      <c r="BK63" s="124"/>
      <c r="BL63" s="124"/>
      <c r="BM63" s="124"/>
      <c r="BN63" s="124"/>
      <c r="BO63" s="124"/>
      <c r="BP63" s="124"/>
      <c r="BQ63" s="124"/>
      <c r="BR63" s="124"/>
      <c r="BS63" s="124"/>
      <c r="BT63" s="124"/>
      <c r="BU63" s="124"/>
      <c r="BV63" s="124"/>
      <c r="BW63" s="124"/>
      <c r="BX63" s="124"/>
      <c r="BY63" s="50"/>
      <c r="CO63" s="50"/>
      <c r="CP63" s="114" t="s">
        <v>147</v>
      </c>
      <c r="CQ63" s="115">
        <v>43647</v>
      </c>
      <c r="CR63" s="114" t="s">
        <v>148</v>
      </c>
      <c r="CS63" s="115">
        <v>44012</v>
      </c>
      <c r="CT63" s="132"/>
      <c r="CU63" s="132"/>
      <c r="CV63" s="132"/>
      <c r="CW63" s="133"/>
      <c r="CX63" s="133"/>
      <c r="CY63" s="133"/>
      <c r="CZ63" s="133"/>
      <c r="DA63" s="133"/>
      <c r="DB63" s="133"/>
      <c r="DC63" s="133"/>
      <c r="DD63" s="133"/>
      <c r="DE63" s="50"/>
      <c r="DF63" s="114" t="s">
        <v>147</v>
      </c>
      <c r="DG63" s="115">
        <v>43282</v>
      </c>
      <c r="DH63" s="114" t="s">
        <v>148</v>
      </c>
      <c r="DI63" s="115">
        <v>43465</v>
      </c>
      <c r="DJ63" s="132"/>
      <c r="DK63" s="132"/>
      <c r="DL63" s="132"/>
      <c r="DM63" s="133"/>
      <c r="DN63" s="133"/>
      <c r="DO63" s="133"/>
      <c r="DP63" s="133"/>
      <c r="DQ63" s="133"/>
      <c r="DR63" s="133"/>
      <c r="DS63" s="133"/>
      <c r="DT63" s="133"/>
      <c r="DU63" s="133"/>
      <c r="DV63" s="133"/>
      <c r="DW63" s="133"/>
      <c r="DX63" s="50"/>
    </row>
    <row r="64" spans="10:144" x14ac:dyDescent="0.25">
      <c r="J64" s="86" t="str" cm="1">
        <f t="array" ref="J64">LOOKUP(2,1/($G$17:$G$33&lt;=$L64)/($H$17:$H$33&gt;=$L64),$F$17:$F$33)</f>
        <v>2H23</v>
      </c>
      <c r="K64" s="86" t="str" cm="1">
        <f t="array" ref="K64">LOOKUP(2,1/($G$6:$G$14&lt;=$L64)/($H$6:$H$14&gt;=$L64),$F$6:$F$14)</f>
        <v>FY23</v>
      </c>
      <c r="L64" s="118">
        <v>45055</v>
      </c>
      <c r="M64" s="49">
        <v>21594296.604296606</v>
      </c>
      <c r="N64" s="49">
        <v>30964061.900900904</v>
      </c>
      <c r="O64" s="50">
        <v>20000000</v>
      </c>
      <c r="P64" s="119" cm="1">
        <f t="array" ref="P64">LOOKUP(2,1/($B$10:$B$14&lt;=$L64)/($C$10:$C$14&gt;=$L64),$D$10:$D$14)</f>
        <v>1.1000000000000001</v>
      </c>
      <c r="Q64" s="120" cm="1">
        <f t="array" ref="Q64">LOOKUP(2,1/($B$17:$B$21&lt;=$L64)/($C$17:$C$21&gt;=$L64),$D$17:$D$21)</f>
        <v>134.49039999999999</v>
      </c>
      <c r="R64" s="113" t="str">
        <f t="shared" si="3"/>
        <v/>
      </c>
      <c r="S64" s="113" t="str">
        <f t="shared" si="4"/>
        <v>2H23</v>
      </c>
      <c r="T64" s="113" t="str">
        <f t="shared" ca="1" si="5"/>
        <v/>
      </c>
      <c r="U64" s="113" t="str">
        <f t="shared" si="6"/>
        <v/>
      </c>
      <c r="V64" s="113" t="str">
        <f t="shared" si="0"/>
        <v>FY23</v>
      </c>
      <c r="W64" s="113" t="str">
        <f t="shared" ca="1" si="62"/>
        <v/>
      </c>
      <c r="X64" s="50"/>
      <c r="Y64" s="114" t="s">
        <v>159</v>
      </c>
      <c r="Z64" s="115" t="s">
        <v>160</v>
      </c>
      <c r="AA64" s="114" t="s">
        <v>161</v>
      </c>
      <c r="AB64" s="134" t="str" cm="1">
        <f t="array" ref="AB64">IF(OR(LOOKUP(2,1/($B$10:$B$14&lt;=AB63)/($C$10:$C$14&gt;=AB63),$D$10:$D$14)&lt;&gt;Z67,LOOKUP(2,1/($B$6:$B$7&lt;=AB63)/($C$6:$C$7&gt;=AB63),$D$6:$D$7)&lt;&gt;AB67),"FAIL","PASS")</f>
        <v>FAIL</v>
      </c>
      <c r="AC64" s="134" t="s">
        <v>162</v>
      </c>
      <c r="AD64" s="134" t="s">
        <v>162</v>
      </c>
      <c r="AE64" s="134"/>
      <c r="AF64" s="134"/>
      <c r="AG64" s="133"/>
      <c r="AH64" s="133"/>
      <c r="AI64" s="133"/>
      <c r="AJ64" s="133"/>
      <c r="AK64" s="133"/>
      <c r="AL64" s="133"/>
      <c r="AM64" s="133"/>
      <c r="AN64" s="133"/>
      <c r="AO64" s="133"/>
      <c r="AP64" s="133"/>
      <c r="AQ64" s="133"/>
      <c r="AR64" s="50"/>
      <c r="AS64" s="114" t="s">
        <v>147</v>
      </c>
      <c r="AT64" s="115">
        <v>44652</v>
      </c>
      <c r="AU64" s="114" t="s">
        <v>148</v>
      </c>
      <c r="AV64" s="115">
        <v>44868</v>
      </c>
      <c r="AW64" s="132"/>
      <c r="AX64" s="133"/>
      <c r="AY64" s="133"/>
      <c r="AZ64" s="133"/>
      <c r="BA64" s="133"/>
      <c r="BB64" s="133"/>
      <c r="BC64" s="133"/>
      <c r="BD64" s="133"/>
      <c r="BE64" s="133"/>
      <c r="BF64" s="50"/>
      <c r="BG64" s="114" t="s">
        <v>147</v>
      </c>
      <c r="BH64" s="115">
        <v>44652</v>
      </c>
      <c r="BI64" s="114" t="s">
        <v>148</v>
      </c>
      <c r="BJ64" s="115">
        <v>44864</v>
      </c>
      <c r="BK64" s="115"/>
      <c r="BL64" s="115"/>
      <c r="BM64" s="132"/>
      <c r="BN64" s="133"/>
      <c r="BO64" s="133"/>
      <c r="BP64" s="133"/>
      <c r="BQ64" s="133"/>
      <c r="BR64" s="133"/>
      <c r="BS64" s="133"/>
      <c r="BT64" s="133"/>
      <c r="BU64" s="133"/>
      <c r="BV64" s="133"/>
      <c r="BW64" s="133"/>
      <c r="BX64" s="133"/>
      <c r="BY64" s="50"/>
      <c r="CO64" s="50"/>
      <c r="CP64" s="114" t="s">
        <v>159</v>
      </c>
      <c r="CQ64" s="115" t="s">
        <v>20</v>
      </c>
      <c r="CR64" s="114" t="s">
        <v>161</v>
      </c>
      <c r="CS64" s="134" t="str" cm="1">
        <f t="array" ref="CS64">IF(OR(LOOKUP(2,1/($B$10:$B$14&lt;=CS63)/($C$10:$C$14&gt;=CS63),$D$10:$D$14)&lt;&gt;CQ67,LOOKUP(2,1/($B$6:$B$7&lt;=CS63)/($C$6:$C$7&gt;=CS63),$D$6:$D$7)&lt;&gt;CS67),"FAIL","PASS")</f>
        <v>FAIL</v>
      </c>
      <c r="CT64" s="134" t="s">
        <v>162</v>
      </c>
      <c r="CU64" s="134" t="s">
        <v>162</v>
      </c>
      <c r="CV64" s="134"/>
      <c r="CW64" s="133"/>
      <c r="CX64" s="133"/>
      <c r="CY64" s="133"/>
      <c r="CZ64" s="133"/>
      <c r="DA64" s="133"/>
      <c r="DB64" s="133"/>
      <c r="DC64" s="133"/>
      <c r="DD64" s="133"/>
      <c r="DE64" s="50"/>
      <c r="DF64" s="114" t="s">
        <v>159</v>
      </c>
      <c r="DG64" s="115" t="s">
        <v>47</v>
      </c>
      <c r="DH64" s="114" t="s">
        <v>161</v>
      </c>
      <c r="DI64" s="134" t="str" cm="1">
        <f t="array" ref="DI64">IF(OR(LOOKUP(2,1/($B$10:$B$14&lt;=DI63)/($C$10:$C$14&gt;=DI63),$D$10:$D$14)&lt;&gt;DG67,LOOKUP(2,1/($B$6:$B$7&lt;=DI63)/($C$6:$C$7&gt;=DI63),$D$6:$D$7)&lt;&gt;DI67),"FAIL","PASS")</f>
        <v>PASS</v>
      </c>
      <c r="DJ64" s="134" t="s">
        <v>162</v>
      </c>
      <c r="DK64" s="134" t="s">
        <v>162</v>
      </c>
      <c r="DL64" s="134"/>
      <c r="DM64" s="133"/>
      <c r="DN64" s="133"/>
      <c r="DO64" s="133"/>
      <c r="DP64" s="133"/>
      <c r="DQ64" s="133"/>
      <c r="DR64" s="133"/>
      <c r="DS64" s="133"/>
      <c r="DT64" s="133"/>
      <c r="DU64" s="133"/>
      <c r="DV64" s="133"/>
      <c r="DW64" s="133"/>
      <c r="DX64" s="50"/>
    </row>
    <row r="65" spans="10:125" x14ac:dyDescent="0.25">
      <c r="J65" s="86" t="str" cm="1">
        <f t="array" ref="J65">LOOKUP(2,1/($G$17:$G$33&lt;=$L65)/($H$17:$H$33&gt;=$L65),$F$17:$F$33)</f>
        <v>2H23</v>
      </c>
      <c r="K65" s="86" t="str" cm="1">
        <f t="array" ref="K65">LOOKUP(2,1/($G$6:$G$14&lt;=$L65)/($H$6:$H$14&gt;=$L65),$F$6:$F$14)</f>
        <v>FY23</v>
      </c>
      <c r="L65" s="118">
        <v>45048</v>
      </c>
      <c r="M65" s="49">
        <v>14635402.517902518</v>
      </c>
      <c r="N65" s="49">
        <v>20985703.670420419</v>
      </c>
      <c r="O65" s="50">
        <v>10000000</v>
      </c>
      <c r="P65" s="119" cm="1">
        <f t="array" ref="P65">LOOKUP(2,1/($B$10:$B$14&lt;=$L65)/($C$10:$C$14&gt;=$L65),$D$10:$D$14)</f>
        <v>1.1000000000000001</v>
      </c>
      <c r="Q65" s="120" cm="1">
        <f t="array" ref="Q65">LOOKUP(2,1/($B$17:$B$21&lt;=$L65)/($C$17:$C$21&gt;=$L65),$D$17:$D$21)</f>
        <v>134.49039999999999</v>
      </c>
      <c r="R65" s="113" t="str">
        <f t="shared" si="3"/>
        <v/>
      </c>
      <c r="S65" s="113" t="str">
        <f t="shared" si="4"/>
        <v>2H23</v>
      </c>
      <c r="T65" s="113" t="str">
        <f t="shared" ca="1" si="5"/>
        <v/>
      </c>
      <c r="U65" s="113" t="str">
        <f t="shared" si="6"/>
        <v/>
      </c>
      <c r="V65" s="113" t="str">
        <f t="shared" si="0"/>
        <v>FY23</v>
      </c>
      <c r="W65" s="113" t="str">
        <f t="shared" ca="1" si="62"/>
        <v/>
      </c>
      <c r="X65" s="50"/>
      <c r="Y65" s="114" t="s">
        <v>165</v>
      </c>
      <c r="Z65" s="134">
        <f>INDEX($G:$G,MATCH(Z64,$F:$F,0))</f>
        <v>45108</v>
      </c>
      <c r="AA65" s="114" t="s">
        <v>166</v>
      </c>
      <c r="AB65" s="134">
        <f>INDEX($H:$H,MATCH(Z64,$F:$F,0))</f>
        <v>45291</v>
      </c>
      <c r="AC65" s="135">
        <v>1.3</v>
      </c>
      <c r="AD65" s="135">
        <v>1</v>
      </c>
      <c r="AE65" s="134"/>
      <c r="AF65" s="134"/>
      <c r="AH65" s="136" t="s">
        <v>167</v>
      </c>
      <c r="AI65" s="137"/>
      <c r="AJ65" s="137"/>
      <c r="AK65" s="137"/>
      <c r="AL65" s="138"/>
      <c r="AM65" s="137"/>
      <c r="AN65" s="137"/>
      <c r="AO65" s="139"/>
      <c r="AR65" s="50"/>
      <c r="AS65" s="114" t="s">
        <v>159</v>
      </c>
      <c r="AT65" s="115" t="s">
        <v>193</v>
      </c>
      <c r="AU65" s="114" t="s">
        <v>161</v>
      </c>
      <c r="AV65" s="134" t="str" cm="1">
        <f t="array" ref="AV65">IF(OR(LOOKUP(2,1/($B$10:$B$14&lt;=AV64)/($C$10:$C$14&gt;=AV64),$D$10:$D$14)&lt;&gt;AT68,LOOKUP(2,1/($B$6:$B$7&lt;=AV64)/($C$6:$C$7&gt;=AV64),$D$6:$D$7)&lt;&gt;AV68),"FAIL","PASS")</f>
        <v>PASS</v>
      </c>
      <c r="AW65" s="134"/>
      <c r="AX65" s="133"/>
      <c r="AY65" s="133"/>
      <c r="AZ65" s="133"/>
      <c r="BA65" s="133"/>
      <c r="BB65" s="133"/>
      <c r="BC65" s="133"/>
      <c r="BD65" s="133"/>
      <c r="BE65" s="133"/>
      <c r="BF65" s="50"/>
      <c r="BG65" s="114" t="s">
        <v>159</v>
      </c>
      <c r="BH65" s="115" t="s">
        <v>23</v>
      </c>
      <c r="BI65" s="114" t="s">
        <v>161</v>
      </c>
      <c r="BJ65" s="134" t="str" cm="1">
        <f t="array" ref="BJ65">IF(OR(LOOKUP(2,1/($B$10:$B$14&lt;=BJ64)/($C$10:$C$14&gt;=BJ64),$D$10:$D$14)&lt;&gt;BH68,LOOKUP(2,1/($B$6:$B$7&lt;=BJ64)/($C$6:$C$7&gt;=BJ64),$D$6:$D$7)&lt;&gt;BJ68),"FAIL","PASS")</f>
        <v>PASS</v>
      </c>
      <c r="BK65" s="134"/>
      <c r="BL65" s="134"/>
      <c r="BM65" s="134"/>
      <c r="BN65" s="133"/>
      <c r="BO65" s="133"/>
      <c r="BP65" s="133"/>
      <c r="BQ65" s="133"/>
      <c r="BR65" s="133"/>
      <c r="BS65" s="133"/>
      <c r="BT65" s="133"/>
      <c r="BU65" s="133"/>
      <c r="BV65" s="133"/>
      <c r="BW65" s="133"/>
      <c r="BX65" s="133"/>
      <c r="BY65" s="50"/>
      <c r="CO65" s="50"/>
      <c r="CP65" s="114" t="s">
        <v>165</v>
      </c>
      <c r="CQ65" s="134">
        <f>INDEX($G:$G,MATCH(CQ64,$F:$F,0))</f>
        <v>43647</v>
      </c>
      <c r="CR65" s="114" t="s">
        <v>166</v>
      </c>
      <c r="CS65" s="134">
        <f>INDEX($H:$H,MATCH(CQ64,$F:$F,0))</f>
        <v>44012</v>
      </c>
      <c r="CT65" s="135">
        <v>1.25</v>
      </c>
      <c r="CU65" s="135">
        <v>1</v>
      </c>
      <c r="CV65" s="134"/>
      <c r="CX65" s="136" t="s">
        <v>167</v>
      </c>
      <c r="CY65" s="137"/>
      <c r="CZ65" s="137"/>
      <c r="DA65" s="138"/>
      <c r="DB65" s="139"/>
      <c r="DE65" s="50"/>
      <c r="DF65" s="114" t="s">
        <v>165</v>
      </c>
      <c r="DG65" s="134">
        <f>INDEX($G:$G,MATCH(DG64,$F:$F,0))</f>
        <v>43282</v>
      </c>
      <c r="DH65" s="114" t="s">
        <v>166</v>
      </c>
      <c r="DI65" s="134">
        <f>INDEX($H:$H,MATCH(DG64,$F:$F,0))</f>
        <v>43465</v>
      </c>
      <c r="DJ65" s="135">
        <v>1.25</v>
      </c>
      <c r="DK65" s="135">
        <v>1</v>
      </c>
      <c r="DL65" s="134"/>
      <c r="DN65" s="136" t="s">
        <v>167</v>
      </c>
      <c r="DO65" s="137"/>
      <c r="DP65" s="137"/>
      <c r="DQ65" s="137"/>
      <c r="DR65" s="138"/>
      <c r="DS65" s="137"/>
      <c r="DT65" s="137"/>
      <c r="DU65" s="139"/>
    </row>
    <row r="66" spans="10:125" x14ac:dyDescent="0.25">
      <c r="J66" s="86" t="str" cm="1">
        <f t="array" ref="J66">LOOKUP(2,1/($G$17:$G$33&lt;=$L66)/($H$17:$H$33&gt;=$L66),$F$17:$F$33)</f>
        <v>2H23</v>
      </c>
      <c r="K66" s="86" t="str" cm="1">
        <f t="array" ref="K66">LOOKUP(2,1/($G$6:$G$14&lt;=$L66)/($H$6:$H$14&gt;=$L66),$F$6:$F$14)</f>
        <v>FY23</v>
      </c>
      <c r="L66" s="118">
        <v>45041</v>
      </c>
      <c r="M66" s="49">
        <v>9725124.2781242765</v>
      </c>
      <c r="N66" s="49">
        <v>13944855.7024024</v>
      </c>
      <c r="O66" s="50">
        <v>5000000</v>
      </c>
      <c r="P66" s="119" cm="1">
        <f t="array" ref="P66">LOOKUP(2,1/($B$10:$B$14&lt;=$L66)/($C$10:$C$14&gt;=$L66),$D$10:$D$14)</f>
        <v>1.1000000000000001</v>
      </c>
      <c r="Q66" s="120" cm="1">
        <f t="array" ref="Q66">LOOKUP(2,1/($B$17:$B$21&lt;=$L66)/($C$17:$C$21&gt;=$L66),$D$17:$D$21)</f>
        <v>134.49039999999999</v>
      </c>
      <c r="R66" s="113" t="str">
        <f t="shared" si="3"/>
        <v/>
      </c>
      <c r="S66" s="113" t="str">
        <f t="shared" si="4"/>
        <v>2H23</v>
      </c>
      <c r="T66" s="113" t="str">
        <f t="shared" ca="1" si="5"/>
        <v/>
      </c>
      <c r="U66" s="113" t="str">
        <f t="shared" si="6"/>
        <v/>
      </c>
      <c r="V66" s="113" t="str">
        <f t="shared" si="0"/>
        <v>FY23</v>
      </c>
      <c r="W66" s="113" t="str">
        <f t="shared" ca="1" si="62"/>
        <v/>
      </c>
      <c r="X66" s="50"/>
      <c r="Y66" s="114" t="s">
        <v>91</v>
      </c>
      <c r="Z66" s="140" t="e">
        <f>INDEX($O:$O,MATCH(Z64,$U:$U,0))</f>
        <v>#N/A</v>
      </c>
      <c r="AA66" s="114" t="s">
        <v>76</v>
      </c>
      <c r="AB66" s="140" t="e">
        <f ca="1">INDEX($O:$O,MATCH(Z64,$W:$W,0))</f>
        <v>#N/A</v>
      </c>
      <c r="AC66" s="140"/>
      <c r="AD66" s="140"/>
      <c r="AE66" s="140"/>
      <c r="AF66" s="140"/>
      <c r="AH66" s="141" t="s">
        <v>168</v>
      </c>
      <c r="AI66" s="141"/>
      <c r="AJ66" s="142"/>
      <c r="AK66" s="142"/>
      <c r="AL66" s="143" t="s">
        <v>15</v>
      </c>
      <c r="AM66" s="142"/>
      <c r="AN66" s="142"/>
      <c r="AO66" s="144" t="s">
        <v>139</v>
      </c>
      <c r="AR66" s="50"/>
      <c r="AS66" s="114" t="s">
        <v>165</v>
      </c>
      <c r="AT66" s="134">
        <f>INDEX($G:$G,MATCH(AT65,$F:$F,0))</f>
        <v>44927</v>
      </c>
      <c r="AU66" s="114" t="s">
        <v>166</v>
      </c>
      <c r="AV66" s="134">
        <f>INDEX($H:$H,MATCH(AT65,$F:$F,0))</f>
        <v>45107</v>
      </c>
      <c r="AW66" s="134"/>
      <c r="AY66" s="136" t="s">
        <v>167</v>
      </c>
      <c r="AZ66" s="137"/>
      <c r="BA66" s="137"/>
      <c r="BB66" s="138"/>
      <c r="BC66" s="139"/>
      <c r="BF66" s="50"/>
      <c r="BG66" s="114" t="s">
        <v>165</v>
      </c>
      <c r="BH66" s="134">
        <f>INDEX($G:$G,MATCH(BH65,$F:$F,0))</f>
        <v>44743</v>
      </c>
      <c r="BI66" s="114" t="s">
        <v>166</v>
      </c>
      <c r="BJ66" s="134">
        <f>INDEX($H:$H,MATCH(BH65,$F:$F,0))</f>
        <v>45107</v>
      </c>
      <c r="BK66" s="134"/>
      <c r="BL66" s="134"/>
      <c r="BM66" s="134"/>
      <c r="BO66" s="136" t="s">
        <v>167</v>
      </c>
      <c r="BP66" s="137"/>
      <c r="BQ66" s="137"/>
      <c r="BR66" s="137"/>
      <c r="BS66" s="138"/>
      <c r="BT66" s="137"/>
      <c r="BU66" s="137"/>
      <c r="BV66" s="139"/>
      <c r="BY66" s="50"/>
      <c r="CO66" s="50"/>
      <c r="CP66" s="114" t="s">
        <v>91</v>
      </c>
      <c r="CQ66" s="140">
        <f>INDEX($O:$O,MATCH(CQ64,$U:$U,0))</f>
        <v>2000000</v>
      </c>
      <c r="CR66" s="114" t="s">
        <v>76</v>
      </c>
      <c r="CS66" s="140">
        <f ca="1">INDEX($O:$O,MATCH(CQ64,$W:$W,0))</f>
        <v>80000000</v>
      </c>
      <c r="CT66" s="140"/>
      <c r="CU66" s="140"/>
      <c r="CV66" s="140"/>
      <c r="CX66" s="147" t="s">
        <v>165</v>
      </c>
      <c r="CY66" s="148">
        <f>CQ65</f>
        <v>43647</v>
      </c>
      <c r="CZ66" s="142"/>
      <c r="DA66" s="143" t="s">
        <v>15</v>
      </c>
      <c r="DB66" s="144" t="s">
        <v>139</v>
      </c>
      <c r="DE66" s="50"/>
      <c r="DF66" s="114" t="s">
        <v>91</v>
      </c>
      <c r="DG66" s="140">
        <f>INDEX($O:$O,MATCH(DG64,$R:$R,0))</f>
        <v>10000000</v>
      </c>
      <c r="DH66" s="114" t="s">
        <v>76</v>
      </c>
      <c r="DI66" s="140">
        <f ca="1">INDEX($O:$O,MATCH(DG64,$T:$T,0))</f>
        <v>15000000</v>
      </c>
      <c r="DJ66" s="140"/>
      <c r="DK66" s="140"/>
      <c r="DL66" s="140"/>
      <c r="DN66" s="147" t="s">
        <v>165</v>
      </c>
      <c r="DO66" s="148">
        <f>DG65</f>
        <v>43282</v>
      </c>
      <c r="DP66" s="142"/>
      <c r="DQ66" s="142"/>
      <c r="DR66" s="143" t="s">
        <v>15</v>
      </c>
      <c r="DS66" s="142"/>
      <c r="DT66" s="142"/>
      <c r="DU66" s="144" t="s">
        <v>139</v>
      </c>
    </row>
    <row r="67" spans="10:125" x14ac:dyDescent="0.25">
      <c r="J67" s="86" t="str" cm="1">
        <f t="array" ref="J67">LOOKUP(2,1/($G$17:$G$33&lt;=$L67)/($H$17:$H$33&gt;=$L67),$F$17:$F$33)</f>
        <v>2H23</v>
      </c>
      <c r="K67" s="86" t="str" cm="1">
        <f t="array" ref="K67">LOOKUP(2,1/($G$6:$G$14&lt;=$L67)/($H$6:$H$14&gt;=$L67),$F$6:$F$14)</f>
        <v>FY23</v>
      </c>
      <c r="L67" s="118">
        <v>45034</v>
      </c>
      <c r="M67" s="49">
        <v>9270009.4710094687</v>
      </c>
      <c r="N67" s="49">
        <v>13292266.580480477</v>
      </c>
      <c r="O67" s="50">
        <v>3000000</v>
      </c>
      <c r="P67" s="119" cm="1">
        <f t="array" ref="P67">LOOKUP(2,1/($B$10:$B$14&lt;=$L67)/($C$10:$C$14&gt;=$L67),$D$10:$D$14)</f>
        <v>1.1000000000000001</v>
      </c>
      <c r="Q67" s="120" cm="1">
        <f t="array" ref="Q67">LOOKUP(2,1/($B$17:$B$21&lt;=$L67)/($C$17:$C$21&gt;=$L67),$D$17:$D$21)</f>
        <v>134.49039999999999</v>
      </c>
      <c r="R67" s="113" t="str">
        <f t="shared" si="3"/>
        <v/>
      </c>
      <c r="S67" s="113" t="str">
        <f t="shared" si="4"/>
        <v>2H23</v>
      </c>
      <c r="T67" s="113" t="str">
        <f t="shared" ca="1" si="5"/>
        <v/>
      </c>
      <c r="U67" s="113" t="str">
        <f t="shared" si="6"/>
        <v/>
      </c>
      <c r="V67" s="113" t="str">
        <f t="shared" si="0"/>
        <v>FY23</v>
      </c>
      <c r="W67" s="113" t="str">
        <f t="shared" ca="1" si="62"/>
        <v/>
      </c>
      <c r="X67" s="50"/>
      <c r="Y67" s="114" t="s">
        <v>169</v>
      </c>
      <c r="Z67" s="135">
        <v>1.2</v>
      </c>
      <c r="AA67" s="114" t="s">
        <v>149</v>
      </c>
      <c r="AB67" s="152" cm="1">
        <f t="array" ref="AB67">LOOKUP(2,1/($B$6:$B$7&lt;=Z63)/($C$6:$C$7&gt;=Z63),$D$6:$D$7)</f>
        <v>0.10299999999999999</v>
      </c>
      <c r="AC67" s="152" t="s">
        <v>170</v>
      </c>
      <c r="AD67" s="152" t="s">
        <v>171</v>
      </c>
      <c r="AE67" s="152"/>
      <c r="AF67" s="152"/>
      <c r="AH67" s="153" t="s">
        <v>165</v>
      </c>
      <c r="AI67" s="148">
        <f>Z65</f>
        <v>45108</v>
      </c>
      <c r="AJ67" s="154"/>
      <c r="AK67" s="154"/>
      <c r="AL67" s="155">
        <f t="shared" ref="AL67:AL76" si="85">Z70/1000000</f>
        <v>2</v>
      </c>
      <c r="AM67" s="154"/>
      <c r="AN67" s="154"/>
      <c r="AO67" s="156">
        <f t="shared" ref="AO67:AO76" si="86">MAX(AA70:AB70)/1000000</f>
        <v>9.3412514979719781</v>
      </c>
      <c r="AR67" s="50"/>
      <c r="AS67" s="114" t="s">
        <v>91</v>
      </c>
      <c r="AT67" s="145">
        <v>40000000</v>
      </c>
      <c r="AU67" s="114" t="s">
        <v>76</v>
      </c>
      <c r="AV67" s="145">
        <v>40000000</v>
      </c>
      <c r="AW67" s="146"/>
      <c r="AY67" s="147" t="s">
        <v>165</v>
      </c>
      <c r="AZ67" s="148">
        <f>AT66</f>
        <v>44927</v>
      </c>
      <c r="BA67" s="142"/>
      <c r="BB67" s="143" t="s">
        <v>15</v>
      </c>
      <c r="BC67" s="144" t="s">
        <v>139</v>
      </c>
      <c r="BF67" s="50"/>
      <c r="BG67" s="114" t="s">
        <v>91</v>
      </c>
      <c r="BH67" s="140">
        <f>INDEX($O:$O,MATCH(BH65,$U:$U,0))</f>
        <v>30000000</v>
      </c>
      <c r="BI67" s="114" t="s">
        <v>76</v>
      </c>
      <c r="BJ67" s="140">
        <f ca="1">INDEX($O:$O,MATCH(BH65,$W:$W,0))</f>
        <v>5000000</v>
      </c>
      <c r="BK67" s="140"/>
      <c r="BL67" s="140"/>
      <c r="BM67" s="140"/>
      <c r="BO67" s="141" t="s">
        <v>168</v>
      </c>
      <c r="BP67" s="141"/>
      <c r="BQ67" s="2"/>
      <c r="BR67" s="2"/>
      <c r="BS67" s="149" t="s">
        <v>15</v>
      </c>
      <c r="BT67" s="2"/>
      <c r="BU67" s="2"/>
      <c r="BV67" s="150" t="s">
        <v>139</v>
      </c>
      <c r="BY67" s="50"/>
      <c r="CO67" s="50"/>
      <c r="CP67" s="114" t="s">
        <v>169</v>
      </c>
      <c r="CQ67" s="119" cm="1">
        <f t="array" ref="CQ67">LOOKUP(2,1/($B$10:$B$14&lt;=CQ63)/($C$10:$C$14&gt;=CQ63),$D$10:$D$14)</f>
        <v>1.1000000000000001</v>
      </c>
      <c r="CR67" s="114" t="s">
        <v>149</v>
      </c>
      <c r="CS67" s="162">
        <f>9.3%*13/52+10.3%*39/52</f>
        <v>0.10050000000000001</v>
      </c>
      <c r="CT67" s="152" t="s">
        <v>170</v>
      </c>
      <c r="CU67" s="152" t="s">
        <v>171</v>
      </c>
      <c r="CV67" s="164"/>
      <c r="CX67" s="153" t="s">
        <v>166</v>
      </c>
      <c r="CY67" s="158">
        <f>CS65</f>
        <v>44012</v>
      </c>
      <c r="CZ67" s="154"/>
      <c r="DA67" s="155">
        <f>CQ70/1000000</f>
        <v>3</v>
      </c>
      <c r="DB67" s="156" t="e">
        <f>MAX(CR70:CS70)/1000000</f>
        <v>#DIV/0!</v>
      </c>
      <c r="DE67" s="50"/>
      <c r="DF67" s="114" t="s">
        <v>169</v>
      </c>
      <c r="DG67" s="119" cm="1">
        <f t="array" ref="DG67">LOOKUP(2,1/($B$10:$B$14&lt;=DG63)/($C$10:$C$14&gt;=DG63),$D$10:$D$14)</f>
        <v>1.1000000000000001</v>
      </c>
      <c r="DH67" s="114" t="s">
        <v>149</v>
      </c>
      <c r="DI67" s="152" cm="1">
        <f t="array" ref="DI67">LOOKUP(2,1/($B$6:$B$7&lt;=DG63)/($C$6:$C$7&gt;=DG63),$D$6:$D$7)</f>
        <v>9.2999999999999999E-2</v>
      </c>
      <c r="DJ67" s="152" t="s">
        <v>170</v>
      </c>
      <c r="DK67" s="152" t="s">
        <v>171</v>
      </c>
      <c r="DL67" s="152"/>
      <c r="DN67" s="153" t="s">
        <v>166</v>
      </c>
      <c r="DO67" s="158">
        <f>DI65</f>
        <v>43465</v>
      </c>
      <c r="DP67" s="154"/>
      <c r="DQ67" s="154"/>
      <c r="DR67" s="155">
        <f>DG70/1000000</f>
        <v>3</v>
      </c>
      <c r="DS67" s="154"/>
      <c r="DT67" s="154"/>
      <c r="DU67" s="156" t="e">
        <f>MAX(DH70:DI70)/1000000</f>
        <v>#DIV/0!</v>
      </c>
    </row>
    <row r="68" spans="10:125" x14ac:dyDescent="0.25">
      <c r="J68" s="86" t="str" cm="1">
        <f t="array" ref="J68">LOOKUP(2,1/($G$17:$G$33&lt;=$L68)/($H$17:$H$33&gt;=$L68),$F$17:$F$33)</f>
        <v>2H23</v>
      </c>
      <c r="K68" s="86" t="str" cm="1">
        <f t="array" ref="K68">LOOKUP(2,1/($G$6:$G$14&lt;=$L68)/($H$6:$H$14&gt;=$L68),$F$6:$F$14)</f>
        <v>FY23</v>
      </c>
      <c r="L68" s="118">
        <v>45027</v>
      </c>
      <c r="M68" s="49">
        <v>24316174.405174401</v>
      </c>
      <c r="N68" s="49">
        <v>34866962.479579575</v>
      </c>
      <c r="O68" s="50">
        <v>30000000</v>
      </c>
      <c r="P68" s="119" cm="1">
        <f t="array" ref="P68">LOOKUP(2,1/($B$10:$B$14&lt;=$L68)/($C$10:$C$14&gt;=$L68),$D$10:$D$14)</f>
        <v>1.1000000000000001</v>
      </c>
      <c r="Q68" s="120" cm="1">
        <f t="array" ref="Q68">LOOKUP(2,1/($B$17:$B$21&lt;=$L68)/($C$17:$C$21&gt;=$L68),$D$17:$D$21)</f>
        <v>134.49039999999999</v>
      </c>
      <c r="R68" s="113" t="str">
        <f t="shared" si="3"/>
        <v/>
      </c>
      <c r="S68" s="113" t="str">
        <f t="shared" si="4"/>
        <v>2H23</v>
      </c>
      <c r="T68" s="113" t="str">
        <f t="shared" ca="1" si="5"/>
        <v/>
      </c>
      <c r="U68" s="113" t="str">
        <f t="shared" si="6"/>
        <v/>
      </c>
      <c r="V68" s="113" t="str">
        <f t="shared" si="0"/>
        <v>FY23</v>
      </c>
      <c r="W68" s="113" t="str">
        <f t="shared" ca="1" si="62"/>
        <v/>
      </c>
      <c r="X68" s="50"/>
      <c r="Y68" s="114" t="s">
        <v>172</v>
      </c>
      <c r="Z68" s="119" cm="1">
        <f t="array" ref="Z68">LOOKUP(2,1/($B$17:$B$21&lt;=Z63)/($C$17:$C$21&gt;=Z63),$D$17:$D$21)</f>
        <v>134.49039999999999</v>
      </c>
      <c r="AA68" s="114" t="s">
        <v>0</v>
      </c>
      <c r="AB68" s="135">
        <v>1</v>
      </c>
      <c r="AC68" s="162">
        <v>1</v>
      </c>
      <c r="AD68" s="162">
        <f>1-AC68</f>
        <v>0</v>
      </c>
      <c r="AH68" s="153" t="s">
        <v>166</v>
      </c>
      <c r="AI68" s="158">
        <f>AB65</f>
        <v>45291</v>
      </c>
      <c r="AJ68" s="154"/>
      <c r="AK68" s="154"/>
      <c r="AL68" s="155">
        <f t="shared" si="85"/>
        <v>5</v>
      </c>
      <c r="AM68" s="154"/>
      <c r="AN68" s="154"/>
      <c r="AO68" s="156">
        <f t="shared" si="86"/>
        <v>12.069524590883553</v>
      </c>
      <c r="AR68" s="50"/>
      <c r="AS68" s="114" t="s">
        <v>169</v>
      </c>
      <c r="AT68" s="119" cm="1">
        <f t="array" ref="AT68">LOOKUP(2,1/($B$10:$B$14&lt;=AT64)/($C$10:$C$14&gt;=AT64),$D$10:$D$14)</f>
        <v>1.1000000000000001</v>
      </c>
      <c r="AU68" s="114" t="s">
        <v>149</v>
      </c>
      <c r="AV68" s="152" cm="1">
        <f t="array" ref="AV68">LOOKUP(2,1/($B$6:$B$7&lt;=AT64)/($C$6:$C$7&gt;=AT64),$D$6:$D$7)</f>
        <v>0.10299999999999999</v>
      </c>
      <c r="AW68" s="152"/>
      <c r="AY68" s="153" t="s">
        <v>166</v>
      </c>
      <c r="AZ68" s="158">
        <f>AV66</f>
        <v>45107</v>
      </c>
      <c r="BA68" s="154"/>
      <c r="BB68" s="155">
        <f>AT71/1000000</f>
        <v>8</v>
      </c>
      <c r="BC68" s="156" t="e">
        <f>MAX(AU71:AV71)/1000000</f>
        <v>#DIV/0!</v>
      </c>
      <c r="BF68" s="50"/>
      <c r="BG68" s="114" t="s">
        <v>169</v>
      </c>
      <c r="BH68" s="119" cm="1">
        <f t="array" ref="BH68">LOOKUP(2,1/($B$10:$B$14&lt;=BH64)/($C$10:$C$14&gt;=BH64),$D$10:$D$14)</f>
        <v>1.1000000000000001</v>
      </c>
      <c r="BI68" s="114" t="s">
        <v>149</v>
      </c>
      <c r="BJ68" s="152" cm="1">
        <f t="array" ref="BJ68">LOOKUP(2,1/($B$6:$B$7&lt;=BH64)/($C$6:$C$7&gt;=BH64),$D$6:$D$7)</f>
        <v>0.10299999999999999</v>
      </c>
      <c r="BK68" s="152"/>
      <c r="BL68" s="152"/>
      <c r="BM68" s="152"/>
      <c r="BO68" s="153" t="s">
        <v>165</v>
      </c>
      <c r="BP68" s="158">
        <f>BH66</f>
        <v>44743</v>
      </c>
      <c r="BQ68" s="154"/>
      <c r="BR68" s="154"/>
      <c r="BS68" s="155">
        <f t="shared" ref="BS68:BS77" si="87">BH71/1000000</f>
        <v>8</v>
      </c>
      <c r="BT68" s="154"/>
      <c r="BU68" s="154"/>
      <c r="BV68" s="156" t="e">
        <f t="shared" ref="BV68:BV77" si="88">MAX(BI71:BJ71)/1000000</f>
        <v>#DIV/0!</v>
      </c>
      <c r="BY68" s="50"/>
      <c r="CO68" s="50"/>
      <c r="CP68" s="114" t="s">
        <v>172</v>
      </c>
      <c r="CQ68" s="119" cm="1">
        <f t="array" ref="CQ68">LOOKUP(2,1/($B$17:$B$21&lt;=CQ63)/($C$17:$C$21&gt;=CQ63),$D$17:$D$21)</f>
        <v>134.49039999999999</v>
      </c>
      <c r="CR68" s="114" t="s">
        <v>173</v>
      </c>
      <c r="CS68" s="163">
        <f>INT((WEEKDAY(CQ63-5)-CQ63+CS63)/7)/INT((WEEKDAY(CQ65-5)-CQ65+CS65)/7)</f>
        <v>1</v>
      </c>
      <c r="CT68" s="162">
        <v>1</v>
      </c>
      <c r="CU68" s="162">
        <f>1-CT68</f>
        <v>0</v>
      </c>
      <c r="CV68" s="163"/>
      <c r="CX68" s="153" t="s">
        <v>91</v>
      </c>
      <c r="CY68" s="155">
        <f>CQ66/1000000</f>
        <v>2</v>
      </c>
      <c r="CZ68" s="154"/>
      <c r="DA68" s="155">
        <f t="shared" ref="DA68:DA76" si="89">CQ71/1000000</f>
        <v>8</v>
      </c>
      <c r="DB68" s="156" t="e">
        <f t="shared" ref="DB68:DB76" si="90">MAX(CR71:CS71)/1000000</f>
        <v>#DIV/0!</v>
      </c>
      <c r="DE68" s="50"/>
      <c r="DF68" s="114" t="s">
        <v>172</v>
      </c>
      <c r="DG68" s="119" cm="1">
        <f t="array" ref="DG68">LOOKUP(2,1/($B$17:$B$21&lt;=DG63)/($C$17:$C$21&gt;=DG63),$D$17:$D$21)</f>
        <v>134.49039999999999</v>
      </c>
      <c r="DH68" s="114" t="s">
        <v>173</v>
      </c>
      <c r="DI68" s="163">
        <f>INT((WEEKDAY(DG63-5)-DG63+DI63)/7)/INT((WEEKDAY(DG65-5)-DG65+DI65)/7)</f>
        <v>1</v>
      </c>
      <c r="DJ68" s="162">
        <v>1</v>
      </c>
      <c r="DK68" s="162">
        <f>1-DJ68</f>
        <v>0</v>
      </c>
      <c r="DL68" s="163"/>
      <c r="DN68" s="153" t="s">
        <v>91</v>
      </c>
      <c r="DO68" s="155">
        <f>DG66/1000000</f>
        <v>10</v>
      </c>
      <c r="DP68" s="154"/>
      <c r="DQ68" s="154"/>
      <c r="DR68" s="155">
        <f t="shared" ref="DR68:DR76" si="91">DG71/1000000</f>
        <v>8</v>
      </c>
      <c r="DS68" s="154"/>
      <c r="DT68" s="154"/>
      <c r="DU68" s="156" t="e">
        <f t="shared" ref="DU68:DU76" si="92">MAX(DH71:DI71)/1000000</f>
        <v>#DIV/0!</v>
      </c>
    </row>
    <row r="69" spans="10:125" x14ac:dyDescent="0.25">
      <c r="J69" s="86" t="str" cm="1">
        <f t="array" ref="J69">LOOKUP(2,1/($G$17:$G$33&lt;=$L69)/($H$17:$H$33&gt;=$L69),$F$17:$F$33)</f>
        <v>2H23</v>
      </c>
      <c r="K69" s="86" t="str" cm="1">
        <f t="array" ref="K69">LOOKUP(2,1/($G$6:$G$14&lt;=$L69)/($H$6:$H$14&gt;=$L69),$F$6:$F$14)</f>
        <v>FY23</v>
      </c>
      <c r="L69" s="118">
        <v>45020</v>
      </c>
      <c r="M69" s="49">
        <v>20387653.730653729</v>
      </c>
      <c r="N69" s="49">
        <v>29233856.684384383</v>
      </c>
      <c r="O69" s="50">
        <v>20000000</v>
      </c>
      <c r="P69" s="119" cm="1">
        <f t="array" ref="P69">LOOKUP(2,1/($B$10:$B$14&lt;=$L69)/($C$10:$C$14&gt;=$L69),$D$10:$D$14)</f>
        <v>1.1000000000000001</v>
      </c>
      <c r="Q69" s="120" cm="1">
        <f t="array" ref="Q69">LOOKUP(2,1/($B$17:$B$21&lt;=$L69)/($C$17:$C$21&gt;=$L69),$D$17:$D$21)</f>
        <v>134.49039999999999</v>
      </c>
      <c r="R69" s="113" t="str">
        <f t="shared" si="3"/>
        <v/>
      </c>
      <c r="S69" s="113" t="str">
        <f t="shared" si="4"/>
        <v>2H23</v>
      </c>
      <c r="T69" s="113" t="str">
        <f t="shared" ca="1" si="5"/>
        <v/>
      </c>
      <c r="U69" s="113" t="str">
        <f t="shared" si="6"/>
        <v/>
      </c>
      <c r="V69" s="113" t="str">
        <f t="shared" si="0"/>
        <v>FY23</v>
      </c>
      <c r="W69" s="113" t="str">
        <f t="shared" ca="1" si="62"/>
        <v/>
      </c>
      <c r="X69" s="50"/>
      <c r="Y69" s="111" t="s">
        <v>174</v>
      </c>
      <c r="Z69" s="111" t="s">
        <v>175</v>
      </c>
      <c r="AA69" s="111" t="s">
        <v>176</v>
      </c>
      <c r="AB69" s="111" t="s">
        <v>177</v>
      </c>
      <c r="AC69" s="111" t="s">
        <v>178</v>
      </c>
      <c r="AD69" s="111" t="s">
        <v>179</v>
      </c>
      <c r="AE69" s="111" t="s">
        <v>180</v>
      </c>
      <c r="AF69" s="37"/>
      <c r="AH69" s="153" t="s">
        <v>169</v>
      </c>
      <c r="AI69" s="165">
        <f>Z67</f>
        <v>1.2</v>
      </c>
      <c r="AJ69" s="154"/>
      <c r="AK69" s="154"/>
      <c r="AL69" s="155">
        <f t="shared" si="85"/>
        <v>10</v>
      </c>
      <c r="AM69" s="154"/>
      <c r="AN69" s="154"/>
      <c r="AO69" s="156">
        <f t="shared" si="86"/>
        <v>18.038788421828915</v>
      </c>
      <c r="AR69" s="50"/>
      <c r="AS69" s="114" t="s">
        <v>172</v>
      </c>
      <c r="AT69" s="119" cm="1">
        <f t="array" ref="AT69">LOOKUP(2,1/($B$17:$B$21&lt;=AT64)/($C$17:$C$21&gt;=AT64),$D$17:$D$21)</f>
        <v>134.49039999999999</v>
      </c>
      <c r="AU69" s="114" t="s">
        <v>0</v>
      </c>
      <c r="AV69" s="135">
        <v>1</v>
      </c>
      <c r="AY69" s="153" t="s">
        <v>91</v>
      </c>
      <c r="AZ69" s="155">
        <f>AT67/1000000</f>
        <v>40</v>
      </c>
      <c r="BA69" s="154"/>
      <c r="BB69" s="155">
        <f t="shared" ref="BB69:BB77" si="93">AT72/1000000</f>
        <v>20</v>
      </c>
      <c r="BC69" s="156">
        <f t="shared" ref="BC69:BC77" si="94">MAX(AU72:AV72)/1000000</f>
        <v>21.177352518720216</v>
      </c>
      <c r="BF69" s="50"/>
      <c r="BG69" s="114" t="s">
        <v>172</v>
      </c>
      <c r="BH69" s="119" cm="1">
        <f t="array" ref="BH69">LOOKUP(2,1/($B$17:$B$21&lt;=BH64)/($C$17:$C$21&gt;=BH64),$D$17:$D$21)</f>
        <v>134.49039999999999</v>
      </c>
      <c r="BO69" s="153" t="s">
        <v>166</v>
      </c>
      <c r="BP69" s="158">
        <f>BJ66</f>
        <v>45107</v>
      </c>
      <c r="BQ69" s="154"/>
      <c r="BR69" s="154"/>
      <c r="BS69" s="155">
        <f t="shared" si="87"/>
        <v>20</v>
      </c>
      <c r="BT69" s="154"/>
      <c r="BU69" s="154"/>
      <c r="BV69" s="156">
        <f t="shared" si="88"/>
        <v>20.463382076809623</v>
      </c>
      <c r="BY69" s="50"/>
      <c r="CO69" s="50"/>
      <c r="CP69" s="111" t="s">
        <v>174</v>
      </c>
      <c r="CQ69" s="111" t="s">
        <v>175</v>
      </c>
      <c r="CR69" s="111" t="s">
        <v>176</v>
      </c>
      <c r="CS69" s="111" t="s">
        <v>177</v>
      </c>
      <c r="CT69" s="111" t="s">
        <v>178</v>
      </c>
      <c r="CU69" s="111" t="s">
        <v>179</v>
      </c>
      <c r="CV69" s="111" t="s">
        <v>180</v>
      </c>
      <c r="CX69" s="153" t="s">
        <v>76</v>
      </c>
      <c r="CY69" s="155">
        <f ca="1">CS66/1000000</f>
        <v>80</v>
      </c>
      <c r="CZ69" s="154"/>
      <c r="DA69" s="155">
        <f t="shared" si="89"/>
        <v>12</v>
      </c>
      <c r="DB69" s="156" t="e">
        <f t="shared" si="90"/>
        <v>#DIV/0!</v>
      </c>
      <c r="DE69" s="50"/>
      <c r="DF69" s="111" t="s">
        <v>174</v>
      </c>
      <c r="DG69" s="111" t="s">
        <v>175</v>
      </c>
      <c r="DH69" s="111" t="s">
        <v>176</v>
      </c>
      <c r="DI69" s="111" t="s">
        <v>177</v>
      </c>
      <c r="DJ69" s="111" t="s">
        <v>178</v>
      </c>
      <c r="DK69" s="111" t="s">
        <v>179</v>
      </c>
      <c r="DL69" s="111" t="s">
        <v>180</v>
      </c>
      <c r="DN69" s="153" t="s">
        <v>76</v>
      </c>
      <c r="DO69" s="155">
        <f ca="1">DI66/1000000</f>
        <v>15</v>
      </c>
      <c r="DP69" s="154"/>
      <c r="DQ69" s="154"/>
      <c r="DR69" s="155">
        <f t="shared" si="91"/>
        <v>12</v>
      </c>
      <c r="DS69" s="154"/>
      <c r="DT69" s="154"/>
      <c r="DU69" s="156" t="e">
        <f t="shared" si="92"/>
        <v>#DIV/0!</v>
      </c>
    </row>
    <row r="70" spans="10:125" x14ac:dyDescent="0.25">
      <c r="J70" s="86" t="str" cm="1">
        <f t="array" ref="J70">LOOKUP(2,1/($G$17:$G$33&lt;=$L70)/($H$17:$H$33&gt;=$L70),$F$17:$F$33)</f>
        <v>2H23</v>
      </c>
      <c r="K70" s="86" t="str" cm="1">
        <f t="array" ref="K70">LOOKUP(2,1/($G$6:$G$14&lt;=$L70)/($H$6:$H$14&gt;=$L70),$F$6:$F$14)</f>
        <v>FY23</v>
      </c>
      <c r="L70" s="118">
        <v>45013</v>
      </c>
      <c r="M70" s="49">
        <v>14791094.479094479</v>
      </c>
      <c r="N70" s="49">
        <v>21208950.373573571</v>
      </c>
      <c r="O70" s="50">
        <v>10000000</v>
      </c>
      <c r="P70" s="119" cm="1">
        <f t="array" ref="P70">LOOKUP(2,1/($B$10:$B$14&lt;=$L70)/($C$10:$C$14&gt;=$L70),$D$10:$D$14)</f>
        <v>1.1000000000000001</v>
      </c>
      <c r="Q70" s="120" cm="1">
        <f t="array" ref="Q70">LOOKUP(2,1/($B$17:$B$21&lt;=$L70)/($C$17:$C$21&gt;=$L70),$D$17:$D$21)</f>
        <v>134.49039999999999</v>
      </c>
      <c r="R70" s="113" t="str">
        <f t="shared" si="3"/>
        <v/>
      </c>
      <c r="S70" s="113" t="str">
        <f t="shared" si="4"/>
        <v>2H23</v>
      </c>
      <c r="T70" s="113" t="str">
        <f t="shared" ca="1" si="5"/>
        <v/>
      </c>
      <c r="U70" s="113" t="str">
        <f t="shared" si="6"/>
        <v/>
      </c>
      <c r="V70" s="113" t="str">
        <f t="shared" si="0"/>
        <v>FY23</v>
      </c>
      <c r="W70" s="113" t="str">
        <f t="shared" ca="1" si="62"/>
        <v/>
      </c>
      <c r="X70" s="50"/>
      <c r="Y70" s="146">
        <v>1</v>
      </c>
      <c r="Z70" s="166">
        <v>2000000</v>
      </c>
      <c r="AA70" s="167">
        <f t="shared" ref="AA70:AA75" si="95">AVERAGEIFS($M:$M,$L:$L,"&gt;="&amp;Z$63,$L:$L,"&lt;="&amp;AB$63,$O:$O,"="&amp;Z70)*AB$68</f>
        <v>9341251.497971978</v>
      </c>
      <c r="AB70" s="168"/>
      <c r="AC70" s="145">
        <v>10062800</v>
      </c>
      <c r="AD70" s="168"/>
      <c r="AE70" s="167">
        <f t="shared" ref="AE70:AE76" si="96">COUNTIFS($L:$L,"&gt;="&amp;Z$63,$L:$L,"&lt;="&amp;AB$63,$O:$O,"="&amp;Z70)</f>
        <v>16</v>
      </c>
      <c r="AF70" s="167"/>
      <c r="AH70" s="153" t="s">
        <v>149</v>
      </c>
      <c r="AI70" s="169">
        <v>0.10299999999999999</v>
      </c>
      <c r="AJ70" s="154"/>
      <c r="AK70" s="154"/>
      <c r="AL70" s="155">
        <f t="shared" si="85"/>
        <v>20</v>
      </c>
      <c r="AM70" s="154"/>
      <c r="AN70" s="154"/>
      <c r="AO70" s="156">
        <f t="shared" si="86"/>
        <v>25.015065142576205</v>
      </c>
      <c r="AR70" s="50"/>
      <c r="AS70" s="111" t="s">
        <v>174</v>
      </c>
      <c r="AT70" s="111" t="s">
        <v>175</v>
      </c>
      <c r="AU70" s="111" t="s">
        <v>176</v>
      </c>
      <c r="AV70" s="111" t="s">
        <v>177</v>
      </c>
      <c r="AW70" s="111" t="s">
        <v>180</v>
      </c>
      <c r="AY70" s="153" t="s">
        <v>76</v>
      </c>
      <c r="AZ70" s="155">
        <f>AV67/1000000</f>
        <v>40</v>
      </c>
      <c r="BA70" s="154"/>
      <c r="BB70" s="155">
        <f t="shared" si="93"/>
        <v>30</v>
      </c>
      <c r="BC70" s="156">
        <f t="shared" si="94"/>
        <v>26.613097572044477</v>
      </c>
      <c r="BF70" s="50"/>
      <c r="BG70" s="111" t="s">
        <v>174</v>
      </c>
      <c r="BH70" s="111" t="s">
        <v>175</v>
      </c>
      <c r="BI70" s="111" t="s">
        <v>176</v>
      </c>
      <c r="BJ70" s="111" t="s">
        <v>177</v>
      </c>
      <c r="BK70" s="111"/>
      <c r="BL70" s="111"/>
      <c r="BM70" s="111" t="s">
        <v>180</v>
      </c>
      <c r="BO70" s="153" t="s">
        <v>169</v>
      </c>
      <c r="BP70" s="165">
        <f>BH68</f>
        <v>1.1000000000000001</v>
      </c>
      <c r="BQ70" s="154"/>
      <c r="BR70" s="154"/>
      <c r="BS70" s="155">
        <f t="shared" si="87"/>
        <v>30</v>
      </c>
      <c r="BT70" s="154"/>
      <c r="BU70" s="154"/>
      <c r="BV70" s="156">
        <f t="shared" si="88"/>
        <v>26.613097572044477</v>
      </c>
      <c r="BY70" s="50"/>
      <c r="CO70" s="50"/>
      <c r="CP70" s="146">
        <v>1</v>
      </c>
      <c r="CQ70" s="166">
        <v>3000000</v>
      </c>
      <c r="CR70" s="168" t="e">
        <f t="shared" ref="CR70:CR78" si="97">AVERAGEIFS($M:$M,$L:$L,"&gt;="&amp;CQ$63,$L:$L,"&lt;="&amp;CS$63,$O:$O,"="&amp;CQ70)</f>
        <v>#DIV/0!</v>
      </c>
      <c r="CS70" s="168"/>
      <c r="CT70" s="168"/>
      <c r="CU70" s="168"/>
      <c r="CV70" s="167">
        <f t="shared" ref="CV70:CV78" si="98">COUNTIFS($L:$L,"&gt;="&amp;CQ$63,$L:$L,"&lt;="&amp;CS$63,$O:$O,"="&amp;CQ70)</f>
        <v>0</v>
      </c>
      <c r="CX70" s="153" t="s">
        <v>169</v>
      </c>
      <c r="CY70" s="165">
        <f>CQ67</f>
        <v>1.1000000000000001</v>
      </c>
      <c r="CZ70" s="154"/>
      <c r="DA70" s="155">
        <f t="shared" si="89"/>
        <v>20</v>
      </c>
      <c r="DB70" s="156">
        <f t="shared" si="90"/>
        <v>23.167806661750248</v>
      </c>
      <c r="DE70" s="50"/>
      <c r="DF70" s="146">
        <v>1</v>
      </c>
      <c r="DG70" s="166">
        <v>3000000</v>
      </c>
      <c r="DH70" s="168" t="e">
        <f t="shared" ref="DH70:DH78" si="99">AVERAGEIFS($M:$M,$L:$L,"&gt;="&amp;DG$63,$L:$L,"&lt;="&amp;DI$63,$O:$O,"="&amp;DG70)</f>
        <v>#DIV/0!</v>
      </c>
      <c r="DI70" s="168"/>
      <c r="DJ70" s="168"/>
      <c r="DK70" s="168"/>
      <c r="DL70" s="167">
        <f t="shared" ref="DL70:DL78" si="100">COUNTIFS($L:$L,"&gt;="&amp;DG$63,$L:$L,"&lt;="&amp;DI$63,$O:$O,"="&amp;DG70)</f>
        <v>0</v>
      </c>
      <c r="DN70" s="153" t="s">
        <v>169</v>
      </c>
      <c r="DO70" s="165">
        <f>DG67</f>
        <v>1.1000000000000001</v>
      </c>
      <c r="DP70" s="154"/>
      <c r="DQ70" s="154"/>
      <c r="DR70" s="155">
        <f t="shared" si="91"/>
        <v>20</v>
      </c>
      <c r="DS70" s="154"/>
      <c r="DT70" s="154"/>
      <c r="DU70" s="156" t="e">
        <f t="shared" si="92"/>
        <v>#DIV/0!</v>
      </c>
    </row>
    <row r="71" spans="10:125" x14ac:dyDescent="0.25">
      <c r="J71" s="86" t="str" cm="1">
        <f t="array" ref="J71">LOOKUP(2,1/($G$17:$G$33&lt;=$L71)/($H$17:$H$33&gt;=$L71),$F$17:$F$33)</f>
        <v>2H23</v>
      </c>
      <c r="K71" s="86" t="str" cm="1">
        <f t="array" ref="K71">LOOKUP(2,1/($G$6:$G$14&lt;=$L71)/($H$6:$H$14&gt;=$L71),$F$6:$F$14)</f>
        <v>FY23</v>
      </c>
      <c r="L71" s="118">
        <v>45006</v>
      </c>
      <c r="M71" s="49">
        <v>10052417.532917533</v>
      </c>
      <c r="N71" s="49">
        <v>14414161.500450451</v>
      </c>
      <c r="O71" s="50">
        <v>5000000</v>
      </c>
      <c r="P71" s="119" cm="1">
        <f t="array" ref="P71">LOOKUP(2,1/($B$10:$B$14&lt;=$L71)/($C$10:$C$14&gt;=$L71),$D$10:$D$14)</f>
        <v>1.1000000000000001</v>
      </c>
      <c r="Q71" s="120" cm="1">
        <f t="array" ref="Q71">LOOKUP(2,1/($B$17:$B$21&lt;=$L71)/($C$17:$C$21&gt;=$L71),$D$17:$D$21)</f>
        <v>134.49039999999999</v>
      </c>
      <c r="R71" s="113" t="str">
        <f t="shared" si="3"/>
        <v/>
      </c>
      <c r="S71" s="113" t="str">
        <f t="shared" si="4"/>
        <v>2H23</v>
      </c>
      <c r="T71" s="113" t="str">
        <f t="shared" ca="1" si="5"/>
        <v/>
      </c>
      <c r="U71" s="113" t="str">
        <f t="shared" si="6"/>
        <v/>
      </c>
      <c r="V71" s="113" t="str">
        <f t="shared" si="0"/>
        <v>FY23</v>
      </c>
      <c r="W71" s="113" t="str">
        <f t="shared" ca="1" si="62"/>
        <v/>
      </c>
      <c r="X71" s="50"/>
      <c r="Y71" s="146">
        <v>2</v>
      </c>
      <c r="Z71" s="166">
        <v>5000000</v>
      </c>
      <c r="AA71" s="167">
        <f t="shared" si="95"/>
        <v>12069524.590883553</v>
      </c>
      <c r="AC71" s="145">
        <v>12354500</v>
      </c>
      <c r="AE71" s="167">
        <f t="shared" si="96"/>
        <v>14</v>
      </c>
      <c r="AF71" s="167"/>
      <c r="AH71" s="153" t="s">
        <v>172</v>
      </c>
      <c r="AI71" s="170">
        <f>Z68</f>
        <v>134.49039999999999</v>
      </c>
      <c r="AJ71" s="154"/>
      <c r="AK71" s="154"/>
      <c r="AL71" s="155">
        <f t="shared" si="85"/>
        <v>30</v>
      </c>
      <c r="AM71" s="154"/>
      <c r="AN71" s="154"/>
      <c r="AO71" s="156">
        <f t="shared" si="86"/>
        <v>33.678561496230749</v>
      </c>
      <c r="AR71" s="50"/>
      <c r="AS71" s="146">
        <v>1</v>
      </c>
      <c r="AT71" s="166">
        <v>8000000</v>
      </c>
      <c r="AU71" s="167" t="e">
        <f t="shared" ref="AU71:AU76" si="101">AVERAGEIFS($M:$M,$L:$L,"&gt;="&amp;AT$64,$L:$L,"&lt;="&amp;AV$64,$O:$O,"="&amp;AT71)*AV$69</f>
        <v>#DIV/0!</v>
      </c>
      <c r="AV71" s="168"/>
      <c r="AW71" s="167">
        <f t="shared" ref="AW71:AW76" si="102">COUNTIFS($L:$L,"&gt;="&amp;AT$64,$L:$L,"&lt;="&amp;AV$64,$O:$O,"="&amp;$AT71)</f>
        <v>0</v>
      </c>
      <c r="AY71" s="153" t="s">
        <v>169</v>
      </c>
      <c r="AZ71" s="165">
        <f>AT68</f>
        <v>1.1000000000000001</v>
      </c>
      <c r="BA71" s="154"/>
      <c r="BB71" s="155">
        <f t="shared" si="93"/>
        <v>50</v>
      </c>
      <c r="BC71" s="156">
        <f t="shared" si="94"/>
        <v>41.464495575221243</v>
      </c>
      <c r="BF71" s="50"/>
      <c r="BG71" s="146">
        <v>1</v>
      </c>
      <c r="BH71" s="166">
        <v>8000000</v>
      </c>
      <c r="BI71" s="167" t="e">
        <f t="shared" ref="BI71:BI76" si="103">AVERAGEIFS($M:$M,$L:$L,"&gt;="&amp;BH$64,$L:$L,"&lt;="&amp;BJ$64,$O:$O,"="&amp;BH71)</f>
        <v>#DIV/0!</v>
      </c>
      <c r="BJ71" s="168"/>
      <c r="BK71" s="168"/>
      <c r="BL71" s="168"/>
      <c r="BM71" s="167">
        <f t="shared" ref="BM71:BM76" si="104">COUNTIFS($L:$L,"&gt;="&amp;BH$64,$L:$L,"&lt;="&amp;BJ$64,$O:$O,"="&amp;BH71)</f>
        <v>0</v>
      </c>
      <c r="BO71" s="153" t="s">
        <v>149</v>
      </c>
      <c r="BP71" s="169">
        <f>BJ68</f>
        <v>0.10299999999999999</v>
      </c>
      <c r="BQ71" s="154"/>
      <c r="BR71" s="154"/>
      <c r="BS71" s="155">
        <f t="shared" si="87"/>
        <v>50</v>
      </c>
      <c r="BT71" s="154"/>
      <c r="BU71" s="154"/>
      <c r="BV71" s="156">
        <f t="shared" si="88"/>
        <v>41.464495575221243</v>
      </c>
      <c r="BY71" s="50"/>
      <c r="CO71" s="50"/>
      <c r="CP71" s="146">
        <v>2</v>
      </c>
      <c r="CQ71" s="166">
        <v>8000000</v>
      </c>
      <c r="CR71" s="168" t="e">
        <f t="shared" si="97"/>
        <v>#DIV/0!</v>
      </c>
      <c r="CV71" s="167">
        <f t="shared" si="98"/>
        <v>0</v>
      </c>
      <c r="CX71" s="153" t="s">
        <v>149</v>
      </c>
      <c r="CY71" s="169">
        <f>CS67</f>
        <v>0.10050000000000001</v>
      </c>
      <c r="CZ71" s="154"/>
      <c r="DA71" s="155">
        <f t="shared" si="89"/>
        <v>40</v>
      </c>
      <c r="DB71" s="156">
        <f t="shared" si="90"/>
        <v>34.731075344149467</v>
      </c>
      <c r="DE71" s="50"/>
      <c r="DF71" s="146">
        <v>2</v>
      </c>
      <c r="DG71" s="166">
        <v>8000000</v>
      </c>
      <c r="DH71" s="168" t="e">
        <f t="shared" si="99"/>
        <v>#DIV/0!</v>
      </c>
      <c r="DL71" s="167">
        <f t="shared" si="100"/>
        <v>0</v>
      </c>
      <c r="DN71" s="153" t="s">
        <v>149</v>
      </c>
      <c r="DO71" s="169">
        <f>DI67</f>
        <v>9.2999999999999999E-2</v>
      </c>
      <c r="DP71" s="154"/>
      <c r="DQ71" s="154"/>
      <c r="DR71" s="155">
        <f t="shared" si="91"/>
        <v>30</v>
      </c>
      <c r="DS71" s="154"/>
      <c r="DT71" s="154"/>
      <c r="DU71" s="156">
        <f t="shared" si="92"/>
        <v>26.519776610127831</v>
      </c>
    </row>
    <row r="72" spans="10:125" x14ac:dyDescent="0.25">
      <c r="J72" s="86" t="str" cm="1">
        <f t="array" ref="J72">LOOKUP(2,1/($G$17:$G$33&lt;=$L72)/($H$17:$H$33&gt;=$L72),$F$17:$F$33)</f>
        <v>2H23</v>
      </c>
      <c r="K72" s="86" t="str" cm="1">
        <f t="array" ref="K72">LOOKUP(2,1/($G$6:$G$14&lt;=$L72)/($H$6:$H$14&gt;=$L72),$F$6:$F$14)</f>
        <v>FY23</v>
      </c>
      <c r="L72" s="118">
        <v>44999</v>
      </c>
      <c r="M72" s="49">
        <v>9041554.6315546297</v>
      </c>
      <c r="N72" s="49">
        <v>12964685.186186183</v>
      </c>
      <c r="O72" s="50">
        <v>3000000</v>
      </c>
      <c r="P72" s="119" cm="1">
        <f t="array" ref="P72">LOOKUP(2,1/($B$10:$B$14&lt;=$L72)/($C$10:$C$14&gt;=$L72),$D$10:$D$14)</f>
        <v>1.1000000000000001</v>
      </c>
      <c r="Q72" s="120" cm="1">
        <f t="array" ref="Q72">LOOKUP(2,1/($B$17:$B$21&lt;=$L72)/($C$17:$C$21&gt;=$L72),$D$17:$D$21)</f>
        <v>134.49039999999999</v>
      </c>
      <c r="R72" s="113" t="str">
        <f t="shared" si="3"/>
        <v/>
      </c>
      <c r="S72" s="113" t="str">
        <f t="shared" si="4"/>
        <v>2H23</v>
      </c>
      <c r="T72" s="113" t="str">
        <f t="shared" ca="1" si="5"/>
        <v/>
      </c>
      <c r="U72" s="113" t="str">
        <f t="shared" si="6"/>
        <v/>
      </c>
      <c r="V72" s="113" t="str">
        <f t="shared" si="0"/>
        <v>FY23</v>
      </c>
      <c r="W72" s="113" t="str">
        <f t="shared" ca="1" si="62"/>
        <v/>
      </c>
      <c r="X72" s="50"/>
      <c r="Y72" s="146">
        <v>3</v>
      </c>
      <c r="Z72" s="166">
        <v>10000000</v>
      </c>
      <c r="AA72" s="167">
        <f t="shared" si="95"/>
        <v>18038788.421828914</v>
      </c>
      <c r="AC72" s="145">
        <v>16174000</v>
      </c>
      <c r="AE72" s="167">
        <f t="shared" si="96"/>
        <v>10</v>
      </c>
      <c r="AF72" s="167"/>
      <c r="AH72" s="171"/>
      <c r="AJ72" s="154"/>
      <c r="AK72" s="154"/>
      <c r="AL72" s="155">
        <f t="shared" si="85"/>
        <v>50</v>
      </c>
      <c r="AM72" s="154"/>
      <c r="AN72" s="154"/>
      <c r="AO72" s="156">
        <f t="shared" si="86"/>
        <v>45.746976155358901</v>
      </c>
      <c r="AR72" s="50"/>
      <c r="AS72" s="146">
        <v>2</v>
      </c>
      <c r="AT72" s="166">
        <v>20000000</v>
      </c>
      <c r="AU72" s="167">
        <f t="shared" si="101"/>
        <v>21177352.518720217</v>
      </c>
      <c r="AW72" s="167">
        <f t="shared" si="102"/>
        <v>5</v>
      </c>
      <c r="AY72" s="153" t="s">
        <v>149</v>
      </c>
      <c r="AZ72" s="169">
        <f>AV68</f>
        <v>0.10299999999999999</v>
      </c>
      <c r="BA72" s="154"/>
      <c r="BB72" s="155">
        <f t="shared" si="93"/>
        <v>100</v>
      </c>
      <c r="BC72" s="156" t="e">
        <f t="shared" si="94"/>
        <v>#DIV/0!</v>
      </c>
      <c r="BF72" s="50"/>
      <c r="BG72" s="146">
        <v>2</v>
      </c>
      <c r="BH72" s="166">
        <v>20000000</v>
      </c>
      <c r="BI72" s="167">
        <f t="shared" si="103"/>
        <v>20463382.076809622</v>
      </c>
      <c r="BM72" s="167">
        <f t="shared" si="104"/>
        <v>4</v>
      </c>
      <c r="BO72" s="153" t="s">
        <v>172</v>
      </c>
      <c r="BP72" s="170">
        <f>BH69</f>
        <v>134.49039999999999</v>
      </c>
      <c r="BQ72" s="154"/>
      <c r="BR72" s="154"/>
      <c r="BS72" s="155">
        <f t="shared" si="87"/>
        <v>100</v>
      </c>
      <c r="BT72" s="154"/>
      <c r="BU72" s="154"/>
      <c r="BV72" s="156" t="e">
        <f t="shared" si="88"/>
        <v>#DIV/0!</v>
      </c>
      <c r="BY72" s="50"/>
      <c r="CO72" s="50"/>
      <c r="CP72" s="146">
        <v>3</v>
      </c>
      <c r="CQ72" s="166">
        <v>12000000</v>
      </c>
      <c r="CR72" s="168" t="e">
        <f t="shared" si="97"/>
        <v>#DIV/0!</v>
      </c>
      <c r="CV72" s="167">
        <f t="shared" si="98"/>
        <v>0</v>
      </c>
      <c r="CX72" s="153" t="s">
        <v>172</v>
      </c>
      <c r="CY72" s="170">
        <f>CQ68</f>
        <v>134.49039999999999</v>
      </c>
      <c r="CZ72" s="154"/>
      <c r="DA72" s="155">
        <f t="shared" si="89"/>
        <v>60</v>
      </c>
      <c r="DB72" s="156" t="e">
        <f t="shared" si="90"/>
        <v>#DIV/0!</v>
      </c>
      <c r="DE72" s="50"/>
      <c r="DF72" s="146">
        <v>3</v>
      </c>
      <c r="DG72" s="166">
        <v>12000000</v>
      </c>
      <c r="DH72" s="168" t="e">
        <f t="shared" si="99"/>
        <v>#DIV/0!</v>
      </c>
      <c r="DL72" s="167">
        <f t="shared" si="100"/>
        <v>0</v>
      </c>
      <c r="DN72" s="153" t="s">
        <v>172</v>
      </c>
      <c r="DO72" s="170">
        <f>DG68</f>
        <v>134.49039999999999</v>
      </c>
      <c r="DP72" s="154"/>
      <c r="DQ72" s="154"/>
      <c r="DR72" s="155">
        <f t="shared" si="91"/>
        <v>40</v>
      </c>
      <c r="DS72" s="154"/>
      <c r="DT72" s="154"/>
      <c r="DU72" s="156">
        <f t="shared" si="92"/>
        <v>31.103626106194692</v>
      </c>
    </row>
    <row r="73" spans="10:125" x14ac:dyDescent="0.25">
      <c r="J73" s="86" t="str" cm="1">
        <f t="array" ref="J73">LOOKUP(2,1/($G$17:$G$33&lt;=$L73)/($H$17:$H$33&gt;=$L73),$F$17:$F$33)</f>
        <v>2H23</v>
      </c>
      <c r="K73" s="86" t="str" cm="1">
        <f t="array" ref="K73">LOOKUP(2,1/($G$6:$G$14&lt;=$L73)/($H$6:$H$14&gt;=$L73),$F$6:$F$14)</f>
        <v>FY23</v>
      </c>
      <c r="L73" s="118">
        <v>44992</v>
      </c>
      <c r="M73" s="49">
        <v>21058703.164703164</v>
      </c>
      <c r="N73" s="49">
        <v>30196074.467867866</v>
      </c>
      <c r="O73" s="50">
        <v>20000000</v>
      </c>
      <c r="P73" s="119" cm="1">
        <f t="array" ref="P73">LOOKUP(2,1/($B$10:$B$14&lt;=$L73)/($C$10:$C$14&gt;=$L73),$D$10:$D$14)</f>
        <v>1.1000000000000001</v>
      </c>
      <c r="Q73" s="120" cm="1">
        <f t="array" ref="Q73">LOOKUP(2,1/($B$17:$B$21&lt;=$L73)/($C$17:$C$21&gt;=$L73),$D$17:$D$21)</f>
        <v>134.49039999999999</v>
      </c>
      <c r="R73" s="113" t="str">
        <f t="shared" si="3"/>
        <v/>
      </c>
      <c r="S73" s="113" t="str">
        <f t="shared" si="4"/>
        <v>2H23</v>
      </c>
      <c r="T73" s="113" t="str">
        <f t="shared" ca="1" si="5"/>
        <v/>
      </c>
      <c r="U73" s="113" t="str">
        <f t="shared" si="6"/>
        <v/>
      </c>
      <c r="V73" s="113" t="str">
        <f t="shared" si="0"/>
        <v>FY23</v>
      </c>
      <c r="W73" s="113" t="str">
        <f t="shared" ca="1" si="62"/>
        <v/>
      </c>
      <c r="X73" s="50"/>
      <c r="Y73" s="146">
        <v>4</v>
      </c>
      <c r="Z73" s="166">
        <v>20000000</v>
      </c>
      <c r="AA73" s="167">
        <f t="shared" si="95"/>
        <v>25015065.142576206</v>
      </c>
      <c r="AC73" s="145">
        <v>23813000.000000004</v>
      </c>
      <c r="AE73" s="167">
        <f t="shared" si="96"/>
        <v>4</v>
      </c>
      <c r="AF73" s="167"/>
      <c r="AH73" s="153" t="s">
        <v>91</v>
      </c>
      <c r="AI73" s="155" t="e">
        <f>Z66/1000000</f>
        <v>#N/A</v>
      </c>
      <c r="AJ73" s="154"/>
      <c r="AK73" s="154"/>
      <c r="AL73" s="155">
        <f t="shared" si="85"/>
        <v>70</v>
      </c>
      <c r="AM73" s="154"/>
      <c r="AN73" s="154"/>
      <c r="AO73" s="156">
        <f t="shared" si="86"/>
        <v>62.007999999999996</v>
      </c>
      <c r="AR73" s="50"/>
      <c r="AS73" s="146">
        <v>3</v>
      </c>
      <c r="AT73" s="166">
        <v>30000000</v>
      </c>
      <c r="AU73" s="167">
        <f t="shared" si="101"/>
        <v>26613097.572044477</v>
      </c>
      <c r="AW73" s="167">
        <f t="shared" si="102"/>
        <v>2</v>
      </c>
      <c r="AY73" s="153" t="s">
        <v>172</v>
      </c>
      <c r="AZ73" s="170">
        <f>AT69</f>
        <v>134.49039999999999</v>
      </c>
      <c r="BA73" s="154"/>
      <c r="BB73" s="155">
        <f t="shared" si="93"/>
        <v>160</v>
      </c>
      <c r="BC73" s="156" t="e">
        <f t="shared" si="94"/>
        <v>#DIV/0!</v>
      </c>
      <c r="BF73" s="50"/>
      <c r="BG73" s="146">
        <v>3</v>
      </c>
      <c r="BH73" s="166">
        <v>30000000</v>
      </c>
      <c r="BI73" s="167">
        <f t="shared" si="103"/>
        <v>26613097.572044477</v>
      </c>
      <c r="BM73" s="167">
        <f t="shared" si="104"/>
        <v>2</v>
      </c>
      <c r="BO73" s="171"/>
      <c r="BQ73" s="154"/>
      <c r="BR73" s="154"/>
      <c r="BS73" s="155">
        <f t="shared" si="87"/>
        <v>160</v>
      </c>
      <c r="BT73" s="154"/>
      <c r="BU73" s="154"/>
      <c r="BV73" s="156" t="e">
        <f t="shared" si="88"/>
        <v>#DIV/0!</v>
      </c>
      <c r="BY73" s="50"/>
      <c r="CO73" s="50"/>
      <c r="CP73" s="146">
        <v>4</v>
      </c>
      <c r="CQ73" s="166">
        <v>20000000</v>
      </c>
      <c r="CR73" s="168">
        <f t="shared" si="97"/>
        <v>23167806.66175025</v>
      </c>
      <c r="CV73" s="167">
        <f t="shared" si="98"/>
        <v>2</v>
      </c>
      <c r="CX73" s="172"/>
      <c r="CY73" s="2"/>
      <c r="CZ73" s="154"/>
      <c r="DA73" s="155">
        <f t="shared" si="89"/>
        <v>80</v>
      </c>
      <c r="DB73" s="156" t="e">
        <f t="shared" si="90"/>
        <v>#DIV/0!</v>
      </c>
      <c r="DE73" s="50"/>
      <c r="DF73" s="146">
        <v>4</v>
      </c>
      <c r="DG73" s="166">
        <v>20000000</v>
      </c>
      <c r="DH73" s="168" t="e">
        <f t="shared" si="99"/>
        <v>#DIV/0!</v>
      </c>
      <c r="DL73" s="167">
        <f t="shared" si="100"/>
        <v>0</v>
      </c>
      <c r="DN73" s="172"/>
      <c r="DO73" s="2"/>
      <c r="DP73" s="154"/>
      <c r="DQ73" s="154"/>
      <c r="DR73" s="155">
        <f t="shared" si="91"/>
        <v>50</v>
      </c>
      <c r="DS73" s="154"/>
      <c r="DT73" s="154"/>
      <c r="DU73" s="156">
        <f t="shared" si="92"/>
        <v>38.919567477876122</v>
      </c>
    </row>
    <row r="74" spans="10:125" x14ac:dyDescent="0.25">
      <c r="J74" s="86" t="str" cm="1">
        <f t="array" ref="J74">LOOKUP(2,1/($G$17:$G$33&lt;=$L74)/($H$17:$H$33&gt;=$L74),$F$17:$F$33)</f>
        <v>2H23</v>
      </c>
      <c r="K74" s="86" t="str" cm="1">
        <f t="array" ref="K74">LOOKUP(2,1/($G$6:$G$14&lt;=$L74)/($H$6:$H$14&gt;=$L74),$F$6:$F$14)</f>
        <v>FY23</v>
      </c>
      <c r="L74" s="118">
        <v>44985</v>
      </c>
      <c r="M74" s="49">
        <v>13098005.775005775</v>
      </c>
      <c r="N74" s="49">
        <v>18781230.48078078</v>
      </c>
      <c r="O74" s="50">
        <v>10000000</v>
      </c>
      <c r="P74" s="119" cm="1">
        <f t="array" ref="P74">LOOKUP(2,1/($B$10:$B$14&lt;=$L74)/($C$10:$C$14&gt;=$L74),$D$10:$D$14)</f>
        <v>1.1000000000000001</v>
      </c>
      <c r="Q74" s="120" cm="1">
        <f t="array" ref="Q74">LOOKUP(2,1/($B$17:$B$21&lt;=$L74)/($C$17:$C$21&gt;=$L74),$D$17:$D$21)</f>
        <v>134.49039999999999</v>
      </c>
      <c r="R74" s="113" t="str">
        <f t="shared" ref="R74:R137" si="105">IF($J74&lt;&gt;$J75,$J74,"")</f>
        <v/>
      </c>
      <c r="S74" s="113" t="str">
        <f t="shared" ref="S74:S137" si="106">IF($O73&lt;$O74,$J74,S73)</f>
        <v>2H23</v>
      </c>
      <c r="T74" s="113" t="str">
        <f t="shared" ref="T74:T137" ca="1" si="107">IF(AND(S74&lt;&gt;S73,ISNUMBER(MATCH($S73,$F$17:$F$33,0))),OFFSET($F$16,MATCH($J74,$F$17:$F$33,0)+1,0),"")</f>
        <v/>
      </c>
      <c r="U74" s="113" t="str">
        <f t="shared" ref="U74:U137" si="108">IF($K74&lt;&gt;$K75,$K74,"")</f>
        <v/>
      </c>
      <c r="V74" s="113" t="str">
        <f t="shared" si="0"/>
        <v>FY23</v>
      </c>
      <c r="W74" s="113" t="str">
        <f t="shared" ca="1" si="62"/>
        <v/>
      </c>
      <c r="X74" s="50"/>
      <c r="Y74" s="146">
        <v>5</v>
      </c>
      <c r="Z74" s="166">
        <v>30000000</v>
      </c>
      <c r="AA74" s="167">
        <f t="shared" si="95"/>
        <v>33678561.496230751</v>
      </c>
      <c r="AB74" s="173"/>
      <c r="AC74" s="145">
        <v>31452000</v>
      </c>
      <c r="AD74" s="145"/>
      <c r="AE74" s="167">
        <f t="shared" si="96"/>
        <v>3</v>
      </c>
      <c r="AF74" s="167"/>
      <c r="AH74" s="172" t="s">
        <v>147</v>
      </c>
      <c r="AI74" s="174">
        <f>Z63</f>
        <v>44013</v>
      </c>
      <c r="AJ74" s="154"/>
      <c r="AK74" s="154"/>
      <c r="AL74" s="155">
        <f t="shared" si="85"/>
        <v>100</v>
      </c>
      <c r="AM74" s="154"/>
      <c r="AN74" s="154"/>
      <c r="AO74" s="156">
        <f t="shared" si="86"/>
        <v>110.4025</v>
      </c>
      <c r="AR74" s="50"/>
      <c r="AS74" s="146">
        <v>4</v>
      </c>
      <c r="AT74" s="166">
        <v>50000000</v>
      </c>
      <c r="AU74" s="167">
        <f t="shared" si="101"/>
        <v>41464495.575221241</v>
      </c>
      <c r="AW74" s="167">
        <f t="shared" si="102"/>
        <v>1</v>
      </c>
      <c r="AY74" s="172"/>
      <c r="AZ74" s="2"/>
      <c r="BA74" s="154"/>
      <c r="BB74" s="155">
        <f t="shared" si="93"/>
        <v>200</v>
      </c>
      <c r="BC74" s="156">
        <f t="shared" si="94"/>
        <v>400</v>
      </c>
      <c r="BF74" s="50"/>
      <c r="BG74" s="146">
        <v>4</v>
      </c>
      <c r="BH74" s="166">
        <v>50000000</v>
      </c>
      <c r="BI74" s="167">
        <f t="shared" si="103"/>
        <v>41464495.575221241</v>
      </c>
      <c r="BM74" s="167">
        <f t="shared" si="104"/>
        <v>1</v>
      </c>
      <c r="BO74" s="153" t="s">
        <v>91</v>
      </c>
      <c r="BP74" s="155">
        <f>BH67/1000000</f>
        <v>30</v>
      </c>
      <c r="BQ74" s="154"/>
      <c r="BR74" s="154"/>
      <c r="BS74" s="155">
        <f t="shared" si="87"/>
        <v>200</v>
      </c>
      <c r="BT74" s="154"/>
      <c r="BU74" s="154"/>
      <c r="BV74" s="156">
        <f t="shared" si="88"/>
        <v>400</v>
      </c>
      <c r="BY74" s="50"/>
      <c r="CO74" s="50"/>
      <c r="CP74" s="146">
        <v>5</v>
      </c>
      <c r="CQ74" s="166">
        <v>40000000</v>
      </c>
      <c r="CR74" s="168">
        <f t="shared" si="97"/>
        <v>34731075.34414947</v>
      </c>
      <c r="CV74" s="167">
        <f t="shared" si="98"/>
        <v>2</v>
      </c>
      <c r="CX74" s="172" t="s">
        <v>147</v>
      </c>
      <c r="CY74" s="174">
        <f>CQ63</f>
        <v>43647</v>
      </c>
      <c r="CZ74" s="154"/>
      <c r="DA74" s="155">
        <f t="shared" si="89"/>
        <v>100</v>
      </c>
      <c r="DB74" s="156" t="e">
        <f t="shared" si="90"/>
        <v>#DIV/0!</v>
      </c>
      <c r="DE74" s="50"/>
      <c r="DF74" s="146">
        <v>5</v>
      </c>
      <c r="DG74" s="166">
        <v>30000000</v>
      </c>
      <c r="DH74" s="168">
        <f t="shared" si="99"/>
        <v>26519776.610127833</v>
      </c>
      <c r="DL74" s="167">
        <f t="shared" si="100"/>
        <v>2</v>
      </c>
      <c r="DN74" s="172" t="s">
        <v>147</v>
      </c>
      <c r="DO74" s="174">
        <f>DG63</f>
        <v>43282</v>
      </c>
      <c r="DP74" s="154"/>
      <c r="DQ74" s="154"/>
      <c r="DR74" s="155">
        <f t="shared" si="91"/>
        <v>80</v>
      </c>
      <c r="DS74" s="154"/>
      <c r="DT74" s="154"/>
      <c r="DU74" s="156" t="e">
        <f t="shared" si="92"/>
        <v>#DIV/0!</v>
      </c>
    </row>
    <row r="75" spans="10:125" x14ac:dyDescent="0.25">
      <c r="J75" s="86" t="str" cm="1">
        <f t="array" ref="J75">LOOKUP(2,1/($G$17:$G$33&lt;=$L75)/($H$17:$H$33&gt;=$L75),$F$17:$F$33)</f>
        <v>2H23</v>
      </c>
      <c r="K75" s="86" t="str" cm="1">
        <f t="array" ref="K75">LOOKUP(2,1/($G$6:$G$14&lt;=$L75)/($H$6:$H$14&gt;=$L75),$F$6:$F$14)</f>
        <v>FY23</v>
      </c>
      <c r="L75" s="118">
        <v>44978</v>
      </c>
      <c r="M75" s="49">
        <v>9720888.0803880803</v>
      </c>
      <c r="N75" s="49">
        <v>13938781.418468468</v>
      </c>
      <c r="O75" s="50">
        <v>5000000</v>
      </c>
      <c r="P75" s="119" cm="1">
        <f t="array" ref="P75">LOOKUP(2,1/($B$10:$B$14&lt;=$L75)/($C$10:$C$14&gt;=$L75),$D$10:$D$14)</f>
        <v>1.1000000000000001</v>
      </c>
      <c r="Q75" s="120" cm="1">
        <f t="array" ref="Q75">LOOKUP(2,1/($B$17:$B$21&lt;=$L75)/($C$17:$C$21&gt;=$L75),$D$17:$D$21)</f>
        <v>134.49039999999999</v>
      </c>
      <c r="R75" s="113" t="str">
        <f t="shared" si="105"/>
        <v/>
      </c>
      <c r="S75" s="113" t="str">
        <f t="shared" si="106"/>
        <v>2H23</v>
      </c>
      <c r="T75" s="113" t="str">
        <f t="shared" ca="1" si="107"/>
        <v/>
      </c>
      <c r="U75" s="113" t="str">
        <f t="shared" si="108"/>
        <v/>
      </c>
      <c r="V75" s="113" t="str">
        <f t="shared" si="0"/>
        <v>FY23</v>
      </c>
      <c r="W75" s="113" t="str">
        <f t="shared" ca="1" si="62"/>
        <v/>
      </c>
      <c r="X75" s="50"/>
      <c r="Y75" s="146">
        <v>6</v>
      </c>
      <c r="Z75" s="166">
        <v>50000000</v>
      </c>
      <c r="AA75" s="167">
        <f t="shared" si="95"/>
        <v>45746976.155358903</v>
      </c>
      <c r="AB75" s="173"/>
      <c r="AC75" s="145">
        <v>46730000.000000007</v>
      </c>
      <c r="AD75" s="145"/>
      <c r="AE75" s="167">
        <f t="shared" si="96"/>
        <v>1</v>
      </c>
      <c r="AF75" s="167"/>
      <c r="AH75" s="172" t="s">
        <v>148</v>
      </c>
      <c r="AI75" s="174">
        <f>AB63</f>
        <v>44377</v>
      </c>
      <c r="AJ75" s="154"/>
      <c r="AK75" s="154"/>
      <c r="AL75" s="155">
        <f t="shared" si="85"/>
        <v>150</v>
      </c>
      <c r="AM75" s="154"/>
      <c r="AN75" s="154"/>
      <c r="AO75" s="156">
        <f t="shared" si="86"/>
        <v>160.05600000000001</v>
      </c>
      <c r="AR75" s="50"/>
      <c r="AS75" s="146">
        <v>5</v>
      </c>
      <c r="AT75" s="166">
        <v>100000000</v>
      </c>
      <c r="AU75" s="167" t="e">
        <f t="shared" si="101"/>
        <v>#DIV/0!</v>
      </c>
      <c r="AW75" s="167">
        <f t="shared" si="102"/>
        <v>0</v>
      </c>
      <c r="AY75" s="172" t="s">
        <v>147</v>
      </c>
      <c r="AZ75" s="174">
        <f>AT64</f>
        <v>44652</v>
      </c>
      <c r="BA75" s="154"/>
      <c r="BB75" s="155">
        <f t="shared" si="93"/>
        <v>250</v>
      </c>
      <c r="BC75" s="156">
        <f t="shared" si="94"/>
        <v>520</v>
      </c>
      <c r="BF75" s="50"/>
      <c r="BG75" s="146">
        <v>5</v>
      </c>
      <c r="BH75" s="166">
        <v>100000000</v>
      </c>
      <c r="BI75" s="167" t="e">
        <f t="shared" si="103"/>
        <v>#DIV/0!</v>
      </c>
      <c r="BM75" s="167">
        <f t="shared" si="104"/>
        <v>0</v>
      </c>
      <c r="BO75" s="171"/>
      <c r="BQ75" s="154"/>
      <c r="BR75" s="154"/>
      <c r="BS75" s="155">
        <f t="shared" si="87"/>
        <v>250</v>
      </c>
      <c r="BT75" s="154"/>
      <c r="BU75" s="154"/>
      <c r="BV75" s="156">
        <f t="shared" si="88"/>
        <v>510</v>
      </c>
      <c r="BY75" s="50"/>
      <c r="CO75" s="50"/>
      <c r="CP75" s="146">
        <v>6</v>
      </c>
      <c r="CQ75" s="166">
        <v>60000000</v>
      </c>
      <c r="CR75" s="168" t="e">
        <f t="shared" si="97"/>
        <v>#DIV/0!</v>
      </c>
      <c r="CT75" s="145">
        <v>75767000</v>
      </c>
      <c r="CU75" s="145">
        <v>65348000</v>
      </c>
      <c r="CV75" s="167">
        <f t="shared" si="98"/>
        <v>0</v>
      </c>
      <c r="CX75" s="172" t="s">
        <v>148</v>
      </c>
      <c r="CY75" s="174">
        <f>CS63</f>
        <v>44012</v>
      </c>
      <c r="CZ75" s="154"/>
      <c r="DA75" s="155">
        <f t="shared" si="89"/>
        <v>150</v>
      </c>
      <c r="DB75" s="156" t="e">
        <f t="shared" si="90"/>
        <v>#DIV/0!</v>
      </c>
      <c r="DE75" s="50"/>
      <c r="DF75" s="146">
        <v>6</v>
      </c>
      <c r="DG75" s="166">
        <v>40000000</v>
      </c>
      <c r="DH75" s="168">
        <f t="shared" si="99"/>
        <v>31103626.106194694</v>
      </c>
      <c r="DL75" s="167">
        <f t="shared" si="100"/>
        <v>1</v>
      </c>
      <c r="DN75" s="172" t="s">
        <v>148</v>
      </c>
      <c r="DO75" s="174">
        <f>DI63</f>
        <v>43465</v>
      </c>
      <c r="DP75" s="154"/>
      <c r="DQ75" s="154"/>
      <c r="DR75" s="155">
        <f t="shared" si="91"/>
        <v>100</v>
      </c>
      <c r="DS75" s="154"/>
      <c r="DT75" s="154"/>
      <c r="DU75" s="156" t="e">
        <f t="shared" si="92"/>
        <v>#DIV/0!</v>
      </c>
    </row>
    <row r="76" spans="10:125" x14ac:dyDescent="0.25">
      <c r="J76" s="86" t="str" cm="1">
        <f t="array" ref="J76">LOOKUP(2,1/($G$17:$G$33&lt;=$L76)/($H$17:$H$33&gt;=$L76),$F$17:$F$33)</f>
        <v>2H23</v>
      </c>
      <c r="K76" s="86" t="str" cm="1">
        <f t="array" ref="K76">LOOKUP(2,1/($G$6:$G$14&lt;=$L76)/($H$6:$H$14&gt;=$L76),$F$6:$F$14)</f>
        <v>FY23</v>
      </c>
      <c r="L76" s="118">
        <v>44971</v>
      </c>
      <c r="M76" s="49">
        <v>9272705.128205128</v>
      </c>
      <c r="N76" s="49">
        <v>13296131.883333333</v>
      </c>
      <c r="O76" s="50">
        <v>3000000</v>
      </c>
      <c r="P76" s="119" cm="1">
        <f t="array" ref="P76">LOOKUP(2,1/($B$10:$B$14&lt;=$L76)/($C$10:$C$14&gt;=$L76),$D$10:$D$14)</f>
        <v>1.1000000000000001</v>
      </c>
      <c r="Q76" s="120" cm="1">
        <f t="array" ref="Q76">LOOKUP(2,1/($B$17:$B$21&lt;=$L76)/($C$17:$C$21&gt;=$L76),$D$17:$D$21)</f>
        <v>134.49039999999999</v>
      </c>
      <c r="R76" s="113" t="str">
        <f t="shared" si="105"/>
        <v/>
      </c>
      <c r="S76" s="113" t="str">
        <f t="shared" si="106"/>
        <v>2H23</v>
      </c>
      <c r="T76" s="113" t="str">
        <f t="shared" ca="1" si="107"/>
        <v/>
      </c>
      <c r="U76" s="113" t="str">
        <f t="shared" si="108"/>
        <v/>
      </c>
      <c r="V76" s="113" t="str">
        <f t="shared" si="0"/>
        <v>FY23</v>
      </c>
      <c r="W76" s="113" t="str">
        <f t="shared" ca="1" si="62"/>
        <v/>
      </c>
      <c r="X76" s="50"/>
      <c r="Y76" s="146">
        <v>7</v>
      </c>
      <c r="Z76" s="145">
        <v>70000000</v>
      </c>
      <c r="AA76" s="167"/>
      <c r="AB76" s="173">
        <f>IF($Z76&gt;=100000000,$AC$65*AC$68*AC76+$AD$65*AD$68*AD76,AC$68*AC76+AD$68*AD76)*AB$68</f>
        <v>62007999.999999993</v>
      </c>
      <c r="AC76" s="145">
        <v>62007999.999999993</v>
      </c>
      <c r="AD76" s="145"/>
      <c r="AE76" s="167">
        <f t="shared" si="96"/>
        <v>0</v>
      </c>
      <c r="AF76" s="167"/>
      <c r="AH76" s="172" t="s">
        <v>0</v>
      </c>
      <c r="AI76" s="175">
        <f>AB68</f>
        <v>1</v>
      </c>
      <c r="AJ76" s="154"/>
      <c r="AK76" s="154"/>
      <c r="AL76" s="155">
        <f t="shared" si="85"/>
        <v>200</v>
      </c>
      <c r="AM76" s="154"/>
      <c r="AN76" s="154"/>
      <c r="AO76" s="156">
        <f t="shared" si="86"/>
        <v>209.70949999999999</v>
      </c>
      <c r="AR76" s="50"/>
      <c r="AS76" s="146">
        <v>6</v>
      </c>
      <c r="AT76" s="166">
        <v>160000000</v>
      </c>
      <c r="AU76" s="167" t="e">
        <f t="shared" si="101"/>
        <v>#DIV/0!</v>
      </c>
      <c r="AW76" s="167">
        <f t="shared" si="102"/>
        <v>0</v>
      </c>
      <c r="AY76" s="172" t="s">
        <v>148</v>
      </c>
      <c r="AZ76" s="174">
        <f>AV64</f>
        <v>44868</v>
      </c>
      <c r="BA76" s="154"/>
      <c r="BB76" s="155">
        <f t="shared" si="93"/>
        <v>300</v>
      </c>
      <c r="BC76" s="156">
        <f t="shared" si="94"/>
        <v>640</v>
      </c>
      <c r="BF76" s="50"/>
      <c r="BG76" s="146">
        <v>6</v>
      </c>
      <c r="BH76" s="166">
        <v>160000000</v>
      </c>
      <c r="BI76" s="167" t="e">
        <f t="shared" si="103"/>
        <v>#DIV/0!</v>
      </c>
      <c r="BM76" s="167">
        <f t="shared" si="104"/>
        <v>0</v>
      </c>
      <c r="BO76" s="172" t="s">
        <v>147</v>
      </c>
      <c r="BP76" s="174">
        <f>BH64</f>
        <v>44652</v>
      </c>
      <c r="BQ76" s="154"/>
      <c r="BR76" s="154"/>
      <c r="BS76" s="155">
        <f t="shared" si="87"/>
        <v>300</v>
      </c>
      <c r="BT76" s="154"/>
      <c r="BU76" s="154"/>
      <c r="BV76" s="156">
        <f t="shared" si="88"/>
        <v>640</v>
      </c>
      <c r="BY76" s="50"/>
      <c r="CO76" s="50"/>
      <c r="CP76" s="146">
        <v>7</v>
      </c>
      <c r="CQ76" s="166">
        <v>80000000</v>
      </c>
      <c r="CR76" s="168" t="e">
        <f t="shared" si="97"/>
        <v>#DIV/0!</v>
      </c>
      <c r="CT76" s="145">
        <v>97600999.999999985</v>
      </c>
      <c r="CU76" s="145">
        <v>89990000.000000015</v>
      </c>
      <c r="CV76" s="167">
        <f t="shared" si="98"/>
        <v>0</v>
      </c>
      <c r="CX76" s="172" t="s">
        <v>173</v>
      </c>
      <c r="CY76" s="177">
        <f>CS68</f>
        <v>1</v>
      </c>
      <c r="CZ76" s="154"/>
      <c r="DA76" s="155">
        <f t="shared" si="89"/>
        <v>200</v>
      </c>
      <c r="DB76" s="156">
        <f t="shared" si="90"/>
        <v>285.75624999999997</v>
      </c>
      <c r="DE76" s="50"/>
      <c r="DF76" s="146">
        <v>7</v>
      </c>
      <c r="DG76" s="166">
        <v>50000000</v>
      </c>
      <c r="DH76" s="168">
        <f t="shared" si="99"/>
        <v>38919567.477876119</v>
      </c>
      <c r="DL76" s="167">
        <f t="shared" si="100"/>
        <v>1</v>
      </c>
      <c r="DN76" s="172" t="s">
        <v>173</v>
      </c>
      <c r="DO76" s="177">
        <f>DI68</f>
        <v>1</v>
      </c>
      <c r="DP76" s="154"/>
      <c r="DQ76" s="154"/>
      <c r="DR76" s="155">
        <f t="shared" si="91"/>
        <v>150</v>
      </c>
      <c r="DS76" s="154"/>
      <c r="DT76" s="154"/>
      <c r="DU76" s="156">
        <f t="shared" si="92"/>
        <v>251.81112499999998</v>
      </c>
    </row>
    <row r="77" spans="10:125" x14ac:dyDescent="0.25">
      <c r="J77" s="86" t="str" cm="1">
        <f t="array" ref="J77">LOOKUP(2,1/($G$17:$G$33&lt;=$L77)/($H$17:$H$33&gt;=$L77),$F$17:$F$33)</f>
        <v>2H23</v>
      </c>
      <c r="K77" s="86" t="str" cm="1">
        <f t="array" ref="K77">LOOKUP(2,1/($G$6:$G$14&lt;=$L77)/($H$6:$H$14&gt;=$L77),$F$6:$F$14)</f>
        <v>FY23</v>
      </c>
      <c r="L77" s="118">
        <v>44964</v>
      </c>
      <c r="M77" s="49">
        <v>20268493.416493416</v>
      </c>
      <c r="N77" s="49">
        <v>29062992.709909908</v>
      </c>
      <c r="O77" s="50">
        <v>20000000</v>
      </c>
      <c r="P77" s="119" cm="1">
        <f t="array" ref="P77">LOOKUP(2,1/($B$10:$B$14&lt;=$L77)/($C$10:$C$14&gt;=$L77),$D$10:$D$14)</f>
        <v>1.1000000000000001</v>
      </c>
      <c r="Q77" s="120" cm="1">
        <f t="array" ref="Q77">LOOKUP(2,1/($B$17:$B$21&lt;=$L77)/($C$17:$C$21&gt;=$L77),$D$17:$D$21)</f>
        <v>134.49039999999999</v>
      </c>
      <c r="R77" s="113" t="str">
        <f t="shared" si="105"/>
        <v/>
      </c>
      <c r="S77" s="113" t="str">
        <f t="shared" si="106"/>
        <v>2H23</v>
      </c>
      <c r="T77" s="113" t="str">
        <f t="shared" ca="1" si="107"/>
        <v/>
      </c>
      <c r="U77" s="113" t="str">
        <f t="shared" si="108"/>
        <v/>
      </c>
      <c r="V77" s="113" t="str">
        <f t="shared" si="0"/>
        <v>FY23</v>
      </c>
      <c r="W77" s="113" t="str">
        <f t="shared" ca="1" si="62"/>
        <v/>
      </c>
      <c r="X77" s="50"/>
      <c r="Y77" s="146">
        <v>8</v>
      </c>
      <c r="Z77" s="145">
        <v>100000000</v>
      </c>
      <c r="AA77" s="167"/>
      <c r="AB77" s="173">
        <f>IF($Z77&gt;=100000000,$AC$65*AC$68*AC77+$AD$65*AD$68*AD77,AC$68*AC77+AD$68*AD77)*AB$68</f>
        <v>110402500</v>
      </c>
      <c r="AC77" s="145">
        <v>84925000</v>
      </c>
      <c r="AD77" s="145"/>
      <c r="AE77" s="146"/>
      <c r="AF77" s="146"/>
      <c r="AH77" s="179" t="s">
        <v>162</v>
      </c>
      <c r="AI77" s="180">
        <f>AC65</f>
        <v>1.3</v>
      </c>
      <c r="AJ77" s="181"/>
      <c r="AK77" s="181"/>
      <c r="AL77" s="181"/>
      <c r="AM77" s="181"/>
      <c r="AN77" s="181"/>
      <c r="AO77" s="182"/>
      <c r="AR77" s="50"/>
      <c r="AS77" s="146">
        <v>7</v>
      </c>
      <c r="AT77" s="145">
        <v>200000000</v>
      </c>
      <c r="AU77" s="145"/>
      <c r="AV77" s="145">
        <v>400000000</v>
      </c>
      <c r="AW77" s="146"/>
      <c r="AY77" s="176"/>
      <c r="AZ77" s="85"/>
      <c r="BA77" s="154"/>
      <c r="BB77" s="155">
        <f t="shared" si="93"/>
        <v>350</v>
      </c>
      <c r="BC77" s="156">
        <f t="shared" si="94"/>
        <v>770</v>
      </c>
      <c r="BF77" s="50"/>
      <c r="BG77" s="146">
        <v>7</v>
      </c>
      <c r="BH77" s="145">
        <v>200000000</v>
      </c>
      <c r="BI77" s="145"/>
      <c r="BJ77" s="146">
        <v>400000000</v>
      </c>
      <c r="BK77" s="146"/>
      <c r="BL77" s="146"/>
      <c r="BM77" s="146"/>
      <c r="BO77" s="172" t="s">
        <v>148</v>
      </c>
      <c r="BP77" s="174">
        <f>BJ64</f>
        <v>44864</v>
      </c>
      <c r="BQ77" s="154"/>
      <c r="BR77" s="154"/>
      <c r="BS77" s="155">
        <f t="shared" si="87"/>
        <v>350</v>
      </c>
      <c r="BT77" s="154"/>
      <c r="BU77" s="154"/>
      <c r="BV77" s="156">
        <f t="shared" si="88"/>
        <v>800</v>
      </c>
      <c r="BY77" s="50"/>
      <c r="CO77" s="50"/>
      <c r="CP77" s="146">
        <v>8</v>
      </c>
      <c r="CQ77" s="166">
        <v>100000000</v>
      </c>
      <c r="CR77" s="168" t="e">
        <f t="shared" si="97"/>
        <v>#DIV/0!</v>
      </c>
      <c r="CT77" s="145">
        <v>119434999.99999999</v>
      </c>
      <c r="CU77" s="145">
        <v>119032000.00000001</v>
      </c>
      <c r="CV77" s="167">
        <f t="shared" si="98"/>
        <v>0</v>
      </c>
      <c r="CX77" s="176"/>
      <c r="CY77" s="32"/>
      <c r="CZ77" s="32"/>
      <c r="DA77" s="32"/>
      <c r="DB77" s="183"/>
      <c r="DE77" s="50"/>
      <c r="DF77" s="146">
        <v>8</v>
      </c>
      <c r="DG77" s="166">
        <v>80000000</v>
      </c>
      <c r="DH77" s="168" t="e">
        <f t="shared" si="99"/>
        <v>#DIV/0!</v>
      </c>
      <c r="DJ77" s="145">
        <v>108838900.00000001</v>
      </c>
      <c r="DK77" s="145">
        <v>112756999.99999999</v>
      </c>
      <c r="DL77" s="167">
        <f t="shared" si="100"/>
        <v>0</v>
      </c>
      <c r="DN77" s="176"/>
      <c r="DO77" s="32"/>
      <c r="DP77" s="32"/>
      <c r="DQ77" s="32"/>
      <c r="DR77" s="32"/>
      <c r="DS77" s="32"/>
      <c r="DT77" s="32"/>
      <c r="DU77" s="183"/>
    </row>
    <row r="78" spans="10:125" x14ac:dyDescent="0.25">
      <c r="J78" s="86" t="str" cm="1">
        <f t="array" ref="J78">LOOKUP(2,1/($G$17:$G$33&lt;=$L78)/($H$17:$H$33&gt;=$L78),$F$17:$F$33)</f>
        <v>2H23</v>
      </c>
      <c r="K78" s="86" t="str" cm="1">
        <f t="array" ref="K78">LOOKUP(2,1/($G$6:$G$14&lt;=$L78)/($H$6:$H$14&gt;=$L78),$F$6:$F$14)</f>
        <v>FY23</v>
      </c>
      <c r="L78" s="118">
        <v>44957</v>
      </c>
      <c r="M78" s="49">
        <v>12834873.873873875</v>
      </c>
      <c r="N78" s="49">
        <v>18403925.647747748</v>
      </c>
      <c r="O78" s="50">
        <v>10000000</v>
      </c>
      <c r="P78" s="119" cm="1">
        <f t="array" ref="P78">LOOKUP(2,1/($B$10:$B$14&lt;=$L78)/($C$10:$C$14&gt;=$L78),$D$10:$D$14)</f>
        <v>1.1000000000000001</v>
      </c>
      <c r="Q78" s="120" cm="1">
        <f t="array" ref="Q78">LOOKUP(2,1/($B$17:$B$21&lt;=$L78)/($C$17:$C$21&gt;=$L78),$D$17:$D$21)</f>
        <v>134.49039999999999</v>
      </c>
      <c r="R78" s="113" t="str">
        <f t="shared" si="105"/>
        <v/>
      </c>
      <c r="S78" s="113" t="str">
        <f t="shared" si="106"/>
        <v>2H23</v>
      </c>
      <c r="T78" s="113" t="str">
        <f t="shared" ca="1" si="107"/>
        <v/>
      </c>
      <c r="U78" s="113" t="str">
        <f t="shared" si="108"/>
        <v/>
      </c>
      <c r="V78" s="113" t="str">
        <f t="shared" ref="V78:V141" si="109">IF($O77&lt;$O78,$K78,V77)</f>
        <v>FY23</v>
      </c>
      <c r="W78" s="113" t="str">
        <f t="shared" ref="W78:W141" ca="1" si="110">IF(AND(V78&lt;&gt;V77,ISNUMBER(MATCH($V77,$F$6:$F$14,0))),OFFSET($F$5,MATCH($K78,$F$6:$F$14,0)+1,0),"")</f>
        <v/>
      </c>
      <c r="X78" s="50"/>
      <c r="Y78" s="146">
        <v>9</v>
      </c>
      <c r="Z78" s="145">
        <v>150000000</v>
      </c>
      <c r="AA78" s="167"/>
      <c r="AB78" s="173">
        <f>IF($Z78&gt;=100000000,$AC$65*AC$68*AC78+$AD$65*AD$68*AD78,AC$68*AC78+AD$68*AD78)*AB$68</f>
        <v>160056000</v>
      </c>
      <c r="AC78" s="145">
        <v>123120000</v>
      </c>
      <c r="AD78" s="145"/>
      <c r="AE78" s="146"/>
      <c r="AF78" s="146"/>
      <c r="AH78" s="2"/>
      <c r="AI78" s="2"/>
      <c r="AJ78" s="2"/>
      <c r="AK78" s="2"/>
      <c r="AL78" s="2"/>
      <c r="AM78" s="2"/>
      <c r="AN78" s="2"/>
      <c r="AO78" s="2"/>
      <c r="AR78" s="50"/>
      <c r="AS78" s="146">
        <v>8</v>
      </c>
      <c r="AT78" s="145">
        <v>250000000</v>
      </c>
      <c r="AU78" s="145"/>
      <c r="AV78" s="145">
        <v>520000000</v>
      </c>
      <c r="AW78" s="146"/>
      <c r="AY78" s="176"/>
      <c r="AZ78" s="32"/>
      <c r="BA78" s="32"/>
      <c r="BB78" s="32"/>
      <c r="BC78" s="183"/>
      <c r="BF78" s="50"/>
      <c r="BG78" s="146">
        <v>8</v>
      </c>
      <c r="BH78" s="145">
        <v>250000000</v>
      </c>
      <c r="BI78" s="145"/>
      <c r="BJ78" s="146">
        <v>510000000</v>
      </c>
      <c r="BK78" s="146"/>
      <c r="BL78" s="146"/>
      <c r="BM78" s="146"/>
      <c r="BO78" s="179" t="s">
        <v>0</v>
      </c>
      <c r="BP78" s="185">
        <f>BJ69</f>
        <v>0</v>
      </c>
      <c r="BQ78" s="181"/>
      <c r="BR78" s="181"/>
      <c r="BS78" s="181"/>
      <c r="BT78" s="181"/>
      <c r="BU78" s="181"/>
      <c r="BV78" s="182"/>
      <c r="BY78" s="50"/>
      <c r="CO78" s="50"/>
      <c r="CP78" s="146">
        <v>9</v>
      </c>
      <c r="CQ78" s="166">
        <v>150000000</v>
      </c>
      <c r="CR78" s="168" t="e">
        <f t="shared" si="97"/>
        <v>#DIV/0!</v>
      </c>
      <c r="CT78" s="145">
        <v>174019999.99999997</v>
      </c>
      <c r="CU78" s="145">
        <v>210887000</v>
      </c>
      <c r="CV78" s="167">
        <f t="shared" si="98"/>
        <v>0</v>
      </c>
      <c r="CX78" s="186" t="s">
        <v>207</v>
      </c>
      <c r="CY78" s="2"/>
      <c r="CZ78" s="2"/>
      <c r="DA78" s="2"/>
      <c r="DB78" s="187"/>
      <c r="DE78" s="50"/>
      <c r="DF78" s="146">
        <v>9</v>
      </c>
      <c r="DG78" s="166">
        <v>100000000</v>
      </c>
      <c r="DH78" s="168" t="e">
        <f t="shared" si="99"/>
        <v>#DIV/0!</v>
      </c>
      <c r="DJ78" s="145">
        <v>135298899.99999997</v>
      </c>
      <c r="DK78" s="145">
        <v>162217000</v>
      </c>
      <c r="DL78" s="167">
        <f t="shared" si="100"/>
        <v>0</v>
      </c>
      <c r="DN78" s="186"/>
      <c r="DO78" s="2"/>
      <c r="DP78" s="2"/>
      <c r="DQ78" s="2"/>
      <c r="DR78" s="2"/>
      <c r="DS78" s="2"/>
      <c r="DT78" s="2"/>
      <c r="DU78" s="187"/>
    </row>
    <row r="79" spans="10:125" x14ac:dyDescent="0.25">
      <c r="J79" s="86" t="str" cm="1">
        <f t="array" ref="J79">LOOKUP(2,1/($G$17:$G$33&lt;=$L79)/($H$17:$H$33&gt;=$L79),$F$17:$F$33)</f>
        <v>2H23</v>
      </c>
      <c r="K79" s="86" t="str" cm="1">
        <f t="array" ref="K79">LOOKUP(2,1/($G$6:$G$14&lt;=$L79)/($H$6:$H$14&gt;=$L79),$F$6:$F$14)</f>
        <v>FY23</v>
      </c>
      <c r="L79" s="118">
        <v>44950</v>
      </c>
      <c r="M79" s="49">
        <v>9882207.7847077847</v>
      </c>
      <c r="N79" s="49">
        <v>14170097.742492491</v>
      </c>
      <c r="O79" s="50">
        <v>5000000</v>
      </c>
      <c r="P79" s="119" cm="1">
        <f t="array" ref="P79">LOOKUP(2,1/($B$10:$B$14&lt;=$L79)/($C$10:$C$14&gt;=$L79),$D$10:$D$14)</f>
        <v>1.1000000000000001</v>
      </c>
      <c r="Q79" s="120" cm="1">
        <f t="array" ref="Q79">LOOKUP(2,1/($B$17:$B$21&lt;=$L79)/($C$17:$C$21&gt;=$L79),$D$17:$D$21)</f>
        <v>134.49039999999999</v>
      </c>
      <c r="R79" s="113" t="str">
        <f t="shared" si="105"/>
        <v/>
      </c>
      <c r="S79" s="113" t="str">
        <f t="shared" si="106"/>
        <v>2H23</v>
      </c>
      <c r="T79" s="113" t="str">
        <f t="shared" ca="1" si="107"/>
        <v/>
      </c>
      <c r="U79" s="113" t="str">
        <f t="shared" si="108"/>
        <v/>
      </c>
      <c r="V79" s="113" t="str">
        <f t="shared" si="109"/>
        <v>FY23</v>
      </c>
      <c r="W79" s="113" t="str">
        <f t="shared" ca="1" si="110"/>
        <v/>
      </c>
      <c r="X79" s="50"/>
      <c r="Y79" s="146">
        <v>10</v>
      </c>
      <c r="Z79" s="145">
        <v>200000000</v>
      </c>
      <c r="AA79" s="167"/>
      <c r="AB79" s="173">
        <f>IF($Z79&gt;=100000000,$AC$65*AC$68*AC79+$AD$65*AD$68*AD79,AC$68*AC79+AD$68*AD79)*AB$68</f>
        <v>209709500</v>
      </c>
      <c r="AC79" s="145">
        <v>161315000</v>
      </c>
      <c r="AD79" s="145"/>
      <c r="AE79" s="146"/>
      <c r="AF79" s="146"/>
      <c r="AH79" s="188"/>
      <c r="AI79" s="188"/>
      <c r="AJ79" s="188"/>
      <c r="AK79" s="188"/>
      <c r="AL79" s="188"/>
      <c r="AM79" s="188"/>
      <c r="AN79" s="188"/>
      <c r="AO79" s="188"/>
      <c r="AR79" s="50"/>
      <c r="AS79" s="146">
        <v>9</v>
      </c>
      <c r="AT79" s="145">
        <v>300000000</v>
      </c>
      <c r="AU79" s="145"/>
      <c r="AV79" s="145">
        <v>640000000</v>
      </c>
      <c r="AW79" s="146"/>
      <c r="AY79" s="186"/>
      <c r="AZ79" s="2"/>
      <c r="BA79" s="2"/>
      <c r="BB79" s="2"/>
      <c r="BC79" s="187"/>
      <c r="BF79" s="50"/>
      <c r="BG79" s="146">
        <v>9</v>
      </c>
      <c r="BH79" s="145">
        <v>300000000</v>
      </c>
      <c r="BI79" s="145"/>
      <c r="BJ79" s="146">
        <v>640000000</v>
      </c>
      <c r="BK79" s="146"/>
      <c r="BL79" s="146"/>
      <c r="BM79" s="146"/>
      <c r="BO79" s="2"/>
      <c r="BP79" s="2"/>
      <c r="BQ79" s="2"/>
      <c r="BR79" s="2"/>
      <c r="BS79" s="2"/>
      <c r="BT79" s="2"/>
      <c r="BU79" s="2"/>
      <c r="BV79" s="2"/>
      <c r="BY79" s="50"/>
      <c r="CO79" s="50"/>
      <c r="CP79" s="146">
        <v>10</v>
      </c>
      <c r="CQ79" s="145">
        <v>200000000</v>
      </c>
      <c r="CR79" s="145"/>
      <c r="CS79" s="173">
        <f>IF($CQ79&gt;=100000000,$CT$65*CT$68*CT79+$CU$65*CU$68*CU79,CT$68*CT79+CU$68*CU79)</f>
        <v>285756249.99999994</v>
      </c>
      <c r="CT79" s="145">
        <v>228604999.99999997</v>
      </c>
      <c r="CU79" s="145">
        <v>330242000</v>
      </c>
      <c r="CV79" s="146"/>
      <c r="CX79" s="189"/>
      <c r="CY79" s="190"/>
      <c r="CZ79" s="190"/>
      <c r="DA79" s="190"/>
      <c r="DB79" s="191"/>
      <c r="DE79" s="50"/>
      <c r="DF79" s="146">
        <v>10</v>
      </c>
      <c r="DG79" s="145">
        <v>150000000</v>
      </c>
      <c r="DH79" s="145"/>
      <c r="DI79" s="173">
        <f>IF($DG79&gt;=100000000,$DJ$65*DJ$68*DJ79+$DK$65*DK$68*DK79,DJ$68*DJ79+DK$68*DK79)</f>
        <v>251811124.99999997</v>
      </c>
      <c r="DJ79" s="145">
        <v>201448899.99999997</v>
      </c>
      <c r="DK79" s="145">
        <v>329967000</v>
      </c>
      <c r="DL79" s="146"/>
      <c r="DN79" s="189"/>
      <c r="DO79" s="190"/>
      <c r="DP79" s="190"/>
      <c r="DQ79" s="190"/>
      <c r="DR79" s="190"/>
      <c r="DS79" s="190"/>
      <c r="DT79" s="190"/>
      <c r="DU79" s="191"/>
    </row>
    <row r="80" spans="10:125" x14ac:dyDescent="0.25">
      <c r="J80" s="86" t="str" cm="1">
        <f t="array" ref="J80">LOOKUP(2,1/($G$17:$G$33&lt;=$L80)/($H$17:$H$33&gt;=$L80),$F$17:$F$33)</f>
        <v>2H23</v>
      </c>
      <c r="K80" s="86" t="str" cm="1">
        <f t="array" ref="K80">LOOKUP(2,1/($G$6:$G$14&lt;=$L80)/($H$6:$H$14&gt;=$L80),$F$6:$F$14)</f>
        <v>FY23</v>
      </c>
      <c r="L80" s="118">
        <v>44943</v>
      </c>
      <c r="M80" s="49">
        <v>8834358.5123585109</v>
      </c>
      <c r="N80" s="49">
        <v>12667586.670870868</v>
      </c>
      <c r="O80" s="50">
        <v>3000000</v>
      </c>
      <c r="P80" s="119" cm="1">
        <f t="array" ref="P80">LOOKUP(2,1/($B$10:$B$14&lt;=$L80)/($C$10:$C$14&gt;=$L80),$D$10:$D$14)</f>
        <v>1.1000000000000001</v>
      </c>
      <c r="Q80" s="120" cm="1">
        <f t="array" ref="Q80">LOOKUP(2,1/($B$17:$B$21&lt;=$L80)/($C$17:$C$21&gt;=$L80),$D$17:$D$21)</f>
        <v>134.49039999999999</v>
      </c>
      <c r="R80" s="113" t="str">
        <f t="shared" si="105"/>
        <v/>
      </c>
      <c r="S80" s="113" t="str">
        <f t="shared" si="106"/>
        <v>2H23</v>
      </c>
      <c r="T80" s="113" t="str">
        <f t="shared" ca="1" si="107"/>
        <v/>
      </c>
      <c r="U80" s="113" t="str">
        <f t="shared" si="108"/>
        <v/>
      </c>
      <c r="V80" s="113" t="str">
        <f t="shared" si="109"/>
        <v>FY23</v>
      </c>
      <c r="W80" s="113" t="str">
        <f t="shared" ca="1" si="110"/>
        <v/>
      </c>
      <c r="X80" s="50"/>
      <c r="AG80" s="116"/>
      <c r="AH80" s="106"/>
      <c r="AI80" s="107"/>
      <c r="AJ80" s="107"/>
      <c r="AK80" s="107"/>
      <c r="AL80" s="108"/>
      <c r="AM80" s="107"/>
      <c r="AN80" s="107"/>
      <c r="AO80" s="108"/>
      <c r="AR80" s="50"/>
      <c r="AS80" s="146">
        <v>10</v>
      </c>
      <c r="AT80" s="145">
        <v>350000000</v>
      </c>
      <c r="AU80" s="145"/>
      <c r="AV80" s="145">
        <v>770000000</v>
      </c>
      <c r="AW80" s="146"/>
      <c r="AY80" s="189"/>
      <c r="AZ80" s="190"/>
      <c r="BA80" s="190"/>
      <c r="BB80" s="190"/>
      <c r="BC80" s="191"/>
      <c r="BF80" s="50"/>
      <c r="BG80" s="146">
        <v>10</v>
      </c>
      <c r="BH80" s="145">
        <v>350000000</v>
      </c>
      <c r="BI80" s="145"/>
      <c r="BJ80" s="146">
        <v>800000000</v>
      </c>
      <c r="BK80" s="146"/>
      <c r="BL80" s="146"/>
      <c r="BM80" s="146"/>
      <c r="BO80" s="188"/>
      <c r="BP80" s="188"/>
      <c r="BQ80" s="188"/>
      <c r="BR80" s="188"/>
      <c r="BS80" s="188"/>
      <c r="BT80" s="188"/>
      <c r="BU80" s="188"/>
      <c r="BV80" s="188"/>
      <c r="BY80" s="50"/>
      <c r="CO80" s="50"/>
      <c r="DE80" s="50"/>
    </row>
    <row r="81" spans="10:125" x14ac:dyDescent="0.25">
      <c r="J81" s="86" t="str" cm="1">
        <f t="array" ref="J81">LOOKUP(2,1/($G$17:$G$33&lt;=$L81)/($H$17:$H$33&gt;=$L81),$F$17:$F$33)</f>
        <v>2H23</v>
      </c>
      <c r="K81" s="86" t="str" cm="1">
        <f t="array" ref="K81">LOOKUP(2,1/($G$6:$G$14&lt;=$L81)/($H$6:$H$14&gt;=$L81),$F$6:$F$14)</f>
        <v>FY23</v>
      </c>
      <c r="L81" s="118">
        <v>44936</v>
      </c>
      <c r="M81" s="49">
        <v>9252797.0662970655</v>
      </c>
      <c r="N81" s="49">
        <v>13267585.713363362</v>
      </c>
      <c r="O81" s="50">
        <v>3000000</v>
      </c>
      <c r="P81" s="119" cm="1">
        <f t="array" ref="P81">LOOKUP(2,1/($B$10:$B$14&lt;=$L81)/($C$10:$C$14&gt;=$L81),$D$10:$D$14)</f>
        <v>1.1000000000000001</v>
      </c>
      <c r="Q81" s="120" cm="1">
        <f t="array" ref="Q81">LOOKUP(2,1/($B$17:$B$21&lt;=$L81)/($C$17:$C$21&gt;=$L81),$D$17:$D$21)</f>
        <v>134.49039999999999</v>
      </c>
      <c r="R81" s="113" t="str">
        <f t="shared" si="105"/>
        <v/>
      </c>
      <c r="S81" s="113" t="str">
        <f t="shared" si="106"/>
        <v>2H23</v>
      </c>
      <c r="T81" s="113" t="str">
        <f t="shared" ca="1" si="107"/>
        <v/>
      </c>
      <c r="U81" s="113" t="str">
        <f t="shared" si="108"/>
        <v/>
      </c>
      <c r="V81" s="113" t="str">
        <f t="shared" si="109"/>
        <v>FY23</v>
      </c>
      <c r="W81" s="113" t="str">
        <f t="shared" ca="1" si="110"/>
        <v/>
      </c>
      <c r="X81" s="50"/>
      <c r="Y81" s="193" t="s">
        <v>256</v>
      </c>
      <c r="Z81" s="194"/>
      <c r="AA81" s="194"/>
      <c r="AB81" s="194"/>
      <c r="AC81" s="194"/>
      <c r="AD81" s="194"/>
      <c r="AE81" s="194"/>
      <c r="AF81" s="194"/>
      <c r="AG81" s="194"/>
      <c r="AH81" s="194"/>
      <c r="AI81" s="194"/>
      <c r="AJ81" s="194"/>
      <c r="AK81" s="194"/>
      <c r="AL81" s="194"/>
      <c r="AM81" s="194"/>
      <c r="AN81" s="194"/>
      <c r="AO81" s="194"/>
      <c r="AP81" s="194"/>
      <c r="AQ81" s="194"/>
      <c r="AR81" s="50"/>
      <c r="BF81" s="50"/>
      <c r="BY81" s="50"/>
      <c r="CO81" s="50"/>
      <c r="CP81" s="125" t="s">
        <v>209</v>
      </c>
      <c r="CQ81" s="126"/>
      <c r="CR81" s="126"/>
      <c r="CS81" s="126"/>
      <c r="CT81" s="126"/>
      <c r="CU81" s="126"/>
      <c r="CV81" s="126"/>
      <c r="CW81" s="126"/>
      <c r="CX81" s="126"/>
      <c r="CY81" s="126"/>
      <c r="CZ81" s="126"/>
      <c r="DA81" s="126"/>
      <c r="DB81" s="126"/>
      <c r="DC81" s="126"/>
      <c r="DD81" s="126"/>
      <c r="DE81" s="50"/>
      <c r="DF81" s="125" t="s">
        <v>48</v>
      </c>
      <c r="DG81" s="126"/>
      <c r="DH81" s="126"/>
      <c r="DI81" s="126"/>
      <c r="DJ81" s="126"/>
      <c r="DK81" s="126"/>
      <c r="DL81" s="126"/>
      <c r="DM81" s="126"/>
      <c r="DN81" s="126"/>
      <c r="DO81" s="126"/>
      <c r="DP81" s="126"/>
      <c r="DQ81" s="126"/>
      <c r="DR81" s="126"/>
      <c r="DS81" s="126"/>
      <c r="DT81" s="126"/>
      <c r="DU81" s="126"/>
    </row>
    <row r="82" spans="10:125" x14ac:dyDescent="0.25">
      <c r="J82" s="86" t="str" cm="1">
        <f t="array" ref="J82">LOOKUP(2,1/($G$17:$G$33&lt;=$L82)/($H$17:$H$33&gt;=$L82),$F$17:$F$33)</f>
        <v>2H23</v>
      </c>
      <c r="K82" s="86" t="str" cm="1">
        <f t="array" ref="K82">LOOKUP(2,1/($G$6:$G$14&lt;=$L82)/($H$6:$H$14&gt;=$L82),$F$6:$F$14)</f>
        <v>FY23</v>
      </c>
      <c r="L82" s="118">
        <v>44929</v>
      </c>
      <c r="M82" s="49">
        <v>20789274.65927466</v>
      </c>
      <c r="N82" s="49">
        <v>29809740.933933932</v>
      </c>
      <c r="O82" s="50">
        <v>20000000</v>
      </c>
      <c r="P82" s="119" cm="1">
        <f t="array" ref="P82">LOOKUP(2,1/($B$10:$B$14&lt;=$L82)/($C$10:$C$14&gt;=$L82),$D$10:$D$14)</f>
        <v>1.1000000000000001</v>
      </c>
      <c r="Q82" s="120" cm="1">
        <f t="array" ref="Q82">LOOKUP(2,1/($B$17:$B$21&lt;=$L82)/($C$17:$C$21&gt;=$L82),$D$17:$D$21)</f>
        <v>134.49039999999999</v>
      </c>
      <c r="R82" s="113" t="str">
        <f t="shared" si="105"/>
        <v>2H23</v>
      </c>
      <c r="S82" s="113" t="str">
        <f t="shared" si="106"/>
        <v>2H23</v>
      </c>
      <c r="T82" s="113" t="str">
        <f t="shared" ca="1" si="107"/>
        <v/>
      </c>
      <c r="U82" s="113" t="str">
        <f t="shared" si="108"/>
        <v/>
      </c>
      <c r="V82" s="113" t="str">
        <f t="shared" si="109"/>
        <v>FY23</v>
      </c>
      <c r="W82" s="113" t="str">
        <f t="shared" ca="1" si="110"/>
        <v/>
      </c>
      <c r="X82" s="50"/>
      <c r="Y82" s="114" t="s">
        <v>147</v>
      </c>
      <c r="Z82" s="115">
        <v>44013</v>
      </c>
      <c r="AA82" s="114" t="s">
        <v>148</v>
      </c>
      <c r="AB82" s="115">
        <v>44377</v>
      </c>
      <c r="AC82" s="132"/>
      <c r="AD82" s="132"/>
      <c r="AE82" s="132"/>
      <c r="AF82" s="132"/>
      <c r="AG82" s="133"/>
      <c r="AH82" s="133"/>
      <c r="AI82" s="133"/>
      <c r="AJ82" s="133"/>
      <c r="AK82" s="133"/>
      <c r="AL82" s="133"/>
      <c r="AM82" s="133"/>
      <c r="AN82" s="133"/>
      <c r="AO82" s="133"/>
      <c r="AP82" s="133"/>
      <c r="AQ82" s="133"/>
      <c r="AR82" s="50"/>
      <c r="AS82" s="193" t="s">
        <v>210</v>
      </c>
      <c r="AT82" s="194"/>
      <c r="AU82" s="194"/>
      <c r="AV82" s="194"/>
      <c r="AW82" s="194"/>
      <c r="AX82" s="194"/>
      <c r="AY82" s="194"/>
      <c r="AZ82" s="194"/>
      <c r="BA82" s="194"/>
      <c r="BB82" s="194"/>
      <c r="BC82" s="194"/>
      <c r="BD82" s="194"/>
      <c r="BE82" s="194"/>
      <c r="BF82" s="50"/>
      <c r="BG82" s="123" t="s">
        <v>211</v>
      </c>
      <c r="BH82" s="124"/>
      <c r="BI82" s="124"/>
      <c r="BJ82" s="124"/>
      <c r="BK82" s="124"/>
      <c r="BL82" s="124"/>
      <c r="BM82" s="124"/>
      <c r="BN82" s="124"/>
      <c r="BO82" s="124"/>
      <c r="BP82" s="124"/>
      <c r="BQ82" s="124"/>
      <c r="BR82" s="124"/>
      <c r="BS82" s="124"/>
      <c r="BT82" s="124"/>
      <c r="BU82" s="124"/>
      <c r="BV82" s="124"/>
      <c r="BW82" s="124"/>
      <c r="BX82" s="124"/>
      <c r="BY82" s="50"/>
      <c r="CO82" s="50"/>
      <c r="CP82" s="114" t="s">
        <v>147</v>
      </c>
      <c r="CQ82" s="115">
        <v>44013</v>
      </c>
      <c r="CR82" s="114" t="s">
        <v>148</v>
      </c>
      <c r="CS82" s="115">
        <v>44377</v>
      </c>
      <c r="CT82" s="132"/>
      <c r="CU82" s="132"/>
      <c r="CV82" s="132"/>
      <c r="CW82" s="133"/>
      <c r="CX82" s="133"/>
      <c r="CY82" s="133"/>
      <c r="CZ82" s="133"/>
      <c r="DA82" s="133"/>
      <c r="DB82" s="133"/>
      <c r="DC82" s="133"/>
      <c r="DD82" s="133"/>
      <c r="DE82" s="50"/>
      <c r="DF82" s="114" t="s">
        <v>147</v>
      </c>
      <c r="DG82" s="115">
        <v>43466</v>
      </c>
      <c r="DH82" s="114" t="s">
        <v>148</v>
      </c>
      <c r="DI82" s="115">
        <v>43646</v>
      </c>
      <c r="DJ82" s="132"/>
      <c r="DK82" s="132"/>
      <c r="DL82" s="132"/>
      <c r="DM82" s="133"/>
      <c r="DN82" s="133"/>
      <c r="DO82" s="133"/>
      <c r="DP82" s="133"/>
      <c r="DQ82" s="133"/>
      <c r="DR82" s="133"/>
      <c r="DS82" s="133"/>
      <c r="DT82" s="133"/>
      <c r="DU82" s="133"/>
    </row>
    <row r="83" spans="10:125" x14ac:dyDescent="0.25">
      <c r="J83" s="86" t="str" cm="1">
        <f t="array" ref="J83">LOOKUP(2,1/($G$17:$G$33&lt;=$L83)/($H$17:$H$33&gt;=$L83),$F$17:$F$33)</f>
        <v>1H23</v>
      </c>
      <c r="K83" s="86" t="str" cm="1">
        <f t="array" ref="K83">LOOKUP(2,1/($G$6:$G$14&lt;=$L83)/($H$6:$H$14&gt;=$L83),$F$6:$F$14)</f>
        <v>FY23</v>
      </c>
      <c r="L83" s="118">
        <v>44922</v>
      </c>
      <c r="M83" s="49">
        <v>11083673.814386204</v>
      </c>
      <c r="N83" s="49">
        <v>15892879.882448377</v>
      </c>
      <c r="O83" s="50">
        <v>10000000</v>
      </c>
      <c r="P83" s="119" cm="1">
        <f t="array" ref="P83">LOOKUP(2,1/($B$10:$B$14&lt;=$L83)/($C$10:$C$14&gt;=$L83),$D$10:$D$14)</f>
        <v>1.1000000000000001</v>
      </c>
      <c r="Q83" s="120" cm="1">
        <f t="array" ref="Q83">LOOKUP(2,1/($B$17:$B$21&lt;=$L83)/($C$17:$C$21&gt;=$L83),$D$17:$D$21)</f>
        <v>134.49039999999999</v>
      </c>
      <c r="R83" s="113" t="str">
        <f t="shared" si="105"/>
        <v/>
      </c>
      <c r="S83" s="113" t="str">
        <f t="shared" si="106"/>
        <v>2H23</v>
      </c>
      <c r="T83" s="113" t="str">
        <f t="shared" ca="1" si="107"/>
        <v/>
      </c>
      <c r="U83" s="113" t="str">
        <f t="shared" si="108"/>
        <v/>
      </c>
      <c r="V83" s="113" t="str">
        <f t="shared" si="109"/>
        <v>FY23</v>
      </c>
      <c r="W83" s="113" t="str">
        <f t="shared" ca="1" si="110"/>
        <v/>
      </c>
      <c r="X83" s="50"/>
      <c r="Y83" s="114" t="s">
        <v>159</v>
      </c>
      <c r="Z83" s="115" t="s">
        <v>23</v>
      </c>
      <c r="AA83" s="114" t="s">
        <v>161</v>
      </c>
      <c r="AB83" s="115" t="s">
        <v>163</v>
      </c>
      <c r="AC83" s="134" t="s">
        <v>162</v>
      </c>
      <c r="AD83" s="134" t="s">
        <v>162</v>
      </c>
      <c r="AE83" s="134"/>
      <c r="AF83" s="134"/>
      <c r="AG83" s="133"/>
      <c r="AH83" s="133"/>
      <c r="AI83" s="133"/>
      <c r="AJ83" s="133"/>
      <c r="AK83" s="133"/>
      <c r="AL83" s="133"/>
      <c r="AM83" s="133"/>
      <c r="AN83" s="133"/>
      <c r="AO83" s="133"/>
      <c r="AP83" s="133"/>
      <c r="AQ83" s="133"/>
      <c r="AR83" s="50"/>
      <c r="AS83" s="114" t="s">
        <v>147</v>
      </c>
      <c r="AT83" s="115" t="s">
        <v>158</v>
      </c>
      <c r="AU83" s="114" t="s">
        <v>148</v>
      </c>
      <c r="AV83" s="115" t="s">
        <v>158</v>
      </c>
      <c r="AW83" s="132"/>
      <c r="AX83" s="133"/>
      <c r="AY83" s="133"/>
      <c r="AZ83" s="133"/>
      <c r="BA83" s="133"/>
      <c r="BB83" s="133"/>
      <c r="BC83" s="133"/>
      <c r="BD83" s="133"/>
      <c r="BE83" s="133"/>
      <c r="BF83" s="50"/>
      <c r="BG83" s="114" t="s">
        <v>147</v>
      </c>
      <c r="BH83" s="115">
        <v>44652</v>
      </c>
      <c r="BI83" s="114" t="s">
        <v>148</v>
      </c>
      <c r="BJ83" s="115">
        <v>44864</v>
      </c>
      <c r="BK83" s="115"/>
      <c r="BL83" s="115"/>
      <c r="BM83" s="132"/>
      <c r="BN83" s="133"/>
      <c r="BO83" s="133"/>
      <c r="BP83" s="133"/>
      <c r="BQ83" s="133"/>
      <c r="BR83" s="133"/>
      <c r="BS83" s="133"/>
      <c r="BT83" s="133"/>
      <c r="BU83" s="133"/>
      <c r="BV83" s="133"/>
      <c r="BW83" s="133"/>
      <c r="BX83" s="133"/>
      <c r="BY83" s="50"/>
      <c r="CO83" s="50"/>
      <c r="CP83" s="114" t="s">
        <v>159</v>
      </c>
      <c r="CQ83" s="115" t="s">
        <v>21</v>
      </c>
      <c r="CR83" s="114" t="s">
        <v>161</v>
      </c>
      <c r="CS83" s="134" t="str" cm="1">
        <f t="array" ref="CS83">IF(OR(LOOKUP(2,1/($B$10:$B$14&lt;=CS82)/($C$10:$C$14&gt;=CS82),$D$10:$D$14)&lt;&gt;CQ86,LOOKUP(2,1/($B$6:$B$7&lt;=CS82)/($C$6:$C$7&gt;=CS82),$D$6:$D$7)&lt;&gt;CS86),"FAIL","PASS")</f>
        <v>PASS</v>
      </c>
      <c r="CT83" s="134" t="s">
        <v>162</v>
      </c>
      <c r="CU83" s="134" t="s">
        <v>162</v>
      </c>
      <c r="CV83" s="134"/>
      <c r="CW83" s="133"/>
      <c r="CX83" s="133"/>
      <c r="CY83" s="133"/>
      <c r="CZ83" s="133"/>
      <c r="DA83" s="133"/>
      <c r="DB83" s="133"/>
      <c r="DC83" s="133"/>
      <c r="DD83" s="133"/>
      <c r="DE83" s="50"/>
      <c r="DF83" s="114" t="s">
        <v>159</v>
      </c>
      <c r="DG83" s="115" t="s">
        <v>48</v>
      </c>
      <c r="DH83" s="114" t="s">
        <v>161</v>
      </c>
      <c r="DI83" s="134" t="str" cm="1">
        <f t="array" ref="DI83">IF(OR(LOOKUP(2,1/($B$10:$B$14&lt;=DI82)/($C$10:$C$14&gt;=DI82),$D$10:$D$14)&lt;&gt;DG86,LOOKUP(2,1/($B$6:$B$7&lt;=DI82)/($C$6:$C$7&gt;=DI82),$D$6:$D$7)&lt;&gt;DI86),"FAIL","PASS")</f>
        <v>PASS</v>
      </c>
      <c r="DJ83" s="134" t="s">
        <v>162</v>
      </c>
      <c r="DK83" s="134" t="s">
        <v>162</v>
      </c>
      <c r="DL83" s="134"/>
      <c r="DM83" s="133"/>
      <c r="DN83" s="133"/>
      <c r="DO83" s="133"/>
      <c r="DP83" s="133"/>
      <c r="DQ83" s="133"/>
      <c r="DR83" s="133"/>
      <c r="DS83" s="133"/>
      <c r="DT83" s="133"/>
      <c r="DU83" s="133"/>
    </row>
    <row r="84" spans="10:125" x14ac:dyDescent="0.25">
      <c r="J84" s="86" t="str" cm="1">
        <f t="array" ref="J84">LOOKUP(2,1/($G$17:$G$33&lt;=$L84)/($H$17:$H$33&gt;=$L84),$F$17:$F$33)</f>
        <v>1H23</v>
      </c>
      <c r="K84" s="86" t="str" cm="1">
        <f t="array" ref="K84">LOOKUP(2,1/($G$6:$G$14&lt;=$L84)/($H$6:$H$14&gt;=$L84),$F$6:$F$14)</f>
        <v>FY23</v>
      </c>
      <c r="L84" s="118">
        <v>44915</v>
      </c>
      <c r="M84" s="49">
        <v>9188097.4585886095</v>
      </c>
      <c r="N84" s="49">
        <v>13174812.945870206</v>
      </c>
      <c r="O84" s="50">
        <v>5000000</v>
      </c>
      <c r="P84" s="119" cm="1">
        <f t="array" ref="P84">LOOKUP(2,1/($B$10:$B$14&lt;=$L84)/($C$10:$C$14&gt;=$L84),$D$10:$D$14)</f>
        <v>1.1000000000000001</v>
      </c>
      <c r="Q84" s="120" cm="1">
        <f t="array" ref="Q84">LOOKUP(2,1/($B$17:$B$21&lt;=$L84)/($C$17:$C$21&gt;=$L84),$D$17:$D$21)</f>
        <v>134.49039999999999</v>
      </c>
      <c r="R84" s="113" t="str">
        <f t="shared" si="105"/>
        <v/>
      </c>
      <c r="S84" s="113" t="str">
        <f t="shared" si="106"/>
        <v>2H23</v>
      </c>
      <c r="T84" s="113" t="str">
        <f t="shared" ca="1" si="107"/>
        <v/>
      </c>
      <c r="U84" s="113" t="str">
        <f t="shared" si="108"/>
        <v/>
      </c>
      <c r="V84" s="113" t="str">
        <f t="shared" si="109"/>
        <v>FY23</v>
      </c>
      <c r="W84" s="113" t="str">
        <f t="shared" ca="1" si="110"/>
        <v/>
      </c>
      <c r="Y84" s="114" t="s">
        <v>165</v>
      </c>
      <c r="Z84" s="134">
        <f>INDEX($G:$G,MATCH(Z83,$F:$F,0))</f>
        <v>44743</v>
      </c>
      <c r="AA84" s="114" t="s">
        <v>166</v>
      </c>
      <c r="AB84" s="134">
        <f>INDEX($H:$H,MATCH(Z83,$F:$F,0))</f>
        <v>45107</v>
      </c>
      <c r="AC84" s="135">
        <v>1.3</v>
      </c>
      <c r="AD84" s="135">
        <v>1</v>
      </c>
      <c r="AE84" s="134"/>
      <c r="AF84" s="134"/>
      <c r="AH84" s="136" t="s">
        <v>167</v>
      </c>
      <c r="AI84" s="137"/>
      <c r="AJ84" s="137"/>
      <c r="AK84" s="137"/>
      <c r="AL84" s="138"/>
      <c r="AM84" s="137"/>
      <c r="AN84" s="137"/>
      <c r="AO84" s="139"/>
      <c r="AS84" s="114" t="s">
        <v>159</v>
      </c>
      <c r="AT84" s="115" t="s">
        <v>193</v>
      </c>
      <c r="AU84" s="114" t="s">
        <v>161</v>
      </c>
      <c r="AV84" s="115" t="s">
        <v>163</v>
      </c>
      <c r="AW84" s="132"/>
      <c r="AX84" s="133"/>
      <c r="AY84" s="133"/>
      <c r="AZ84" s="133"/>
      <c r="BA84" s="133"/>
      <c r="BB84" s="133"/>
      <c r="BC84" s="133"/>
      <c r="BD84" s="133"/>
      <c r="BE84" s="133"/>
      <c r="BG84" s="114" t="s">
        <v>159</v>
      </c>
      <c r="BH84" s="115" t="s">
        <v>23</v>
      </c>
      <c r="BI84" s="114" t="s">
        <v>161</v>
      </c>
      <c r="BJ84" s="134" t="str" cm="1">
        <f t="array" ref="BJ84">IF(OR(LOOKUP(2,1/($B$10:$B$14&lt;=BJ83)/($C$10:$C$14&gt;=BJ83),$D$10:$D$14)&lt;&gt;BH87,LOOKUP(2,1/($B$6:$B$7&lt;=BJ83)/($C$6:$C$7&gt;=BJ83),$D$6:$D$7)&lt;&gt;BJ87),"FAIL","PASS")</f>
        <v>PASS</v>
      </c>
      <c r="BK84" s="134"/>
      <c r="BL84" s="134"/>
      <c r="BM84" s="134"/>
      <c r="BN84" s="133"/>
      <c r="BO84" s="133"/>
      <c r="BP84" s="133"/>
      <c r="BQ84" s="133"/>
      <c r="BR84" s="133"/>
      <c r="BS84" s="133"/>
      <c r="BT84" s="133"/>
      <c r="BU84" s="133"/>
      <c r="BV84" s="133"/>
      <c r="BW84" s="133"/>
      <c r="BX84" s="133"/>
      <c r="CP84" s="114" t="s">
        <v>165</v>
      </c>
      <c r="CQ84" s="134">
        <f>INDEX($G:$G,MATCH(CQ83,$F:$F,0))</f>
        <v>44013</v>
      </c>
      <c r="CR84" s="114" t="s">
        <v>166</v>
      </c>
      <c r="CS84" s="134">
        <f>INDEX($H:$H,MATCH(CQ83,$F:$F,0))</f>
        <v>44377</v>
      </c>
      <c r="CT84" s="135">
        <v>1.4</v>
      </c>
      <c r="CU84" s="135">
        <v>1</v>
      </c>
      <c r="CV84" s="134"/>
      <c r="CX84" s="136" t="s">
        <v>167</v>
      </c>
      <c r="CY84" s="137"/>
      <c r="CZ84" s="137"/>
      <c r="DA84" s="138"/>
      <c r="DB84" s="139"/>
      <c r="DF84" s="114" t="s">
        <v>165</v>
      </c>
      <c r="DG84" s="134">
        <f>INDEX($G:$G,MATCH(DG83,$F:$F,0))</f>
        <v>43466</v>
      </c>
      <c r="DH84" s="114" t="s">
        <v>166</v>
      </c>
      <c r="DI84" s="134">
        <f>INDEX($H:$H,MATCH(DG83,$F:$F,0))</f>
        <v>43646</v>
      </c>
      <c r="DJ84" s="135">
        <v>1.25</v>
      </c>
      <c r="DK84" s="135">
        <v>1</v>
      </c>
      <c r="DL84" s="134"/>
      <c r="DN84" s="136" t="s">
        <v>167</v>
      </c>
      <c r="DO84" s="137"/>
      <c r="DP84" s="137"/>
      <c r="DQ84" s="137"/>
      <c r="DR84" s="138"/>
      <c r="DS84" s="137"/>
      <c r="DT84" s="137"/>
      <c r="DU84" s="139"/>
    </row>
    <row r="85" spans="10:125" x14ac:dyDescent="0.25">
      <c r="J85" s="86" t="str" cm="1">
        <f t="array" ref="J85">LOOKUP(2,1/($G$17:$G$33&lt;=$L85)/($H$17:$H$33&gt;=$L85),$F$17:$F$33)</f>
        <v>1H23</v>
      </c>
      <c r="K85" s="86" t="str" cm="1">
        <f t="array" ref="K85">LOOKUP(2,1/($G$6:$G$14&lt;=$L85)/($H$6:$H$14&gt;=$L85),$F$6:$F$14)</f>
        <v>FY23</v>
      </c>
      <c r="L85" s="118">
        <v>44908</v>
      </c>
      <c r="M85" s="49">
        <v>8375973.9051508987</v>
      </c>
      <c r="N85" s="49">
        <v>12010308.982595874</v>
      </c>
      <c r="O85" s="50">
        <v>3000000</v>
      </c>
      <c r="P85" s="119" cm="1">
        <f t="array" ref="P85">LOOKUP(2,1/($B$10:$B$14&lt;=$L85)/($C$10:$C$14&gt;=$L85),$D$10:$D$14)</f>
        <v>1.1000000000000001</v>
      </c>
      <c r="Q85" s="120" cm="1">
        <f t="array" ref="Q85">LOOKUP(2,1/($B$17:$B$21&lt;=$L85)/($C$17:$C$21&gt;=$L85),$D$17:$D$21)</f>
        <v>134.49039999999999</v>
      </c>
      <c r="R85" s="113" t="str">
        <f t="shared" si="105"/>
        <v/>
      </c>
      <c r="S85" s="113" t="str">
        <f t="shared" si="106"/>
        <v>2H23</v>
      </c>
      <c r="T85" s="113" t="str">
        <f t="shared" ca="1" si="107"/>
        <v/>
      </c>
      <c r="U85" s="113" t="str">
        <f t="shared" si="108"/>
        <v/>
      </c>
      <c r="V85" s="113" t="str">
        <f t="shared" si="109"/>
        <v>FY23</v>
      </c>
      <c r="W85" s="113" t="str">
        <f t="shared" ca="1" si="110"/>
        <v/>
      </c>
      <c r="X85" s="50"/>
      <c r="Y85" s="114" t="s">
        <v>91</v>
      </c>
      <c r="Z85" s="140">
        <f>INDEX($O:$O,MATCH(Z83,$U:$U,0))</f>
        <v>30000000</v>
      </c>
      <c r="AA85" s="114" t="s">
        <v>76</v>
      </c>
      <c r="AB85" s="140">
        <f ca="1">INDEX($O:$O,MATCH(Z83,$W:$W,0))</f>
        <v>5000000</v>
      </c>
      <c r="AC85" s="140"/>
      <c r="AD85" s="140"/>
      <c r="AE85" s="140"/>
      <c r="AF85" s="140"/>
      <c r="AH85" s="141" t="s">
        <v>168</v>
      </c>
      <c r="AI85" s="141"/>
      <c r="AJ85" s="142"/>
      <c r="AK85" s="142"/>
      <c r="AL85" s="143" t="s">
        <v>15</v>
      </c>
      <c r="AM85" s="142"/>
      <c r="AN85" s="142"/>
      <c r="AO85" s="144" t="s">
        <v>139</v>
      </c>
      <c r="AR85" s="50"/>
      <c r="AS85" s="114" t="s">
        <v>165</v>
      </c>
      <c r="AT85" s="134">
        <f>INDEX($G:$G,MATCH(AT84,$F:$F,0))</f>
        <v>44927</v>
      </c>
      <c r="AU85" s="114" t="s">
        <v>166</v>
      </c>
      <c r="AV85" s="134">
        <f>INDEX($H:$H,MATCH(AT84,$F:$F,0))</f>
        <v>45107</v>
      </c>
      <c r="AW85" s="134"/>
      <c r="AY85" s="136" t="s">
        <v>167</v>
      </c>
      <c r="AZ85" s="137"/>
      <c r="BA85" s="137"/>
      <c r="BB85" s="138"/>
      <c r="BC85" s="139"/>
      <c r="BF85" s="50"/>
      <c r="BG85" s="114" t="s">
        <v>165</v>
      </c>
      <c r="BH85" s="134">
        <f>INDEX($G:$G,MATCH(BH84,$F:$F,0))</f>
        <v>44743</v>
      </c>
      <c r="BI85" s="114" t="s">
        <v>166</v>
      </c>
      <c r="BJ85" s="134">
        <f>INDEX($H:$H,MATCH(BH84,$F:$F,0))</f>
        <v>45107</v>
      </c>
      <c r="BK85" s="134"/>
      <c r="BL85" s="134"/>
      <c r="BM85" s="134"/>
      <c r="BO85" s="136" t="s">
        <v>167</v>
      </c>
      <c r="BP85" s="137"/>
      <c r="BQ85" s="137"/>
      <c r="BR85" s="137"/>
      <c r="BS85" s="138"/>
      <c r="BT85" s="137"/>
      <c r="BU85" s="137"/>
      <c r="BV85" s="139"/>
      <c r="BY85" s="50"/>
      <c r="CO85" s="50"/>
      <c r="CP85" s="114" t="s">
        <v>91</v>
      </c>
      <c r="CQ85" s="140">
        <f>INDEX($O:$O,MATCH(CQ83,$U:$U,0))</f>
        <v>50000000</v>
      </c>
      <c r="CR85" s="114" t="s">
        <v>76</v>
      </c>
      <c r="CS85" s="140">
        <f ca="1">INDEX($O:$O,MATCH(CQ83,$W:$W,0))</f>
        <v>15000000</v>
      </c>
      <c r="CT85" s="140"/>
      <c r="CU85" s="140"/>
      <c r="CV85" s="140"/>
      <c r="CX85" s="147" t="s">
        <v>165</v>
      </c>
      <c r="CY85" s="148">
        <f>CQ84</f>
        <v>44013</v>
      </c>
      <c r="CZ85" s="142"/>
      <c r="DA85" s="143" t="s">
        <v>15</v>
      </c>
      <c r="DB85" s="144" t="s">
        <v>139</v>
      </c>
      <c r="DE85" s="50"/>
      <c r="DF85" s="114" t="s">
        <v>91</v>
      </c>
      <c r="DG85" s="140">
        <f>INDEX($O:$O,MATCH(DG83,$R:$R,0))</f>
        <v>2000000</v>
      </c>
      <c r="DH85" s="114" t="s">
        <v>76</v>
      </c>
      <c r="DI85" s="140">
        <f ca="1">INDEX($O:$O,MATCH(DG83,$T:$T,0))</f>
        <v>10000000</v>
      </c>
      <c r="DJ85" s="140"/>
      <c r="DK85" s="140"/>
      <c r="DL85" s="140"/>
      <c r="DN85" s="147" t="s">
        <v>165</v>
      </c>
      <c r="DO85" s="148">
        <f>DG84</f>
        <v>43466</v>
      </c>
      <c r="DP85" s="142"/>
      <c r="DQ85" s="142"/>
      <c r="DR85" s="143" t="s">
        <v>15</v>
      </c>
      <c r="DS85" s="142"/>
      <c r="DT85" s="142"/>
      <c r="DU85" s="144" t="s">
        <v>139</v>
      </c>
    </row>
    <row r="86" spans="10:125" x14ac:dyDescent="0.25">
      <c r="J86" s="86" t="str" cm="1">
        <f t="array" ref="J86">LOOKUP(2,1/($G$17:$G$33&lt;=$L86)/($H$17:$H$33&gt;=$L86),$F$17:$F$33)</f>
        <v>1H23</v>
      </c>
      <c r="K86" s="86" t="str" cm="1">
        <f t="array" ref="K86">LOOKUP(2,1/($G$6:$G$14&lt;=$L86)/($H$6:$H$14&gt;=$L86),$F$6:$F$14)</f>
        <v>FY23</v>
      </c>
      <c r="L86" s="118">
        <v>44901</v>
      </c>
      <c r="M86" s="49">
        <v>24007308.373042881</v>
      </c>
      <c r="N86" s="49">
        <v>34424079.476106189</v>
      </c>
      <c r="O86" s="50">
        <v>30000000</v>
      </c>
      <c r="P86" s="119" cm="1">
        <f t="array" ref="P86">LOOKUP(2,1/($B$10:$B$14&lt;=$L86)/($C$10:$C$14&gt;=$L86),$D$10:$D$14)</f>
        <v>1.1000000000000001</v>
      </c>
      <c r="Q86" s="120" cm="1">
        <f t="array" ref="Q86">LOOKUP(2,1/($B$17:$B$21&lt;=$L86)/($C$17:$C$21&gt;=$L86),$D$17:$D$21)</f>
        <v>134.49039999999999</v>
      </c>
      <c r="R86" s="113" t="str">
        <f t="shared" si="105"/>
        <v/>
      </c>
      <c r="S86" s="113" t="str">
        <f t="shared" si="106"/>
        <v>1H23</v>
      </c>
      <c r="T86" s="113" t="str">
        <f t="shared" ca="1" si="107"/>
        <v>2H23</v>
      </c>
      <c r="U86" s="113" t="str">
        <f t="shared" si="108"/>
        <v/>
      </c>
      <c r="V86" s="113" t="str">
        <f t="shared" si="109"/>
        <v>FY23</v>
      </c>
      <c r="W86" s="113" t="str">
        <f t="shared" ca="1" si="110"/>
        <v/>
      </c>
      <c r="X86" s="50"/>
      <c r="Y86" s="114" t="s">
        <v>169</v>
      </c>
      <c r="Z86" s="135">
        <v>1.2</v>
      </c>
      <c r="AA86" s="114" t="s">
        <v>149</v>
      </c>
      <c r="AB86" s="152" cm="1">
        <f t="array" ref="AB86">LOOKUP(2,1/($B$6:$B$7&lt;=Z82)/($C$6:$C$7&gt;=Z82),$D$6:$D$7)</f>
        <v>0.10299999999999999</v>
      </c>
      <c r="AC86" s="152" t="s">
        <v>170</v>
      </c>
      <c r="AD86" s="152" t="s">
        <v>171</v>
      </c>
      <c r="AE86" s="152"/>
      <c r="AF86" s="152"/>
      <c r="AH86" s="153" t="s">
        <v>165</v>
      </c>
      <c r="AI86" s="148">
        <f>Z84</f>
        <v>44743</v>
      </c>
      <c r="AJ86" s="154"/>
      <c r="AK86" s="154"/>
      <c r="AL86" s="155">
        <f t="shared" ref="AL86:AL95" si="111">Z89/1000000</f>
        <v>2</v>
      </c>
      <c r="AM86" s="154"/>
      <c r="AN86" s="154"/>
      <c r="AO86" s="156">
        <f t="shared" ref="AO86:AO95" si="112">MAX(AA89:AB89)/1000000</f>
        <v>9.3412514979719781</v>
      </c>
      <c r="AR86" s="50"/>
      <c r="AS86" s="114" t="s">
        <v>91</v>
      </c>
      <c r="AT86" s="145">
        <v>12000000</v>
      </c>
      <c r="AU86" s="114" t="s">
        <v>76</v>
      </c>
      <c r="AV86" s="145">
        <v>12000000</v>
      </c>
      <c r="AW86" s="146"/>
      <c r="AY86" s="147" t="s">
        <v>165</v>
      </c>
      <c r="AZ86" s="148">
        <f>AT85</f>
        <v>44927</v>
      </c>
      <c r="BA86" s="142"/>
      <c r="BB86" s="143" t="s">
        <v>15</v>
      </c>
      <c r="BC86" s="144" t="s">
        <v>139</v>
      </c>
      <c r="BF86" s="50"/>
      <c r="BG86" s="114" t="s">
        <v>91</v>
      </c>
      <c r="BH86" s="140">
        <f>INDEX($O:$O,MATCH(BH84,$U:$U,0))</f>
        <v>30000000</v>
      </c>
      <c r="BI86" s="114" t="s">
        <v>76</v>
      </c>
      <c r="BJ86" s="140">
        <f ca="1">INDEX($O:$O,MATCH(BH84,$W:$W,0))</f>
        <v>5000000</v>
      </c>
      <c r="BK86" s="140"/>
      <c r="BL86" s="140"/>
      <c r="BM86" s="140"/>
      <c r="BO86" s="141" t="s">
        <v>168</v>
      </c>
      <c r="BP86" s="141"/>
      <c r="BQ86" s="2"/>
      <c r="BR86" s="2"/>
      <c r="BS86" s="149" t="s">
        <v>15</v>
      </c>
      <c r="BT86" s="2"/>
      <c r="BU86" s="2"/>
      <c r="BV86" s="150" t="s">
        <v>139</v>
      </c>
      <c r="BY86" s="50"/>
      <c r="CO86" s="50"/>
      <c r="CP86" s="114" t="s">
        <v>169</v>
      </c>
      <c r="CQ86" s="119" cm="1">
        <f t="array" ref="CQ86">LOOKUP(2,1/($B$10:$B$14&lt;=CQ82)/($C$10:$C$14&gt;=CQ82),$D$10:$D$14)</f>
        <v>1.1000000000000001</v>
      </c>
      <c r="CR86" s="114" t="s">
        <v>149</v>
      </c>
      <c r="CS86" s="152" cm="1">
        <f t="array" ref="CS86">LOOKUP(2,1/($B$6:$B$7&lt;=CQ82)/($C$6:$C$7&gt;=CQ82),$D$6:$D$7)</f>
        <v>0.10299999999999999</v>
      </c>
      <c r="CT86" s="152" t="s">
        <v>170</v>
      </c>
      <c r="CU86" s="152" t="s">
        <v>171</v>
      </c>
      <c r="CV86" s="152"/>
      <c r="CX86" s="153" t="s">
        <v>166</v>
      </c>
      <c r="CY86" s="158">
        <f>CS84</f>
        <v>44377</v>
      </c>
      <c r="CZ86" s="154"/>
      <c r="DA86" s="155">
        <f>CQ89/1000000</f>
        <v>3</v>
      </c>
      <c r="DB86" s="156" t="e">
        <f>MAX(CR89:CS89)/1000000</f>
        <v>#DIV/0!</v>
      </c>
      <c r="DE86" s="50"/>
      <c r="DF86" s="114" t="s">
        <v>169</v>
      </c>
      <c r="DG86" s="119" cm="1">
        <f t="array" ref="DG86">LOOKUP(2,1/($B$10:$B$14&lt;=DG82)/($C$10:$C$14&gt;=DG82),$D$10:$D$14)</f>
        <v>1.1000000000000001</v>
      </c>
      <c r="DH86" s="114" t="s">
        <v>149</v>
      </c>
      <c r="DI86" s="152" cm="1">
        <f t="array" ref="DI86">LOOKUP(2,1/($B$6:$B$7&lt;=DG82)/($C$6:$C$7&gt;=DG82),$D$6:$D$7)</f>
        <v>9.2999999999999999E-2</v>
      </c>
      <c r="DJ86" s="152" t="s">
        <v>170</v>
      </c>
      <c r="DK86" s="152" t="s">
        <v>171</v>
      </c>
      <c r="DL86" s="152"/>
      <c r="DN86" s="153" t="s">
        <v>166</v>
      </c>
      <c r="DO86" s="158">
        <f>DI84</f>
        <v>43646</v>
      </c>
      <c r="DP86" s="154"/>
      <c r="DQ86" s="154"/>
      <c r="DR86" s="155">
        <f>DG89/1000000</f>
        <v>3</v>
      </c>
      <c r="DS86" s="154"/>
      <c r="DT86" s="154"/>
      <c r="DU86" s="156" t="e">
        <f>MAX(DH89:DI89)/1000000</f>
        <v>#DIV/0!</v>
      </c>
    </row>
    <row r="87" spans="10:125" x14ac:dyDescent="0.25">
      <c r="J87" s="86" t="str" cm="1">
        <f t="array" ref="J87">LOOKUP(2,1/($G$17:$G$33&lt;=$L87)/($H$17:$H$33&gt;=$L87),$F$17:$F$33)</f>
        <v>1H23</v>
      </c>
      <c r="K87" s="86" t="str" cm="1">
        <f t="array" ref="K87">LOOKUP(2,1/($G$6:$G$14&lt;=$L87)/($H$6:$H$14&gt;=$L87),$F$6:$F$14)</f>
        <v>FY23</v>
      </c>
      <c r="L87" s="118">
        <v>44894</v>
      </c>
      <c r="M87" s="49">
        <v>19316402.995234855</v>
      </c>
      <c r="N87" s="49">
        <v>27697790.254867256</v>
      </c>
      <c r="O87" s="50">
        <v>20000000</v>
      </c>
      <c r="P87" s="119" cm="1">
        <f t="array" ref="P87">LOOKUP(2,1/($B$10:$B$14&lt;=$L87)/($C$10:$C$14&gt;=$L87),$D$10:$D$14)</f>
        <v>1.1000000000000001</v>
      </c>
      <c r="Q87" s="120" cm="1">
        <f t="array" ref="Q87">LOOKUP(2,1/($B$17:$B$21&lt;=$L87)/($C$17:$C$21&gt;=$L87),$D$17:$D$21)</f>
        <v>134.49039999999999</v>
      </c>
      <c r="R87" s="113" t="str">
        <f t="shared" si="105"/>
        <v/>
      </c>
      <c r="S87" s="113" t="str">
        <f t="shared" si="106"/>
        <v>1H23</v>
      </c>
      <c r="T87" s="113" t="str">
        <f t="shared" ca="1" si="107"/>
        <v/>
      </c>
      <c r="U87" s="113" t="str">
        <f t="shared" si="108"/>
        <v/>
      </c>
      <c r="V87" s="113" t="str">
        <f t="shared" si="109"/>
        <v>FY23</v>
      </c>
      <c r="W87" s="113" t="str">
        <f t="shared" ca="1" si="110"/>
        <v/>
      </c>
      <c r="X87" s="50"/>
      <c r="Y87" s="114" t="s">
        <v>172</v>
      </c>
      <c r="Z87" s="119" cm="1">
        <f t="array" ref="Z87">LOOKUP(2,1/($B$17:$B$21&lt;=Z82)/($C$17:$C$21&gt;=Z82),$D$17:$D$21)</f>
        <v>134.49039999999999</v>
      </c>
      <c r="AA87" s="114" t="s">
        <v>0</v>
      </c>
      <c r="AB87" s="135">
        <v>1</v>
      </c>
      <c r="AC87" s="162">
        <v>1</v>
      </c>
      <c r="AD87" s="162">
        <f>1-AC87</f>
        <v>0</v>
      </c>
      <c r="AH87" s="153" t="s">
        <v>166</v>
      </c>
      <c r="AI87" s="158">
        <f>AB84</f>
        <v>45107</v>
      </c>
      <c r="AJ87" s="154"/>
      <c r="AK87" s="154"/>
      <c r="AL87" s="155">
        <f t="shared" si="111"/>
        <v>5</v>
      </c>
      <c r="AM87" s="154"/>
      <c r="AN87" s="154"/>
      <c r="AO87" s="156">
        <f t="shared" si="112"/>
        <v>12.069524590883553</v>
      </c>
      <c r="AR87" s="50"/>
      <c r="AS87" s="114" t="s">
        <v>169</v>
      </c>
      <c r="AT87" s="159">
        <v>1.2</v>
      </c>
      <c r="AU87" s="114" t="s">
        <v>149</v>
      </c>
      <c r="AV87" s="160">
        <v>0.10299999999999999</v>
      </c>
      <c r="AW87" s="157"/>
      <c r="AY87" s="153" t="s">
        <v>166</v>
      </c>
      <c r="AZ87" s="158">
        <f>AV85</f>
        <v>45107</v>
      </c>
      <c r="BA87" s="154"/>
      <c r="BB87" s="155">
        <f>AT90/1000000</f>
        <v>3</v>
      </c>
      <c r="BC87" s="156">
        <f>MAX(AU90:AV90)/1000000</f>
        <v>14.122742885888002</v>
      </c>
      <c r="BF87" s="50"/>
      <c r="BG87" s="114" t="s">
        <v>169</v>
      </c>
      <c r="BH87" s="119" cm="1">
        <f t="array" ref="BH87">LOOKUP(2,1/($B$10:$B$14&lt;=BH83)/($C$10:$C$14&gt;=BH83),$D$10:$D$14)</f>
        <v>1.1000000000000001</v>
      </c>
      <c r="BI87" s="114" t="s">
        <v>149</v>
      </c>
      <c r="BJ87" s="152" cm="1">
        <f t="array" ref="BJ87">LOOKUP(2,1/($B$6:$B$7&lt;=BH83)/($C$6:$C$7&gt;=BH83),$D$6:$D$7)</f>
        <v>0.10299999999999999</v>
      </c>
      <c r="BK87" s="152"/>
      <c r="BL87" s="152"/>
      <c r="BM87" s="152"/>
      <c r="BO87" s="153" t="s">
        <v>165</v>
      </c>
      <c r="BP87" s="158">
        <f>BH85</f>
        <v>44743</v>
      </c>
      <c r="BQ87" s="154"/>
      <c r="BR87" s="154"/>
      <c r="BS87" s="155">
        <f t="shared" ref="BS87:BS96" si="113">BH90/1000000</f>
        <v>4</v>
      </c>
      <c r="BT87" s="154"/>
      <c r="BU87" s="154"/>
      <c r="BV87" s="156" t="e">
        <f t="shared" ref="BV87:BV96" si="114">MAX(BI90:BJ90)/1000000</f>
        <v>#DIV/0!</v>
      </c>
      <c r="BY87" s="50"/>
      <c r="CO87" s="50"/>
      <c r="CP87" s="114" t="s">
        <v>172</v>
      </c>
      <c r="CQ87" s="119" cm="1">
        <f t="array" ref="CQ87">LOOKUP(2,1/($B$17:$B$21&lt;=CQ82)/($C$17:$C$21&gt;=CQ82),$D$17:$D$21)</f>
        <v>134.49039999999999</v>
      </c>
      <c r="CR87" s="114" t="s">
        <v>173</v>
      </c>
      <c r="CS87" s="162">
        <f>36/52</f>
        <v>0.69230769230769229</v>
      </c>
      <c r="CT87" s="162">
        <v>1</v>
      </c>
      <c r="CU87" s="162">
        <f>1-CT87</f>
        <v>0</v>
      </c>
      <c r="CV87" s="163"/>
      <c r="CX87" s="153" t="s">
        <v>91</v>
      </c>
      <c r="CY87" s="155">
        <f>CQ85/1000000</f>
        <v>50</v>
      </c>
      <c r="CZ87" s="154"/>
      <c r="DA87" s="155">
        <f t="shared" ref="DA87:DA95" si="115">CQ90/1000000</f>
        <v>8</v>
      </c>
      <c r="DB87" s="156" t="e">
        <f t="shared" ref="DB87:DB95" si="116">MAX(CR90:CS90)/1000000</f>
        <v>#DIV/0!</v>
      </c>
      <c r="DE87" s="50"/>
      <c r="DF87" s="114" t="s">
        <v>172</v>
      </c>
      <c r="DG87" s="119" cm="1">
        <f t="array" ref="DG87">LOOKUP(2,1/($B$17:$B$21&lt;=DG82)/($C$17:$C$21&gt;=DG82),$D$17:$D$21)</f>
        <v>134.49039999999999</v>
      </c>
      <c r="DH87" s="114" t="s">
        <v>173</v>
      </c>
      <c r="DI87" s="163">
        <f>INT((WEEKDAY(DG82-5)-DG82+DI82)/7)/INT((WEEKDAY(DG84-5)-DG84+DI84)/7)</f>
        <v>1</v>
      </c>
      <c r="DJ87" s="162">
        <v>1</v>
      </c>
      <c r="DK87" s="162">
        <f>1-DJ87</f>
        <v>0</v>
      </c>
      <c r="DL87" s="163"/>
      <c r="DN87" s="153" t="s">
        <v>91</v>
      </c>
      <c r="DO87" s="155">
        <f>DG85/1000000</f>
        <v>2</v>
      </c>
      <c r="DP87" s="154"/>
      <c r="DQ87" s="154"/>
      <c r="DR87" s="155">
        <f t="shared" ref="DR87:DR95" si="117">DG90/1000000</f>
        <v>8</v>
      </c>
      <c r="DS87" s="154"/>
      <c r="DT87" s="154"/>
      <c r="DU87" s="156" t="e">
        <f t="shared" ref="DU87:DU95" si="118">MAX(DH90:DI90)/1000000</f>
        <v>#DIV/0!</v>
      </c>
    </row>
    <row r="88" spans="10:125" x14ac:dyDescent="0.25">
      <c r="J88" s="86" t="str" cm="1">
        <f t="array" ref="J88">LOOKUP(2,1/($G$17:$G$33&lt;=$L88)/($H$17:$H$33&gt;=$L88),$F$17:$F$33)</f>
        <v>1H23</v>
      </c>
      <c r="K88" s="86" t="str" cm="1">
        <f t="array" ref="K88">LOOKUP(2,1/($G$6:$G$14&lt;=$L88)/($H$6:$H$14&gt;=$L88),$F$6:$F$14)</f>
        <v>FY23</v>
      </c>
      <c r="L88" s="118">
        <v>44887</v>
      </c>
      <c r="M88" s="49">
        <v>12652465.963240299</v>
      </c>
      <c r="N88" s="49">
        <v>18142370.944690265</v>
      </c>
      <c r="O88" s="50">
        <v>10000000</v>
      </c>
      <c r="P88" s="119" cm="1">
        <f t="array" ref="P88">LOOKUP(2,1/($B$10:$B$14&lt;=$L88)/($C$10:$C$14&gt;=$L88),$D$10:$D$14)</f>
        <v>1.1000000000000001</v>
      </c>
      <c r="Q88" s="120" cm="1">
        <f t="array" ref="Q88">LOOKUP(2,1/($B$17:$B$21&lt;=$L88)/($C$17:$C$21&gt;=$L88),$D$17:$D$21)</f>
        <v>134.49039999999999</v>
      </c>
      <c r="R88" s="113" t="str">
        <f t="shared" si="105"/>
        <v/>
      </c>
      <c r="S88" s="113" t="str">
        <f t="shared" si="106"/>
        <v>1H23</v>
      </c>
      <c r="T88" s="113" t="str">
        <f t="shared" ca="1" si="107"/>
        <v/>
      </c>
      <c r="U88" s="113" t="str">
        <f t="shared" si="108"/>
        <v/>
      </c>
      <c r="V88" s="113" t="str">
        <f t="shared" si="109"/>
        <v>FY23</v>
      </c>
      <c r="W88" s="113" t="str">
        <f t="shared" ca="1" si="110"/>
        <v/>
      </c>
      <c r="X88" s="50"/>
      <c r="Y88" s="111" t="s">
        <v>174</v>
      </c>
      <c r="Z88" s="111" t="s">
        <v>175</v>
      </c>
      <c r="AA88" s="111" t="s">
        <v>176</v>
      </c>
      <c r="AB88" s="111" t="s">
        <v>177</v>
      </c>
      <c r="AC88" s="111" t="s">
        <v>178</v>
      </c>
      <c r="AD88" s="111" t="s">
        <v>179</v>
      </c>
      <c r="AE88" s="111" t="s">
        <v>180</v>
      </c>
      <c r="AF88" s="37"/>
      <c r="AH88" s="153" t="s">
        <v>169</v>
      </c>
      <c r="AI88" s="165">
        <f>Z86</f>
        <v>1.2</v>
      </c>
      <c r="AJ88" s="154"/>
      <c r="AK88" s="154"/>
      <c r="AL88" s="155">
        <f t="shared" si="111"/>
        <v>15</v>
      </c>
      <c r="AM88" s="154"/>
      <c r="AN88" s="154"/>
      <c r="AO88" s="156">
        <f t="shared" si="112"/>
        <v>19.054671890363821</v>
      </c>
      <c r="AR88" s="50"/>
      <c r="AS88" s="114" t="s">
        <v>172</v>
      </c>
      <c r="AT88" s="159">
        <v>134.49039999999999</v>
      </c>
      <c r="AU88" s="114" t="s">
        <v>0</v>
      </c>
      <c r="AV88" s="135">
        <f>1+(1.2/1.1-1)*-50%</f>
        <v>0.95454545454545459</v>
      </c>
      <c r="AY88" s="153" t="s">
        <v>91</v>
      </c>
      <c r="AZ88" s="155">
        <f>AT86/1000000</f>
        <v>12</v>
      </c>
      <c r="BA88" s="154"/>
      <c r="BB88" s="155">
        <f t="shared" ref="BB88:BB96" si="119">AT91/1000000</f>
        <v>8</v>
      </c>
      <c r="BC88" s="156">
        <f t="shared" ref="BC88:BC95" si="120">MAX(AU91:AV91)/1000000</f>
        <v>18.997084701504004</v>
      </c>
      <c r="BF88" s="50"/>
      <c r="BG88" s="114" t="s">
        <v>172</v>
      </c>
      <c r="BH88" s="119" cm="1">
        <f t="array" ref="BH88">LOOKUP(2,1/($B$17:$B$21&lt;=BH83)/($C$17:$C$21&gt;=BH83),$D$17:$D$21)</f>
        <v>134.49039999999999</v>
      </c>
      <c r="BO88" s="153" t="s">
        <v>166</v>
      </c>
      <c r="BP88" s="158">
        <f>BJ85</f>
        <v>45107</v>
      </c>
      <c r="BQ88" s="154"/>
      <c r="BR88" s="154"/>
      <c r="BS88" s="155">
        <f t="shared" si="113"/>
        <v>8</v>
      </c>
      <c r="BT88" s="154"/>
      <c r="BU88" s="154"/>
      <c r="BV88" s="156" t="e">
        <f t="shared" si="114"/>
        <v>#DIV/0!</v>
      </c>
      <c r="BY88" s="50"/>
      <c r="CO88" s="50"/>
      <c r="CP88" s="111" t="s">
        <v>174</v>
      </c>
      <c r="CQ88" s="111" t="s">
        <v>175</v>
      </c>
      <c r="CR88" s="111" t="s">
        <v>176</v>
      </c>
      <c r="CS88" s="111" t="s">
        <v>177</v>
      </c>
      <c r="CT88" s="111" t="s">
        <v>178</v>
      </c>
      <c r="CU88" s="111" t="s">
        <v>179</v>
      </c>
      <c r="CV88" s="111" t="s">
        <v>180</v>
      </c>
      <c r="CX88" s="153" t="s">
        <v>76</v>
      </c>
      <c r="CY88" s="155">
        <f ca="1">CS85/1000000</f>
        <v>15</v>
      </c>
      <c r="CZ88" s="154"/>
      <c r="DA88" s="155">
        <f t="shared" si="115"/>
        <v>20</v>
      </c>
      <c r="DB88" s="156">
        <f t="shared" si="116"/>
        <v>25.015065142576205</v>
      </c>
      <c r="DE88" s="50"/>
      <c r="DF88" s="111" t="s">
        <v>174</v>
      </c>
      <c r="DG88" s="111" t="s">
        <v>175</v>
      </c>
      <c r="DH88" s="111" t="s">
        <v>176</v>
      </c>
      <c r="DI88" s="111" t="s">
        <v>177</v>
      </c>
      <c r="DJ88" s="111" t="s">
        <v>178</v>
      </c>
      <c r="DK88" s="111" t="s">
        <v>179</v>
      </c>
      <c r="DL88" s="111" t="s">
        <v>180</v>
      </c>
      <c r="DN88" s="153" t="s">
        <v>76</v>
      </c>
      <c r="DO88" s="155">
        <f ca="1">DI85/1000000</f>
        <v>10</v>
      </c>
      <c r="DP88" s="154"/>
      <c r="DQ88" s="154"/>
      <c r="DR88" s="155">
        <f t="shared" si="117"/>
        <v>12</v>
      </c>
      <c r="DS88" s="154"/>
      <c r="DT88" s="154"/>
      <c r="DU88" s="156" t="e">
        <f t="shared" si="118"/>
        <v>#DIV/0!</v>
      </c>
    </row>
    <row r="89" spans="10:125" x14ac:dyDescent="0.25">
      <c r="J89" s="86" t="str" cm="1">
        <f t="array" ref="J89">LOOKUP(2,1/($G$17:$G$33&lt;=$L89)/($H$17:$H$33&gt;=$L89),$F$17:$F$33)</f>
        <v>1H23</v>
      </c>
      <c r="K89" s="86" t="str" cm="1">
        <f t="array" ref="K89">LOOKUP(2,1/($G$6:$G$14&lt;=$L89)/($H$6:$H$14&gt;=$L89),$F$6:$F$14)</f>
        <v>FY23</v>
      </c>
      <c r="L89" s="118">
        <v>44880</v>
      </c>
      <c r="M89" s="49">
        <v>14048715.452688906</v>
      </c>
      <c r="N89" s="49">
        <v>20144453.087610621</v>
      </c>
      <c r="O89" s="50">
        <v>5000000</v>
      </c>
      <c r="P89" s="119" cm="1">
        <f t="array" ref="P89">LOOKUP(2,1/($B$10:$B$14&lt;=$L89)/($C$10:$C$14&gt;=$L89),$D$10:$D$14)</f>
        <v>1.1000000000000001</v>
      </c>
      <c r="Q89" s="120" cm="1">
        <f t="array" ref="Q89">LOOKUP(2,1/($B$17:$B$21&lt;=$L89)/($C$17:$C$21&gt;=$L89),$D$17:$D$21)</f>
        <v>134.49039999999999</v>
      </c>
      <c r="R89" s="113" t="str">
        <f t="shared" si="105"/>
        <v/>
      </c>
      <c r="S89" s="113" t="str">
        <f t="shared" si="106"/>
        <v>1H23</v>
      </c>
      <c r="T89" s="113" t="str">
        <f t="shared" ca="1" si="107"/>
        <v/>
      </c>
      <c r="U89" s="113" t="str">
        <f t="shared" si="108"/>
        <v/>
      </c>
      <c r="V89" s="113" t="str">
        <f t="shared" si="109"/>
        <v>FY23</v>
      </c>
      <c r="W89" s="113" t="str">
        <f t="shared" ca="1" si="110"/>
        <v/>
      </c>
      <c r="X89" s="50"/>
      <c r="Y89" s="146">
        <v>1</v>
      </c>
      <c r="Z89" s="166">
        <v>2000000</v>
      </c>
      <c r="AA89" s="167">
        <f>AVERAGEIFS($M:$M,$L:$L,"&gt;="&amp;Z$82,$L:$L,"&lt;="&amp;AB$82,$O:$O,"="&amp;Z89)*AB$87</f>
        <v>9341251.497971978</v>
      </c>
      <c r="AB89" s="168"/>
      <c r="AC89" s="145">
        <v>10062800</v>
      </c>
      <c r="AD89" s="168"/>
      <c r="AE89" s="167">
        <f t="shared" ref="AE89:AE94" si="121">COUNTIFS($L:$L,"&gt;="&amp;Z$82,$L:$L,"&lt;="&amp;AB$82,$O:$O,"="&amp;Z89)</f>
        <v>16</v>
      </c>
      <c r="AF89" s="167"/>
      <c r="AH89" s="153" t="s">
        <v>149</v>
      </c>
      <c r="AI89" s="169">
        <v>0.10299999999999999</v>
      </c>
      <c r="AJ89" s="154"/>
      <c r="AK89" s="154"/>
      <c r="AL89" s="155">
        <f t="shared" si="111"/>
        <v>25</v>
      </c>
      <c r="AM89" s="154"/>
      <c r="AN89" s="154"/>
      <c r="AO89" s="156">
        <f t="shared" si="112"/>
        <v>27.6325</v>
      </c>
      <c r="AR89" s="50"/>
      <c r="AS89" s="111" t="s">
        <v>174</v>
      </c>
      <c r="AT89" s="111" t="s">
        <v>175</v>
      </c>
      <c r="AU89" s="111" t="s">
        <v>176</v>
      </c>
      <c r="AV89" s="111" t="s">
        <v>177</v>
      </c>
      <c r="AW89" s="111" t="s">
        <v>180</v>
      </c>
      <c r="AY89" s="153" t="s">
        <v>76</v>
      </c>
      <c r="AZ89" s="155">
        <f>AV86/1000000</f>
        <v>12</v>
      </c>
      <c r="BA89" s="154"/>
      <c r="BB89" s="155">
        <f t="shared" si="119"/>
        <v>12</v>
      </c>
      <c r="BC89" s="156">
        <f t="shared" si="120"/>
        <v>23.954590243584004</v>
      </c>
      <c r="BF89" s="50"/>
      <c r="BG89" s="111" t="s">
        <v>174</v>
      </c>
      <c r="BH89" s="111" t="s">
        <v>175</v>
      </c>
      <c r="BI89" s="111" t="s">
        <v>176</v>
      </c>
      <c r="BJ89" s="111" t="s">
        <v>177</v>
      </c>
      <c r="BK89" s="111"/>
      <c r="BL89" s="111"/>
      <c r="BM89" s="111" t="s">
        <v>180</v>
      </c>
      <c r="BO89" s="153" t="s">
        <v>169</v>
      </c>
      <c r="BP89" s="165">
        <f>BH87</f>
        <v>1.1000000000000001</v>
      </c>
      <c r="BQ89" s="154"/>
      <c r="BR89" s="154"/>
      <c r="BS89" s="155">
        <f t="shared" si="113"/>
        <v>20</v>
      </c>
      <c r="BT89" s="154"/>
      <c r="BU89" s="154"/>
      <c r="BV89" s="156">
        <f t="shared" si="114"/>
        <v>20.463382076809623</v>
      </c>
      <c r="BY89" s="50"/>
      <c r="CO89" s="50"/>
      <c r="CP89" s="146">
        <v>1</v>
      </c>
      <c r="CQ89" s="166">
        <v>3000000</v>
      </c>
      <c r="CR89" s="168" t="e">
        <f t="shared" ref="CR89:CR94" si="122">AVERAGEIFS($M:$M,$L:$L,"&gt;="&amp;CQ$82,$L:$L,"&lt;="&amp;CS$82,$O:$O,"="&amp;CQ89)</f>
        <v>#DIV/0!</v>
      </c>
      <c r="CS89" s="168"/>
      <c r="CT89" s="168"/>
      <c r="CU89" s="168"/>
      <c r="CV89" s="167">
        <f t="shared" ref="CV89:CV94" si="123">COUNTIFS($L:$L,"&gt;="&amp;CQ$82,$L:$L,"&lt;="&amp;CS$82,$O:$O,"="&amp;CQ89)</f>
        <v>0</v>
      </c>
      <c r="CX89" s="153" t="s">
        <v>169</v>
      </c>
      <c r="CY89" s="165">
        <f>CQ86</f>
        <v>1.1000000000000001</v>
      </c>
      <c r="CZ89" s="154"/>
      <c r="DA89" s="155">
        <f t="shared" si="115"/>
        <v>40</v>
      </c>
      <c r="DB89" s="156" t="e">
        <f t="shared" si="116"/>
        <v>#DIV/0!</v>
      </c>
      <c r="DE89" s="50"/>
      <c r="DF89" s="146">
        <v>1</v>
      </c>
      <c r="DG89" s="166">
        <v>3000000</v>
      </c>
      <c r="DH89" s="168" t="e">
        <f t="shared" ref="DH89:DH97" si="124">AVERAGEIFS($M:$M,$L:$L,"&gt;="&amp;DG$82,$L:$L,"&lt;="&amp;DI$82,$O:$O,"="&amp;DG89)</f>
        <v>#DIV/0!</v>
      </c>
      <c r="DI89" s="168"/>
      <c r="DJ89" s="168"/>
      <c r="DK89" s="168"/>
      <c r="DL89" s="167">
        <f t="shared" ref="DL89:DL97" si="125">COUNTIFS($L:$L,"&gt;="&amp;DG$82,$L:$L,"&lt;="&amp;DI$82,$O:$O,"="&amp;DG89)</f>
        <v>0</v>
      </c>
      <c r="DN89" s="153" t="s">
        <v>169</v>
      </c>
      <c r="DO89" s="165">
        <f>DG86</f>
        <v>1.1000000000000001</v>
      </c>
      <c r="DP89" s="154"/>
      <c r="DQ89" s="154"/>
      <c r="DR89" s="155">
        <f t="shared" si="117"/>
        <v>20</v>
      </c>
      <c r="DS89" s="154"/>
      <c r="DT89" s="154"/>
      <c r="DU89" s="156">
        <f t="shared" si="118"/>
        <v>23.609991027531958</v>
      </c>
    </row>
    <row r="90" spans="10:125" x14ac:dyDescent="0.25">
      <c r="J90" s="86" t="str" cm="1">
        <f t="array" ref="J90">LOOKUP(2,1/($G$17:$G$33&lt;=$L90)/($H$17:$H$33&gt;=$L90),$F$17:$F$33)</f>
        <v>1H23</v>
      </c>
      <c r="K90" s="86" t="str" cm="1">
        <f t="array" ref="K90">LOOKUP(2,1/($G$6:$G$14&lt;=$L90)/($H$6:$H$14&gt;=$L90),$F$6:$F$14)</f>
        <v>FY23</v>
      </c>
      <c r="L90" s="118">
        <v>44873</v>
      </c>
      <c r="M90" s="49">
        <v>8820984.6834581364</v>
      </c>
      <c r="N90" s="49">
        <v>12648409.937610621</v>
      </c>
      <c r="O90" s="50">
        <v>3000000</v>
      </c>
      <c r="P90" s="119" cm="1">
        <f t="array" ref="P90">LOOKUP(2,1/($B$10:$B$14&lt;=$L90)/($C$10:$C$14&gt;=$L90),$D$10:$D$14)</f>
        <v>1.1000000000000001</v>
      </c>
      <c r="Q90" s="120" cm="1">
        <f t="array" ref="Q90">LOOKUP(2,1/($B$17:$B$21&lt;=$L90)/($C$17:$C$21&gt;=$L90),$D$17:$D$21)</f>
        <v>134.49039999999999</v>
      </c>
      <c r="R90" s="113" t="str">
        <f t="shared" si="105"/>
        <v/>
      </c>
      <c r="S90" s="113" t="str">
        <f t="shared" si="106"/>
        <v>1H23</v>
      </c>
      <c r="T90" s="113" t="str">
        <f t="shared" ca="1" si="107"/>
        <v/>
      </c>
      <c r="U90" s="113" t="str">
        <f t="shared" si="108"/>
        <v/>
      </c>
      <c r="V90" s="113" t="str">
        <f t="shared" si="109"/>
        <v>FY23</v>
      </c>
      <c r="W90" s="113" t="str">
        <f t="shared" ca="1" si="110"/>
        <v/>
      </c>
      <c r="X90" s="50"/>
      <c r="Y90" s="146">
        <v>2</v>
      </c>
      <c r="Z90" s="166">
        <v>5000000</v>
      </c>
      <c r="AA90" s="167">
        <f>AVERAGEIFS($M:$M,$L:$L,"&gt;="&amp;Z$82,$L:$L,"&lt;="&amp;AB$82,$O:$O,"="&amp;Z90)*AB$87</f>
        <v>12069524.590883553</v>
      </c>
      <c r="AC90" s="145">
        <v>12354500</v>
      </c>
      <c r="AE90" s="167">
        <f t="shared" si="121"/>
        <v>14</v>
      </c>
      <c r="AF90" s="167"/>
      <c r="AH90" s="153" t="s">
        <v>172</v>
      </c>
      <c r="AI90" s="170">
        <f>Z87</f>
        <v>134.49039999999999</v>
      </c>
      <c r="AJ90" s="154"/>
      <c r="AK90" s="154"/>
      <c r="AL90" s="155">
        <f t="shared" si="111"/>
        <v>35</v>
      </c>
      <c r="AM90" s="154"/>
      <c r="AN90" s="154"/>
      <c r="AO90" s="156">
        <f t="shared" si="112"/>
        <v>35.271500000000003</v>
      </c>
      <c r="AR90" s="50"/>
      <c r="AS90" s="146">
        <v>1</v>
      </c>
      <c r="AT90" s="166">
        <v>3000000</v>
      </c>
      <c r="AU90" s="146">
        <f>AU32*$AV$88</f>
        <v>14122742.885888001</v>
      </c>
      <c r="AV90" s="168"/>
      <c r="AW90" s="167"/>
      <c r="AY90" s="153" t="s">
        <v>169</v>
      </c>
      <c r="AZ90" s="165">
        <f>AT87</f>
        <v>1.2</v>
      </c>
      <c r="BA90" s="154"/>
      <c r="BB90" s="155">
        <f t="shared" si="119"/>
        <v>20</v>
      </c>
      <c r="BC90" s="156">
        <f t="shared" si="120"/>
        <v>29.706800812416002</v>
      </c>
      <c r="BF90" s="50"/>
      <c r="BG90" s="146">
        <v>1</v>
      </c>
      <c r="BH90" s="166">
        <v>4000000</v>
      </c>
      <c r="BI90" s="167" t="e">
        <f t="shared" ref="BI90:BI95" si="126">AVERAGEIFS($M:$M,$L:$L,"&gt;="&amp;BH$83,$L:$L,"&lt;="&amp;BJ$83,$O:$O,"="&amp;BH90)</f>
        <v>#DIV/0!</v>
      </c>
      <c r="BJ90" s="168"/>
      <c r="BK90" s="168"/>
      <c r="BL90" s="168"/>
      <c r="BM90" s="167">
        <f t="shared" ref="BM90:BM96" si="127">COUNTIFS($L:$L,"&gt;="&amp;BH$83,$L:$L,"&lt;="&amp;BJ$83,$O:$O,"="&amp;BH90)</f>
        <v>0</v>
      </c>
      <c r="BO90" s="153" t="s">
        <v>149</v>
      </c>
      <c r="BP90" s="169">
        <f>BJ87</f>
        <v>0.10299999999999999</v>
      </c>
      <c r="BQ90" s="154"/>
      <c r="BR90" s="154"/>
      <c r="BS90" s="155">
        <f t="shared" si="113"/>
        <v>40</v>
      </c>
      <c r="BT90" s="154"/>
      <c r="BU90" s="154"/>
      <c r="BV90" s="156" t="e">
        <f t="shared" si="114"/>
        <v>#DIV/0!</v>
      </c>
      <c r="BY90" s="50"/>
      <c r="CO90" s="50"/>
      <c r="CP90" s="146">
        <v>2</v>
      </c>
      <c r="CQ90" s="166">
        <v>8000000</v>
      </c>
      <c r="CR90" s="168" t="e">
        <f t="shared" si="122"/>
        <v>#DIV/0!</v>
      </c>
      <c r="CS90" s="168"/>
      <c r="CV90" s="167">
        <f t="shared" si="123"/>
        <v>0</v>
      </c>
      <c r="CX90" s="153" t="s">
        <v>149</v>
      </c>
      <c r="CY90" s="169">
        <f>CS86</f>
        <v>0.10299999999999999</v>
      </c>
      <c r="CZ90" s="154"/>
      <c r="DA90" s="155">
        <f t="shared" si="115"/>
        <v>60</v>
      </c>
      <c r="DB90" s="156" t="e">
        <f t="shared" si="116"/>
        <v>#DIV/0!</v>
      </c>
      <c r="DE90" s="50"/>
      <c r="DF90" s="146">
        <v>2</v>
      </c>
      <c r="DG90" s="166">
        <v>8000000</v>
      </c>
      <c r="DH90" s="168" t="e">
        <f t="shared" si="124"/>
        <v>#DIV/0!</v>
      </c>
      <c r="DL90" s="167">
        <f t="shared" si="125"/>
        <v>0</v>
      </c>
      <c r="DN90" s="153" t="s">
        <v>149</v>
      </c>
      <c r="DO90" s="169">
        <f>DI86</f>
        <v>9.2999999999999999E-2</v>
      </c>
      <c r="DP90" s="154"/>
      <c r="DQ90" s="154"/>
      <c r="DR90" s="155">
        <f t="shared" si="117"/>
        <v>30</v>
      </c>
      <c r="DS90" s="154"/>
      <c r="DT90" s="154"/>
      <c r="DU90" s="156">
        <f t="shared" si="118"/>
        <v>25.713689773844646</v>
      </c>
    </row>
    <row r="91" spans="10:125" x14ac:dyDescent="0.25">
      <c r="J91" s="86" t="str" cm="1">
        <f t="array" ref="J91">LOOKUP(2,1/($G$17:$G$33&lt;=$L91)/($H$17:$H$33&gt;=$L91),$F$17:$F$33)</f>
        <v>1H23</v>
      </c>
      <c r="K91" s="86" t="str" cm="1">
        <f t="array" ref="K91">LOOKUP(2,1/($G$6:$G$14&lt;=$L91)/($H$6:$H$14&gt;=$L91),$F$6:$F$14)</f>
        <v>FY23</v>
      </c>
      <c r="L91" s="118">
        <v>44866</v>
      </c>
      <c r="M91" s="49">
        <v>24033234.286362607</v>
      </c>
      <c r="N91" s="49">
        <v>34461254.643215343</v>
      </c>
      <c r="O91" s="50">
        <v>20000000</v>
      </c>
      <c r="P91" s="119" cm="1">
        <f t="array" ref="P91">LOOKUP(2,1/($B$10:$B$14&lt;=$L91)/($C$10:$C$14&gt;=$L91),$D$10:$D$14)</f>
        <v>1.1000000000000001</v>
      </c>
      <c r="Q91" s="120" cm="1">
        <f t="array" ref="Q91">LOOKUP(2,1/($B$17:$B$21&lt;=$L91)/($C$17:$C$21&gt;=$L91),$D$17:$D$21)</f>
        <v>134.49039999999999</v>
      </c>
      <c r="R91" s="113" t="str">
        <f t="shared" si="105"/>
        <v/>
      </c>
      <c r="S91" s="113" t="str">
        <f t="shared" si="106"/>
        <v>1H23</v>
      </c>
      <c r="T91" s="113" t="str">
        <f t="shared" ca="1" si="107"/>
        <v/>
      </c>
      <c r="U91" s="113" t="str">
        <f t="shared" si="108"/>
        <v/>
      </c>
      <c r="V91" s="113" t="str">
        <f t="shared" si="109"/>
        <v>FY23</v>
      </c>
      <c r="W91" s="113" t="str">
        <f t="shared" ca="1" si="110"/>
        <v/>
      </c>
      <c r="X91" s="50"/>
      <c r="Y91" s="146">
        <v>3</v>
      </c>
      <c r="Z91" s="166">
        <v>15000000</v>
      </c>
      <c r="AA91" s="167">
        <f>AVERAGEIFS($M:$M,$L:$L,"&gt;="&amp;Z$82,$L:$L,"&lt;="&amp;AB$82,$O:$O,"="&amp;Z91)*AB$87</f>
        <v>19054671.89036382</v>
      </c>
      <c r="AC91" s="145">
        <v>19993500</v>
      </c>
      <c r="AE91" s="167">
        <f t="shared" si="121"/>
        <v>2</v>
      </c>
      <c r="AF91" s="167"/>
      <c r="AH91" s="171"/>
      <c r="AJ91" s="154"/>
      <c r="AK91" s="154"/>
      <c r="AL91" s="155">
        <f t="shared" si="111"/>
        <v>50</v>
      </c>
      <c r="AM91" s="154"/>
      <c r="AN91" s="154"/>
      <c r="AO91" s="156">
        <f t="shared" si="112"/>
        <v>45.746976155358901</v>
      </c>
      <c r="AR91" s="50"/>
      <c r="AS91" s="146">
        <v>2</v>
      </c>
      <c r="AT91" s="166">
        <v>8000000</v>
      </c>
      <c r="AU91" s="146">
        <f t="shared" ref="AU91:AU97" si="128">AU33*$AV$88</f>
        <v>18997084.701504003</v>
      </c>
      <c r="AW91" s="167"/>
      <c r="AY91" s="153" t="s">
        <v>149</v>
      </c>
      <c r="AZ91" s="169">
        <f>AV87</f>
        <v>0.10299999999999999</v>
      </c>
      <c r="BA91" s="154"/>
      <c r="BB91" s="155">
        <f t="shared" si="119"/>
        <v>40</v>
      </c>
      <c r="BC91" s="156">
        <f t="shared" si="120"/>
        <v>44.655295112064003</v>
      </c>
      <c r="BF91" s="50"/>
      <c r="BG91" s="146">
        <v>2</v>
      </c>
      <c r="BH91" s="166">
        <v>8000000</v>
      </c>
      <c r="BI91" s="167" t="e">
        <f t="shared" si="126"/>
        <v>#DIV/0!</v>
      </c>
      <c r="BM91" s="167">
        <f t="shared" si="127"/>
        <v>0</v>
      </c>
      <c r="BO91" s="153" t="s">
        <v>172</v>
      </c>
      <c r="BP91" s="170">
        <f>BH88</f>
        <v>134.49039999999999</v>
      </c>
      <c r="BQ91" s="154"/>
      <c r="BR91" s="154"/>
      <c r="BS91" s="155">
        <f t="shared" si="113"/>
        <v>60</v>
      </c>
      <c r="BT91" s="154"/>
      <c r="BU91" s="154"/>
      <c r="BV91" s="156" t="e">
        <f t="shared" si="114"/>
        <v>#DIV/0!</v>
      </c>
      <c r="BY91" s="50"/>
      <c r="CO91" s="50"/>
      <c r="CP91" s="146">
        <v>3</v>
      </c>
      <c r="CQ91" s="166">
        <v>20000000</v>
      </c>
      <c r="CR91" s="168">
        <f t="shared" si="122"/>
        <v>25015065.142576206</v>
      </c>
      <c r="CS91" s="168"/>
      <c r="CV91" s="167">
        <f t="shared" si="123"/>
        <v>4</v>
      </c>
      <c r="CX91" s="153" t="s">
        <v>172</v>
      </c>
      <c r="CY91" s="170">
        <f>CQ87</f>
        <v>134.49039999999999</v>
      </c>
      <c r="CZ91" s="154"/>
      <c r="DA91" s="155">
        <f t="shared" si="115"/>
        <v>80</v>
      </c>
      <c r="DB91" s="156" t="e">
        <f t="shared" si="116"/>
        <v>#DIV/0!</v>
      </c>
      <c r="DE91" s="50"/>
      <c r="DF91" s="146">
        <v>3</v>
      </c>
      <c r="DG91" s="166">
        <v>12000000</v>
      </c>
      <c r="DH91" s="168" t="e">
        <f t="shared" si="124"/>
        <v>#DIV/0!</v>
      </c>
      <c r="DL91" s="167">
        <f t="shared" si="125"/>
        <v>0</v>
      </c>
      <c r="DN91" s="153" t="s">
        <v>172</v>
      </c>
      <c r="DO91" s="170">
        <f>DG87</f>
        <v>134.49039999999999</v>
      </c>
      <c r="DP91" s="154"/>
      <c r="DQ91" s="154"/>
      <c r="DR91" s="155">
        <f t="shared" si="117"/>
        <v>40</v>
      </c>
      <c r="DS91" s="154"/>
      <c r="DT91" s="154"/>
      <c r="DU91" s="156">
        <f t="shared" si="118"/>
        <v>32.376148107177983</v>
      </c>
    </row>
    <row r="92" spans="10:125" x14ac:dyDescent="0.25">
      <c r="J92" s="86" t="str" cm="1">
        <f t="array" ref="J92">LOOKUP(2,1/($G$17:$G$33&lt;=$L92)/($H$17:$H$33&gt;=$L92),$F$17:$F$33)</f>
        <v>1H23</v>
      </c>
      <c r="K92" s="86" t="str" cm="1">
        <f t="array" ref="K92">LOOKUP(2,1/($G$6:$G$14&lt;=$L92)/($H$6:$H$14&gt;=$L92),$F$6:$F$14)</f>
        <v>FY23</v>
      </c>
      <c r="L92" s="118">
        <v>44859</v>
      </c>
      <c r="M92" s="49">
        <v>12969386.884501932</v>
      </c>
      <c r="N92" s="49">
        <v>18596803.85368732</v>
      </c>
      <c r="O92" s="50">
        <v>10000000</v>
      </c>
      <c r="P92" s="119" cm="1">
        <f t="array" ref="P92">LOOKUP(2,1/($B$10:$B$14&lt;=$L92)/($C$10:$C$14&gt;=$L92),$D$10:$D$14)</f>
        <v>1.1000000000000001</v>
      </c>
      <c r="Q92" s="120" cm="1">
        <f t="array" ref="Q92">LOOKUP(2,1/($B$17:$B$21&lt;=$L92)/($C$17:$C$21&gt;=$L92),$D$17:$D$21)</f>
        <v>134.49039999999999</v>
      </c>
      <c r="R92" s="113" t="str">
        <f t="shared" si="105"/>
        <v/>
      </c>
      <c r="S92" s="113" t="str">
        <f t="shared" si="106"/>
        <v>1H23</v>
      </c>
      <c r="T92" s="113" t="str">
        <f t="shared" ca="1" si="107"/>
        <v/>
      </c>
      <c r="U92" s="113" t="str">
        <f t="shared" si="108"/>
        <v/>
      </c>
      <c r="V92" s="113" t="str">
        <f t="shared" si="109"/>
        <v>FY23</v>
      </c>
      <c r="W92" s="113" t="str">
        <f t="shared" ca="1" si="110"/>
        <v/>
      </c>
      <c r="X92" s="50"/>
      <c r="Y92" s="146">
        <v>4</v>
      </c>
      <c r="Z92" s="166">
        <v>25000000</v>
      </c>
      <c r="AA92" s="167"/>
      <c r="AB92" s="173">
        <f>IF($Z92&gt;=100000000,$AC$84*AC$87*AC92+$AD$84*AD$87*AD92,AC$87*AC92+AD$87*AD92)*AB$87</f>
        <v>27632500</v>
      </c>
      <c r="AC92" s="145">
        <v>27632500</v>
      </c>
      <c r="AE92" s="167">
        <f t="shared" si="121"/>
        <v>1</v>
      </c>
      <c r="AF92" s="167"/>
      <c r="AH92" s="153" t="s">
        <v>91</v>
      </c>
      <c r="AI92" s="155">
        <f>Z85/1000000</f>
        <v>30</v>
      </c>
      <c r="AJ92" s="154"/>
      <c r="AK92" s="154"/>
      <c r="AL92" s="155">
        <f t="shared" si="111"/>
        <v>70</v>
      </c>
      <c r="AM92" s="154"/>
      <c r="AN92" s="154"/>
      <c r="AO92" s="156">
        <f t="shared" si="112"/>
        <v>62.007999999999996</v>
      </c>
      <c r="AR92" s="50"/>
      <c r="AS92" s="146">
        <v>3</v>
      </c>
      <c r="AT92" s="166">
        <v>12000000</v>
      </c>
      <c r="AU92" s="146">
        <f t="shared" si="128"/>
        <v>23954590.243584003</v>
      </c>
      <c r="AW92" s="167"/>
      <c r="AY92" s="153" t="s">
        <v>172</v>
      </c>
      <c r="AZ92" s="170">
        <f>AT88</f>
        <v>134.49039999999999</v>
      </c>
      <c r="BA92" s="154"/>
      <c r="BB92" s="155">
        <f t="shared" si="119"/>
        <v>60</v>
      </c>
      <c r="BC92" s="156">
        <f t="shared" si="120"/>
        <v>74.486643678720014</v>
      </c>
      <c r="BF92" s="50"/>
      <c r="BG92" s="146">
        <v>3</v>
      </c>
      <c r="BH92" s="166">
        <v>20000000</v>
      </c>
      <c r="BI92" s="167">
        <f t="shared" si="126"/>
        <v>20463382.076809622</v>
      </c>
      <c r="BM92" s="167">
        <f t="shared" si="127"/>
        <v>4</v>
      </c>
      <c r="BO92" s="171"/>
      <c r="BQ92" s="154"/>
      <c r="BR92" s="154"/>
      <c r="BS92" s="155">
        <f t="shared" si="113"/>
        <v>80</v>
      </c>
      <c r="BT92" s="154"/>
      <c r="BU92" s="154"/>
      <c r="BV92" s="156" t="e">
        <f t="shared" si="114"/>
        <v>#DIV/0!</v>
      </c>
      <c r="BY92" s="50"/>
      <c r="CO92" s="50"/>
      <c r="CP92" s="146">
        <v>4</v>
      </c>
      <c r="CQ92" s="166">
        <v>40000000</v>
      </c>
      <c r="CR92" s="168" t="e">
        <f t="shared" si="122"/>
        <v>#DIV/0!</v>
      </c>
      <c r="CS92" s="168"/>
      <c r="CV92" s="167">
        <f t="shared" si="123"/>
        <v>0</v>
      </c>
      <c r="CX92" s="172"/>
      <c r="CY92" s="2"/>
      <c r="CZ92" s="154"/>
      <c r="DA92" s="155">
        <f t="shared" si="115"/>
        <v>120</v>
      </c>
      <c r="DB92" s="156">
        <f t="shared" si="116"/>
        <v>213.91579999999999</v>
      </c>
      <c r="DE92" s="50"/>
      <c r="DF92" s="146">
        <v>4</v>
      </c>
      <c r="DG92" s="166">
        <v>20000000</v>
      </c>
      <c r="DH92" s="168">
        <f t="shared" si="124"/>
        <v>23609991.027531959</v>
      </c>
      <c r="DL92" s="167">
        <f t="shared" si="125"/>
        <v>1</v>
      </c>
      <c r="DN92" s="172"/>
      <c r="DO92" s="2"/>
      <c r="DP92" s="154"/>
      <c r="DQ92" s="154"/>
      <c r="DR92" s="155">
        <f t="shared" si="117"/>
        <v>50</v>
      </c>
      <c r="DS92" s="154"/>
      <c r="DT92" s="154"/>
      <c r="DU92" s="156">
        <f t="shared" si="118"/>
        <v>42.050383849557527</v>
      </c>
    </row>
    <row r="93" spans="10:125" x14ac:dyDescent="0.25">
      <c r="J93" s="86" t="str" cm="1">
        <f t="array" ref="J93">LOOKUP(2,1/($G$17:$G$33&lt;=$L93)/($H$17:$H$33&gt;=$L93),$F$17:$F$33)</f>
        <v>1H23</v>
      </c>
      <c r="K93" s="86" t="str" cm="1">
        <f t="array" ref="K93">LOOKUP(2,1/($G$6:$G$14&lt;=$L93)/($H$6:$H$14&gt;=$L93),$F$6:$F$14)</f>
        <v>FY23</v>
      </c>
      <c r="L93" s="118">
        <v>44852</v>
      </c>
      <c r="M93" s="49">
        <v>9147285.341502158</v>
      </c>
      <c r="N93" s="49">
        <v>13116292.451179944</v>
      </c>
      <c r="O93" s="50">
        <v>5000000</v>
      </c>
      <c r="P93" s="119" cm="1">
        <f t="array" ref="P93">LOOKUP(2,1/($B$10:$B$14&lt;=$L93)/($C$10:$C$14&gt;=$L93),$D$10:$D$14)</f>
        <v>1.1000000000000001</v>
      </c>
      <c r="Q93" s="120" cm="1">
        <f t="array" ref="Q93">LOOKUP(2,1/($B$17:$B$21&lt;=$L93)/($C$17:$C$21&gt;=$L93),$D$17:$D$21)</f>
        <v>134.49039999999999</v>
      </c>
      <c r="R93" s="113" t="str">
        <f t="shared" si="105"/>
        <v/>
      </c>
      <c r="S93" s="113" t="str">
        <f t="shared" si="106"/>
        <v>1H23</v>
      </c>
      <c r="T93" s="113" t="str">
        <f t="shared" ca="1" si="107"/>
        <v/>
      </c>
      <c r="U93" s="113" t="str">
        <f t="shared" si="108"/>
        <v/>
      </c>
      <c r="V93" s="113" t="str">
        <f t="shared" si="109"/>
        <v>FY23</v>
      </c>
      <c r="W93" s="113" t="str">
        <f t="shared" ca="1" si="110"/>
        <v/>
      </c>
      <c r="X93" s="50"/>
      <c r="Y93" s="146">
        <v>5</v>
      </c>
      <c r="Z93" s="166">
        <v>35000000</v>
      </c>
      <c r="AA93" s="167"/>
      <c r="AB93" s="173">
        <f>IF($Z93&gt;=100000000,$AC$84*AC$87*AC93+$AD$84*AD$87*AD93,AC$87*AC93+AD$87*AD93)*AB$87</f>
        <v>35271500</v>
      </c>
      <c r="AC93" s="145">
        <v>35271500</v>
      </c>
      <c r="AD93" s="145"/>
      <c r="AE93" s="167">
        <f t="shared" si="121"/>
        <v>1</v>
      </c>
      <c r="AF93" s="167"/>
      <c r="AH93" s="172" t="s">
        <v>147</v>
      </c>
      <c r="AI93" s="174">
        <f>Z82</f>
        <v>44013</v>
      </c>
      <c r="AJ93" s="154"/>
      <c r="AK93" s="154"/>
      <c r="AL93" s="155">
        <f t="shared" si="111"/>
        <v>100</v>
      </c>
      <c r="AM93" s="154"/>
      <c r="AN93" s="154"/>
      <c r="AO93" s="156">
        <f t="shared" si="112"/>
        <v>110.4025</v>
      </c>
      <c r="AR93" s="50"/>
      <c r="AS93" s="146">
        <v>4</v>
      </c>
      <c r="AT93" s="166">
        <v>20000000</v>
      </c>
      <c r="AU93" s="146">
        <f t="shared" si="128"/>
        <v>29706800.812416002</v>
      </c>
      <c r="AW93" s="167"/>
      <c r="AY93" s="172"/>
      <c r="AZ93" s="2"/>
      <c r="BA93" s="154"/>
      <c r="BB93" s="155">
        <f t="shared" si="119"/>
        <v>80</v>
      </c>
      <c r="BC93" s="156">
        <f t="shared" si="120"/>
        <v>107.54796019968002</v>
      </c>
      <c r="BF93" s="50"/>
      <c r="BG93" s="146">
        <v>4</v>
      </c>
      <c r="BH93" s="166">
        <v>40000000</v>
      </c>
      <c r="BI93" s="167" t="e">
        <f t="shared" si="126"/>
        <v>#DIV/0!</v>
      </c>
      <c r="BM93" s="167">
        <f t="shared" si="127"/>
        <v>0</v>
      </c>
      <c r="BO93" s="153" t="s">
        <v>91</v>
      </c>
      <c r="BP93" s="155">
        <f>BH86/1000000</f>
        <v>30</v>
      </c>
      <c r="BQ93" s="154"/>
      <c r="BR93" s="154"/>
      <c r="BS93" s="155">
        <f t="shared" si="113"/>
        <v>120</v>
      </c>
      <c r="BT93" s="154"/>
      <c r="BU93" s="154"/>
      <c r="BV93" s="156">
        <f t="shared" si="114"/>
        <v>226.12630409125558</v>
      </c>
      <c r="BY93" s="50"/>
      <c r="CO93" s="50"/>
      <c r="CP93" s="146">
        <v>5</v>
      </c>
      <c r="CQ93" s="166">
        <v>60000000</v>
      </c>
      <c r="CR93" s="168" t="e">
        <f t="shared" si="122"/>
        <v>#DIV/0!</v>
      </c>
      <c r="CS93" s="168"/>
      <c r="CT93" s="145">
        <v>84283000</v>
      </c>
      <c r="CU93" s="145">
        <v>84583000</v>
      </c>
      <c r="CV93" s="167">
        <f t="shared" si="123"/>
        <v>0</v>
      </c>
      <c r="CX93" s="172" t="s">
        <v>147</v>
      </c>
      <c r="CY93" s="174">
        <f>CQ82</f>
        <v>44013</v>
      </c>
      <c r="CZ93" s="154"/>
      <c r="DA93" s="155">
        <f t="shared" si="115"/>
        <v>160</v>
      </c>
      <c r="DB93" s="156">
        <f t="shared" si="116"/>
        <v>277.86219999999992</v>
      </c>
      <c r="DE93" s="50"/>
      <c r="DF93" s="146">
        <v>5</v>
      </c>
      <c r="DG93" s="166">
        <v>30000000</v>
      </c>
      <c r="DH93" s="168">
        <f t="shared" si="124"/>
        <v>25713689.773844644</v>
      </c>
      <c r="DL93" s="167">
        <f t="shared" si="125"/>
        <v>2</v>
      </c>
      <c r="DN93" s="172" t="s">
        <v>147</v>
      </c>
      <c r="DO93" s="174">
        <f>DG82</f>
        <v>43466</v>
      </c>
      <c r="DP93" s="154"/>
      <c r="DQ93" s="154"/>
      <c r="DR93" s="155">
        <f t="shared" si="117"/>
        <v>80</v>
      </c>
      <c r="DS93" s="154"/>
      <c r="DT93" s="154"/>
      <c r="DU93" s="156">
        <f t="shared" si="118"/>
        <v>80.928666175024588</v>
      </c>
    </row>
    <row r="94" spans="10:125" x14ac:dyDescent="0.25">
      <c r="J94" s="86" t="str" cm="1">
        <f t="array" ref="J94">LOOKUP(2,1/($G$17:$G$33&lt;=$L94)/($H$17:$H$33&gt;=$L94),$F$17:$F$33)</f>
        <v>1H23</v>
      </c>
      <c r="K94" s="86" t="str" cm="1">
        <f t="array" ref="K94">LOOKUP(2,1/($G$6:$G$14&lt;=$L94)/($H$6:$H$14&gt;=$L94),$F$6:$F$14)</f>
        <v>FY23</v>
      </c>
      <c r="L94" s="118">
        <v>44845</v>
      </c>
      <c r="M94" s="49">
        <v>8542306.3308373056</v>
      </c>
      <c r="N94" s="49">
        <v>12248813.047787612</v>
      </c>
      <c r="O94" s="50">
        <v>3000000</v>
      </c>
      <c r="P94" s="119" cm="1">
        <f t="array" ref="P94">LOOKUP(2,1/($B$10:$B$14&lt;=$L94)/($C$10:$C$14&gt;=$L94),$D$10:$D$14)</f>
        <v>1.1000000000000001</v>
      </c>
      <c r="Q94" s="120" cm="1">
        <f t="array" ref="Q94">LOOKUP(2,1/($B$17:$B$21&lt;=$L94)/($C$17:$C$21&gt;=$L94),$D$17:$D$21)</f>
        <v>134.49039999999999</v>
      </c>
      <c r="R94" s="113" t="str">
        <f t="shared" si="105"/>
        <v/>
      </c>
      <c r="S94" s="113" t="str">
        <f t="shared" si="106"/>
        <v>1H23</v>
      </c>
      <c r="T94" s="113" t="str">
        <f t="shared" ca="1" si="107"/>
        <v/>
      </c>
      <c r="U94" s="113" t="str">
        <f t="shared" si="108"/>
        <v/>
      </c>
      <c r="V94" s="113" t="str">
        <f t="shared" si="109"/>
        <v>FY23</v>
      </c>
      <c r="W94" s="113" t="str">
        <f t="shared" ca="1" si="110"/>
        <v/>
      </c>
      <c r="X94" s="50"/>
      <c r="Y94" s="146">
        <v>6</v>
      </c>
      <c r="Z94" s="166">
        <v>50000000</v>
      </c>
      <c r="AA94" s="167">
        <f>AVERAGEIFS($M:$M,$L:$L,"&gt;="&amp;Z$82,$L:$L,"&lt;="&amp;AB$82,$O:$O,"="&amp;Z94)*AB$87</f>
        <v>45746976.155358903</v>
      </c>
      <c r="AC94" s="145">
        <v>46730000.000000007</v>
      </c>
      <c r="AD94" s="145"/>
      <c r="AE94" s="167">
        <f t="shared" si="121"/>
        <v>1</v>
      </c>
      <c r="AF94" s="167"/>
      <c r="AH94" s="172" t="s">
        <v>148</v>
      </c>
      <c r="AI94" s="174">
        <f>AB82</f>
        <v>44377</v>
      </c>
      <c r="AJ94" s="154"/>
      <c r="AK94" s="154"/>
      <c r="AL94" s="155">
        <f t="shared" si="111"/>
        <v>150</v>
      </c>
      <c r="AM94" s="154"/>
      <c r="AN94" s="154"/>
      <c r="AO94" s="156">
        <f t="shared" si="112"/>
        <v>160.05600000000001</v>
      </c>
      <c r="AR94" s="50"/>
      <c r="AS94" s="146">
        <v>5</v>
      </c>
      <c r="AT94" s="166">
        <v>40000000</v>
      </c>
      <c r="AU94" s="146">
        <f t="shared" si="128"/>
        <v>44655295.112064004</v>
      </c>
      <c r="AW94" s="167"/>
      <c r="AY94" s="172" t="s">
        <v>147</v>
      </c>
      <c r="AZ94" s="174" t="str">
        <f>AT83</f>
        <v>EST</v>
      </c>
      <c r="BA94" s="154"/>
      <c r="BB94" s="155">
        <f t="shared" si="119"/>
        <v>100</v>
      </c>
      <c r="BC94" s="156">
        <f t="shared" si="120"/>
        <v>182.73015790848001</v>
      </c>
      <c r="BF94" s="50"/>
      <c r="BG94" s="146">
        <v>5</v>
      </c>
      <c r="BH94" s="166">
        <v>60000000</v>
      </c>
      <c r="BI94" s="167" t="e">
        <f t="shared" si="126"/>
        <v>#DIV/0!</v>
      </c>
      <c r="BM94" s="167">
        <f t="shared" si="127"/>
        <v>0</v>
      </c>
      <c r="BO94" s="171"/>
      <c r="BQ94" s="154"/>
      <c r="BR94" s="154"/>
      <c r="BS94" s="155">
        <f t="shared" si="113"/>
        <v>150</v>
      </c>
      <c r="BT94" s="154"/>
      <c r="BU94" s="154"/>
      <c r="BV94" s="156">
        <f t="shared" si="114"/>
        <v>295</v>
      </c>
      <c r="BY94" s="50"/>
      <c r="CO94" s="50"/>
      <c r="CP94" s="146">
        <v>6</v>
      </c>
      <c r="CQ94" s="166">
        <v>80000000</v>
      </c>
      <c r="CR94" s="168" t="e">
        <f t="shared" si="122"/>
        <v>#DIV/0!</v>
      </c>
      <c r="CS94" s="168"/>
      <c r="CT94" s="145">
        <v>107121000</v>
      </c>
      <c r="CU94" s="145">
        <v>110883000</v>
      </c>
      <c r="CV94" s="167">
        <f t="shared" si="123"/>
        <v>0</v>
      </c>
      <c r="CX94" s="172" t="s">
        <v>148</v>
      </c>
      <c r="CY94" s="174">
        <f>CS82</f>
        <v>44377</v>
      </c>
      <c r="CZ94" s="154"/>
      <c r="DA94" s="155">
        <f t="shared" si="115"/>
        <v>200</v>
      </c>
      <c r="DB94" s="156">
        <f t="shared" si="116"/>
        <v>341.80860000000001</v>
      </c>
      <c r="DE94" s="50"/>
      <c r="DF94" s="146">
        <v>6</v>
      </c>
      <c r="DG94" s="166">
        <v>40000000</v>
      </c>
      <c r="DH94" s="168">
        <f t="shared" si="124"/>
        <v>32376148.10717798</v>
      </c>
      <c r="DL94" s="167">
        <f t="shared" si="125"/>
        <v>2</v>
      </c>
      <c r="DN94" s="172" t="s">
        <v>148</v>
      </c>
      <c r="DO94" s="174">
        <f>DI82</f>
        <v>43646</v>
      </c>
      <c r="DP94" s="154"/>
      <c r="DQ94" s="154"/>
      <c r="DR94" s="155">
        <f t="shared" si="117"/>
        <v>100</v>
      </c>
      <c r="DS94" s="154"/>
      <c r="DT94" s="154"/>
      <c r="DU94" s="156" t="e">
        <f t="shared" si="118"/>
        <v>#DIV/0!</v>
      </c>
    </row>
    <row r="95" spans="10:125" x14ac:dyDescent="0.25">
      <c r="J95" s="86" t="str" cm="1">
        <f t="array" ref="J95">LOOKUP(2,1/($G$17:$G$33&lt;=$L95)/($H$17:$H$33&gt;=$L95),$F$17:$F$33)</f>
        <v>1H23</v>
      </c>
      <c r="K95" s="86" t="str" cm="1">
        <f t="array" ref="K95">LOOKUP(2,1/($G$6:$G$14&lt;=$L95)/($H$6:$H$14&gt;=$L95),$F$6:$F$14)</f>
        <v>FY23</v>
      </c>
      <c r="L95" s="118">
        <v>44838</v>
      </c>
      <c r="M95" s="49">
        <v>41464495.575221241</v>
      </c>
      <c r="N95" s="49">
        <v>59455940.205309734</v>
      </c>
      <c r="O95" s="50">
        <v>50000000</v>
      </c>
      <c r="P95" s="119" cm="1">
        <f t="array" ref="P95">LOOKUP(2,1/($B$10:$B$14&lt;=$L95)/($C$10:$C$14&gt;=$L95),$D$10:$D$14)</f>
        <v>1.1000000000000001</v>
      </c>
      <c r="Q95" s="120" cm="1">
        <f t="array" ref="Q95">LOOKUP(2,1/($B$17:$B$21&lt;=$L95)/($C$17:$C$21&gt;=$L95),$D$17:$D$21)</f>
        <v>134.49039999999999</v>
      </c>
      <c r="R95" s="113" t="str">
        <f t="shared" si="105"/>
        <v/>
      </c>
      <c r="S95" s="113" t="str">
        <f t="shared" si="106"/>
        <v>1H23</v>
      </c>
      <c r="T95" s="113" t="str">
        <f t="shared" ca="1" si="107"/>
        <v/>
      </c>
      <c r="U95" s="113" t="str">
        <f t="shared" si="108"/>
        <v/>
      </c>
      <c r="V95" s="113" t="str">
        <f t="shared" si="109"/>
        <v>FY23</v>
      </c>
      <c r="W95" s="113" t="str">
        <f t="shared" ca="1" si="110"/>
        <v/>
      </c>
      <c r="X95" s="50"/>
      <c r="Y95" s="146">
        <v>7</v>
      </c>
      <c r="Z95" s="145">
        <v>70000000</v>
      </c>
      <c r="AA95" s="145"/>
      <c r="AB95" s="173">
        <f>IF($Z95&gt;=100000000,$AC$84*AC$87*AC95+$AD$84*AD$87*AD95,AC$87*AC95+AD$87*AD95)*AB$87</f>
        <v>62007999.999999993</v>
      </c>
      <c r="AC95" s="145">
        <v>62007999.999999993</v>
      </c>
      <c r="AD95" s="145"/>
      <c r="AE95" s="167"/>
      <c r="AF95" s="167"/>
      <c r="AH95" s="172" t="s">
        <v>0</v>
      </c>
      <c r="AI95" s="175">
        <f>AB87</f>
        <v>1</v>
      </c>
      <c r="AJ95" s="154"/>
      <c r="AK95" s="154"/>
      <c r="AL95" s="155">
        <f t="shared" si="111"/>
        <v>200</v>
      </c>
      <c r="AM95" s="154"/>
      <c r="AN95" s="154"/>
      <c r="AO95" s="156">
        <f t="shared" si="112"/>
        <v>209.70949999999999</v>
      </c>
      <c r="AR95" s="50"/>
      <c r="AS95" s="146">
        <v>6</v>
      </c>
      <c r="AT95" s="166">
        <v>60000000</v>
      </c>
      <c r="AU95" s="146">
        <f t="shared" si="128"/>
        <v>74486643.678720012</v>
      </c>
      <c r="AW95" s="167"/>
      <c r="AY95" s="172" t="s">
        <v>148</v>
      </c>
      <c r="AZ95" s="174" t="str">
        <f>AV83</f>
        <v>EST</v>
      </c>
      <c r="BA95" s="154"/>
      <c r="BB95" s="155">
        <f t="shared" si="119"/>
        <v>150</v>
      </c>
      <c r="BC95" s="156">
        <f t="shared" si="120"/>
        <v>233.86363636363637</v>
      </c>
      <c r="BF95" s="50"/>
      <c r="BG95" s="146">
        <v>6</v>
      </c>
      <c r="BH95" s="166">
        <v>80000000</v>
      </c>
      <c r="BI95" s="167" t="e">
        <f t="shared" si="126"/>
        <v>#DIV/0!</v>
      </c>
      <c r="BM95" s="167">
        <f t="shared" si="127"/>
        <v>0</v>
      </c>
      <c r="BO95" s="172" t="s">
        <v>147</v>
      </c>
      <c r="BP95" s="174">
        <f>BH83</f>
        <v>44652</v>
      </c>
      <c r="BQ95" s="154"/>
      <c r="BR95" s="154"/>
      <c r="BS95" s="155">
        <f t="shared" si="113"/>
        <v>200</v>
      </c>
      <c r="BT95" s="154"/>
      <c r="BU95" s="154"/>
      <c r="BV95" s="156">
        <f t="shared" si="114"/>
        <v>396</v>
      </c>
      <c r="BY95" s="50"/>
      <c r="CO95" s="50"/>
      <c r="CP95" s="146">
        <v>7</v>
      </c>
      <c r="CQ95" s="145">
        <v>120000000</v>
      </c>
      <c r="CR95" s="145"/>
      <c r="CS95" s="173">
        <f>IF($CQ95&gt;=100000000,$CT$84*CT$87*CT95+$CU$84*CU$87*CU95,CT$87*CT95+CU$87*CU95)</f>
        <v>213915800</v>
      </c>
      <c r="CT95" s="145">
        <v>152797000</v>
      </c>
      <c r="CU95" s="145">
        <v>169243000</v>
      </c>
      <c r="CV95" s="146"/>
      <c r="CX95" s="172" t="s">
        <v>173</v>
      </c>
      <c r="CY95" s="177">
        <f>CS87</f>
        <v>0.69230769230769229</v>
      </c>
      <c r="CZ95" s="154"/>
      <c r="DA95" s="155">
        <f t="shared" si="115"/>
        <v>250</v>
      </c>
      <c r="DB95" s="156">
        <f t="shared" si="116"/>
        <v>421.74160000000001</v>
      </c>
      <c r="DE95" s="50"/>
      <c r="DF95" s="146">
        <v>7</v>
      </c>
      <c r="DG95" s="166">
        <v>50000000</v>
      </c>
      <c r="DH95" s="168">
        <f t="shared" si="124"/>
        <v>42050383.849557526</v>
      </c>
      <c r="DL95" s="167">
        <f t="shared" si="125"/>
        <v>2</v>
      </c>
      <c r="DN95" s="172" t="s">
        <v>173</v>
      </c>
      <c r="DO95" s="177">
        <f>DI87</f>
        <v>1</v>
      </c>
      <c r="DP95" s="154"/>
      <c r="DQ95" s="154"/>
      <c r="DR95" s="155">
        <f t="shared" si="117"/>
        <v>150</v>
      </c>
      <c r="DS95" s="154"/>
      <c r="DT95" s="154"/>
      <c r="DU95" s="156">
        <f t="shared" si="118"/>
        <v>251.81112499999998</v>
      </c>
    </row>
    <row r="96" spans="10:125" x14ac:dyDescent="0.25">
      <c r="J96" s="86" t="str" cm="1">
        <f t="array" ref="J96">LOOKUP(2,1/($G$17:$G$33&lt;=$L96)/($H$17:$H$33&gt;=$L96),$F$17:$F$33)</f>
        <v>1H23</v>
      </c>
      <c r="K96" s="86" t="str" cm="1">
        <f t="array" ref="K96">LOOKUP(2,1/($G$6:$G$14&lt;=$L96)/($H$6:$H$14&gt;=$L96),$F$6:$F$14)</f>
        <v>FY23</v>
      </c>
      <c r="L96" s="118">
        <v>44831</v>
      </c>
      <c r="M96" s="49">
        <v>26481381.098252784</v>
      </c>
      <c r="N96" s="49">
        <v>37971652.356784664</v>
      </c>
      <c r="O96" s="50">
        <v>30000000</v>
      </c>
      <c r="P96" s="119" cm="1">
        <f t="array" ref="P96">LOOKUP(2,1/($B$10:$B$14&lt;=$L96)/($C$10:$C$14&gt;=$L96),$D$10:$D$14)</f>
        <v>1.1000000000000001</v>
      </c>
      <c r="Q96" s="120" cm="1">
        <f t="array" ref="Q96">LOOKUP(2,1/($B$17:$B$21&lt;=$L96)/($C$17:$C$21&gt;=$L96),$D$17:$D$21)</f>
        <v>134.49039999999999</v>
      </c>
      <c r="R96" s="113" t="str">
        <f t="shared" si="105"/>
        <v/>
      </c>
      <c r="S96" s="113" t="str">
        <f t="shared" si="106"/>
        <v>1H23</v>
      </c>
      <c r="T96" s="113" t="str">
        <f t="shared" ca="1" si="107"/>
        <v/>
      </c>
      <c r="U96" s="113" t="str">
        <f t="shared" si="108"/>
        <v/>
      </c>
      <c r="V96" s="113" t="str">
        <f t="shared" si="109"/>
        <v>FY23</v>
      </c>
      <c r="W96" s="113" t="str">
        <f t="shared" ca="1" si="110"/>
        <v/>
      </c>
      <c r="X96" s="50"/>
      <c r="Y96" s="146">
        <v>8</v>
      </c>
      <c r="Z96" s="145">
        <v>100000000</v>
      </c>
      <c r="AA96" s="145"/>
      <c r="AB96" s="173">
        <f>IF($Z96&gt;=100000000,$AC$84*AC$87*AC96+$AD$84*AD$87*AD96,AC$87*AC96+AD$87*AD96)*AB$87</f>
        <v>110402500</v>
      </c>
      <c r="AC96" s="145">
        <v>84925000</v>
      </c>
      <c r="AD96" s="145"/>
      <c r="AE96" s="146"/>
      <c r="AF96" s="146"/>
      <c r="AH96" s="179" t="s">
        <v>162</v>
      </c>
      <c r="AI96" s="180">
        <f>AC84</f>
        <v>1.3</v>
      </c>
      <c r="AJ96" s="181"/>
      <c r="AK96" s="181"/>
      <c r="AL96" s="181"/>
      <c r="AM96" s="181"/>
      <c r="AN96" s="181"/>
      <c r="AO96" s="182"/>
      <c r="AR96" s="50"/>
      <c r="AS96" s="146">
        <v>7</v>
      </c>
      <c r="AT96" s="166">
        <v>80000000</v>
      </c>
      <c r="AU96" s="146">
        <f t="shared" si="128"/>
        <v>107547960.19968002</v>
      </c>
      <c r="AV96" s="168"/>
      <c r="AW96" s="168"/>
      <c r="AY96" s="176"/>
      <c r="AZ96" s="85"/>
      <c r="BA96" s="154"/>
      <c r="BB96" s="155">
        <f t="shared" si="119"/>
        <v>200</v>
      </c>
      <c r="BC96" s="156">
        <f>MAX(AU99:AV99)/1000000</f>
        <v>300.68181818181819</v>
      </c>
      <c r="BF96" s="50"/>
      <c r="BG96" s="146">
        <v>7</v>
      </c>
      <c r="BH96" s="166">
        <v>120000000</v>
      </c>
      <c r="BI96" s="146">
        <v>226126304.09125558</v>
      </c>
      <c r="BJ96" s="168"/>
      <c r="BK96" s="168"/>
      <c r="BL96" s="168"/>
      <c r="BM96" s="167">
        <f t="shared" si="127"/>
        <v>0</v>
      </c>
      <c r="BO96" s="172" t="s">
        <v>148</v>
      </c>
      <c r="BP96" s="174">
        <f>BJ83</f>
        <v>44864</v>
      </c>
      <c r="BQ96" s="154"/>
      <c r="BR96" s="154"/>
      <c r="BS96" s="155">
        <f t="shared" si="113"/>
        <v>250</v>
      </c>
      <c r="BT96" s="154"/>
      <c r="BU96" s="154"/>
      <c r="BV96" s="156">
        <f t="shared" si="114"/>
        <v>510</v>
      </c>
      <c r="BY96" s="50"/>
      <c r="CO96" s="50"/>
      <c r="CP96" s="146">
        <v>8</v>
      </c>
      <c r="CQ96" s="145">
        <v>160000000</v>
      </c>
      <c r="CR96" s="145"/>
      <c r="CS96" s="173">
        <f>IF($CQ96&gt;=100000000,$CT$84*CT$87*CT96+$CU$84*CU$87*CU96,CT$87*CT96+CU$87*CU96)</f>
        <v>277862199.99999994</v>
      </c>
      <c r="CT96" s="145">
        <v>198472999.99999997</v>
      </c>
      <c r="CU96" s="145">
        <v>235283000</v>
      </c>
      <c r="CV96" s="146"/>
      <c r="CX96" s="176"/>
      <c r="CY96" s="32"/>
      <c r="CZ96" s="32"/>
      <c r="DA96" s="32"/>
      <c r="DB96" s="183"/>
      <c r="DE96" s="50"/>
      <c r="DF96" s="146">
        <v>8</v>
      </c>
      <c r="DG96" s="166">
        <v>80000000</v>
      </c>
      <c r="DH96" s="168">
        <f t="shared" si="124"/>
        <v>80928666.175024584</v>
      </c>
      <c r="DJ96" s="145">
        <v>108838900.00000001</v>
      </c>
      <c r="DK96" s="145">
        <v>112756999.99999999</v>
      </c>
      <c r="DL96" s="167">
        <f t="shared" si="125"/>
        <v>1</v>
      </c>
      <c r="DN96" s="176"/>
      <c r="DO96" s="32"/>
      <c r="DP96" s="32"/>
      <c r="DQ96" s="32"/>
      <c r="DR96" s="32"/>
      <c r="DS96" s="32"/>
      <c r="DT96" s="32"/>
      <c r="DU96" s="183"/>
    </row>
    <row r="97" spans="10:125" x14ac:dyDescent="0.25">
      <c r="J97" s="86" t="str" cm="1">
        <f t="array" ref="J97">LOOKUP(2,1/($G$17:$G$33&lt;=$L97)/($H$17:$H$33&gt;=$L97),$F$17:$F$33)</f>
        <v>1H23</v>
      </c>
      <c r="K97" s="86" t="str" cm="1">
        <f t="array" ref="K97">LOOKUP(2,1/($G$6:$G$14&lt;=$L97)/($H$6:$H$14&gt;=$L97),$F$6:$F$14)</f>
        <v>FY23</v>
      </c>
      <c r="L97" s="118">
        <v>44824</v>
      </c>
      <c r="M97" s="49">
        <v>21774610.959836625</v>
      </c>
      <c r="N97" s="49">
        <v>31222614.655309737</v>
      </c>
      <c r="O97" s="50">
        <v>20000000</v>
      </c>
      <c r="P97" s="119" cm="1">
        <f t="array" ref="P97">LOOKUP(2,1/($B$10:$B$14&lt;=$L97)/($C$10:$C$14&gt;=$L97),$D$10:$D$14)</f>
        <v>1.1000000000000001</v>
      </c>
      <c r="Q97" s="120" cm="1">
        <f t="array" ref="Q97">LOOKUP(2,1/($B$17:$B$21&lt;=$L97)/($C$17:$C$21&gt;=$L97),$D$17:$D$21)</f>
        <v>134.49039999999999</v>
      </c>
      <c r="R97" s="113" t="str">
        <f t="shared" si="105"/>
        <v/>
      </c>
      <c r="S97" s="113" t="str">
        <f t="shared" si="106"/>
        <v>1H23</v>
      </c>
      <c r="T97" s="113" t="str">
        <f t="shared" ca="1" si="107"/>
        <v/>
      </c>
      <c r="U97" s="113" t="str">
        <f t="shared" si="108"/>
        <v/>
      </c>
      <c r="V97" s="113" t="str">
        <f t="shared" si="109"/>
        <v>FY23</v>
      </c>
      <c r="W97" s="113" t="str">
        <f t="shared" ca="1" si="110"/>
        <v/>
      </c>
      <c r="X97" s="50"/>
      <c r="Y97" s="146">
        <v>9</v>
      </c>
      <c r="Z97" s="145">
        <v>150000000</v>
      </c>
      <c r="AA97" s="145"/>
      <c r="AB97" s="173">
        <f>IF($Z97&gt;=100000000,$AC$84*AC$87*AC97+$AD$84*AD$87*AD97,AC$87*AC97+AD$87*AD97)*AB$87</f>
        <v>160056000</v>
      </c>
      <c r="AC97" s="145">
        <v>123120000</v>
      </c>
      <c r="AD97" s="145"/>
      <c r="AE97" s="146"/>
      <c r="AF97" s="146"/>
      <c r="AH97" s="2"/>
      <c r="AI97" s="2"/>
      <c r="AJ97" s="2"/>
      <c r="AK97" s="2"/>
      <c r="AL97" s="2"/>
      <c r="AM97" s="2"/>
      <c r="AN97" s="2"/>
      <c r="AO97" s="2"/>
      <c r="AR97" s="50"/>
      <c r="AS97" s="146">
        <v>8</v>
      </c>
      <c r="AT97" s="166">
        <v>100000000</v>
      </c>
      <c r="AU97" s="146">
        <f t="shared" si="128"/>
        <v>182730157.90848002</v>
      </c>
      <c r="AV97" s="168"/>
      <c r="AW97" s="168"/>
      <c r="AY97" s="176"/>
      <c r="AZ97" s="32"/>
      <c r="BA97" s="32"/>
      <c r="BB97" s="32"/>
      <c r="BC97" s="183"/>
      <c r="BF97" s="50"/>
      <c r="BG97" s="146">
        <v>8</v>
      </c>
      <c r="BH97" s="145">
        <v>150000000</v>
      </c>
      <c r="BI97" s="145"/>
      <c r="BJ97" s="145">
        <v>295000000</v>
      </c>
      <c r="BK97" s="145"/>
      <c r="BL97" s="145"/>
      <c r="BM97" s="146"/>
      <c r="BO97" s="179" t="s">
        <v>0</v>
      </c>
      <c r="BP97" s="185">
        <f>BJ88</f>
        <v>0</v>
      </c>
      <c r="BQ97" s="181"/>
      <c r="BR97" s="181"/>
      <c r="BS97" s="181"/>
      <c r="BT97" s="181"/>
      <c r="BU97" s="181"/>
      <c r="BV97" s="182"/>
      <c r="BY97" s="50"/>
      <c r="CO97" s="50"/>
      <c r="CP97" s="146">
        <v>9</v>
      </c>
      <c r="CQ97" s="145">
        <v>200000000</v>
      </c>
      <c r="CR97" s="145"/>
      <c r="CS97" s="173">
        <f>IF($CQ97&gt;=100000000,$CT$84*CT$87*CT97+$CU$84*CU$87*CU97,CT$87*CT97+CU$87*CU97)</f>
        <v>341808600</v>
      </c>
      <c r="CT97" s="145">
        <v>244149000</v>
      </c>
      <c r="CU97" s="145">
        <v>309002999.99999994</v>
      </c>
      <c r="CV97" s="146"/>
      <c r="CX97" s="199" t="s">
        <v>212</v>
      </c>
      <c r="CY97" s="2"/>
      <c r="CZ97" s="2"/>
      <c r="DA97" s="2"/>
      <c r="DB97" s="187"/>
      <c r="DE97" s="50"/>
      <c r="DF97" s="146">
        <v>9</v>
      </c>
      <c r="DG97" s="166">
        <v>100000000</v>
      </c>
      <c r="DH97" s="168" t="e">
        <f t="shared" si="124"/>
        <v>#DIV/0!</v>
      </c>
      <c r="DJ97" s="145">
        <v>135298899.99999997</v>
      </c>
      <c r="DK97" s="145">
        <v>162217000</v>
      </c>
      <c r="DL97" s="167">
        <f t="shared" si="125"/>
        <v>0</v>
      </c>
      <c r="DN97" s="186"/>
      <c r="DO97" s="2"/>
      <c r="DP97" s="2"/>
      <c r="DQ97" s="2"/>
      <c r="DR97" s="2"/>
      <c r="DS97" s="2"/>
      <c r="DT97" s="2"/>
      <c r="DU97" s="187"/>
    </row>
    <row r="98" spans="10:125" x14ac:dyDescent="0.25">
      <c r="J98" s="86" t="str" cm="1">
        <f t="array" ref="J98">LOOKUP(2,1/($G$17:$G$33&lt;=$L98)/($H$17:$H$33&gt;=$L98),$F$17:$F$33)</f>
        <v>1H23</v>
      </c>
      <c r="K98" s="86" t="str" cm="1">
        <f t="array" ref="K98">LOOKUP(2,1/($G$6:$G$14&lt;=$L98)/($H$6:$H$14&gt;=$L98),$F$6:$F$14)</f>
        <v>FY23</v>
      </c>
      <c r="L98" s="118">
        <v>44817</v>
      </c>
      <c r="M98" s="49">
        <v>14935118.901747221</v>
      </c>
      <c r="N98" s="49">
        <v>21415466.993215341</v>
      </c>
      <c r="O98" s="50">
        <v>10000000</v>
      </c>
      <c r="P98" s="119" cm="1">
        <f t="array" ref="P98">LOOKUP(2,1/($B$10:$B$14&lt;=$L98)/($C$10:$C$14&gt;=$L98),$D$10:$D$14)</f>
        <v>1.1000000000000001</v>
      </c>
      <c r="Q98" s="120" cm="1">
        <f t="array" ref="Q98">LOOKUP(2,1/($B$17:$B$21&lt;=$L98)/($C$17:$C$21&gt;=$L98),$D$17:$D$21)</f>
        <v>134.49039999999999</v>
      </c>
      <c r="R98" s="113" t="str">
        <f t="shared" si="105"/>
        <v/>
      </c>
      <c r="S98" s="113" t="str">
        <f t="shared" si="106"/>
        <v>1H23</v>
      </c>
      <c r="T98" s="113" t="str">
        <f t="shared" ca="1" si="107"/>
        <v/>
      </c>
      <c r="U98" s="113" t="str">
        <f t="shared" si="108"/>
        <v/>
      </c>
      <c r="V98" s="113" t="str">
        <f t="shared" si="109"/>
        <v>FY23</v>
      </c>
      <c r="W98" s="113" t="str">
        <f t="shared" ca="1" si="110"/>
        <v/>
      </c>
      <c r="X98" s="50"/>
      <c r="Y98" s="146">
        <v>10</v>
      </c>
      <c r="Z98" s="145">
        <v>200000000</v>
      </c>
      <c r="AA98" s="145"/>
      <c r="AB98" s="173">
        <f>IF($Z98&gt;=100000000,$AC$84*AC$87*AC98+$AD$84*AD$87*AD98,AC$87*AC98+AD$87*AD98)*AB$87</f>
        <v>209709500</v>
      </c>
      <c r="AC98" s="145">
        <v>161315000</v>
      </c>
      <c r="AD98" s="145"/>
      <c r="AE98" s="146"/>
      <c r="AF98" s="146"/>
      <c r="AH98" s="188"/>
      <c r="AI98" s="188"/>
      <c r="AJ98" s="188"/>
      <c r="AK98" s="188"/>
      <c r="AL98" s="188"/>
      <c r="AM98" s="188"/>
      <c r="AN98" s="188"/>
      <c r="AO98" s="188"/>
      <c r="AR98" s="50"/>
      <c r="AS98" s="146">
        <v>9</v>
      </c>
      <c r="AT98" s="145">
        <v>150000000</v>
      </c>
      <c r="AU98" s="184"/>
      <c r="AV98" s="145">
        <f>AV40*$AV$88</f>
        <v>233863636.36363637</v>
      </c>
      <c r="AW98" s="146"/>
      <c r="AY98" s="186"/>
      <c r="AZ98" s="2"/>
      <c r="BA98" s="2"/>
      <c r="BB98" s="2"/>
      <c r="BC98" s="187"/>
      <c r="BF98" s="50"/>
      <c r="BG98" s="146">
        <v>9</v>
      </c>
      <c r="BH98" s="145">
        <v>200000000</v>
      </c>
      <c r="BI98" s="145"/>
      <c r="BJ98" s="145">
        <v>396000000</v>
      </c>
      <c r="BK98" s="145"/>
      <c r="BL98" s="145"/>
      <c r="BM98" s="146"/>
      <c r="BO98" s="2"/>
      <c r="BP98" s="2"/>
      <c r="BQ98" s="2"/>
      <c r="BR98" s="2"/>
      <c r="BS98" s="2"/>
      <c r="BT98" s="2"/>
      <c r="BU98" s="2"/>
      <c r="BV98" s="2"/>
      <c r="BY98" s="50"/>
      <c r="CO98" s="50"/>
      <c r="CP98" s="146">
        <v>10</v>
      </c>
      <c r="CQ98" s="145">
        <v>250000000</v>
      </c>
      <c r="CR98" s="145"/>
      <c r="CS98" s="173">
        <f>IF($CQ98&gt;=100000000,$CT$84*CT$87*CT98+$CU$84*CU$87*CU98,CT$87*CT98+CU$87*CU98)</f>
        <v>421741600</v>
      </c>
      <c r="CT98" s="145">
        <v>301244000</v>
      </c>
      <c r="CU98" s="145">
        <v>411953000</v>
      </c>
      <c r="CV98" s="146"/>
      <c r="CX98" s="189"/>
      <c r="CY98" s="190"/>
      <c r="CZ98" s="190"/>
      <c r="DA98" s="190"/>
      <c r="DB98" s="191"/>
      <c r="DE98" s="50"/>
      <c r="DF98" s="146">
        <v>10</v>
      </c>
      <c r="DG98" s="145">
        <v>150000000</v>
      </c>
      <c r="DH98" s="145"/>
      <c r="DI98" s="173">
        <f>IF($DG98&gt;=100000000,$DJ$84*DJ$87*DJ98+$DK$84*DK$87*DK98,DJ$87*DJ98+DK$87*DK98)</f>
        <v>251811124.99999997</v>
      </c>
      <c r="DJ98" s="145">
        <v>201448899.99999997</v>
      </c>
      <c r="DK98" s="145">
        <v>329967000</v>
      </c>
      <c r="DL98" s="146"/>
      <c r="DN98" s="189"/>
      <c r="DO98" s="190"/>
      <c r="DP98" s="190"/>
      <c r="DQ98" s="190"/>
      <c r="DR98" s="190"/>
      <c r="DS98" s="190"/>
      <c r="DT98" s="190"/>
      <c r="DU98" s="191"/>
    </row>
    <row r="99" spans="10:125" x14ac:dyDescent="0.25">
      <c r="J99" s="86" t="str" cm="1">
        <f t="array" ref="J99">LOOKUP(2,1/($G$17:$G$33&lt;=$L99)/($H$17:$H$33&gt;=$L99),$F$17:$F$33)</f>
        <v>1H23</v>
      </c>
      <c r="K99" s="86" t="str" cm="1">
        <f t="array" ref="K99">LOOKUP(2,1/($G$6:$G$14&lt;=$L99)/($H$6:$H$14&gt;=$L99),$F$6:$F$14)</f>
        <v>FY23</v>
      </c>
      <c r="L99" s="118">
        <v>44810</v>
      </c>
      <c r="M99" s="49">
        <v>9323163.9437258914</v>
      </c>
      <c r="N99" s="49">
        <v>13368484.778908554</v>
      </c>
      <c r="O99" s="50">
        <v>5000000</v>
      </c>
      <c r="P99" s="119" cm="1">
        <f t="array" ref="P99">LOOKUP(2,1/($B$10:$B$14&lt;=$L99)/($C$10:$C$14&gt;=$L99),$D$10:$D$14)</f>
        <v>1.1000000000000001</v>
      </c>
      <c r="Q99" s="120" cm="1">
        <f t="array" ref="Q99">LOOKUP(2,1/($B$17:$B$21&lt;=$L99)/($C$17:$C$21&gt;=$L99),$D$17:$D$21)</f>
        <v>134.49039999999999</v>
      </c>
      <c r="R99" s="113" t="str">
        <f t="shared" si="105"/>
        <v/>
      </c>
      <c r="S99" s="113" t="str">
        <f t="shared" si="106"/>
        <v>1H23</v>
      </c>
      <c r="T99" s="113" t="str">
        <f t="shared" ca="1" si="107"/>
        <v/>
      </c>
      <c r="U99" s="113" t="str">
        <f t="shared" si="108"/>
        <v/>
      </c>
      <c r="V99" s="113" t="str">
        <f t="shared" si="109"/>
        <v>FY23</v>
      </c>
      <c r="W99" s="113" t="str">
        <f t="shared" ca="1" si="110"/>
        <v/>
      </c>
      <c r="X99" s="50"/>
      <c r="Y99" s="192"/>
      <c r="AG99" s="105"/>
      <c r="AH99" s="106"/>
      <c r="AI99" s="107"/>
      <c r="AJ99" s="107"/>
      <c r="AK99" s="107"/>
      <c r="AL99" s="108"/>
      <c r="AM99" s="107"/>
      <c r="AN99" s="107"/>
      <c r="AO99" s="108"/>
      <c r="AP99" s="105"/>
      <c r="AQ99" s="105"/>
      <c r="AR99" s="50"/>
      <c r="AS99" s="146">
        <v>10</v>
      </c>
      <c r="AT99" s="145">
        <v>200000000</v>
      </c>
      <c r="AU99" s="184"/>
      <c r="AV99" s="145">
        <f>AV41*$AV$88</f>
        <v>300681818.18181819</v>
      </c>
      <c r="AW99" s="146"/>
      <c r="AY99" s="189"/>
      <c r="AZ99" s="190"/>
      <c r="BA99" s="190"/>
      <c r="BB99" s="190"/>
      <c r="BC99" s="191"/>
      <c r="BF99" s="50"/>
      <c r="BG99" s="146">
        <v>10</v>
      </c>
      <c r="BH99" s="145">
        <v>250000000</v>
      </c>
      <c r="BI99" s="145"/>
      <c r="BJ99" s="145">
        <v>510000000</v>
      </c>
      <c r="BK99" s="145"/>
      <c r="BL99" s="145"/>
      <c r="BM99" s="146"/>
      <c r="BO99" s="188"/>
      <c r="BP99" s="188"/>
      <c r="BQ99" s="188"/>
      <c r="BR99" s="188"/>
      <c r="BS99" s="188"/>
      <c r="BT99" s="188"/>
      <c r="BU99" s="188"/>
      <c r="BV99" s="188"/>
      <c r="BY99" s="50"/>
      <c r="CO99" s="50"/>
      <c r="DE99" s="50"/>
    </row>
    <row r="100" spans="10:125" x14ac:dyDescent="0.25">
      <c r="J100" s="86" t="str" cm="1">
        <f t="array" ref="J100">LOOKUP(2,1/($G$17:$G$33&lt;=$L100)/($H$17:$H$33&gt;=$L100),$F$17:$F$33)</f>
        <v>1H23</v>
      </c>
      <c r="K100" s="86" t="str" cm="1">
        <f t="array" ref="K100">LOOKUP(2,1/($G$6:$G$14&lt;=$L100)/($H$6:$H$14&gt;=$L100),$F$6:$F$14)</f>
        <v>FY23</v>
      </c>
      <c r="L100" s="118">
        <v>44803</v>
      </c>
      <c r="M100" s="49">
        <v>8114797.0274563199</v>
      </c>
      <c r="N100" s="49">
        <v>11635807.457669618</v>
      </c>
      <c r="O100" s="50">
        <v>3000000</v>
      </c>
      <c r="P100" s="119" cm="1">
        <f t="array" ref="P100">LOOKUP(2,1/($B$10:$B$14&lt;=$L100)/($C$10:$C$14&gt;=$L100),$D$10:$D$14)</f>
        <v>1.1000000000000001</v>
      </c>
      <c r="Q100" s="120" cm="1">
        <f t="array" ref="Q100">LOOKUP(2,1/($B$17:$B$21&lt;=$L100)/($C$17:$C$21&gt;=$L100),$D$17:$D$21)</f>
        <v>134.49039999999999</v>
      </c>
      <c r="R100" s="113" t="str">
        <f t="shared" si="105"/>
        <v/>
      </c>
      <c r="S100" s="113" t="str">
        <f t="shared" si="106"/>
        <v>1H23</v>
      </c>
      <c r="T100" s="113" t="str">
        <f t="shared" ca="1" si="107"/>
        <v/>
      </c>
      <c r="U100" s="113" t="str">
        <f t="shared" si="108"/>
        <v/>
      </c>
      <c r="V100" s="113" t="str">
        <f t="shared" si="109"/>
        <v>FY23</v>
      </c>
      <c r="W100" s="113" t="str">
        <f t="shared" ca="1" si="110"/>
        <v/>
      </c>
      <c r="X100" s="50"/>
      <c r="Y100" s="121" t="s">
        <v>255</v>
      </c>
      <c r="Z100" s="122"/>
      <c r="AA100" s="122"/>
      <c r="AB100" s="122"/>
      <c r="AC100" s="122"/>
      <c r="AD100" s="122"/>
      <c r="AE100" s="122"/>
      <c r="AF100" s="122"/>
      <c r="AG100" s="122"/>
      <c r="AH100" s="122"/>
      <c r="AI100" s="122"/>
      <c r="AJ100" s="122"/>
      <c r="AK100" s="122"/>
      <c r="AL100" s="122"/>
      <c r="AM100" s="122"/>
      <c r="AN100" s="122"/>
      <c r="AO100" s="122"/>
      <c r="AP100" s="122"/>
      <c r="AQ100" s="122"/>
      <c r="AR100" s="50"/>
      <c r="AS100" s="192"/>
      <c r="AX100" s="105"/>
      <c r="AY100" s="105"/>
      <c r="AZ100" s="105"/>
      <c r="BA100" s="105"/>
      <c r="BB100" s="105"/>
      <c r="BC100" s="105"/>
      <c r="BD100" s="105"/>
      <c r="BE100" s="105"/>
      <c r="BF100" s="50"/>
      <c r="BY100" s="50"/>
      <c r="CO100" s="50"/>
      <c r="CP100" s="125" t="s">
        <v>214</v>
      </c>
      <c r="CQ100" s="126"/>
      <c r="CR100" s="126"/>
      <c r="CS100" s="126"/>
      <c r="CT100" s="126"/>
      <c r="CU100" s="126"/>
      <c r="CV100" s="126"/>
      <c r="CW100" s="126"/>
      <c r="CX100" s="126"/>
      <c r="CY100" s="126"/>
      <c r="CZ100" s="126"/>
      <c r="DA100" s="126"/>
      <c r="DB100" s="126"/>
      <c r="DC100" s="126"/>
      <c r="DD100" s="126"/>
      <c r="DE100" s="50"/>
      <c r="DF100" s="125" t="s">
        <v>49</v>
      </c>
      <c r="DG100" s="126"/>
      <c r="DH100" s="126"/>
      <c r="DI100" s="126"/>
      <c r="DJ100" s="126"/>
      <c r="DK100" s="126"/>
      <c r="DL100" s="126"/>
      <c r="DM100" s="126"/>
      <c r="DN100" s="126"/>
      <c r="DO100" s="126"/>
      <c r="DP100" s="126"/>
      <c r="DQ100" s="126"/>
      <c r="DR100" s="126"/>
      <c r="DS100" s="126"/>
      <c r="DT100" s="126"/>
      <c r="DU100" s="126"/>
    </row>
    <row r="101" spans="10:125" x14ac:dyDescent="0.25">
      <c r="J101" s="86" t="str" cm="1">
        <f t="array" ref="J101">LOOKUP(2,1/($G$17:$G$33&lt;=$L101)/($H$17:$H$33&gt;=$L101),$F$17:$F$33)</f>
        <v>1H23</v>
      </c>
      <c r="K101" s="86" t="str" cm="1">
        <f t="array" ref="K101">LOOKUP(2,1/($G$6:$G$14&lt;=$L101)/($H$6:$H$14&gt;=$L101),$F$6:$F$14)</f>
        <v>FY23</v>
      </c>
      <c r="L101" s="118">
        <v>44796</v>
      </c>
      <c r="M101" s="49">
        <v>15798659.51894713</v>
      </c>
      <c r="N101" s="49">
        <v>22653697.88421829</v>
      </c>
      <c r="O101" s="50">
        <v>10000000</v>
      </c>
      <c r="P101" s="119" cm="1">
        <f t="array" ref="P101">LOOKUP(2,1/($B$10:$B$14&lt;=$L101)/($C$10:$C$14&gt;=$L101),$D$10:$D$14)</f>
        <v>1.1000000000000001</v>
      </c>
      <c r="Q101" s="120" cm="1">
        <f t="array" ref="Q101">LOOKUP(2,1/($B$17:$B$21&lt;=$L101)/($C$17:$C$21&gt;=$L101),$D$17:$D$21)</f>
        <v>134.49039999999999</v>
      </c>
      <c r="R101" s="113" t="str">
        <f t="shared" si="105"/>
        <v/>
      </c>
      <c r="S101" s="113" t="str">
        <f t="shared" si="106"/>
        <v>1H23</v>
      </c>
      <c r="T101" s="113" t="str">
        <f t="shared" ca="1" si="107"/>
        <v/>
      </c>
      <c r="U101" s="113" t="str">
        <f t="shared" si="108"/>
        <v/>
      </c>
      <c r="V101" s="113" t="str">
        <f t="shared" si="109"/>
        <v>FY23</v>
      </c>
      <c r="W101" s="113" t="str">
        <f t="shared" ca="1" si="110"/>
        <v/>
      </c>
      <c r="X101" s="50"/>
      <c r="Y101" s="114" t="s">
        <v>147</v>
      </c>
      <c r="Z101" s="115">
        <v>44348</v>
      </c>
      <c r="AA101" s="114" t="s">
        <v>148</v>
      </c>
      <c r="AB101" s="115">
        <v>44691</v>
      </c>
      <c r="AC101" s="132"/>
      <c r="AD101" s="132"/>
      <c r="AE101" s="132"/>
      <c r="AF101" s="132"/>
      <c r="AG101" s="133"/>
      <c r="AH101" s="133"/>
      <c r="AI101" s="133"/>
      <c r="AJ101" s="133"/>
      <c r="AK101" s="133"/>
      <c r="AL101" s="133"/>
      <c r="AM101" s="133"/>
      <c r="AN101" s="133"/>
      <c r="AO101" s="133"/>
      <c r="AP101" s="133"/>
      <c r="AQ101" s="133"/>
      <c r="AR101" s="50"/>
      <c r="AS101" s="121" t="s">
        <v>215</v>
      </c>
      <c r="AT101" s="122"/>
      <c r="AU101" s="122"/>
      <c r="AV101" s="122"/>
      <c r="AW101" s="122"/>
      <c r="AX101" s="122"/>
      <c r="AY101" s="122"/>
      <c r="AZ101" s="122"/>
      <c r="BA101" s="122"/>
      <c r="BB101" s="122"/>
      <c r="BC101" s="122"/>
      <c r="BD101" s="122"/>
      <c r="BE101" s="122"/>
      <c r="BF101" s="50"/>
      <c r="BG101" s="123" t="s">
        <v>206</v>
      </c>
      <c r="BH101" s="124"/>
      <c r="BI101" s="124"/>
      <c r="BJ101" s="124"/>
      <c r="BK101" s="124"/>
      <c r="BL101" s="124"/>
      <c r="BM101" s="124"/>
      <c r="BN101" s="124"/>
      <c r="BO101" s="124"/>
      <c r="BP101" s="124"/>
      <c r="BQ101" s="124"/>
      <c r="BR101" s="124"/>
      <c r="BS101" s="124"/>
      <c r="BT101" s="124"/>
      <c r="BU101" s="124"/>
      <c r="BV101" s="124"/>
      <c r="BW101" s="124"/>
      <c r="BX101" s="124"/>
      <c r="BY101" s="50"/>
      <c r="CO101" s="50"/>
      <c r="CP101" s="114" t="s">
        <v>147</v>
      </c>
      <c r="CQ101" s="115">
        <v>44013</v>
      </c>
      <c r="CR101" s="114" t="s">
        <v>148</v>
      </c>
      <c r="CS101" s="115">
        <v>44377</v>
      </c>
      <c r="CT101" s="132"/>
      <c r="CU101" s="132"/>
      <c r="CV101" s="132"/>
      <c r="CW101" s="133"/>
      <c r="CX101" s="133"/>
      <c r="CY101" s="133"/>
      <c r="CZ101" s="133"/>
      <c r="DA101" s="133"/>
      <c r="DB101" s="133"/>
      <c r="DC101" s="133"/>
      <c r="DD101" s="133"/>
      <c r="DE101" s="50"/>
      <c r="DF101" s="114" t="s">
        <v>147</v>
      </c>
      <c r="DG101" s="115">
        <v>43647</v>
      </c>
      <c r="DH101" s="114" t="s">
        <v>148</v>
      </c>
      <c r="DI101" s="115">
        <v>43830</v>
      </c>
      <c r="DJ101" s="132"/>
      <c r="DK101" s="132"/>
      <c r="DL101" s="132"/>
      <c r="DM101" s="133"/>
      <c r="DN101" s="133"/>
      <c r="DO101" s="133"/>
      <c r="DP101" s="133"/>
      <c r="DQ101" s="133"/>
      <c r="DR101" s="133"/>
      <c r="DS101" s="133"/>
      <c r="DT101" s="133"/>
      <c r="DU101" s="133"/>
    </row>
    <row r="102" spans="10:125" x14ac:dyDescent="0.25">
      <c r="J102" s="86" t="str" cm="1">
        <f t="array" ref="J102">LOOKUP(2,1/($G$17:$G$33&lt;=$L102)/($H$17:$H$33&gt;=$L102),$F$17:$F$33)</f>
        <v>1H23</v>
      </c>
      <c r="K102" s="86" t="str" cm="1">
        <f t="array" ref="K102">LOOKUP(2,1/($G$6:$G$14&lt;=$L102)/($H$6:$H$14&gt;=$L102),$F$6:$F$14)</f>
        <v>FY23</v>
      </c>
      <c r="L102" s="118">
        <v>44789</v>
      </c>
      <c r="M102" s="49">
        <v>10754930.224642616</v>
      </c>
      <c r="N102" s="49">
        <v>15421494.449115045</v>
      </c>
      <c r="O102" s="50">
        <v>5000000</v>
      </c>
      <c r="P102" s="119" cm="1">
        <f t="array" ref="P102">LOOKUP(2,1/($B$10:$B$14&lt;=$L102)/($C$10:$C$14&gt;=$L102),$D$10:$D$14)</f>
        <v>1.1000000000000001</v>
      </c>
      <c r="Q102" s="120" cm="1">
        <f t="array" ref="Q102">LOOKUP(2,1/($B$17:$B$21&lt;=$L102)/($C$17:$C$21&gt;=$L102),$D$17:$D$21)</f>
        <v>134.49039999999999</v>
      </c>
      <c r="R102" s="113" t="str">
        <f t="shared" si="105"/>
        <v/>
      </c>
      <c r="S102" s="113" t="str">
        <f t="shared" si="106"/>
        <v>1H23</v>
      </c>
      <c r="T102" s="113" t="str">
        <f t="shared" ca="1" si="107"/>
        <v/>
      </c>
      <c r="U102" s="113" t="str">
        <f t="shared" si="108"/>
        <v/>
      </c>
      <c r="V102" s="113" t="str">
        <f t="shared" si="109"/>
        <v>FY23</v>
      </c>
      <c r="W102" s="113" t="str">
        <f t="shared" ca="1" si="110"/>
        <v/>
      </c>
      <c r="X102" s="50"/>
      <c r="Y102" s="114" t="s">
        <v>159</v>
      </c>
      <c r="Z102" s="115" t="s">
        <v>23</v>
      </c>
      <c r="AA102" s="114" t="s">
        <v>161</v>
      </c>
      <c r="AB102" s="115" t="s">
        <v>163</v>
      </c>
      <c r="AC102" s="134" t="s">
        <v>162</v>
      </c>
      <c r="AD102" s="134" t="s">
        <v>162</v>
      </c>
      <c r="AE102" s="134"/>
      <c r="AF102" s="134"/>
      <c r="AG102" s="133"/>
      <c r="AH102" s="133"/>
      <c r="AI102" s="133"/>
      <c r="AJ102" s="133"/>
      <c r="AK102" s="133"/>
      <c r="AL102" s="133"/>
      <c r="AM102" s="133"/>
      <c r="AN102" s="133"/>
      <c r="AO102" s="133"/>
      <c r="AP102" s="133"/>
      <c r="AQ102" s="133"/>
      <c r="AR102" s="50"/>
      <c r="AS102" s="114" t="s">
        <v>147</v>
      </c>
      <c r="AT102" s="115">
        <v>44652</v>
      </c>
      <c r="AU102" s="114" t="s">
        <v>148</v>
      </c>
      <c r="AV102" s="115">
        <v>44868</v>
      </c>
      <c r="AW102" s="132"/>
      <c r="AX102" s="133"/>
      <c r="AY102" s="133"/>
      <c r="AZ102" s="133"/>
      <c r="BA102" s="133"/>
      <c r="BB102" s="133"/>
      <c r="BC102" s="133"/>
      <c r="BD102" s="133"/>
      <c r="BE102" s="133"/>
      <c r="BF102" s="50"/>
      <c r="BG102" s="114" t="s">
        <v>147</v>
      </c>
      <c r="BH102" s="115">
        <v>44378</v>
      </c>
      <c r="BI102" s="114" t="s">
        <v>148</v>
      </c>
      <c r="BJ102" s="115">
        <v>44742</v>
      </c>
      <c r="BK102" s="115"/>
      <c r="BL102" s="115"/>
      <c r="BM102" s="132"/>
      <c r="BN102" s="133"/>
      <c r="BO102" s="133"/>
      <c r="BP102" s="133"/>
      <c r="BQ102" s="133"/>
      <c r="BR102" s="133"/>
      <c r="BS102" s="133"/>
      <c r="BT102" s="133"/>
      <c r="BU102" s="133"/>
      <c r="BV102" s="133"/>
      <c r="BW102" s="133"/>
      <c r="BX102" s="133"/>
      <c r="BY102" s="50"/>
      <c r="CO102" s="50"/>
      <c r="CP102" s="114" t="s">
        <v>159</v>
      </c>
      <c r="CQ102" s="115" t="s">
        <v>21</v>
      </c>
      <c r="CR102" s="114" t="s">
        <v>161</v>
      </c>
      <c r="CS102" s="134" t="str" cm="1">
        <f t="array" ref="CS102">IF(OR(LOOKUP(2,1/($B$10:$B$14&lt;=CS101)/($C$10:$C$14&gt;=CS101),$D$10:$D$14)&lt;&gt;CQ105,LOOKUP(2,1/($B$6:$B$7&lt;=CS101)/($C$6:$C$7&gt;=CS101),$D$6:$D$7)&lt;&gt;CS105),"FAIL","PASS")</f>
        <v>PASS</v>
      </c>
      <c r="CT102" s="134" t="s">
        <v>162</v>
      </c>
      <c r="CU102" s="134" t="s">
        <v>162</v>
      </c>
      <c r="CV102" s="134"/>
      <c r="CW102" s="133"/>
      <c r="CX102" s="133"/>
      <c r="CY102" s="133"/>
      <c r="CZ102" s="133"/>
      <c r="DA102" s="133"/>
      <c r="DB102" s="133"/>
      <c r="DC102" s="133"/>
      <c r="DD102" s="133"/>
      <c r="DE102" s="50"/>
      <c r="DF102" s="114" t="s">
        <v>159</v>
      </c>
      <c r="DG102" s="115" t="s">
        <v>49</v>
      </c>
      <c r="DH102" s="114" t="s">
        <v>161</v>
      </c>
      <c r="DI102" s="134" t="str" cm="1">
        <f t="array" ref="DI102">IF(OR(LOOKUP(2,1/($B$10:$B$14&lt;=DI101)/($C$10:$C$14&gt;=DI101),$D$10:$D$14)&lt;&gt;DG105,LOOKUP(2,1/($B$6:$B$7&lt;=DI101)/($C$6:$C$7&gt;=DI101),$D$6:$D$7)&lt;&gt;DI105),"FAIL","PASS")</f>
        <v>FAIL</v>
      </c>
      <c r="DJ102" s="134" t="s">
        <v>162</v>
      </c>
      <c r="DK102" s="134" t="s">
        <v>162</v>
      </c>
      <c r="DL102" s="134"/>
      <c r="DM102" s="133"/>
      <c r="DN102" s="133"/>
      <c r="DO102" s="133"/>
      <c r="DP102" s="133"/>
      <c r="DQ102" s="133"/>
      <c r="DR102" s="133"/>
      <c r="DS102" s="133"/>
      <c r="DT102" s="133"/>
      <c r="DU102" s="133"/>
    </row>
    <row r="103" spans="10:125" x14ac:dyDescent="0.25">
      <c r="J103" s="86" t="str" cm="1">
        <f t="array" ref="J103">LOOKUP(2,1/($G$17:$G$33&lt;=$L103)/($H$17:$H$33&gt;=$L103),$F$17:$F$33)</f>
        <v>1H23</v>
      </c>
      <c r="K103" s="86" t="str" cm="1">
        <f t="array" ref="K103">LOOKUP(2,1/($G$6:$G$14&lt;=$L103)/($H$6:$H$14&gt;=$L103),$F$6:$F$14)</f>
        <v>FY23</v>
      </c>
      <c r="L103" s="118">
        <v>44782</v>
      </c>
      <c r="M103" s="49">
        <v>8466307.3519400954</v>
      </c>
      <c r="N103" s="49">
        <v>12139838.111946903</v>
      </c>
      <c r="O103" s="50">
        <v>3000000</v>
      </c>
      <c r="P103" s="119" cm="1">
        <f t="array" ref="P103">LOOKUP(2,1/($B$10:$B$14&lt;=$L103)/($C$10:$C$14&gt;=$L103),$D$10:$D$14)</f>
        <v>1.1000000000000001</v>
      </c>
      <c r="Q103" s="120" cm="1">
        <f t="array" ref="Q103">LOOKUP(2,1/($B$17:$B$21&lt;=$L103)/($C$17:$C$21&gt;=$L103),$D$17:$D$21)</f>
        <v>134.49039999999999</v>
      </c>
      <c r="R103" s="113" t="str">
        <f t="shared" si="105"/>
        <v/>
      </c>
      <c r="S103" s="113" t="str">
        <f t="shared" si="106"/>
        <v>1H23</v>
      </c>
      <c r="T103" s="113" t="str">
        <f t="shared" ca="1" si="107"/>
        <v/>
      </c>
      <c r="U103" s="113" t="str">
        <f t="shared" si="108"/>
        <v/>
      </c>
      <c r="V103" s="113" t="str">
        <f t="shared" si="109"/>
        <v>FY23</v>
      </c>
      <c r="W103" s="113" t="str">
        <f t="shared" ca="1" si="110"/>
        <v/>
      </c>
      <c r="X103" s="50"/>
      <c r="Y103" s="114" t="s">
        <v>165</v>
      </c>
      <c r="Z103" s="134">
        <f>INDEX($G:$G,MATCH(Z102,$F:$F,0))</f>
        <v>44743</v>
      </c>
      <c r="AA103" s="114" t="s">
        <v>166</v>
      </c>
      <c r="AB103" s="134">
        <f>INDEX($H:$H,MATCH(Z102,$F:$F,0))</f>
        <v>45107</v>
      </c>
      <c r="AC103" s="135">
        <v>1.3</v>
      </c>
      <c r="AD103" s="135">
        <v>1</v>
      </c>
      <c r="AE103" s="134"/>
      <c r="AF103" s="134"/>
      <c r="AH103" s="136" t="s">
        <v>167</v>
      </c>
      <c r="AI103" s="137"/>
      <c r="AJ103" s="137"/>
      <c r="AK103" s="137"/>
      <c r="AL103" s="138"/>
      <c r="AM103" s="137"/>
      <c r="AN103" s="137"/>
      <c r="AO103" s="139"/>
      <c r="AR103" s="50"/>
      <c r="AS103" s="114" t="s">
        <v>159</v>
      </c>
      <c r="AT103" s="115" t="s">
        <v>193</v>
      </c>
      <c r="AU103" s="114" t="s">
        <v>161</v>
      </c>
      <c r="AV103" s="115" t="s">
        <v>163</v>
      </c>
      <c r="AW103" s="132"/>
      <c r="AX103" s="133"/>
      <c r="AY103" s="133"/>
      <c r="AZ103" s="133"/>
      <c r="BA103" s="133"/>
      <c r="BB103" s="133"/>
      <c r="BC103" s="133"/>
      <c r="BD103" s="133"/>
      <c r="BE103" s="133"/>
      <c r="BF103" s="50"/>
      <c r="BG103" s="114" t="s">
        <v>159</v>
      </c>
      <c r="BH103" s="115" t="s">
        <v>23</v>
      </c>
      <c r="BI103" s="114" t="s">
        <v>161</v>
      </c>
      <c r="BJ103" s="134" t="str" cm="1">
        <f t="array" ref="BJ103">IF(OR(LOOKUP(2,1/($B$10:$B$14&lt;=BJ102)/($C$10:$C$14&gt;=BJ102),$D$10:$D$14)&lt;&gt;BH106,LOOKUP(2,1/($B$6:$B$7&lt;=BJ102)/($C$6:$C$7&gt;=BJ102),$D$6:$D$7)&lt;&gt;BJ106),"FAIL","PASS")</f>
        <v>PASS</v>
      </c>
      <c r="BK103" s="134"/>
      <c r="BL103" s="134"/>
      <c r="BM103" s="134"/>
      <c r="BN103" s="133"/>
      <c r="BO103" s="133"/>
      <c r="BP103" s="133"/>
      <c r="BQ103" s="133"/>
      <c r="BR103" s="133"/>
      <c r="BS103" s="133"/>
      <c r="BT103" s="133"/>
      <c r="BU103" s="133"/>
      <c r="BV103" s="133"/>
      <c r="BW103" s="133"/>
      <c r="BX103" s="133"/>
      <c r="BY103" s="50"/>
      <c r="CO103" s="50"/>
      <c r="CP103" s="114" t="s">
        <v>165</v>
      </c>
      <c r="CQ103" s="134">
        <f>INDEX($G:$G,MATCH(CQ102,$F:$F,0))</f>
        <v>44013</v>
      </c>
      <c r="CR103" s="114" t="s">
        <v>166</v>
      </c>
      <c r="CS103" s="134">
        <f>INDEX($H:$H,MATCH(CQ102,$F:$F,0))</f>
        <v>44377</v>
      </c>
      <c r="CT103" s="135">
        <v>1.4</v>
      </c>
      <c r="CU103" s="135">
        <v>1</v>
      </c>
      <c r="CV103" s="134"/>
      <c r="CX103" s="136" t="s">
        <v>167</v>
      </c>
      <c r="CY103" s="137"/>
      <c r="CZ103" s="137"/>
      <c r="DA103" s="138"/>
      <c r="DB103" s="139"/>
      <c r="DE103" s="50"/>
      <c r="DF103" s="114" t="s">
        <v>165</v>
      </c>
      <c r="DG103" s="134">
        <f>INDEX($G:$G,MATCH(DG102,$F:$F,0))</f>
        <v>43647</v>
      </c>
      <c r="DH103" s="114" t="s">
        <v>166</v>
      </c>
      <c r="DI103" s="134">
        <f>INDEX($H:$H,MATCH(DG102,$F:$F,0))</f>
        <v>43830</v>
      </c>
      <c r="DJ103" s="135">
        <v>1.25</v>
      </c>
      <c r="DK103" s="135">
        <v>1</v>
      </c>
      <c r="DL103" s="134"/>
      <c r="DN103" s="136" t="s">
        <v>167</v>
      </c>
      <c r="DO103" s="137"/>
      <c r="DP103" s="137"/>
      <c r="DQ103" s="137"/>
      <c r="DR103" s="138"/>
      <c r="DS103" s="137"/>
      <c r="DT103" s="137"/>
      <c r="DU103" s="139"/>
    </row>
    <row r="104" spans="10:125" x14ac:dyDescent="0.25">
      <c r="J104" s="86" t="str" cm="1">
        <f t="array" ref="J104">LOOKUP(2,1/($G$17:$G$33&lt;=$L104)/($H$17:$H$33&gt;=$L104),$F$17:$F$33)</f>
        <v>1H23</v>
      </c>
      <c r="K104" s="86" t="str" cm="1">
        <f t="array" ref="K104">LOOKUP(2,1/($G$6:$G$14&lt;=$L104)/($H$6:$H$14&gt;=$L104),$F$6:$F$14)</f>
        <v>FY23</v>
      </c>
      <c r="L104" s="118">
        <v>44775</v>
      </c>
      <c r="M104" s="49">
        <v>22150339.459950082</v>
      </c>
      <c r="N104" s="49">
        <v>31761371.75162242</v>
      </c>
      <c r="O104" s="50">
        <v>20000000</v>
      </c>
      <c r="P104" s="119" cm="1">
        <f t="array" ref="P104">LOOKUP(2,1/($B$10:$B$14&lt;=$L104)/($C$10:$C$14&gt;=$L104),$D$10:$D$14)</f>
        <v>1.1000000000000001</v>
      </c>
      <c r="Q104" s="120" cm="1">
        <f t="array" ref="Q104">LOOKUP(2,1/($B$17:$B$21&lt;=$L104)/($C$17:$C$21&gt;=$L104),$D$17:$D$21)</f>
        <v>134.49039999999999</v>
      </c>
      <c r="R104" s="113" t="str">
        <f t="shared" si="105"/>
        <v/>
      </c>
      <c r="S104" s="113" t="str">
        <f t="shared" si="106"/>
        <v>1H23</v>
      </c>
      <c r="T104" s="113" t="str">
        <f t="shared" ca="1" si="107"/>
        <v/>
      </c>
      <c r="U104" s="113" t="str">
        <f t="shared" si="108"/>
        <v/>
      </c>
      <c r="V104" s="113" t="str">
        <f t="shared" si="109"/>
        <v>FY23</v>
      </c>
      <c r="W104" s="113" t="str">
        <f t="shared" ca="1" si="110"/>
        <v/>
      </c>
      <c r="X104" s="50"/>
      <c r="Y104" s="114" t="s">
        <v>91</v>
      </c>
      <c r="Z104" s="140">
        <f>INDEX($O:$O,MATCH(Z102,$U:$U,0))</f>
        <v>30000000</v>
      </c>
      <c r="AA104" s="114" t="s">
        <v>76</v>
      </c>
      <c r="AB104" s="140">
        <f ca="1">INDEX($O:$O,MATCH(Z102,$W:$W,0))</f>
        <v>5000000</v>
      </c>
      <c r="AC104" s="140"/>
      <c r="AD104" s="140"/>
      <c r="AE104" s="140"/>
      <c r="AF104" s="140"/>
      <c r="AH104" s="141" t="s">
        <v>168</v>
      </c>
      <c r="AI104" s="141"/>
      <c r="AJ104" s="142"/>
      <c r="AK104" s="142"/>
      <c r="AL104" s="143" t="s">
        <v>15</v>
      </c>
      <c r="AM104" s="142"/>
      <c r="AN104" s="142"/>
      <c r="AO104" s="144" t="s">
        <v>139</v>
      </c>
      <c r="AR104" s="50"/>
      <c r="AS104" s="114" t="s">
        <v>165</v>
      </c>
      <c r="AT104" s="134">
        <f>INDEX($G:$G,MATCH(AT103,$F:$F,0))</f>
        <v>44927</v>
      </c>
      <c r="AU104" s="114" t="s">
        <v>166</v>
      </c>
      <c r="AV104" s="134">
        <f>INDEX($H:$H,MATCH(AT103,$F:$F,0))</f>
        <v>45107</v>
      </c>
      <c r="AW104" s="134"/>
      <c r="AY104" s="136" t="s">
        <v>167</v>
      </c>
      <c r="AZ104" s="137"/>
      <c r="BA104" s="137"/>
      <c r="BB104" s="138"/>
      <c r="BC104" s="139"/>
      <c r="BF104" s="50"/>
      <c r="BG104" s="114" t="s">
        <v>165</v>
      </c>
      <c r="BH104" s="134">
        <f>INDEX($G:$G,MATCH(BH103,$F:$F,0))</f>
        <v>44743</v>
      </c>
      <c r="BI104" s="114" t="s">
        <v>166</v>
      </c>
      <c r="BJ104" s="134">
        <f>INDEX($H:$H,MATCH(BH103,$F:$F,0))</f>
        <v>45107</v>
      </c>
      <c r="BK104" s="134"/>
      <c r="BL104" s="134"/>
      <c r="BM104" s="134"/>
      <c r="BO104" s="136" t="s">
        <v>167</v>
      </c>
      <c r="BP104" s="137"/>
      <c r="BQ104" s="137"/>
      <c r="BR104" s="137"/>
      <c r="BS104" s="138"/>
      <c r="BT104" s="137"/>
      <c r="BU104" s="137"/>
      <c r="BV104" s="139"/>
      <c r="BY104" s="50"/>
      <c r="CO104" s="50"/>
      <c r="CP104" s="114" t="s">
        <v>91</v>
      </c>
      <c r="CQ104" s="140">
        <f>INDEX($O:$O,MATCH(CQ102,$U:$U,0))</f>
        <v>50000000</v>
      </c>
      <c r="CR104" s="114" t="s">
        <v>76</v>
      </c>
      <c r="CS104" s="140">
        <f ca="1">INDEX($O:$O,MATCH(CQ102,$W:$W,0))</f>
        <v>15000000</v>
      </c>
      <c r="CT104" s="140"/>
      <c r="CU104" s="140"/>
      <c r="CV104" s="140"/>
      <c r="CX104" s="147" t="s">
        <v>165</v>
      </c>
      <c r="CY104" s="148">
        <f>CQ103</f>
        <v>44013</v>
      </c>
      <c r="CZ104" s="142"/>
      <c r="DA104" s="143" t="s">
        <v>15</v>
      </c>
      <c r="DB104" s="144" t="s">
        <v>139</v>
      </c>
      <c r="DE104" s="50"/>
      <c r="DF104" s="114" t="s">
        <v>91</v>
      </c>
      <c r="DG104" s="140">
        <f>INDEX($O:$O,MATCH(DG102,$R:$R,0))</f>
        <v>2000000</v>
      </c>
      <c r="DH104" s="114" t="s">
        <v>76</v>
      </c>
      <c r="DI104" s="140">
        <f ca="1">INDEX($O:$O,MATCH(DG102,$T:$T,0))</f>
        <v>80000000</v>
      </c>
      <c r="DJ104" s="140"/>
      <c r="DK104" s="140"/>
      <c r="DL104" s="140"/>
      <c r="DN104" s="147" t="s">
        <v>165</v>
      </c>
      <c r="DO104" s="148">
        <f>DG103</f>
        <v>43647</v>
      </c>
      <c r="DP104" s="142"/>
      <c r="DQ104" s="142"/>
      <c r="DR104" s="143" t="s">
        <v>15</v>
      </c>
      <c r="DS104" s="142"/>
      <c r="DT104" s="142"/>
      <c r="DU104" s="144" t="s">
        <v>139</v>
      </c>
    </row>
    <row r="105" spans="10:125" x14ac:dyDescent="0.25">
      <c r="J105" s="86" t="str" cm="1">
        <f t="array" ref="J105">LOOKUP(2,1/($G$17:$G$33&lt;=$L105)/($H$17:$H$33&gt;=$L105),$F$17:$F$33)</f>
        <v>1H23</v>
      </c>
      <c r="K105" s="86" t="str" cm="1">
        <f t="array" ref="K105">LOOKUP(2,1/($G$6:$G$14&lt;=$L105)/($H$6:$H$14&gt;=$L105),$F$6:$F$14)</f>
        <v>FY23</v>
      </c>
      <c r="L105" s="118">
        <v>44768</v>
      </c>
      <c r="M105" s="49">
        <v>15460507.941910598</v>
      </c>
      <c r="N105" s="49">
        <v>22168822.337905608</v>
      </c>
      <c r="O105" s="50">
        <v>10000000</v>
      </c>
      <c r="P105" s="119" cm="1">
        <f t="array" ref="P105">LOOKUP(2,1/($B$10:$B$14&lt;=$L105)/($C$10:$C$14&gt;=$L105),$D$10:$D$14)</f>
        <v>1.1000000000000001</v>
      </c>
      <c r="Q105" s="120" cm="1">
        <f t="array" ref="Q105">LOOKUP(2,1/($B$17:$B$21&lt;=$L105)/($C$17:$C$21&gt;=$L105),$D$17:$D$21)</f>
        <v>134.49039999999999</v>
      </c>
      <c r="R105" s="113" t="str">
        <f t="shared" si="105"/>
        <v/>
      </c>
      <c r="S105" s="113" t="str">
        <f t="shared" si="106"/>
        <v>1H23</v>
      </c>
      <c r="T105" s="113" t="str">
        <f t="shared" ca="1" si="107"/>
        <v/>
      </c>
      <c r="U105" s="113" t="str">
        <f t="shared" si="108"/>
        <v/>
      </c>
      <c r="V105" s="113" t="str">
        <f t="shared" si="109"/>
        <v>FY23</v>
      </c>
      <c r="W105" s="113" t="str">
        <f t="shared" ca="1" si="110"/>
        <v/>
      </c>
      <c r="X105" s="50"/>
      <c r="Y105" s="114" t="s">
        <v>169</v>
      </c>
      <c r="Z105" s="135">
        <v>1.2</v>
      </c>
      <c r="AA105" s="114" t="s">
        <v>149</v>
      </c>
      <c r="AB105" s="152" cm="1">
        <f t="array" ref="AB105">LOOKUP(2,1/($B$6:$B$7&lt;=Z101)/($C$6:$C$7&gt;=Z101),$D$6:$D$7)</f>
        <v>0.10299999999999999</v>
      </c>
      <c r="AC105" s="152" t="s">
        <v>170</v>
      </c>
      <c r="AD105" s="152" t="s">
        <v>171</v>
      </c>
      <c r="AE105" s="152"/>
      <c r="AF105" s="152"/>
      <c r="AH105" s="153" t="s">
        <v>165</v>
      </c>
      <c r="AI105" s="148">
        <f>Z103</f>
        <v>44743</v>
      </c>
      <c r="AJ105" s="154"/>
      <c r="AK105" s="154"/>
      <c r="AL105" s="155">
        <f t="shared" ref="AL105:AL114" si="129">Z108/1000000</f>
        <v>2</v>
      </c>
      <c r="AM105" s="154"/>
      <c r="AN105" s="154"/>
      <c r="AO105" s="156">
        <f t="shared" ref="AO105:AO114" si="130">MAX(AA108:AB108)/1000000</f>
        <v>9.0732314492906312</v>
      </c>
      <c r="AR105" s="50"/>
      <c r="AS105" s="114" t="s">
        <v>91</v>
      </c>
      <c r="AT105" s="145">
        <v>20000000</v>
      </c>
      <c r="AU105" s="114" t="s">
        <v>76</v>
      </c>
      <c r="AV105" s="145">
        <v>20000000</v>
      </c>
      <c r="AW105" s="146"/>
      <c r="AY105" s="147" t="s">
        <v>165</v>
      </c>
      <c r="AZ105" s="148">
        <f>AT104</f>
        <v>44927</v>
      </c>
      <c r="BA105" s="142"/>
      <c r="BB105" s="143" t="s">
        <v>15</v>
      </c>
      <c r="BC105" s="144" t="s">
        <v>139</v>
      </c>
      <c r="BF105" s="50"/>
      <c r="BG105" s="114" t="s">
        <v>91</v>
      </c>
      <c r="BH105" s="140">
        <f>INDEX($O:$O,MATCH(BH103,$U:$U,0))</f>
        <v>30000000</v>
      </c>
      <c r="BI105" s="114" t="s">
        <v>76</v>
      </c>
      <c r="BJ105" s="140">
        <f ca="1">INDEX($O:$O,MATCH(BH103,$W:$W,0))</f>
        <v>5000000</v>
      </c>
      <c r="BK105" s="140"/>
      <c r="BL105" s="140"/>
      <c r="BM105" s="140"/>
      <c r="BO105" s="141" t="s">
        <v>168</v>
      </c>
      <c r="BP105" s="141"/>
      <c r="BQ105" s="2"/>
      <c r="BR105" s="2"/>
      <c r="BS105" s="149" t="s">
        <v>15</v>
      </c>
      <c r="BT105" s="2"/>
      <c r="BU105" s="2"/>
      <c r="BV105" s="150" t="s">
        <v>139</v>
      </c>
      <c r="BY105" s="50"/>
      <c r="CO105" s="50"/>
      <c r="CP105" s="114" t="s">
        <v>169</v>
      </c>
      <c r="CQ105" s="119" cm="1">
        <f t="array" ref="CQ105">LOOKUP(2,1/($B$10:$B$14&lt;=CQ101)/($C$10:$C$14&gt;=CQ101),$D$10:$D$14)</f>
        <v>1.1000000000000001</v>
      </c>
      <c r="CR105" s="114" t="s">
        <v>149</v>
      </c>
      <c r="CS105" s="152" cm="1">
        <f t="array" ref="CS105">LOOKUP(2,1/($B$6:$B$7&lt;=CQ101)/($C$6:$C$7&gt;=CQ101),$D$6:$D$7)</f>
        <v>0.10299999999999999</v>
      </c>
      <c r="CT105" s="152" t="s">
        <v>170</v>
      </c>
      <c r="CU105" s="152" t="s">
        <v>171</v>
      </c>
      <c r="CV105" s="152"/>
      <c r="CX105" s="153" t="s">
        <v>166</v>
      </c>
      <c r="CY105" s="158">
        <f>CS103</f>
        <v>44377</v>
      </c>
      <c r="CZ105" s="154"/>
      <c r="DA105" s="155">
        <f>CQ108/1000000</f>
        <v>8</v>
      </c>
      <c r="DB105" s="156" t="e">
        <f>MAX(CR108:CS108)/1000000</f>
        <v>#DIV/0!</v>
      </c>
      <c r="DE105" s="50"/>
      <c r="DF105" s="114" t="s">
        <v>169</v>
      </c>
      <c r="DG105" s="119" cm="1">
        <f t="array" ref="DG105">LOOKUP(2,1/($B$10:$B$14&lt;=DG101)/($C$10:$C$14&gt;=DG101),$D$10:$D$14)</f>
        <v>1.1000000000000001</v>
      </c>
      <c r="DH105" s="114" t="s">
        <v>149</v>
      </c>
      <c r="DI105" s="162">
        <f>9.3%*13/26+10.3%*13/26</f>
        <v>9.8000000000000004E-2</v>
      </c>
      <c r="DJ105" s="152" t="s">
        <v>170</v>
      </c>
      <c r="DK105" s="152" t="s">
        <v>171</v>
      </c>
      <c r="DL105" s="164"/>
      <c r="DN105" s="153" t="s">
        <v>166</v>
      </c>
      <c r="DO105" s="158">
        <f>DI103</f>
        <v>43830</v>
      </c>
      <c r="DP105" s="154"/>
      <c r="DQ105" s="154"/>
      <c r="DR105" s="155">
        <f>DG108/1000000</f>
        <v>3</v>
      </c>
      <c r="DS105" s="154"/>
      <c r="DT105" s="154"/>
      <c r="DU105" s="156" t="e">
        <f>MAX(DH108:DI108)/1000000</f>
        <v>#DIV/0!</v>
      </c>
    </row>
    <row r="106" spans="10:125" x14ac:dyDescent="0.25">
      <c r="J106" s="86" t="str" cm="1">
        <f t="array" ref="J106">LOOKUP(2,1/($G$17:$G$33&lt;=$L106)/($H$17:$H$33&gt;=$L106),$F$17:$F$33)</f>
        <v>1H23</v>
      </c>
      <c r="K106" s="86" t="str" cm="1">
        <f t="array" ref="K106">LOOKUP(2,1/($G$6:$G$14&lt;=$L106)/($H$6:$H$14&gt;=$L106),$F$6:$F$14)</f>
        <v>FY23</v>
      </c>
      <c r="L106" s="118">
        <v>44761</v>
      </c>
      <c r="M106" s="49">
        <v>15887167.007034266</v>
      </c>
      <c r="N106" s="49">
        <v>22780608.771386433</v>
      </c>
      <c r="O106" s="50">
        <v>5000000</v>
      </c>
      <c r="P106" s="119" cm="1">
        <f t="array" ref="P106">LOOKUP(2,1/($B$10:$B$14&lt;=$L106)/($C$10:$C$14&gt;=$L106),$D$10:$D$14)</f>
        <v>1.1000000000000001</v>
      </c>
      <c r="Q106" s="120" cm="1">
        <f t="array" ref="Q106">LOOKUP(2,1/($B$17:$B$21&lt;=$L106)/($C$17:$C$21&gt;=$L106),$D$17:$D$21)</f>
        <v>134.49039999999999</v>
      </c>
      <c r="R106" s="113" t="str">
        <f t="shared" si="105"/>
        <v/>
      </c>
      <c r="S106" s="113" t="str">
        <f t="shared" si="106"/>
        <v>1H23</v>
      </c>
      <c r="T106" s="113" t="str">
        <f t="shared" ca="1" si="107"/>
        <v/>
      </c>
      <c r="U106" s="113" t="str">
        <f t="shared" si="108"/>
        <v/>
      </c>
      <c r="V106" s="113" t="str">
        <f t="shared" si="109"/>
        <v>FY23</v>
      </c>
      <c r="W106" s="113" t="str">
        <f t="shared" ca="1" si="110"/>
        <v/>
      </c>
      <c r="X106" s="50"/>
      <c r="Y106" s="114" t="s">
        <v>172</v>
      </c>
      <c r="Z106" s="119" cm="1">
        <f t="array" ref="Z106">LOOKUP(2,1/($B$17:$B$21&lt;=Z101)/($C$17:$C$21&gt;=Z101),$D$17:$D$21)</f>
        <v>134.49039999999999</v>
      </c>
      <c r="AA106" s="114" t="s">
        <v>0</v>
      </c>
      <c r="AB106" s="135">
        <v>1</v>
      </c>
      <c r="AC106" s="162">
        <v>1</v>
      </c>
      <c r="AD106" s="162">
        <f>1-AC106</f>
        <v>0</v>
      </c>
      <c r="AH106" s="153" t="s">
        <v>166</v>
      </c>
      <c r="AI106" s="158">
        <f>AB103</f>
        <v>45107</v>
      </c>
      <c r="AJ106" s="154"/>
      <c r="AK106" s="154"/>
      <c r="AL106" s="155">
        <f t="shared" si="129"/>
        <v>5</v>
      </c>
      <c r="AM106" s="154"/>
      <c r="AN106" s="154"/>
      <c r="AO106" s="156">
        <f t="shared" si="130"/>
        <v>11.219228065199307</v>
      </c>
      <c r="AR106" s="50"/>
      <c r="AS106" s="114" t="s">
        <v>169</v>
      </c>
      <c r="AT106" s="159">
        <v>1.2</v>
      </c>
      <c r="AU106" s="114" t="s">
        <v>149</v>
      </c>
      <c r="AV106" s="152" cm="1">
        <f t="array" ref="AV106">LOOKUP(2,1/($B$6:$B$7&lt;=AT102)/($C$6:$C$7&gt;=AT102),$D$6:$D$7)</f>
        <v>0.10299999999999999</v>
      </c>
      <c r="AW106" s="157"/>
      <c r="AY106" s="153" t="s">
        <v>166</v>
      </c>
      <c r="AZ106" s="158">
        <f>AV104</f>
        <v>45107</v>
      </c>
      <c r="BA106" s="154"/>
      <c r="BB106" s="155">
        <f>AT109/1000000</f>
        <v>4</v>
      </c>
      <c r="BC106" s="156" t="e">
        <f>MAX(AU109:AV109)/1000000</f>
        <v>#DIV/0!</v>
      </c>
      <c r="BF106" s="50"/>
      <c r="BG106" s="114" t="s">
        <v>169</v>
      </c>
      <c r="BH106" s="119" cm="1">
        <f t="array" ref="BH106">LOOKUP(2,1/($B$10:$B$14&lt;=BH102)/($C$10:$C$14&gt;=BH102),$D$10:$D$14)</f>
        <v>1.1000000000000001</v>
      </c>
      <c r="BI106" s="114" t="s">
        <v>149</v>
      </c>
      <c r="BJ106" s="152" cm="1">
        <f t="array" ref="BJ106">LOOKUP(2,1/($B$6:$B$7&lt;=BH102)/($C$6:$C$7&gt;=BH102),$D$6:$D$7)</f>
        <v>0.10299999999999999</v>
      </c>
      <c r="BK106" s="152"/>
      <c r="BL106" s="152"/>
      <c r="BM106" s="152"/>
      <c r="BO106" s="153" t="s">
        <v>165</v>
      </c>
      <c r="BP106" s="158">
        <f>BH104</f>
        <v>44743</v>
      </c>
      <c r="BQ106" s="154"/>
      <c r="BR106" s="154"/>
      <c r="BS106" s="155">
        <f t="shared" ref="BS106:BS115" si="131">BH109/1000000</f>
        <v>8</v>
      </c>
      <c r="BT106" s="154"/>
      <c r="BU106" s="154"/>
      <c r="BV106" s="156" t="e">
        <f t="shared" ref="BV106:BV115" si="132">MAX(BI109:BJ109)/1000000</f>
        <v>#DIV/0!</v>
      </c>
      <c r="BY106" s="50"/>
      <c r="CO106" s="50"/>
      <c r="CP106" s="114" t="s">
        <v>172</v>
      </c>
      <c r="CQ106" s="119" cm="1">
        <f t="array" ref="CQ106">LOOKUP(2,1/($B$17:$B$21&lt;=CQ101)/($C$17:$C$21&gt;=CQ101),$D$17:$D$21)</f>
        <v>134.49039999999999</v>
      </c>
      <c r="CR106" s="114" t="s">
        <v>173</v>
      </c>
      <c r="CS106" s="162">
        <f>16/52</f>
        <v>0.30769230769230771</v>
      </c>
      <c r="CT106" s="162">
        <v>1</v>
      </c>
      <c r="CU106" s="162">
        <f>1-CT106</f>
        <v>0</v>
      </c>
      <c r="CV106" s="163"/>
      <c r="CX106" s="153" t="s">
        <v>91</v>
      </c>
      <c r="CY106" s="155">
        <f>CQ104/1000000</f>
        <v>50</v>
      </c>
      <c r="CZ106" s="154"/>
      <c r="DA106" s="155">
        <f t="shared" ref="DA106:DA112" si="133">CQ109/1000000</f>
        <v>20</v>
      </c>
      <c r="DB106" s="156">
        <f t="shared" ref="DB106:DB114" si="134">MAX(CR109:CS109)/1000000</f>
        <v>25.015065142576205</v>
      </c>
      <c r="DE106" s="50"/>
      <c r="DF106" s="114" t="s">
        <v>172</v>
      </c>
      <c r="DG106" s="119" cm="1">
        <f t="array" ref="DG106">LOOKUP(2,1/($B$17:$B$21&lt;=DG101)/($C$17:$C$21&gt;=DG101),$D$17:$D$21)</f>
        <v>134.49039999999999</v>
      </c>
      <c r="DH106" s="114" t="s">
        <v>173</v>
      </c>
      <c r="DI106" s="163">
        <f>INT((WEEKDAY(DG101-5)-DG101+DI101)/7)/INT((WEEKDAY(DG103-5)-DG103+DI103)/7)</f>
        <v>1</v>
      </c>
      <c r="DJ106" s="162">
        <v>1</v>
      </c>
      <c r="DK106" s="162">
        <f>1-DJ106</f>
        <v>0</v>
      </c>
      <c r="DL106" s="163"/>
      <c r="DN106" s="153" t="s">
        <v>91</v>
      </c>
      <c r="DO106" s="155">
        <f>DG104/1000000</f>
        <v>2</v>
      </c>
      <c r="DP106" s="154"/>
      <c r="DQ106" s="154"/>
      <c r="DR106" s="155">
        <f t="shared" ref="DR106:DR114" si="135">DG109/1000000</f>
        <v>8</v>
      </c>
      <c r="DS106" s="154"/>
      <c r="DT106" s="154"/>
      <c r="DU106" s="156" t="e">
        <f t="shared" ref="DU106:DU114" si="136">MAX(DH109:DI109)/1000000</f>
        <v>#DIV/0!</v>
      </c>
    </row>
    <row r="107" spans="10:125" x14ac:dyDescent="0.25">
      <c r="J107" s="86" t="str" cm="1">
        <f t="array" ref="J107">LOOKUP(2,1/($G$17:$G$33&lt;=$L107)/($H$17:$H$33&gt;=$L107),$F$17:$F$33)</f>
        <v>1H23</v>
      </c>
      <c r="K107" s="86" t="str" cm="1">
        <f t="array" ref="K107">LOOKUP(2,1/($G$6:$G$14&lt;=$L107)/($H$6:$H$14&gt;=$L107),$F$6:$F$14)</f>
        <v>FY23</v>
      </c>
      <c r="L107" s="118">
        <v>44754</v>
      </c>
      <c r="M107" s="49">
        <v>8988383.8211935572</v>
      </c>
      <c r="N107" s="49">
        <v>12888443.561209442</v>
      </c>
      <c r="O107" s="50">
        <v>3000000</v>
      </c>
      <c r="P107" s="119" cm="1">
        <f t="array" ref="P107">LOOKUP(2,1/($B$10:$B$14&lt;=$L107)/($C$10:$C$14&gt;=$L107),$D$10:$D$14)</f>
        <v>1.1000000000000001</v>
      </c>
      <c r="Q107" s="120" cm="1">
        <f t="array" ref="Q107">LOOKUP(2,1/($B$17:$B$21&lt;=$L107)/($C$17:$C$21&gt;=$L107),$D$17:$D$21)</f>
        <v>134.49039999999999</v>
      </c>
      <c r="R107" s="113" t="str">
        <f t="shared" si="105"/>
        <v/>
      </c>
      <c r="S107" s="113" t="str">
        <f t="shared" si="106"/>
        <v>1H23</v>
      </c>
      <c r="T107" s="113" t="str">
        <f t="shared" ca="1" si="107"/>
        <v/>
      </c>
      <c r="U107" s="113" t="str">
        <f t="shared" si="108"/>
        <v/>
      </c>
      <c r="V107" s="113" t="str">
        <f t="shared" si="109"/>
        <v>FY23</v>
      </c>
      <c r="W107" s="113" t="str">
        <f t="shared" ca="1" si="110"/>
        <v/>
      </c>
      <c r="X107" s="50"/>
      <c r="Y107" s="111" t="s">
        <v>174</v>
      </c>
      <c r="Z107" s="111" t="s">
        <v>175</v>
      </c>
      <c r="AA107" s="111" t="s">
        <v>176</v>
      </c>
      <c r="AB107" s="111" t="s">
        <v>177</v>
      </c>
      <c r="AC107" s="111" t="s">
        <v>178</v>
      </c>
      <c r="AD107" s="111" t="s">
        <v>179</v>
      </c>
      <c r="AE107" s="111" t="s">
        <v>180</v>
      </c>
      <c r="AF107" s="37"/>
      <c r="AH107" s="153" t="s">
        <v>169</v>
      </c>
      <c r="AI107" s="165">
        <f>Z105</f>
        <v>1.2</v>
      </c>
      <c r="AJ107" s="154"/>
      <c r="AK107" s="154"/>
      <c r="AL107" s="155">
        <f t="shared" si="129"/>
        <v>10</v>
      </c>
      <c r="AM107" s="154"/>
      <c r="AN107" s="154"/>
      <c r="AO107" s="156">
        <f t="shared" si="130"/>
        <v>16.75610661929025</v>
      </c>
      <c r="AR107" s="50"/>
      <c r="AS107" s="114" t="s">
        <v>172</v>
      </c>
      <c r="AT107" s="119" cm="1">
        <f t="array" ref="AT107">LOOKUP(2,1/($B$17:$B$21&lt;=AT102)/($C$17:$C$21&gt;=AT102),$D$17:$D$21)</f>
        <v>134.49039999999999</v>
      </c>
      <c r="AU107" s="114" t="s">
        <v>0</v>
      </c>
      <c r="AV107" s="135">
        <f>$AV$49*(1+(1.2/1.1-1)*-30%)</f>
        <v>0.92409090909090907</v>
      </c>
      <c r="AY107" s="153" t="s">
        <v>91</v>
      </c>
      <c r="AZ107" s="155">
        <f>AT105/1000000</f>
        <v>20</v>
      </c>
      <c r="BA107" s="154"/>
      <c r="BB107" s="155">
        <f t="shared" ref="BB107:BB115" si="137">AT110/1000000</f>
        <v>8</v>
      </c>
      <c r="BC107" s="156" t="e">
        <f t="shared" ref="BC107:BC114" si="138">MAX(AU110:AV110)/1000000</f>
        <v>#DIV/0!</v>
      </c>
      <c r="BF107" s="50"/>
      <c r="BG107" s="114" t="s">
        <v>172</v>
      </c>
      <c r="BH107" s="119" cm="1">
        <f t="array" ref="BH107">LOOKUP(2,1/($B$17:$B$21&lt;=BH102)/($C$17:$C$21&gt;=BH102),$D$17:$D$21)</f>
        <v>134.49039999999999</v>
      </c>
      <c r="BO107" s="153" t="s">
        <v>166</v>
      </c>
      <c r="BP107" s="158">
        <f>BJ104</f>
        <v>45107</v>
      </c>
      <c r="BQ107" s="154"/>
      <c r="BR107" s="154"/>
      <c r="BS107" s="155">
        <f t="shared" si="131"/>
        <v>20</v>
      </c>
      <c r="BT107" s="154"/>
      <c r="BU107" s="154"/>
      <c r="BV107" s="156">
        <f t="shared" si="132"/>
        <v>22.336329078738373</v>
      </c>
      <c r="BY107" s="50"/>
      <c r="CO107" s="50"/>
      <c r="CP107" s="111" t="s">
        <v>174</v>
      </c>
      <c r="CQ107" s="111" t="s">
        <v>175</v>
      </c>
      <c r="CR107" s="111" t="s">
        <v>176</v>
      </c>
      <c r="CS107" s="111" t="s">
        <v>177</v>
      </c>
      <c r="CT107" s="111" t="s">
        <v>178</v>
      </c>
      <c r="CU107" s="111" t="s">
        <v>179</v>
      </c>
      <c r="CV107" s="111" t="s">
        <v>180</v>
      </c>
      <c r="CX107" s="153" t="s">
        <v>76</v>
      </c>
      <c r="CY107" s="155">
        <f ca="1">CS104/1000000</f>
        <v>15</v>
      </c>
      <c r="CZ107" s="154"/>
      <c r="DA107" s="155">
        <f t="shared" si="133"/>
        <v>30</v>
      </c>
      <c r="DB107" s="156">
        <f t="shared" si="134"/>
        <v>33.678561496230749</v>
      </c>
      <c r="DE107" s="50"/>
      <c r="DF107" s="111" t="s">
        <v>174</v>
      </c>
      <c r="DG107" s="111" t="s">
        <v>175</v>
      </c>
      <c r="DH107" s="111" t="s">
        <v>176</v>
      </c>
      <c r="DI107" s="111" t="s">
        <v>177</v>
      </c>
      <c r="DJ107" s="111" t="s">
        <v>178</v>
      </c>
      <c r="DK107" s="111" t="s">
        <v>179</v>
      </c>
      <c r="DL107" s="111" t="s">
        <v>180</v>
      </c>
      <c r="DN107" s="153" t="s">
        <v>76</v>
      </c>
      <c r="DO107" s="155">
        <f ca="1">DI104/1000000</f>
        <v>80</v>
      </c>
      <c r="DP107" s="154"/>
      <c r="DQ107" s="154"/>
      <c r="DR107" s="155">
        <f t="shared" si="135"/>
        <v>12</v>
      </c>
      <c r="DS107" s="154"/>
      <c r="DT107" s="154"/>
      <c r="DU107" s="156" t="e">
        <f t="shared" si="136"/>
        <v>#DIV/0!</v>
      </c>
    </row>
    <row r="108" spans="10:125" x14ac:dyDescent="0.25">
      <c r="J108" s="86" t="str" cm="1">
        <f t="array" ref="J108">LOOKUP(2,1/($G$17:$G$33&lt;=$L108)/($H$17:$H$33&gt;=$L108),$F$17:$F$33)</f>
        <v>1H23</v>
      </c>
      <c r="K108" s="86" t="str" cm="1">
        <f t="array" ref="K108">LOOKUP(2,1/($G$6:$G$14&lt;=$L108)/($H$6:$H$14&gt;=$L108),$F$6:$F$14)</f>
        <v>FY23</v>
      </c>
      <c r="L108" s="118">
        <v>44747</v>
      </c>
      <c r="M108" s="49">
        <v>26744814.045836173</v>
      </c>
      <c r="N108" s="49">
        <v>38349388.860324487</v>
      </c>
      <c r="O108" s="50">
        <v>30000000</v>
      </c>
      <c r="P108" s="119" cm="1">
        <f t="array" ref="P108">LOOKUP(2,1/($B$10:$B$14&lt;=$L108)/($C$10:$C$14&gt;=$L108),$D$10:$D$14)</f>
        <v>1.1000000000000001</v>
      </c>
      <c r="Q108" s="120" cm="1">
        <f t="array" ref="Q108">LOOKUP(2,1/($B$17:$B$21&lt;=$L108)/($C$17:$C$21&gt;=$L108),$D$17:$D$21)</f>
        <v>134.49039999999999</v>
      </c>
      <c r="R108" s="113" t="str">
        <f t="shared" si="105"/>
        <v>1H23</v>
      </c>
      <c r="S108" s="113" t="str">
        <f t="shared" si="106"/>
        <v>1H23</v>
      </c>
      <c r="T108" s="113" t="str">
        <f t="shared" ca="1" si="107"/>
        <v/>
      </c>
      <c r="U108" s="113" t="str">
        <f t="shared" si="108"/>
        <v>FY23</v>
      </c>
      <c r="V108" s="113" t="str">
        <f t="shared" si="109"/>
        <v>FY23</v>
      </c>
      <c r="W108" s="113" t="str">
        <f t="shared" ca="1" si="110"/>
        <v/>
      </c>
      <c r="X108" s="50"/>
      <c r="Y108" s="146">
        <v>1</v>
      </c>
      <c r="Z108" s="166">
        <v>2000000</v>
      </c>
      <c r="AA108" s="167">
        <f t="shared" ref="AA108:AA113" si="139">AVERAGEIFS($M:$M,$L:$L,"&gt;="&amp;Z$101,$L:$L,"&lt;="&amp;AB$101,$O:$O,"="&amp;Z108)*AB$106</f>
        <v>9073231.4492906313</v>
      </c>
      <c r="AB108" s="168"/>
      <c r="AC108" s="145">
        <v>8466500</v>
      </c>
      <c r="AD108" s="168"/>
      <c r="AE108" s="167">
        <f t="shared" ref="AE108:AE113" si="140">COUNTIFS($L:$L,"&gt;="&amp;Z$101,$L:$L,"&lt;="&amp;AB$101,$O:$O,"="&amp;Z108)</f>
        <v>14</v>
      </c>
      <c r="AF108" s="167"/>
      <c r="AH108" s="153" t="s">
        <v>149</v>
      </c>
      <c r="AI108" s="169">
        <f>AB105</f>
        <v>0.10299999999999999</v>
      </c>
      <c r="AJ108" s="154"/>
      <c r="AK108" s="154"/>
      <c r="AL108" s="155">
        <f t="shared" si="129"/>
        <v>20</v>
      </c>
      <c r="AM108" s="154"/>
      <c r="AN108" s="154"/>
      <c r="AO108" s="156">
        <f t="shared" si="130"/>
        <v>23.315735373647989</v>
      </c>
      <c r="AR108" s="50"/>
      <c r="AS108" s="111" t="s">
        <v>174</v>
      </c>
      <c r="AT108" s="111" t="s">
        <v>175</v>
      </c>
      <c r="AU108" s="111" t="s">
        <v>176</v>
      </c>
      <c r="AV108" s="111" t="s">
        <v>177</v>
      </c>
      <c r="AW108" s="111" t="s">
        <v>180</v>
      </c>
      <c r="AY108" s="153" t="s">
        <v>76</v>
      </c>
      <c r="AZ108" s="155">
        <f>AV105/1000000</f>
        <v>20</v>
      </c>
      <c r="BA108" s="154"/>
      <c r="BB108" s="155">
        <f t="shared" si="137"/>
        <v>20</v>
      </c>
      <c r="BC108" s="156">
        <f t="shared" si="138"/>
        <v>19.569798941162816</v>
      </c>
      <c r="BF108" s="50"/>
      <c r="BG108" s="111" t="s">
        <v>174</v>
      </c>
      <c r="BH108" s="111" t="s">
        <v>175</v>
      </c>
      <c r="BI108" s="111" t="s">
        <v>176</v>
      </c>
      <c r="BJ108" s="111" t="s">
        <v>177</v>
      </c>
      <c r="BK108" s="111"/>
      <c r="BL108" s="111"/>
      <c r="BM108" s="111" t="s">
        <v>180</v>
      </c>
      <c r="BO108" s="153" t="s">
        <v>169</v>
      </c>
      <c r="BP108" s="165">
        <f>BH106</f>
        <v>1.1000000000000001</v>
      </c>
      <c r="BQ108" s="154"/>
      <c r="BR108" s="154"/>
      <c r="BS108" s="155">
        <f t="shared" si="131"/>
        <v>30</v>
      </c>
      <c r="BT108" s="154"/>
      <c r="BU108" s="154"/>
      <c r="BV108" s="156">
        <f t="shared" si="132"/>
        <v>33.740757558997061</v>
      </c>
      <c r="BY108" s="50"/>
      <c r="CO108" s="50"/>
      <c r="CP108" s="146">
        <v>1</v>
      </c>
      <c r="CQ108" s="166">
        <v>8000000</v>
      </c>
      <c r="CR108" s="168" t="e">
        <f>AVERAGEIFS($M:$M,$L:$L,"&gt;="&amp;CQ$101,$L:$L,"&lt;="&amp;CS$101,$O:$O,"="&amp;CQ108)</f>
        <v>#DIV/0!</v>
      </c>
      <c r="CS108" s="168"/>
      <c r="CT108" s="168"/>
      <c r="CU108" s="168"/>
      <c r="CV108" s="167">
        <f>COUNTIFS($L:$L,"&gt;="&amp;CQ$101,$L:$L,"&lt;="&amp;CS$101,$O:$O,"="&amp;CQ108)</f>
        <v>0</v>
      </c>
      <c r="CX108" s="153" t="s">
        <v>169</v>
      </c>
      <c r="CY108" s="165">
        <f>CQ105</f>
        <v>1.1000000000000001</v>
      </c>
      <c r="CZ108" s="154"/>
      <c r="DA108" s="155">
        <f t="shared" si="133"/>
        <v>50</v>
      </c>
      <c r="DB108" s="156">
        <f t="shared" si="134"/>
        <v>45.746976155358901</v>
      </c>
      <c r="DE108" s="50"/>
      <c r="DF108" s="146">
        <v>1</v>
      </c>
      <c r="DG108" s="166">
        <v>3000000</v>
      </c>
      <c r="DH108" s="168" t="e">
        <f t="shared" ref="DH108:DH116" si="141">AVERAGEIFS($M:$M,$L:$L,"&gt;="&amp;DG$101,$L:$L,"&lt;="&amp;DI$101,$O:$O,"="&amp;DG108)</f>
        <v>#DIV/0!</v>
      </c>
      <c r="DI108" s="168"/>
      <c r="DJ108" s="168"/>
      <c r="DK108" s="168"/>
      <c r="DL108" s="167">
        <f t="shared" ref="DL108:DL116" si="142">COUNTIFS($L:$L,"&gt;="&amp;DG$101,$L:$L,"&lt;="&amp;DI$101,$O:$O,"="&amp;DG108)</f>
        <v>0</v>
      </c>
      <c r="DN108" s="153" t="s">
        <v>169</v>
      </c>
      <c r="DO108" s="165">
        <f>DG105</f>
        <v>1.1000000000000001</v>
      </c>
      <c r="DP108" s="154"/>
      <c r="DQ108" s="154"/>
      <c r="DR108" s="155">
        <f t="shared" si="135"/>
        <v>20</v>
      </c>
      <c r="DS108" s="154"/>
      <c r="DT108" s="154"/>
      <c r="DU108" s="156">
        <f t="shared" si="136"/>
        <v>21.870114798426748</v>
      </c>
    </row>
    <row r="109" spans="10:125" x14ac:dyDescent="0.25">
      <c r="J109" s="86" t="str" cm="1">
        <f t="array" ref="J109">LOOKUP(2,1/($G$17:$G$33&lt;=$L109)/($H$17:$H$33&gt;=$L109),$F$17:$F$33)</f>
        <v>2H22</v>
      </c>
      <c r="K109" s="86" t="str" cm="1">
        <f t="array" ref="K109">LOOKUP(2,1/($G$6:$G$14&lt;=$L109)/($H$6:$H$14&gt;=$L109),$F$6:$F$14)</f>
        <v>FY22</v>
      </c>
      <c r="L109" s="118">
        <v>44740</v>
      </c>
      <c r="M109" s="49">
        <v>16459891.30928069</v>
      </c>
      <c r="N109" s="49">
        <v>23601838.148377579</v>
      </c>
      <c r="O109" s="50">
        <v>20000000</v>
      </c>
      <c r="P109" s="119" cm="1">
        <f t="array" ref="P109">LOOKUP(2,1/($B$10:$B$14&lt;=$L109)/($C$10:$C$14&gt;=$L109),$D$10:$D$14)</f>
        <v>1.1000000000000001</v>
      </c>
      <c r="Q109" s="120" cm="1">
        <f t="array" ref="Q109">LOOKUP(2,1/($B$17:$B$21&lt;=$L109)/($C$17:$C$21&gt;=$L109),$D$17:$D$21)</f>
        <v>134.49039999999999</v>
      </c>
      <c r="R109" s="113" t="str">
        <f t="shared" si="105"/>
        <v/>
      </c>
      <c r="S109" s="113" t="str">
        <f t="shared" si="106"/>
        <v>1H23</v>
      </c>
      <c r="T109" s="113" t="str">
        <f t="shared" ca="1" si="107"/>
        <v/>
      </c>
      <c r="U109" s="113" t="str">
        <f t="shared" si="108"/>
        <v/>
      </c>
      <c r="V109" s="113" t="str">
        <f t="shared" si="109"/>
        <v>FY23</v>
      </c>
      <c r="W109" s="113" t="str">
        <f t="shared" ca="1" si="110"/>
        <v/>
      </c>
      <c r="X109" s="50"/>
      <c r="Y109" s="146">
        <v>2</v>
      </c>
      <c r="Z109" s="166">
        <v>5000000</v>
      </c>
      <c r="AA109" s="167">
        <f t="shared" si="139"/>
        <v>11219228.065199306</v>
      </c>
      <c r="AC109" s="145">
        <v>11075000</v>
      </c>
      <c r="AE109" s="167">
        <f t="shared" si="140"/>
        <v>13</v>
      </c>
      <c r="AF109" s="167"/>
      <c r="AH109" s="153" t="s">
        <v>172</v>
      </c>
      <c r="AI109" s="170">
        <f>Z106</f>
        <v>134.49039999999999</v>
      </c>
      <c r="AJ109" s="154"/>
      <c r="AK109" s="154"/>
      <c r="AL109" s="155">
        <f t="shared" si="129"/>
        <v>30</v>
      </c>
      <c r="AM109" s="154"/>
      <c r="AN109" s="154"/>
      <c r="AO109" s="156">
        <f t="shared" si="130"/>
        <v>33.740757558997061</v>
      </c>
      <c r="AR109" s="50"/>
      <c r="AS109" s="146">
        <v>1</v>
      </c>
      <c r="AT109" s="166">
        <v>4000000</v>
      </c>
      <c r="AU109" s="167" t="e">
        <f>AVERAGEIFS($M:$M,$L:$L,"&gt;="&amp;AT$102,$L:$L,"&lt;="&amp;AV$102,$O:$O,"="&amp;AT109)*AV$107</f>
        <v>#DIV/0!</v>
      </c>
      <c r="AV109" s="168"/>
      <c r="AW109" s="167">
        <f t="shared" ref="AW109:AW115" si="143">COUNTIFS($L:$L,"&gt;="&amp;AT$6,$L:$L,"&lt;="&amp;AV$6,$O:$O,"="&amp;$AT109)</f>
        <v>0</v>
      </c>
      <c r="AY109" s="153" t="s">
        <v>169</v>
      </c>
      <c r="AZ109" s="165">
        <f>AT106</f>
        <v>1.2</v>
      </c>
      <c r="BA109" s="154"/>
      <c r="BB109" s="155">
        <f t="shared" si="137"/>
        <v>40</v>
      </c>
      <c r="BC109" s="156" t="e">
        <f t="shared" si="138"/>
        <v>#DIV/0!</v>
      </c>
      <c r="BF109" s="50"/>
      <c r="BG109" s="146">
        <v>1</v>
      </c>
      <c r="BH109" s="166">
        <v>8000000</v>
      </c>
      <c r="BI109" s="167" t="e">
        <f>AVERAGEIFS($M:$M,$L:$L,"&gt;="&amp;BH$102,$L:$L,"&lt;="&amp;BJ$102,$O:$O,"="&amp;BH109)</f>
        <v>#DIV/0!</v>
      </c>
      <c r="BJ109" s="168"/>
      <c r="BK109" s="168"/>
      <c r="BL109" s="168"/>
      <c r="BM109" s="167">
        <f t="shared" ref="BM109:BM114" si="144">COUNTIFS($L:$L,"&gt;="&amp;BH$102,$L:$L,"&lt;="&amp;BJ$102,$O:$O,"="&amp;BH109)</f>
        <v>0</v>
      </c>
      <c r="BO109" s="153" t="s">
        <v>149</v>
      </c>
      <c r="BP109" s="169">
        <f>BJ106</f>
        <v>0.10299999999999999</v>
      </c>
      <c r="BQ109" s="154"/>
      <c r="BR109" s="154"/>
      <c r="BS109" s="155">
        <f t="shared" si="131"/>
        <v>50</v>
      </c>
      <c r="BT109" s="154"/>
      <c r="BU109" s="154"/>
      <c r="BV109" s="156">
        <f t="shared" si="132"/>
        <v>75.843438000000006</v>
      </c>
      <c r="BY109" s="50"/>
      <c r="CO109" s="50"/>
      <c r="CP109" s="146">
        <v>2</v>
      </c>
      <c r="CQ109" s="166">
        <v>20000000</v>
      </c>
      <c r="CR109" s="168">
        <f>AVERAGEIFS($M:$M,$L:$L,"&gt;="&amp;CQ$101,$L:$L,"&lt;="&amp;CS$101,$O:$O,"="&amp;CQ109)</f>
        <v>25015065.142576206</v>
      </c>
      <c r="CS109" s="168"/>
      <c r="CV109" s="167">
        <f>COUNTIFS($L:$L,"&gt;="&amp;CQ$101,$L:$L,"&lt;="&amp;CS$101,$O:$O,"="&amp;CQ109)</f>
        <v>4</v>
      </c>
      <c r="CX109" s="153" t="s">
        <v>149</v>
      </c>
      <c r="CY109" s="169">
        <f>CS105</f>
        <v>0.10299999999999999</v>
      </c>
      <c r="CZ109" s="154"/>
      <c r="DA109" s="155">
        <f t="shared" si="133"/>
        <v>80</v>
      </c>
      <c r="DB109" s="156" t="e">
        <f t="shared" si="134"/>
        <v>#DIV/0!</v>
      </c>
      <c r="DE109" s="50"/>
      <c r="DF109" s="146">
        <v>2</v>
      </c>
      <c r="DG109" s="166">
        <v>8000000</v>
      </c>
      <c r="DH109" s="168" t="e">
        <f t="shared" si="141"/>
        <v>#DIV/0!</v>
      </c>
      <c r="DL109" s="167">
        <f t="shared" si="142"/>
        <v>0</v>
      </c>
      <c r="DN109" s="153" t="s">
        <v>149</v>
      </c>
      <c r="DO109" s="169">
        <f>DI105</f>
        <v>9.8000000000000004E-2</v>
      </c>
      <c r="DP109" s="154"/>
      <c r="DQ109" s="154"/>
      <c r="DR109" s="155">
        <f t="shared" si="135"/>
        <v>40</v>
      </c>
      <c r="DS109" s="154"/>
      <c r="DT109" s="154"/>
      <c r="DU109" s="156">
        <f t="shared" si="136"/>
        <v>34.731075344149467</v>
      </c>
    </row>
    <row r="110" spans="10:125" x14ac:dyDescent="0.25">
      <c r="J110" s="86" t="str" cm="1">
        <f t="array" ref="J110">LOOKUP(2,1/($G$17:$G$33&lt;=$L110)/($H$17:$H$33&gt;=$L110),$F$17:$F$33)</f>
        <v>2H22</v>
      </c>
      <c r="K110" s="86" t="str" cm="1">
        <f t="array" ref="K110">LOOKUP(2,1/($G$6:$G$14&lt;=$L110)/($H$6:$H$14&gt;=$L110),$F$6:$F$14)</f>
        <v>FY22</v>
      </c>
      <c r="L110" s="118">
        <v>44733</v>
      </c>
      <c r="M110" s="49">
        <v>12227484.570002271</v>
      </c>
      <c r="N110" s="49">
        <v>17532990.124926254</v>
      </c>
      <c r="O110" s="50">
        <v>10000000</v>
      </c>
      <c r="P110" s="119" cm="1">
        <f t="array" ref="P110">LOOKUP(2,1/($B$10:$B$14&lt;=$L110)/($C$10:$C$14&gt;=$L110),$D$10:$D$14)</f>
        <v>1.1000000000000001</v>
      </c>
      <c r="Q110" s="120" cm="1">
        <f t="array" ref="Q110">LOOKUP(2,1/($B$17:$B$21&lt;=$L110)/($C$17:$C$21&gt;=$L110),$D$17:$D$21)</f>
        <v>134.49039999999999</v>
      </c>
      <c r="R110" s="113" t="str">
        <f t="shared" si="105"/>
        <v/>
      </c>
      <c r="S110" s="113" t="str">
        <f t="shared" si="106"/>
        <v>1H23</v>
      </c>
      <c r="T110" s="113" t="str">
        <f t="shared" ca="1" si="107"/>
        <v/>
      </c>
      <c r="U110" s="113" t="str">
        <f t="shared" si="108"/>
        <v/>
      </c>
      <c r="V110" s="113" t="str">
        <f t="shared" si="109"/>
        <v>FY23</v>
      </c>
      <c r="W110" s="113" t="str">
        <f t="shared" ca="1" si="110"/>
        <v/>
      </c>
      <c r="Y110" s="146">
        <v>3</v>
      </c>
      <c r="Z110" s="166">
        <v>10000000</v>
      </c>
      <c r="AA110" s="167">
        <f t="shared" si="139"/>
        <v>16756106.619290249</v>
      </c>
      <c r="AC110" s="145">
        <v>15422500</v>
      </c>
      <c r="AE110" s="167">
        <f t="shared" si="140"/>
        <v>11</v>
      </c>
      <c r="AF110" s="167"/>
      <c r="AH110" s="171"/>
      <c r="AJ110" s="154"/>
      <c r="AK110" s="154"/>
      <c r="AL110" s="155">
        <f t="shared" si="129"/>
        <v>50</v>
      </c>
      <c r="AM110" s="154"/>
      <c r="AN110" s="154"/>
      <c r="AO110" s="156">
        <f t="shared" si="130"/>
        <v>48.317783062930189</v>
      </c>
      <c r="AS110" s="146">
        <v>2</v>
      </c>
      <c r="AT110" s="166">
        <v>8000000</v>
      </c>
      <c r="AU110" s="167" t="e">
        <f>AVERAGEIFS($M:$M,$L:$L,"&gt;="&amp;AT$44,$L:$L,"&lt;="&amp;AV$44,$O:$O,"="&amp;AT110)*AV$107</f>
        <v>#DIV/0!</v>
      </c>
      <c r="AV110" s="168"/>
      <c r="AW110" s="167">
        <f t="shared" si="143"/>
        <v>0</v>
      </c>
      <c r="AY110" s="153" t="s">
        <v>149</v>
      </c>
      <c r="AZ110" s="169">
        <f>AV106</f>
        <v>0.10299999999999999</v>
      </c>
      <c r="BA110" s="154"/>
      <c r="BB110" s="155">
        <f t="shared" si="137"/>
        <v>60</v>
      </c>
      <c r="BC110" s="156" t="e">
        <f t="shared" si="138"/>
        <v>#DIV/0!</v>
      </c>
      <c r="BG110" s="146">
        <v>2</v>
      </c>
      <c r="BH110" s="166">
        <v>20000000</v>
      </c>
      <c r="BI110" s="167">
        <f>AVERAGEIFS($M:$M,$L:$L,"&gt;="&amp;BH$102,$L:$L,"&lt;="&amp;BJ$102,$O:$O,"="&amp;BH110)</f>
        <v>22336329.078738373</v>
      </c>
      <c r="BM110" s="167">
        <f t="shared" si="144"/>
        <v>7</v>
      </c>
      <c r="BO110" s="153" t="s">
        <v>172</v>
      </c>
      <c r="BP110" s="170">
        <f>BH107</f>
        <v>134.49039999999999</v>
      </c>
      <c r="BQ110" s="154"/>
      <c r="BR110" s="154"/>
      <c r="BS110" s="155">
        <f t="shared" si="131"/>
        <v>100</v>
      </c>
      <c r="BT110" s="154"/>
      <c r="BU110" s="154"/>
      <c r="BV110" s="156">
        <f t="shared" si="132"/>
        <v>184.14277200000001</v>
      </c>
      <c r="CP110" s="146">
        <v>3</v>
      </c>
      <c r="CQ110" s="166">
        <v>30000000</v>
      </c>
      <c r="CR110" s="168">
        <f>AVERAGEIFS($M:$M,$L:$L,"&gt;="&amp;CQ$101,$L:$L,"&lt;="&amp;CS$101,$O:$O,"="&amp;CQ110)</f>
        <v>33678561.496230751</v>
      </c>
      <c r="CS110" s="168"/>
      <c r="CV110" s="167">
        <f>COUNTIFS($L:$L,"&gt;="&amp;CQ$101,$L:$L,"&lt;="&amp;CS$101,$O:$O,"="&amp;CQ110)</f>
        <v>3</v>
      </c>
      <c r="CX110" s="153" t="s">
        <v>172</v>
      </c>
      <c r="CY110" s="170">
        <f>CQ106</f>
        <v>134.49039999999999</v>
      </c>
      <c r="CZ110" s="154"/>
      <c r="DA110" s="155">
        <f t="shared" si="133"/>
        <v>120</v>
      </c>
      <c r="DB110" s="156">
        <f t="shared" si="134"/>
        <v>213.91579999999999</v>
      </c>
      <c r="DF110" s="146">
        <v>3</v>
      </c>
      <c r="DG110" s="166">
        <v>12000000</v>
      </c>
      <c r="DH110" s="168" t="e">
        <f t="shared" si="141"/>
        <v>#DIV/0!</v>
      </c>
      <c r="DL110" s="167">
        <f t="shared" si="142"/>
        <v>0</v>
      </c>
      <c r="DN110" s="153" t="s">
        <v>172</v>
      </c>
      <c r="DO110" s="170">
        <f>DG106</f>
        <v>134.49039999999999</v>
      </c>
      <c r="DP110" s="154"/>
      <c r="DQ110" s="154"/>
      <c r="DR110" s="155">
        <f t="shared" si="135"/>
        <v>60</v>
      </c>
      <c r="DS110" s="154"/>
      <c r="DT110" s="154"/>
      <c r="DU110" s="156" t="e">
        <f t="shared" si="136"/>
        <v>#DIV/0!</v>
      </c>
    </row>
    <row r="111" spans="10:125" x14ac:dyDescent="0.25">
      <c r="J111" s="86" t="str" cm="1">
        <f t="array" ref="J111">LOOKUP(2,1/($G$17:$G$33&lt;=$L111)/($H$17:$H$33&gt;=$L111),$F$17:$F$33)</f>
        <v>2H22</v>
      </c>
      <c r="K111" s="86" t="str" cm="1">
        <f t="array" ref="K111">LOOKUP(2,1/($G$6:$G$14&lt;=$L111)/($H$6:$H$14&gt;=$L111),$F$6:$F$14)</f>
        <v>FY22</v>
      </c>
      <c r="L111" s="118">
        <v>44726</v>
      </c>
      <c r="M111" s="49">
        <v>9067532.9022010434</v>
      </c>
      <c r="N111" s="49">
        <v>13001935.428466076</v>
      </c>
      <c r="O111" s="50">
        <v>5000000</v>
      </c>
      <c r="P111" s="119" cm="1">
        <f t="array" ref="P111">LOOKUP(2,1/($B$10:$B$14&lt;=$L111)/($C$10:$C$14&gt;=$L111),$D$10:$D$14)</f>
        <v>1.1000000000000001</v>
      </c>
      <c r="Q111" s="120" cm="1">
        <f t="array" ref="Q111">LOOKUP(2,1/($B$17:$B$21&lt;=$L111)/($C$17:$C$21&gt;=$L111),$D$17:$D$21)</f>
        <v>134.49039999999999</v>
      </c>
      <c r="R111" s="113" t="str">
        <f t="shared" si="105"/>
        <v/>
      </c>
      <c r="S111" s="113" t="str">
        <f t="shared" si="106"/>
        <v>1H23</v>
      </c>
      <c r="T111" s="113" t="str">
        <f t="shared" ca="1" si="107"/>
        <v/>
      </c>
      <c r="U111" s="113" t="str">
        <f t="shared" si="108"/>
        <v/>
      </c>
      <c r="V111" s="113" t="str">
        <f t="shared" si="109"/>
        <v>FY23</v>
      </c>
      <c r="W111" s="113" t="str">
        <f t="shared" ca="1" si="110"/>
        <v/>
      </c>
      <c r="X111" s="50"/>
      <c r="Y111" s="146">
        <v>4</v>
      </c>
      <c r="Z111" s="166">
        <v>20000000</v>
      </c>
      <c r="AA111" s="167">
        <f t="shared" si="139"/>
        <v>23315735.373647988</v>
      </c>
      <c r="AC111" s="145">
        <v>24117500</v>
      </c>
      <c r="AE111" s="167">
        <f t="shared" si="140"/>
        <v>6</v>
      </c>
      <c r="AF111" s="167"/>
      <c r="AH111" s="153" t="s">
        <v>91</v>
      </c>
      <c r="AI111" s="155">
        <f>Z104/1000000</f>
        <v>30</v>
      </c>
      <c r="AJ111" s="154"/>
      <c r="AK111" s="154"/>
      <c r="AL111" s="155">
        <f t="shared" si="129"/>
        <v>70</v>
      </c>
      <c r="AM111" s="154"/>
      <c r="AN111" s="154"/>
      <c r="AO111" s="156">
        <f t="shared" si="130"/>
        <v>67.592500000000001</v>
      </c>
      <c r="AR111" s="50"/>
      <c r="AS111" s="146">
        <v>3</v>
      </c>
      <c r="AT111" s="166">
        <v>20000000</v>
      </c>
      <c r="AU111" s="167">
        <f>AVERAGEIFS($M:$M,$L:$L,"&gt;="&amp;AT$44,$L:$L,"&lt;="&amp;AV$44,$O:$O,"="&amp;AT111)*AV$107</f>
        <v>19569798.941162817</v>
      </c>
      <c r="AV111" s="168"/>
      <c r="AW111" s="167">
        <f t="shared" si="143"/>
        <v>5</v>
      </c>
      <c r="AY111" s="153" t="s">
        <v>172</v>
      </c>
      <c r="AZ111" s="170">
        <f>AT107</f>
        <v>134.49039999999999</v>
      </c>
      <c r="BA111" s="154"/>
      <c r="BB111" s="155">
        <f t="shared" si="137"/>
        <v>80</v>
      </c>
      <c r="BC111" s="156" t="e">
        <f t="shared" si="138"/>
        <v>#DIV/0!</v>
      </c>
      <c r="BF111" s="50"/>
      <c r="BG111" s="146">
        <v>3</v>
      </c>
      <c r="BH111" s="166">
        <v>30000000</v>
      </c>
      <c r="BI111" s="167">
        <f>AVERAGEIFS($M:$M,$L:$L,"&gt;="&amp;BH$102,$L:$L,"&lt;="&amp;BJ$102,$O:$O,"="&amp;BH111)</f>
        <v>33740757.558997057</v>
      </c>
      <c r="BM111" s="167">
        <f t="shared" si="144"/>
        <v>4</v>
      </c>
      <c r="BO111" s="171"/>
      <c r="BQ111" s="154"/>
      <c r="BR111" s="154"/>
      <c r="BS111" s="155">
        <f t="shared" si="131"/>
        <v>160</v>
      </c>
      <c r="BT111" s="154"/>
      <c r="BU111" s="154"/>
      <c r="BV111" s="156">
        <f t="shared" si="132"/>
        <v>296.20793400000002</v>
      </c>
      <c r="BY111" s="50"/>
      <c r="CO111" s="50"/>
      <c r="CP111" s="146">
        <v>4</v>
      </c>
      <c r="CQ111" s="166">
        <v>50000000</v>
      </c>
      <c r="CR111" s="168">
        <f>AVERAGEIFS($M:$M,$L:$L,"&gt;="&amp;CQ$101,$L:$L,"&lt;="&amp;CS$101,$O:$O,"="&amp;CQ111)</f>
        <v>45746976.155358903</v>
      </c>
      <c r="CS111" s="168"/>
      <c r="CV111" s="167">
        <f>COUNTIFS($L:$L,"&gt;="&amp;CQ$101,$L:$L,"&lt;="&amp;CS$101,$O:$O,"="&amp;CQ111)</f>
        <v>1</v>
      </c>
      <c r="CX111" s="172"/>
      <c r="CY111" s="2"/>
      <c r="CZ111" s="154"/>
      <c r="DA111" s="155">
        <f t="shared" si="133"/>
        <v>160</v>
      </c>
      <c r="DB111" s="156">
        <f t="shared" si="134"/>
        <v>277.86219999999992</v>
      </c>
      <c r="DE111" s="50"/>
      <c r="DF111" s="146">
        <v>4</v>
      </c>
      <c r="DG111" s="166">
        <v>20000000</v>
      </c>
      <c r="DH111" s="168">
        <f t="shared" si="141"/>
        <v>21870114.798426747</v>
      </c>
      <c r="DL111" s="167">
        <f t="shared" si="142"/>
        <v>1</v>
      </c>
      <c r="DN111" s="172"/>
      <c r="DO111" s="2"/>
      <c r="DP111" s="154"/>
      <c r="DQ111" s="154"/>
      <c r="DR111" s="155">
        <f t="shared" si="135"/>
        <v>80</v>
      </c>
      <c r="DS111" s="154"/>
      <c r="DT111" s="154"/>
      <c r="DU111" s="156" t="e">
        <f t="shared" si="136"/>
        <v>#DIV/0!</v>
      </c>
    </row>
    <row r="112" spans="10:125" x14ac:dyDescent="0.25">
      <c r="J112" s="86" t="str" cm="1">
        <f t="array" ref="J112">LOOKUP(2,1/($G$17:$G$33&lt;=$L112)/($H$17:$H$33&gt;=$L112),$F$17:$F$33)</f>
        <v>2H22</v>
      </c>
      <c r="K112" s="86" t="str" cm="1">
        <f t="array" ref="K112">LOOKUP(2,1/($G$6:$G$14&lt;=$L112)/($H$6:$H$14&gt;=$L112),$F$6:$F$14)</f>
        <v>FY22</v>
      </c>
      <c r="L112" s="118">
        <v>44719</v>
      </c>
      <c r="M112" s="49">
        <v>8443267.9827547092</v>
      </c>
      <c r="N112" s="49">
        <v>12106801.960471977</v>
      </c>
      <c r="O112" s="50">
        <v>3000000</v>
      </c>
      <c r="P112" s="119" cm="1">
        <f t="array" ref="P112">LOOKUP(2,1/($B$10:$B$14&lt;=$L112)/($C$10:$C$14&gt;=$L112),$D$10:$D$14)</f>
        <v>1.1000000000000001</v>
      </c>
      <c r="Q112" s="120" cm="1">
        <f t="array" ref="Q112">LOOKUP(2,1/($B$17:$B$21&lt;=$L112)/($C$17:$C$21&gt;=$L112),$D$17:$D$21)</f>
        <v>134.49039999999999</v>
      </c>
      <c r="R112" s="113" t="str">
        <f t="shared" si="105"/>
        <v/>
      </c>
      <c r="S112" s="113" t="str">
        <f t="shared" si="106"/>
        <v>1H23</v>
      </c>
      <c r="T112" s="113" t="str">
        <f t="shared" ca="1" si="107"/>
        <v/>
      </c>
      <c r="U112" s="113" t="str">
        <f t="shared" si="108"/>
        <v/>
      </c>
      <c r="V112" s="113" t="str">
        <f t="shared" si="109"/>
        <v>FY23</v>
      </c>
      <c r="W112" s="113" t="str">
        <f t="shared" ca="1" si="110"/>
        <v/>
      </c>
      <c r="X112" s="50"/>
      <c r="Y112" s="146">
        <v>5</v>
      </c>
      <c r="Z112" s="166">
        <v>30000000</v>
      </c>
      <c r="AA112" s="167">
        <f t="shared" si="139"/>
        <v>33740757.558997057</v>
      </c>
      <c r="AC112" s="145">
        <v>32812500</v>
      </c>
      <c r="AD112" s="145"/>
      <c r="AE112" s="167">
        <f t="shared" si="140"/>
        <v>4</v>
      </c>
      <c r="AF112" s="167"/>
      <c r="AH112" s="172" t="s">
        <v>147</v>
      </c>
      <c r="AI112" s="174">
        <f>Z101</f>
        <v>44348</v>
      </c>
      <c r="AJ112" s="154"/>
      <c r="AK112" s="154"/>
      <c r="AL112" s="155">
        <f t="shared" si="129"/>
        <v>100</v>
      </c>
      <c r="AM112" s="154"/>
      <c r="AN112" s="154"/>
      <c r="AO112" s="156">
        <f t="shared" si="130"/>
        <v>121.78075000000003</v>
      </c>
      <c r="AR112" s="50"/>
      <c r="AS112" s="146">
        <v>4</v>
      </c>
      <c r="AT112" s="166">
        <v>40000000</v>
      </c>
      <c r="AU112" s="167" t="e">
        <f>AVERAGEIFS($M:$M,$L:$L,"&gt;="&amp;AT$44,$L:$L,"&lt;="&amp;AV$44,$O:$O,"="&amp;AT112)*AV$107</f>
        <v>#DIV/0!</v>
      </c>
      <c r="AV112" s="168"/>
      <c r="AW112" s="167">
        <f t="shared" si="143"/>
        <v>0</v>
      </c>
      <c r="AY112" s="172"/>
      <c r="AZ112" s="2"/>
      <c r="BA112" s="154"/>
      <c r="BB112" s="155">
        <f t="shared" si="137"/>
        <v>120</v>
      </c>
      <c r="BC112" s="156">
        <f t="shared" si="138"/>
        <v>198.5131988212033</v>
      </c>
      <c r="BF112" s="50"/>
      <c r="BG112" s="146">
        <v>4</v>
      </c>
      <c r="BH112" s="166">
        <v>50000000</v>
      </c>
      <c r="BI112" s="146">
        <v>75843438</v>
      </c>
      <c r="BM112" s="167">
        <f t="shared" si="144"/>
        <v>2</v>
      </c>
      <c r="BO112" s="153" t="s">
        <v>91</v>
      </c>
      <c r="BP112" s="155">
        <f>BH105/1000000</f>
        <v>30</v>
      </c>
      <c r="BQ112" s="154"/>
      <c r="BR112" s="154"/>
      <c r="BS112" s="155">
        <f t="shared" si="131"/>
        <v>200</v>
      </c>
      <c r="BT112" s="154"/>
      <c r="BU112" s="154"/>
      <c r="BV112" s="156">
        <f t="shared" si="132"/>
        <v>400</v>
      </c>
      <c r="BY112" s="50"/>
      <c r="CO112" s="50"/>
      <c r="CP112" s="146">
        <v>5</v>
      </c>
      <c r="CQ112" s="166">
        <v>80000000</v>
      </c>
      <c r="CR112" s="168" t="e">
        <f>AVERAGEIFS($M:$M,$L:$L,"&gt;="&amp;CQ$101,$L:$L,"&lt;="&amp;CS$101,$O:$O,"="&amp;CQ112)</f>
        <v>#DIV/0!</v>
      </c>
      <c r="CS112" s="168"/>
      <c r="CT112" s="145">
        <v>107121000</v>
      </c>
      <c r="CU112" s="145">
        <v>110883000</v>
      </c>
      <c r="CV112" s="167">
        <f>COUNTIFS($L:$L,"&gt;="&amp;CQ$101,$L:$L,"&lt;="&amp;CS$101,$O:$O,"="&amp;CQ112)</f>
        <v>0</v>
      </c>
      <c r="CX112" s="172" t="s">
        <v>147</v>
      </c>
      <c r="CY112" s="174">
        <f>CQ101</f>
        <v>44013</v>
      </c>
      <c r="CZ112" s="154"/>
      <c r="DA112" s="155">
        <f t="shared" si="133"/>
        <v>200</v>
      </c>
      <c r="DB112" s="156">
        <f t="shared" si="134"/>
        <v>341.80860000000001</v>
      </c>
      <c r="DE112" s="50"/>
      <c r="DF112" s="146">
        <v>5</v>
      </c>
      <c r="DG112" s="166">
        <v>40000000</v>
      </c>
      <c r="DH112" s="168">
        <f t="shared" si="141"/>
        <v>34731075.34414947</v>
      </c>
      <c r="DL112" s="167">
        <f t="shared" si="142"/>
        <v>2</v>
      </c>
      <c r="DN112" s="172" t="s">
        <v>147</v>
      </c>
      <c r="DO112" s="174">
        <f>DG101</f>
        <v>43647</v>
      </c>
      <c r="DP112" s="154"/>
      <c r="DQ112" s="154"/>
      <c r="DR112" s="155">
        <f t="shared" si="135"/>
        <v>100</v>
      </c>
      <c r="DS112" s="154"/>
      <c r="DT112" s="154"/>
      <c r="DU112" s="156" t="e">
        <f t="shared" si="136"/>
        <v>#DIV/0!</v>
      </c>
    </row>
    <row r="113" spans="10:125" x14ac:dyDescent="0.25">
      <c r="J113" s="86" t="str" cm="1">
        <f t="array" ref="J113">LOOKUP(2,1/($G$17:$G$33&lt;=$L113)/($H$17:$H$33&gt;=$L113),$F$17:$F$33)</f>
        <v>2H22</v>
      </c>
      <c r="K113" s="86" t="str" cm="1">
        <f t="array" ref="K113">LOOKUP(2,1/($G$6:$G$14&lt;=$L113)/($H$6:$H$14&gt;=$L113),$F$6:$F$14)</f>
        <v>FY22</v>
      </c>
      <c r="L113" s="118">
        <v>44712</v>
      </c>
      <c r="M113" s="49">
        <v>10614764.125255279</v>
      </c>
      <c r="N113" s="49">
        <v>15220510.279203545</v>
      </c>
      <c r="O113" s="50">
        <v>5000000</v>
      </c>
      <c r="P113" s="119" cm="1">
        <f t="array" ref="P113">LOOKUP(2,1/($B$10:$B$14&lt;=$L113)/($C$10:$C$14&gt;=$L113),$D$10:$D$14)</f>
        <v>1.1000000000000001</v>
      </c>
      <c r="Q113" s="120" cm="1">
        <f t="array" ref="Q113">LOOKUP(2,1/($B$17:$B$21&lt;=$L113)/($C$17:$C$21&gt;=$L113),$D$17:$D$21)</f>
        <v>134.49039999999999</v>
      </c>
      <c r="R113" s="113" t="str">
        <f t="shared" si="105"/>
        <v/>
      </c>
      <c r="S113" s="113" t="str">
        <f t="shared" si="106"/>
        <v>2H22</v>
      </c>
      <c r="T113" s="113" t="str">
        <f t="shared" ca="1" si="107"/>
        <v>1H23</v>
      </c>
      <c r="U113" s="113" t="str">
        <f t="shared" si="108"/>
        <v/>
      </c>
      <c r="V113" s="113" t="str">
        <f t="shared" si="109"/>
        <v>FY22</v>
      </c>
      <c r="W113" s="113" t="str">
        <f t="shared" ca="1" si="110"/>
        <v>FY23</v>
      </c>
      <c r="X113" s="50"/>
      <c r="Y113" s="146">
        <v>6</v>
      </c>
      <c r="Z113" s="166">
        <v>50000000</v>
      </c>
      <c r="AA113" s="167">
        <f t="shared" si="139"/>
        <v>48317783.062930189</v>
      </c>
      <c r="AC113" s="145">
        <v>50202500</v>
      </c>
      <c r="AD113" s="145"/>
      <c r="AE113" s="167">
        <f t="shared" si="140"/>
        <v>2</v>
      </c>
      <c r="AF113" s="167"/>
      <c r="AH113" s="172" t="s">
        <v>148</v>
      </c>
      <c r="AI113" s="174">
        <f>AB101</f>
        <v>44691</v>
      </c>
      <c r="AJ113" s="154"/>
      <c r="AK113" s="154"/>
      <c r="AL113" s="155">
        <f t="shared" si="129"/>
        <v>150</v>
      </c>
      <c r="AM113" s="154"/>
      <c r="AN113" s="154"/>
      <c r="AO113" s="156">
        <f t="shared" si="130"/>
        <v>178.29825</v>
      </c>
      <c r="AR113" s="50"/>
      <c r="AS113" s="146">
        <v>5</v>
      </c>
      <c r="AT113" s="166">
        <v>60000000</v>
      </c>
      <c r="AU113" s="167" t="e">
        <f>AVERAGEIFS($M:$M,$L:$L,"&gt;="&amp;AT$44,$L:$L,"&lt;="&amp;AV$44,$O:$O,"="&amp;AT113)*AV$107</f>
        <v>#DIV/0!</v>
      </c>
      <c r="AV113" s="168"/>
      <c r="AW113" s="167">
        <f t="shared" si="143"/>
        <v>0</v>
      </c>
      <c r="AY113" s="172" t="s">
        <v>147</v>
      </c>
      <c r="AZ113" s="174">
        <f>AT102</f>
        <v>44652</v>
      </c>
      <c r="BA113" s="154"/>
      <c r="BB113" s="155">
        <f t="shared" si="137"/>
        <v>150</v>
      </c>
      <c r="BC113" s="156">
        <f t="shared" si="138"/>
        <v>254.125</v>
      </c>
      <c r="BF113" s="50"/>
      <c r="BG113" s="146">
        <v>5</v>
      </c>
      <c r="BH113" s="166">
        <v>100000000</v>
      </c>
      <c r="BI113" s="146">
        <v>184142772</v>
      </c>
      <c r="BM113" s="167">
        <f t="shared" si="144"/>
        <v>0</v>
      </c>
      <c r="BO113" s="171"/>
      <c r="BQ113" s="154"/>
      <c r="BR113" s="154"/>
      <c r="BS113" s="155">
        <f t="shared" si="131"/>
        <v>250</v>
      </c>
      <c r="BT113" s="154"/>
      <c r="BU113" s="154"/>
      <c r="BV113" s="156">
        <f t="shared" si="132"/>
        <v>510</v>
      </c>
      <c r="BY113" s="50"/>
      <c r="CO113" s="50"/>
      <c r="CP113" s="146">
        <v>6</v>
      </c>
      <c r="CQ113" s="145">
        <v>120000000</v>
      </c>
      <c r="CR113" s="145"/>
      <c r="CS113" s="173">
        <f>IF($CQ113&gt;=100000000,$CT$103*CT$106*CT113+$CU$103*CU$106*CU113,CT$106*CT113+CU$106*CU113)</f>
        <v>213915800</v>
      </c>
      <c r="CT113" s="145">
        <v>152797000</v>
      </c>
      <c r="CU113" s="145">
        <v>169243000</v>
      </c>
      <c r="CV113" s="167"/>
      <c r="CX113" s="172" t="s">
        <v>148</v>
      </c>
      <c r="CY113" s="174">
        <f>CS101</f>
        <v>44377</v>
      </c>
      <c r="CZ113" s="154"/>
      <c r="DA113" s="155">
        <f>CQ116/1000000</f>
        <v>250</v>
      </c>
      <c r="DB113" s="156">
        <f t="shared" si="134"/>
        <v>421.74160000000001</v>
      </c>
      <c r="DE113" s="50"/>
      <c r="DF113" s="146">
        <v>6</v>
      </c>
      <c r="DG113" s="166">
        <v>60000000</v>
      </c>
      <c r="DH113" s="168" t="e">
        <f t="shared" si="141"/>
        <v>#DIV/0!</v>
      </c>
      <c r="DJ113" s="145">
        <v>75767000</v>
      </c>
      <c r="DK113" s="145">
        <v>65348000</v>
      </c>
      <c r="DL113" s="167">
        <f t="shared" si="142"/>
        <v>0</v>
      </c>
      <c r="DN113" s="172" t="s">
        <v>148</v>
      </c>
      <c r="DO113" s="174">
        <f>DI101</f>
        <v>43830</v>
      </c>
      <c r="DP113" s="154"/>
      <c r="DQ113" s="154"/>
      <c r="DR113" s="155">
        <f t="shared" si="135"/>
        <v>150</v>
      </c>
      <c r="DS113" s="154"/>
      <c r="DT113" s="154"/>
      <c r="DU113" s="156" t="e">
        <f t="shared" si="136"/>
        <v>#DIV/0!</v>
      </c>
    </row>
    <row r="114" spans="10:125" x14ac:dyDescent="0.25">
      <c r="J114" s="86" t="str" cm="1">
        <f t="array" ref="J114">LOOKUP(2,1/($G$17:$G$33&lt;=$L114)/($H$17:$H$33&gt;=$L114),$F$17:$F$33)</f>
        <v>2H22</v>
      </c>
      <c r="K114" s="86" t="str" cm="1">
        <f t="array" ref="K114">LOOKUP(2,1/($G$6:$G$14&lt;=$L114)/($H$6:$H$14&gt;=$L114),$F$6:$F$14)</f>
        <v>FY22</v>
      </c>
      <c r="L114" s="118">
        <v>44705</v>
      </c>
      <c r="M114" s="49">
        <v>9006239.7322441582</v>
      </c>
      <c r="N114" s="49">
        <v>12914047.152064897</v>
      </c>
      <c r="O114" s="50">
        <v>3000000</v>
      </c>
      <c r="P114" s="119" cm="1">
        <f t="array" ref="P114">LOOKUP(2,1/($B$10:$B$14&lt;=$L114)/($C$10:$C$14&gt;=$L114),$D$10:$D$14)</f>
        <v>1.1000000000000001</v>
      </c>
      <c r="Q114" s="120" cm="1">
        <f t="array" ref="Q114">LOOKUP(2,1/($B$17:$B$21&lt;=$L114)/($C$17:$C$21&gt;=$L114),$D$17:$D$21)</f>
        <v>134.49039999999999</v>
      </c>
      <c r="R114" s="113" t="str">
        <f t="shared" si="105"/>
        <v/>
      </c>
      <c r="S114" s="113" t="str">
        <f t="shared" si="106"/>
        <v>2H22</v>
      </c>
      <c r="T114" s="113" t="str">
        <f t="shared" ca="1" si="107"/>
        <v/>
      </c>
      <c r="U114" s="113" t="str">
        <f t="shared" si="108"/>
        <v/>
      </c>
      <c r="V114" s="113" t="str">
        <f t="shared" si="109"/>
        <v>FY22</v>
      </c>
      <c r="W114" s="113" t="str">
        <f t="shared" ca="1" si="110"/>
        <v/>
      </c>
      <c r="X114" s="50"/>
      <c r="Y114" s="146">
        <v>7</v>
      </c>
      <c r="Z114" s="145">
        <v>70000000</v>
      </c>
      <c r="AA114" s="145"/>
      <c r="AB114" s="173">
        <f>IF($Z114&gt;=100000000,$AC$103*AC$106*AC114+$AD$103*AD$106*AD114,AC$106*AC114+AD$106*AD114)*AB$106</f>
        <v>67592500</v>
      </c>
      <c r="AC114" s="145">
        <v>67592500</v>
      </c>
      <c r="AD114" s="145"/>
      <c r="AE114" s="167"/>
      <c r="AF114" s="167"/>
      <c r="AH114" s="172" t="s">
        <v>0</v>
      </c>
      <c r="AI114" s="175">
        <f>AB106</f>
        <v>1</v>
      </c>
      <c r="AJ114" s="154"/>
      <c r="AK114" s="154"/>
      <c r="AL114" s="155">
        <f t="shared" si="129"/>
        <v>200</v>
      </c>
      <c r="AM114" s="154"/>
      <c r="AN114" s="154"/>
      <c r="AO114" s="156">
        <f t="shared" si="130"/>
        <v>234.81575000000001</v>
      </c>
      <c r="AR114" s="50"/>
      <c r="AS114" s="146">
        <v>6</v>
      </c>
      <c r="AT114" s="166">
        <v>80000000</v>
      </c>
      <c r="AU114" s="167" t="e">
        <f>AVERAGEIFS($M:$M,$L:$L,"&gt;="&amp;AT$44,$L:$L,"&lt;="&amp;AV$44,$O:$O,"="&amp;AT114)*AV$107</f>
        <v>#DIV/0!</v>
      </c>
      <c r="AV114" s="168"/>
      <c r="AW114" s="167">
        <f t="shared" si="143"/>
        <v>0</v>
      </c>
      <c r="AY114" s="172" t="s">
        <v>148</v>
      </c>
      <c r="AZ114" s="174">
        <f>AV102</f>
        <v>44868</v>
      </c>
      <c r="BA114" s="154"/>
      <c r="BB114" s="155">
        <f t="shared" si="137"/>
        <v>200</v>
      </c>
      <c r="BC114" s="156">
        <f t="shared" si="138"/>
        <v>341.91363636363639</v>
      </c>
      <c r="BF114" s="50"/>
      <c r="BG114" s="146">
        <v>6</v>
      </c>
      <c r="BH114" s="166">
        <v>160000000</v>
      </c>
      <c r="BI114" s="146">
        <v>296207934</v>
      </c>
      <c r="BM114" s="167">
        <f t="shared" si="144"/>
        <v>0</v>
      </c>
      <c r="BO114" s="172" t="s">
        <v>147</v>
      </c>
      <c r="BP114" s="174">
        <f>BH102</f>
        <v>44378</v>
      </c>
      <c r="BQ114" s="154"/>
      <c r="BR114" s="154"/>
      <c r="BS114" s="155">
        <f t="shared" si="131"/>
        <v>300</v>
      </c>
      <c r="BT114" s="154"/>
      <c r="BU114" s="154"/>
      <c r="BV114" s="156">
        <f t="shared" si="132"/>
        <v>640</v>
      </c>
      <c r="BY114" s="50"/>
      <c r="CO114" s="50"/>
      <c r="CP114" s="146">
        <v>7</v>
      </c>
      <c r="CQ114" s="145">
        <v>160000000</v>
      </c>
      <c r="CR114" s="145"/>
      <c r="CS114" s="173">
        <f>IF($CQ114&gt;=100000000,$CT$103*CT$106*CT114+$CU$103*CU$106*CU114,CT$106*CT114+CU$106*CU114)</f>
        <v>277862199.99999994</v>
      </c>
      <c r="CT114" s="145">
        <v>198472999.99999997</v>
      </c>
      <c r="CU114" s="145">
        <v>235283000</v>
      </c>
      <c r="CV114" s="146"/>
      <c r="CX114" s="172" t="s">
        <v>173</v>
      </c>
      <c r="CY114" s="177">
        <f>CS106</f>
        <v>0.30769230769230771</v>
      </c>
      <c r="CZ114" s="154"/>
      <c r="DA114" s="155">
        <f>CQ117/1000000</f>
        <v>300</v>
      </c>
      <c r="DB114" s="156">
        <f t="shared" si="134"/>
        <v>501.67459999999994</v>
      </c>
      <c r="DE114" s="50"/>
      <c r="DF114" s="146">
        <v>7</v>
      </c>
      <c r="DG114" s="166">
        <v>80000000</v>
      </c>
      <c r="DH114" s="168" t="e">
        <f t="shared" si="141"/>
        <v>#DIV/0!</v>
      </c>
      <c r="DJ114" s="145">
        <v>97600999.999999985</v>
      </c>
      <c r="DK114" s="145">
        <v>89990000.000000015</v>
      </c>
      <c r="DL114" s="167">
        <f t="shared" si="142"/>
        <v>0</v>
      </c>
      <c r="DN114" s="172" t="s">
        <v>173</v>
      </c>
      <c r="DO114" s="177">
        <f>DI106</f>
        <v>1</v>
      </c>
      <c r="DP114" s="154"/>
      <c r="DQ114" s="154"/>
      <c r="DR114" s="155">
        <f t="shared" si="135"/>
        <v>200</v>
      </c>
      <c r="DS114" s="154"/>
      <c r="DT114" s="154"/>
      <c r="DU114" s="156">
        <f t="shared" si="136"/>
        <v>285.75624999999997</v>
      </c>
    </row>
    <row r="115" spans="10:125" x14ac:dyDescent="0.25">
      <c r="J115" s="86" t="str" cm="1">
        <f t="array" ref="J115">LOOKUP(2,1/($G$17:$G$33&lt;=$L115)/($H$17:$H$33&gt;=$L115),$F$17:$F$33)</f>
        <v>2H22</v>
      </c>
      <c r="K115" s="86" t="str" cm="1">
        <f t="array" ref="K115">LOOKUP(2,1/($G$6:$G$14&lt;=$L115)/($H$6:$H$14&gt;=$L115),$F$6:$F$14)</f>
        <v>FY22</v>
      </c>
      <c r="L115" s="118">
        <v>44698</v>
      </c>
      <c r="M115" s="49">
        <v>13527500.000000002</v>
      </c>
      <c r="N115" s="49">
        <v>19397082.250000004</v>
      </c>
      <c r="O115" s="50">
        <v>10000000</v>
      </c>
      <c r="P115" s="119" cm="1">
        <f t="array" ref="P115">LOOKUP(2,1/($B$10:$B$14&lt;=$L115)/($C$10:$C$14&gt;=$L115),$D$10:$D$14)</f>
        <v>1.1000000000000001</v>
      </c>
      <c r="Q115" s="120" cm="1">
        <f t="array" ref="Q115">LOOKUP(2,1/($B$17:$B$21&lt;=$L115)/($C$17:$C$21&gt;=$L115),$D$17:$D$21)</f>
        <v>134.49039999999999</v>
      </c>
      <c r="R115" s="113" t="str">
        <f t="shared" si="105"/>
        <v/>
      </c>
      <c r="S115" s="113" t="str">
        <f t="shared" si="106"/>
        <v>2H22</v>
      </c>
      <c r="T115" s="113" t="str">
        <f t="shared" ca="1" si="107"/>
        <v/>
      </c>
      <c r="U115" s="113" t="str">
        <f t="shared" si="108"/>
        <v/>
      </c>
      <c r="V115" s="113" t="str">
        <f t="shared" si="109"/>
        <v>FY22</v>
      </c>
      <c r="W115" s="113" t="str">
        <f t="shared" ca="1" si="110"/>
        <v/>
      </c>
      <c r="X115" s="50"/>
      <c r="Y115" s="146">
        <v>8</v>
      </c>
      <c r="Z115" s="145">
        <v>100000000</v>
      </c>
      <c r="AA115" s="145"/>
      <c r="AB115" s="173">
        <f>IF($Z115&gt;=100000000,$AC$103*AC$106*AC115+$AD$103*AD$106*AD115,AC$106*AC115+AD$106*AD115)*AB$106</f>
        <v>121780750.00000003</v>
      </c>
      <c r="AC115" s="145">
        <v>93677500.000000015</v>
      </c>
      <c r="AD115" s="145"/>
      <c r="AE115" s="146"/>
      <c r="AF115" s="146"/>
      <c r="AH115" s="179" t="s">
        <v>162</v>
      </c>
      <c r="AI115" s="180">
        <f>AC103</f>
        <v>1.3</v>
      </c>
      <c r="AJ115" s="181"/>
      <c r="AK115" s="181"/>
      <c r="AL115" s="181"/>
      <c r="AM115" s="181"/>
      <c r="AN115" s="181"/>
      <c r="AO115" s="182"/>
      <c r="AR115" s="50"/>
      <c r="AS115" s="146">
        <v>7</v>
      </c>
      <c r="AT115" s="166">
        <v>120000000</v>
      </c>
      <c r="AU115" s="146">
        <f>AU57*$AV$107</f>
        <v>198513198.82120329</v>
      </c>
      <c r="AV115" s="168"/>
      <c r="AW115" s="167">
        <f t="shared" si="143"/>
        <v>0</v>
      </c>
      <c r="AY115" s="176"/>
      <c r="AZ115" s="85"/>
      <c r="BA115" s="154"/>
      <c r="BB115" s="155">
        <f t="shared" si="137"/>
        <v>250</v>
      </c>
      <c r="BC115" s="156">
        <f>MAX(AU118:AV118)/1000000</f>
        <v>443.56363636363636</v>
      </c>
      <c r="BF115" s="50"/>
      <c r="BG115" s="146">
        <v>7</v>
      </c>
      <c r="BH115" s="145">
        <v>200000000</v>
      </c>
      <c r="BI115" s="145"/>
      <c r="BJ115" s="146">
        <v>400000000</v>
      </c>
      <c r="BK115" s="146"/>
      <c r="BL115" s="146"/>
      <c r="BM115" s="146"/>
      <c r="BO115" s="172" t="s">
        <v>148</v>
      </c>
      <c r="BP115" s="174">
        <f>BJ102</f>
        <v>44742</v>
      </c>
      <c r="BQ115" s="154"/>
      <c r="BR115" s="154"/>
      <c r="BS115" s="155">
        <f t="shared" si="131"/>
        <v>350</v>
      </c>
      <c r="BT115" s="154"/>
      <c r="BU115" s="154"/>
      <c r="BV115" s="156">
        <f t="shared" si="132"/>
        <v>800</v>
      </c>
      <c r="BY115" s="50"/>
      <c r="CO115" s="50"/>
      <c r="CP115" s="146">
        <v>8</v>
      </c>
      <c r="CQ115" s="145">
        <v>200000000</v>
      </c>
      <c r="CR115" s="145"/>
      <c r="CS115" s="173">
        <f>IF($CQ115&gt;=100000000,$CT$103*CT$106*CT115+$CU$103*CU$106*CU115,CT$106*CT115+CU$106*CU115)</f>
        <v>341808600</v>
      </c>
      <c r="CT115" s="145">
        <v>244149000</v>
      </c>
      <c r="CU115" s="145">
        <v>309002999.99999994</v>
      </c>
      <c r="CV115" s="146"/>
      <c r="CX115" s="176"/>
      <c r="CY115" s="32"/>
      <c r="CZ115" s="32"/>
      <c r="DA115" s="32"/>
      <c r="DB115" s="183"/>
      <c r="DE115" s="50"/>
      <c r="DF115" s="146">
        <v>8</v>
      </c>
      <c r="DG115" s="166">
        <v>100000000</v>
      </c>
      <c r="DH115" s="168" t="e">
        <f t="shared" si="141"/>
        <v>#DIV/0!</v>
      </c>
      <c r="DJ115" s="145">
        <v>119434999.99999999</v>
      </c>
      <c r="DK115" s="145">
        <v>119032000.00000001</v>
      </c>
      <c r="DL115" s="167">
        <f t="shared" si="142"/>
        <v>0</v>
      </c>
      <c r="DN115" s="176"/>
      <c r="DO115" s="32"/>
      <c r="DP115" s="32"/>
      <c r="DQ115" s="32"/>
      <c r="DR115" s="32"/>
      <c r="DS115" s="32"/>
      <c r="DT115" s="32"/>
      <c r="DU115" s="183"/>
    </row>
    <row r="116" spans="10:125" x14ac:dyDescent="0.25">
      <c r="J116" s="86" t="str" cm="1">
        <f t="array" ref="J116">LOOKUP(2,1/($G$17:$G$33&lt;=$L116)/($H$17:$H$33&gt;=$L116),$F$17:$F$33)</f>
        <v>2H22</v>
      </c>
      <c r="K116" s="86" t="str" cm="1">
        <f t="array" ref="K116">LOOKUP(2,1/($G$6:$G$14&lt;=$L116)/($H$6:$H$14&gt;=$L116),$F$6:$F$14)</f>
        <v>FY22</v>
      </c>
      <c r="L116" s="118">
        <v>44691</v>
      </c>
      <c r="M116" s="49">
        <v>9919419.3706981335</v>
      </c>
      <c r="N116" s="49">
        <v>13129343.479056049</v>
      </c>
      <c r="O116" s="50">
        <v>5000000</v>
      </c>
      <c r="P116" s="119" cm="1">
        <f t="array" ref="P116">LOOKUP(2,1/($B$10:$B$14&lt;=$L116)/($C$10:$C$14&gt;=$L116),$D$10:$D$14)</f>
        <v>1.1000000000000001</v>
      </c>
      <c r="Q116" s="120" cm="1">
        <f t="array" ref="Q116">LOOKUP(2,1/($B$17:$B$21&lt;=$L116)/($C$17:$C$21&gt;=$L116),$D$17:$D$21)</f>
        <v>134.49039999999999</v>
      </c>
      <c r="R116" s="113" t="str">
        <f t="shared" si="105"/>
        <v/>
      </c>
      <c r="S116" s="113" t="str">
        <f t="shared" si="106"/>
        <v>2H22</v>
      </c>
      <c r="T116" s="113" t="str">
        <f t="shared" ca="1" si="107"/>
        <v/>
      </c>
      <c r="U116" s="113" t="str">
        <f t="shared" si="108"/>
        <v/>
      </c>
      <c r="V116" s="113" t="str">
        <f t="shared" si="109"/>
        <v>FY22</v>
      </c>
      <c r="W116" s="113" t="str">
        <f t="shared" ca="1" si="110"/>
        <v/>
      </c>
      <c r="X116" s="50"/>
      <c r="Y116" s="146">
        <v>9</v>
      </c>
      <c r="Z116" s="145">
        <v>150000000</v>
      </c>
      <c r="AA116" s="145"/>
      <c r="AB116" s="173">
        <f>IF($Z116&gt;=100000000,$AC$103*AC$106*AC116+$AD$103*AD$106*AD116,AC$106*AC116+AD$106*AD116)*AB$106</f>
        <v>178298250</v>
      </c>
      <c r="AC116" s="145">
        <v>137152500</v>
      </c>
      <c r="AD116" s="145"/>
      <c r="AE116" s="146"/>
      <c r="AF116" s="146"/>
      <c r="AH116" s="2"/>
      <c r="AI116" s="2"/>
      <c r="AJ116" s="2"/>
      <c r="AK116" s="2"/>
      <c r="AL116" s="2"/>
      <c r="AM116" s="2"/>
      <c r="AN116" s="2"/>
      <c r="AO116" s="2"/>
      <c r="AR116" s="50"/>
      <c r="AS116" s="146">
        <v>8</v>
      </c>
      <c r="AT116" s="145">
        <v>150000000</v>
      </c>
      <c r="AU116" s="145"/>
      <c r="AV116" s="145">
        <f>AV58*$AV$107</f>
        <v>254125000</v>
      </c>
      <c r="AW116" s="146"/>
      <c r="AY116" s="176"/>
      <c r="AZ116" s="32"/>
      <c r="BA116" s="32"/>
      <c r="BB116" s="32"/>
      <c r="BC116" s="183"/>
      <c r="BF116" s="50"/>
      <c r="BG116" s="146">
        <v>8</v>
      </c>
      <c r="BH116" s="145">
        <v>250000000</v>
      </c>
      <c r="BI116" s="145"/>
      <c r="BJ116" s="146">
        <v>510000000</v>
      </c>
      <c r="BK116" s="146"/>
      <c r="BL116" s="146"/>
      <c r="BM116" s="146"/>
      <c r="BO116" s="179" t="s">
        <v>0</v>
      </c>
      <c r="BP116" s="185">
        <f>BJ107</f>
        <v>0</v>
      </c>
      <c r="BQ116" s="181"/>
      <c r="BR116" s="181"/>
      <c r="BS116" s="181"/>
      <c r="BT116" s="181"/>
      <c r="BU116" s="181"/>
      <c r="BV116" s="182"/>
      <c r="BY116" s="50"/>
      <c r="CO116" s="50"/>
      <c r="CP116" s="146">
        <v>9</v>
      </c>
      <c r="CQ116" s="145">
        <v>250000000</v>
      </c>
      <c r="CR116" s="145"/>
      <c r="CS116" s="173">
        <f>IF($CQ116&gt;=100000000,$CT$103*CT$106*CT116+$CU$103*CU$106*CU116,CT$106*CT116+CU$106*CU116)</f>
        <v>421741600</v>
      </c>
      <c r="CT116" s="145">
        <v>301244000</v>
      </c>
      <c r="CU116" s="145">
        <v>411953000</v>
      </c>
      <c r="CV116" s="146"/>
      <c r="CX116" s="199" t="s">
        <v>212</v>
      </c>
      <c r="CY116" s="2"/>
      <c r="CZ116" s="2"/>
      <c r="DA116" s="2"/>
      <c r="DB116" s="187"/>
      <c r="DE116" s="50"/>
      <c r="DF116" s="146">
        <v>9</v>
      </c>
      <c r="DG116" s="166">
        <v>150000000</v>
      </c>
      <c r="DH116" s="168" t="e">
        <f t="shared" si="141"/>
        <v>#DIV/0!</v>
      </c>
      <c r="DJ116" s="145">
        <v>174019999.99999997</v>
      </c>
      <c r="DK116" s="145">
        <v>210887000</v>
      </c>
      <c r="DL116" s="167">
        <f t="shared" si="142"/>
        <v>0</v>
      </c>
      <c r="DN116" s="186" t="s">
        <v>207</v>
      </c>
      <c r="DO116" s="2"/>
      <c r="DP116" s="2"/>
      <c r="DQ116" s="2"/>
      <c r="DR116" s="2"/>
      <c r="DS116" s="2"/>
      <c r="DT116" s="2"/>
      <c r="DU116" s="187"/>
    </row>
    <row r="117" spans="10:125" x14ac:dyDescent="0.25">
      <c r="J117" s="86" t="str" cm="1">
        <f t="array" ref="J117">LOOKUP(2,1/($G$17:$G$33&lt;=$L117)/($H$17:$H$33&gt;=$L117),$F$17:$F$33)</f>
        <v>2H22</v>
      </c>
      <c r="K117" s="86" t="str" cm="1">
        <f t="array" ref="K117">LOOKUP(2,1/($G$6:$G$14&lt;=$L117)/($H$6:$H$14&gt;=$L117),$F$6:$F$14)</f>
        <v>FY22</v>
      </c>
      <c r="L117" s="118">
        <v>44684</v>
      </c>
      <c r="M117" s="49">
        <v>8234016.3470993135</v>
      </c>
      <c r="N117" s="49">
        <v>10898544.03702065</v>
      </c>
      <c r="O117" s="50">
        <v>2000000</v>
      </c>
      <c r="P117" s="119" cm="1">
        <f t="array" ref="P117">LOOKUP(2,1/($B$10:$B$14&lt;=$L117)/($C$10:$C$14&gt;=$L117),$D$10:$D$14)</f>
        <v>1.1000000000000001</v>
      </c>
      <c r="Q117" s="120" cm="1">
        <f t="array" ref="Q117">LOOKUP(2,1/($B$17:$B$21&lt;=$L117)/($C$17:$C$21&gt;=$L117),$D$17:$D$21)</f>
        <v>134.49039999999999</v>
      </c>
      <c r="R117" s="113" t="str">
        <f t="shared" si="105"/>
        <v/>
      </c>
      <c r="S117" s="113" t="str">
        <f t="shared" si="106"/>
        <v>2H22</v>
      </c>
      <c r="T117" s="113" t="str">
        <f t="shared" ca="1" si="107"/>
        <v/>
      </c>
      <c r="U117" s="113" t="str">
        <f t="shared" si="108"/>
        <v/>
      </c>
      <c r="V117" s="113" t="str">
        <f t="shared" si="109"/>
        <v>FY22</v>
      </c>
      <c r="W117" s="113" t="str">
        <f t="shared" ca="1" si="110"/>
        <v/>
      </c>
      <c r="X117" s="50"/>
      <c r="Y117" s="146">
        <v>10</v>
      </c>
      <c r="Z117" s="145">
        <v>200000000</v>
      </c>
      <c r="AA117" s="145"/>
      <c r="AB117" s="173">
        <f>IF($Z117&gt;=100000000,$AC$103*AC$106*AC117+$AD$103*AD$106*AD117,AC$106*AC117+AD$106*AD117)*AB$106</f>
        <v>234815750</v>
      </c>
      <c r="AC117" s="145">
        <v>180627500</v>
      </c>
      <c r="AD117" s="145"/>
      <c r="AE117" s="146"/>
      <c r="AF117" s="146"/>
      <c r="AH117" s="188"/>
      <c r="AI117" s="188"/>
      <c r="AJ117" s="188"/>
      <c r="AK117" s="188"/>
      <c r="AL117" s="188"/>
      <c r="AM117" s="188"/>
      <c r="AN117" s="188"/>
      <c r="AO117" s="188"/>
      <c r="AR117" s="50"/>
      <c r="AS117" s="146">
        <v>9</v>
      </c>
      <c r="AT117" s="145">
        <v>200000000</v>
      </c>
      <c r="AU117" s="145"/>
      <c r="AV117" s="145">
        <f>AV59*$AV$107</f>
        <v>341913636.36363637</v>
      </c>
      <c r="AW117" s="146"/>
      <c r="AY117" s="186"/>
      <c r="AZ117" s="2"/>
      <c r="BA117" s="2"/>
      <c r="BB117" s="2"/>
      <c r="BC117" s="187"/>
      <c r="BF117" s="50"/>
      <c r="BG117" s="146">
        <v>9</v>
      </c>
      <c r="BH117" s="145">
        <v>300000000</v>
      </c>
      <c r="BI117" s="145"/>
      <c r="BJ117" s="146">
        <v>640000000</v>
      </c>
      <c r="BK117" s="146"/>
      <c r="BL117" s="146"/>
      <c r="BM117" s="146"/>
      <c r="BO117" s="2"/>
      <c r="BP117" s="2"/>
      <c r="BQ117" s="2"/>
      <c r="BR117" s="2"/>
      <c r="BS117" s="2"/>
      <c r="BT117" s="2"/>
      <c r="BU117" s="2"/>
      <c r="BV117" s="2"/>
      <c r="BY117" s="50"/>
      <c r="CO117" s="50"/>
      <c r="CP117" s="146">
        <v>10</v>
      </c>
      <c r="CQ117" s="145">
        <v>300000000</v>
      </c>
      <c r="CR117" s="145"/>
      <c r="CS117" s="173">
        <f>IF($CQ117&gt;=100000000,$CT$103*CT$106*CT117+$CU$103*CU$106*CU117,CT$106*CT117+CU$106*CU117)</f>
        <v>501674599.99999994</v>
      </c>
      <c r="CT117" s="145">
        <v>358339000</v>
      </c>
      <c r="CU117" s="145">
        <v>526902999.99999988</v>
      </c>
      <c r="CV117" s="146"/>
      <c r="CX117" s="189"/>
      <c r="CY117" s="190"/>
      <c r="CZ117" s="190"/>
      <c r="DA117" s="190"/>
      <c r="DB117" s="191"/>
      <c r="DE117" s="50"/>
      <c r="DF117" s="146">
        <v>10</v>
      </c>
      <c r="DG117" s="145">
        <v>200000000</v>
      </c>
      <c r="DH117" s="145"/>
      <c r="DI117" s="173">
        <f>IF($DG117&gt;=100000000,$DJ$103*DJ$106*DJ117+$DK$103*DK$106*DK117,DJ$106*DJ117+DK$106*DK117)</f>
        <v>285756249.99999994</v>
      </c>
      <c r="DJ117" s="145">
        <v>228604999.99999997</v>
      </c>
      <c r="DK117" s="145">
        <v>330242000</v>
      </c>
      <c r="DL117" s="146"/>
      <c r="DN117" s="189"/>
      <c r="DO117" s="190"/>
      <c r="DP117" s="190"/>
      <c r="DQ117" s="190"/>
      <c r="DR117" s="190"/>
      <c r="DS117" s="190"/>
      <c r="DT117" s="190"/>
      <c r="DU117" s="191"/>
    </row>
    <row r="118" spans="10:125" x14ac:dyDescent="0.25">
      <c r="J118" s="86" t="str" cm="1">
        <f t="array" ref="J118">LOOKUP(2,1/($G$17:$G$33&lt;=$L118)/($H$17:$H$33&gt;=$L118),$F$17:$F$33)</f>
        <v>2H22</v>
      </c>
      <c r="K118" s="86" t="str" cm="1">
        <f t="array" ref="K118">LOOKUP(2,1/($G$6:$G$14&lt;=$L118)/($H$6:$H$14&gt;=$L118),$F$6:$F$14)</f>
        <v>FY22</v>
      </c>
      <c r="L118" s="118">
        <v>44677</v>
      </c>
      <c r="M118" s="49">
        <v>21468686.578171093</v>
      </c>
      <c r="N118" s="49">
        <v>28415953.554867256</v>
      </c>
      <c r="O118" s="50">
        <v>20000000</v>
      </c>
      <c r="P118" s="119" cm="1">
        <f t="array" ref="P118">LOOKUP(2,1/($B$10:$B$14&lt;=$L118)/($C$10:$C$14&gt;=$L118),$D$10:$D$14)</f>
        <v>1.1000000000000001</v>
      </c>
      <c r="Q118" s="120" cm="1">
        <f t="array" ref="Q118">LOOKUP(2,1/($B$17:$B$21&lt;=$L118)/($C$17:$C$21&gt;=$L118),$D$17:$D$21)</f>
        <v>134.49039999999999</v>
      </c>
      <c r="R118" s="113" t="str">
        <f t="shared" si="105"/>
        <v/>
      </c>
      <c r="S118" s="113" t="str">
        <f t="shared" si="106"/>
        <v>2H22</v>
      </c>
      <c r="T118" s="113" t="str">
        <f t="shared" ca="1" si="107"/>
        <v/>
      </c>
      <c r="U118" s="113" t="str">
        <f t="shared" si="108"/>
        <v/>
      </c>
      <c r="V118" s="113" t="str">
        <f t="shared" si="109"/>
        <v>FY22</v>
      </c>
      <c r="W118" s="113" t="str">
        <f t="shared" ca="1" si="110"/>
        <v/>
      </c>
      <c r="X118" s="50"/>
      <c r="Y118" s="192"/>
      <c r="AG118" s="105"/>
      <c r="AH118" s="106"/>
      <c r="AI118" s="107"/>
      <c r="AJ118" s="107"/>
      <c r="AK118" s="107"/>
      <c r="AL118" s="108"/>
      <c r="AM118" s="107"/>
      <c r="AN118" s="107"/>
      <c r="AO118" s="108"/>
      <c r="AP118" s="105"/>
      <c r="AQ118" s="105"/>
      <c r="AR118" s="50"/>
      <c r="AS118" s="146">
        <v>10</v>
      </c>
      <c r="AT118" s="145">
        <v>250000000</v>
      </c>
      <c r="AU118" s="145"/>
      <c r="AV118" s="145">
        <f>AV60*$AV$107</f>
        <v>443563636.36363637</v>
      </c>
      <c r="AW118" s="146"/>
      <c r="AY118" s="189"/>
      <c r="AZ118" s="190"/>
      <c r="BA118" s="190"/>
      <c r="BB118" s="190"/>
      <c r="BC118" s="191"/>
      <c r="BF118" s="50"/>
      <c r="BG118" s="146">
        <v>10</v>
      </c>
      <c r="BH118" s="145">
        <v>350000000</v>
      </c>
      <c r="BI118" s="145"/>
      <c r="BJ118" s="146">
        <v>800000000</v>
      </c>
      <c r="BK118" s="146"/>
      <c r="BL118" s="146"/>
      <c r="BM118" s="146"/>
      <c r="BO118" s="188"/>
      <c r="BP118" s="188"/>
      <c r="BQ118" s="188"/>
      <c r="BR118" s="188"/>
      <c r="BS118" s="188"/>
      <c r="BT118" s="188"/>
      <c r="BU118" s="188"/>
      <c r="BV118" s="188"/>
      <c r="BY118" s="50"/>
      <c r="CO118" s="50"/>
      <c r="DE118" s="50"/>
    </row>
    <row r="119" spans="10:125" x14ac:dyDescent="0.25">
      <c r="J119" s="86" t="str" cm="1">
        <f t="array" ref="J119">LOOKUP(2,1/($G$17:$G$33&lt;=$L119)/($H$17:$H$33&gt;=$L119),$F$17:$F$33)</f>
        <v>2H22</v>
      </c>
      <c r="K119" s="86" t="str" cm="1">
        <f t="array" ref="K119">LOOKUP(2,1/($G$6:$G$14&lt;=$L119)/($H$6:$H$14&gt;=$L119),$F$6:$F$14)</f>
        <v>FY22</v>
      </c>
      <c r="L119" s="118">
        <v>44670</v>
      </c>
      <c r="M119" s="49">
        <v>16153900.442477878</v>
      </c>
      <c r="N119" s="49">
        <v>21381302.625663716</v>
      </c>
      <c r="O119" s="50">
        <v>10000000</v>
      </c>
      <c r="P119" s="119" cm="1">
        <f t="array" ref="P119">LOOKUP(2,1/($B$10:$B$14&lt;=$L119)/($C$10:$C$14&gt;=$L119),$D$10:$D$14)</f>
        <v>1.1000000000000001</v>
      </c>
      <c r="Q119" s="120" cm="1">
        <f t="array" ref="Q119">LOOKUP(2,1/($B$17:$B$21&lt;=$L119)/($C$17:$C$21&gt;=$L119),$D$17:$D$21)</f>
        <v>134.49039999999999</v>
      </c>
      <c r="R119" s="113" t="str">
        <f t="shared" si="105"/>
        <v/>
      </c>
      <c r="S119" s="113" t="str">
        <f t="shared" si="106"/>
        <v>2H22</v>
      </c>
      <c r="T119" s="113" t="str">
        <f t="shared" ca="1" si="107"/>
        <v/>
      </c>
      <c r="U119" s="113" t="str">
        <f t="shared" si="108"/>
        <v/>
      </c>
      <c r="V119" s="113" t="str">
        <f t="shared" si="109"/>
        <v>FY22</v>
      </c>
      <c r="W119" s="113" t="str">
        <f t="shared" ca="1" si="110"/>
        <v/>
      </c>
      <c r="X119" s="50"/>
      <c r="AR119" s="50"/>
      <c r="AS119" s="192"/>
      <c r="AX119" s="105"/>
      <c r="AY119" s="105"/>
      <c r="AZ119" s="105"/>
      <c r="BA119" s="105"/>
      <c r="BB119" s="105"/>
      <c r="BC119" s="105"/>
      <c r="BD119" s="105"/>
      <c r="BE119" s="105"/>
      <c r="BF119" s="50"/>
      <c r="BY119" s="50"/>
      <c r="CO119" s="50"/>
      <c r="CP119" s="125" t="s">
        <v>216</v>
      </c>
      <c r="CQ119" s="126"/>
      <c r="CR119" s="126"/>
      <c r="CS119" s="126"/>
      <c r="CT119" s="126"/>
      <c r="CU119" s="126"/>
      <c r="CV119" s="126"/>
      <c r="CW119" s="126"/>
      <c r="CX119" s="126"/>
      <c r="CY119" s="126"/>
      <c r="CZ119" s="126"/>
      <c r="DA119" s="126"/>
      <c r="DB119" s="126"/>
      <c r="DC119" s="126"/>
      <c r="DD119" s="126"/>
      <c r="DE119" s="50"/>
      <c r="DF119" s="125" t="s">
        <v>50</v>
      </c>
      <c r="DG119" s="126"/>
      <c r="DH119" s="126"/>
      <c r="DI119" s="126"/>
      <c r="DJ119" s="126"/>
      <c r="DK119" s="126"/>
      <c r="DL119" s="126"/>
      <c r="DM119" s="126"/>
      <c r="DN119" s="126"/>
      <c r="DO119" s="126"/>
      <c r="DP119" s="126"/>
      <c r="DQ119" s="126"/>
      <c r="DR119" s="126"/>
      <c r="DS119" s="126"/>
      <c r="DT119" s="126"/>
      <c r="DU119" s="126"/>
    </row>
    <row r="120" spans="10:125" x14ac:dyDescent="0.25">
      <c r="J120" s="86" t="str" cm="1">
        <f t="array" ref="J120">LOOKUP(2,1/($G$17:$G$33&lt;=$L120)/($H$17:$H$33&gt;=$L120),$F$17:$F$33)</f>
        <v>2H22</v>
      </c>
      <c r="K120" s="86" t="str" cm="1">
        <f t="array" ref="K120">LOOKUP(2,1/($G$6:$G$14&lt;=$L120)/($H$6:$H$14&gt;=$L120),$F$6:$F$14)</f>
        <v>FY22</v>
      </c>
      <c r="L120" s="118">
        <v>44663</v>
      </c>
      <c r="M120" s="49">
        <v>11151636.184857424</v>
      </c>
      <c r="N120" s="49">
        <v>14760305.654277286</v>
      </c>
      <c r="O120" s="50">
        <v>5000000</v>
      </c>
      <c r="P120" s="119" cm="1">
        <f t="array" ref="P120">LOOKUP(2,1/($B$10:$B$14&lt;=$L120)/($C$10:$C$14&gt;=$L120),$D$10:$D$14)</f>
        <v>1.1000000000000001</v>
      </c>
      <c r="Q120" s="120" cm="1">
        <f t="array" ref="Q120">LOOKUP(2,1/($B$17:$B$21&lt;=$L120)/($C$17:$C$21&gt;=$L120),$D$17:$D$21)</f>
        <v>134.49039999999999</v>
      </c>
      <c r="R120" s="113" t="str">
        <f t="shared" si="105"/>
        <v/>
      </c>
      <c r="S120" s="113" t="str">
        <f t="shared" si="106"/>
        <v>2H22</v>
      </c>
      <c r="T120" s="113" t="str">
        <f t="shared" ca="1" si="107"/>
        <v/>
      </c>
      <c r="U120" s="113" t="str">
        <f t="shared" si="108"/>
        <v/>
      </c>
      <c r="V120" s="113" t="str">
        <f t="shared" si="109"/>
        <v>FY22</v>
      </c>
      <c r="W120" s="113" t="str">
        <f t="shared" ca="1" si="110"/>
        <v/>
      </c>
      <c r="X120" s="50"/>
      <c r="Y120" s="197" t="s">
        <v>254</v>
      </c>
      <c r="Z120" s="198"/>
      <c r="AA120" s="198"/>
      <c r="AB120" s="198"/>
      <c r="AC120" s="198"/>
      <c r="AD120" s="198"/>
      <c r="AE120" s="198"/>
      <c r="AF120" s="198"/>
      <c r="AG120" s="198"/>
      <c r="AH120" s="198"/>
      <c r="AI120" s="198"/>
      <c r="AJ120" s="198"/>
      <c r="AK120" s="198"/>
      <c r="AL120" s="198"/>
      <c r="AM120" s="198"/>
      <c r="AN120" s="198"/>
      <c r="AO120" s="198"/>
      <c r="AP120" s="198"/>
      <c r="AQ120" s="198"/>
      <c r="AR120" s="50"/>
      <c r="AS120" s="197" t="s">
        <v>218</v>
      </c>
      <c r="AT120" s="198"/>
      <c r="AU120" s="198"/>
      <c r="AV120" s="198"/>
      <c r="AW120" s="198"/>
      <c r="AX120" s="198"/>
      <c r="AY120" s="198"/>
      <c r="AZ120" s="198"/>
      <c r="BA120" s="198"/>
      <c r="BB120" s="198"/>
      <c r="BC120" s="198"/>
      <c r="BD120" s="198"/>
      <c r="BE120" s="198"/>
      <c r="BF120" s="50"/>
      <c r="BG120" s="123" t="s">
        <v>219</v>
      </c>
      <c r="BH120" s="124"/>
      <c r="BI120" s="124"/>
      <c r="BJ120" s="124"/>
      <c r="BK120" s="124"/>
      <c r="BL120" s="124"/>
      <c r="BM120" s="124"/>
      <c r="BN120" s="124"/>
      <c r="BO120" s="124"/>
      <c r="BP120" s="124"/>
      <c r="BQ120" s="124"/>
      <c r="BR120" s="124"/>
      <c r="BS120" s="124"/>
      <c r="BT120" s="124"/>
      <c r="BU120" s="124"/>
      <c r="BV120" s="124"/>
      <c r="BW120" s="124"/>
      <c r="BX120" s="124"/>
      <c r="BY120" s="50"/>
      <c r="CO120" s="50"/>
      <c r="CP120" s="114" t="s">
        <v>147</v>
      </c>
      <c r="CQ120" s="115">
        <v>44378</v>
      </c>
      <c r="CR120" s="114" t="s">
        <v>148</v>
      </c>
      <c r="CS120" s="115">
        <v>44742</v>
      </c>
      <c r="CT120" s="132"/>
      <c r="CU120" s="132"/>
      <c r="CV120" s="132"/>
      <c r="CW120" s="133"/>
      <c r="CX120" s="133"/>
      <c r="CY120" s="133"/>
      <c r="CZ120" s="133"/>
      <c r="DA120" s="133"/>
      <c r="DB120" s="133"/>
      <c r="DC120" s="133"/>
      <c r="DD120" s="133"/>
      <c r="DE120" s="50"/>
      <c r="DF120" s="114" t="s">
        <v>147</v>
      </c>
      <c r="DG120" s="115">
        <v>43831</v>
      </c>
      <c r="DH120" s="114" t="s">
        <v>148</v>
      </c>
      <c r="DI120" s="115">
        <v>44012</v>
      </c>
      <c r="DJ120" s="132"/>
      <c r="DK120" s="132"/>
      <c r="DL120" s="132"/>
      <c r="DM120" s="133"/>
      <c r="DN120" s="133"/>
      <c r="DO120" s="133"/>
      <c r="DP120" s="133"/>
      <c r="DQ120" s="133"/>
      <c r="DR120" s="133"/>
      <c r="DS120" s="133"/>
      <c r="DT120" s="133"/>
      <c r="DU120" s="133"/>
    </row>
    <row r="121" spans="10:125" x14ac:dyDescent="0.25">
      <c r="J121" s="86" t="str" cm="1">
        <f t="array" ref="J121">LOOKUP(2,1/($G$17:$G$33&lt;=$L121)/($H$17:$H$33&gt;=$L121),$F$17:$F$33)</f>
        <v>2H22</v>
      </c>
      <c r="K121" s="86" t="str" cm="1">
        <f t="array" ref="K121">LOOKUP(2,1/($G$6:$G$14&lt;=$L121)/($H$6:$H$14&gt;=$L121),$F$6:$F$14)</f>
        <v>FY22</v>
      </c>
      <c r="L121" s="118">
        <v>44656</v>
      </c>
      <c r="M121" s="49">
        <v>8264872.0501474943</v>
      </c>
      <c r="N121" s="49">
        <v>10939384.645575222</v>
      </c>
      <c r="O121" s="50">
        <v>2000000</v>
      </c>
      <c r="P121" s="119" cm="1">
        <f t="array" ref="P121">LOOKUP(2,1/($B$10:$B$14&lt;=$L121)/($C$10:$C$14&gt;=$L121),$D$10:$D$14)</f>
        <v>1.1000000000000001</v>
      </c>
      <c r="Q121" s="120" cm="1">
        <f t="array" ref="Q121">LOOKUP(2,1/($B$17:$B$21&lt;=$L121)/($C$17:$C$21&gt;=$L121),$D$17:$D$21)</f>
        <v>134.49039999999999</v>
      </c>
      <c r="R121" s="113" t="str">
        <f t="shared" si="105"/>
        <v/>
      </c>
      <c r="S121" s="113" t="str">
        <f t="shared" si="106"/>
        <v>2H22</v>
      </c>
      <c r="T121" s="113" t="str">
        <f t="shared" ca="1" si="107"/>
        <v/>
      </c>
      <c r="U121" s="113" t="str">
        <f t="shared" si="108"/>
        <v/>
      </c>
      <c r="V121" s="113" t="str">
        <f t="shared" si="109"/>
        <v>FY22</v>
      </c>
      <c r="W121" s="113" t="str">
        <f t="shared" ca="1" si="110"/>
        <v/>
      </c>
      <c r="X121" s="50"/>
      <c r="Y121" s="114" t="s">
        <v>147</v>
      </c>
      <c r="Z121" s="115">
        <v>44698</v>
      </c>
      <c r="AA121" s="114" t="s">
        <v>148</v>
      </c>
      <c r="AB121" s="115">
        <v>45041</v>
      </c>
      <c r="AC121" s="132"/>
      <c r="AD121" s="132"/>
      <c r="AE121" s="132"/>
      <c r="AF121" s="132"/>
      <c r="AG121" s="133"/>
      <c r="AH121" s="133"/>
      <c r="AI121" s="133"/>
      <c r="AJ121" s="133"/>
      <c r="AK121" s="133"/>
      <c r="AL121" s="133"/>
      <c r="AM121" s="133"/>
      <c r="AN121" s="133"/>
      <c r="AO121" s="133"/>
      <c r="AP121" s="133"/>
      <c r="AQ121" s="133"/>
      <c r="AR121" s="50"/>
      <c r="AS121" s="114" t="s">
        <v>147</v>
      </c>
      <c r="AT121" s="115">
        <v>44652</v>
      </c>
      <c r="AU121" s="114" t="s">
        <v>148</v>
      </c>
      <c r="AV121" s="115">
        <v>44868</v>
      </c>
      <c r="AW121" s="132"/>
      <c r="AX121" s="133"/>
      <c r="AY121" s="133"/>
      <c r="AZ121" s="133"/>
      <c r="BA121" s="133"/>
      <c r="BB121" s="133"/>
      <c r="BC121" s="133"/>
      <c r="BD121" s="133"/>
      <c r="BE121" s="133"/>
      <c r="BF121" s="50"/>
      <c r="BG121" s="114" t="s">
        <v>147</v>
      </c>
      <c r="BH121" s="115">
        <v>44378</v>
      </c>
      <c r="BI121" s="114" t="s">
        <v>148</v>
      </c>
      <c r="BJ121" s="115">
        <v>44742</v>
      </c>
      <c r="BK121" s="115"/>
      <c r="BL121" s="115"/>
      <c r="BM121" s="132"/>
      <c r="BN121" s="133"/>
      <c r="BO121" s="133"/>
      <c r="BP121" s="133"/>
      <c r="BQ121" s="133"/>
      <c r="BR121" s="133"/>
      <c r="BS121" s="133"/>
      <c r="BT121" s="133"/>
      <c r="BU121" s="133"/>
      <c r="BV121" s="133"/>
      <c r="BW121" s="133"/>
      <c r="BX121" s="133"/>
      <c r="BY121" s="50"/>
      <c r="CO121" s="50"/>
      <c r="CP121" s="114" t="s">
        <v>159</v>
      </c>
      <c r="CQ121" s="115" t="s">
        <v>22</v>
      </c>
      <c r="CR121" s="114" t="s">
        <v>161</v>
      </c>
      <c r="CS121" s="134" t="str" cm="1">
        <f t="array" ref="CS121">IF(OR(LOOKUP(2,1/($B$10:$B$14&lt;=CS120)/($C$10:$C$14&gt;=CS120),$D$10:$D$14)&lt;&gt;CQ124,LOOKUP(2,1/($B$6:$B$7&lt;=CS120)/($C$6:$C$7&gt;=CS120),$D$6:$D$7)&lt;&gt;CS124),"FAIL","PASS")</f>
        <v>PASS</v>
      </c>
      <c r="CT121" s="134" t="s">
        <v>162</v>
      </c>
      <c r="CU121" s="134" t="s">
        <v>162</v>
      </c>
      <c r="CV121" s="134"/>
      <c r="CW121" s="133"/>
      <c r="CX121" s="133"/>
      <c r="CY121" s="133"/>
      <c r="CZ121" s="133"/>
      <c r="DA121" s="133"/>
      <c r="DB121" s="133"/>
      <c r="DC121" s="133"/>
      <c r="DD121" s="133"/>
      <c r="DE121" s="50"/>
      <c r="DF121" s="114" t="s">
        <v>159</v>
      </c>
      <c r="DG121" s="115" t="s">
        <v>50</v>
      </c>
      <c r="DH121" s="114" t="s">
        <v>161</v>
      </c>
      <c r="DI121" s="134" t="str" cm="1">
        <f t="array" ref="DI121">IF(OR(LOOKUP(2,1/($B$10:$B$14&lt;=DI120)/($C$10:$C$14&gt;=DI120),$D$10:$D$14)&lt;&gt;DG124,LOOKUP(2,1/($B$6:$B$7&lt;=DI120)/($C$6:$C$7&gt;=DI120),$D$6:$D$7)&lt;&gt;DI124),"FAIL","PASS")</f>
        <v>PASS</v>
      </c>
      <c r="DJ121" s="134" t="s">
        <v>162</v>
      </c>
      <c r="DK121" s="134" t="s">
        <v>162</v>
      </c>
      <c r="DL121" s="134"/>
      <c r="DM121" s="133"/>
      <c r="DN121" s="133"/>
      <c r="DO121" s="133"/>
      <c r="DP121" s="133"/>
      <c r="DQ121" s="133"/>
      <c r="DR121" s="133"/>
      <c r="DS121" s="133"/>
      <c r="DT121" s="133"/>
      <c r="DU121" s="133"/>
    </row>
    <row r="122" spans="10:125" x14ac:dyDescent="0.25">
      <c r="J122" s="86" t="str" cm="1">
        <f t="array" ref="J122">LOOKUP(2,1/($G$17:$G$33&lt;=$L122)/($H$17:$H$33&gt;=$L122),$F$17:$F$33)</f>
        <v>2H22</v>
      </c>
      <c r="K122" s="86" t="str" cm="1">
        <f t="array" ref="K122">LOOKUP(2,1/($G$6:$G$14&lt;=$L122)/($H$6:$H$14&gt;=$L122),$F$6:$F$14)</f>
        <v>FY22</v>
      </c>
      <c r="L122" s="118">
        <v>44649</v>
      </c>
      <c r="M122" s="49">
        <v>8750404.9901671596</v>
      </c>
      <c r="N122" s="49">
        <v>11582036.044985252</v>
      </c>
      <c r="O122" s="50">
        <v>2000000</v>
      </c>
      <c r="P122" s="119" cm="1">
        <f t="array" ref="P122">LOOKUP(2,1/($B$10:$B$14&lt;=$L122)/($C$10:$C$14&gt;=$L122),$D$10:$D$14)</f>
        <v>1.1000000000000001</v>
      </c>
      <c r="Q122" s="120" cm="1">
        <f t="array" ref="Q122">LOOKUP(2,1/($B$17:$B$21&lt;=$L122)/($C$17:$C$21&gt;=$L122),$D$17:$D$21)</f>
        <v>134.49039999999999</v>
      </c>
      <c r="R122" s="113" t="str">
        <f t="shared" si="105"/>
        <v/>
      </c>
      <c r="S122" s="113" t="str">
        <f t="shared" si="106"/>
        <v>2H22</v>
      </c>
      <c r="T122" s="113" t="str">
        <f t="shared" ca="1" si="107"/>
        <v/>
      </c>
      <c r="U122" s="113" t="str">
        <f t="shared" si="108"/>
        <v/>
      </c>
      <c r="V122" s="113" t="str">
        <f t="shared" si="109"/>
        <v>FY22</v>
      </c>
      <c r="W122" s="113" t="str">
        <f t="shared" ca="1" si="110"/>
        <v/>
      </c>
      <c r="X122" s="50"/>
      <c r="Y122" s="114" t="s">
        <v>159</v>
      </c>
      <c r="Z122" s="115" t="s">
        <v>23</v>
      </c>
      <c r="AA122" s="114" t="s">
        <v>161</v>
      </c>
      <c r="AB122" s="115" t="s">
        <v>163</v>
      </c>
      <c r="AC122" s="134" t="s">
        <v>162</v>
      </c>
      <c r="AD122" s="134" t="s">
        <v>162</v>
      </c>
      <c r="AE122" s="134"/>
      <c r="AF122" s="134"/>
      <c r="AG122" s="133"/>
      <c r="AH122" s="133"/>
      <c r="AI122" s="133"/>
      <c r="AJ122" s="133"/>
      <c r="AK122" s="133"/>
      <c r="AL122" s="133"/>
      <c r="AM122" s="133"/>
      <c r="AN122" s="133"/>
      <c r="AO122" s="133"/>
      <c r="AP122" s="133"/>
      <c r="AQ122" s="133"/>
      <c r="AR122" s="50"/>
      <c r="AS122" s="114" t="s">
        <v>159</v>
      </c>
      <c r="AT122" s="115" t="s">
        <v>193</v>
      </c>
      <c r="AU122" s="114" t="s">
        <v>161</v>
      </c>
      <c r="AV122" s="115" t="s">
        <v>163</v>
      </c>
      <c r="AW122" s="134"/>
      <c r="AX122" s="133"/>
      <c r="AY122" s="133"/>
      <c r="AZ122" s="133"/>
      <c r="BA122" s="133"/>
      <c r="BB122" s="133"/>
      <c r="BC122" s="133"/>
      <c r="BD122" s="133"/>
      <c r="BE122" s="133"/>
      <c r="BF122" s="50"/>
      <c r="BG122" s="114" t="s">
        <v>159</v>
      </c>
      <c r="BH122" s="115" t="s">
        <v>23</v>
      </c>
      <c r="BI122" s="114" t="s">
        <v>161</v>
      </c>
      <c r="BJ122" s="134" t="str" cm="1">
        <f t="array" ref="BJ122">IF(OR(LOOKUP(2,1/($B$10:$B$14&lt;=BJ121)/($C$10:$C$14&gt;=BJ121),$D$10:$D$14)&lt;&gt;BH125,LOOKUP(2,1/($B$6:$B$7&lt;=BJ121)/($C$6:$C$7&gt;=BJ121),$D$6:$D$7)&lt;&gt;BJ125),"FAIL","PASS")</f>
        <v>PASS</v>
      </c>
      <c r="BK122" s="134"/>
      <c r="BL122" s="134"/>
      <c r="BM122" s="134"/>
      <c r="BN122" s="133"/>
      <c r="BO122" s="133"/>
      <c r="BP122" s="133"/>
      <c r="BQ122" s="133"/>
      <c r="BR122" s="133"/>
      <c r="BS122" s="133"/>
      <c r="BT122" s="133"/>
      <c r="BU122" s="133"/>
      <c r="BV122" s="133"/>
      <c r="BW122" s="133"/>
      <c r="BX122" s="133"/>
      <c r="BY122" s="50"/>
      <c r="CO122" s="50"/>
      <c r="CP122" s="114" t="s">
        <v>165</v>
      </c>
      <c r="CQ122" s="134">
        <f>INDEX($G:$G,MATCH(CQ121,$F:$F,0))</f>
        <v>44378</v>
      </c>
      <c r="CR122" s="114" t="s">
        <v>166</v>
      </c>
      <c r="CS122" s="134">
        <f>INDEX($H:$H,MATCH(CQ121,$F:$F,0))</f>
        <v>44742</v>
      </c>
      <c r="CT122" s="135">
        <v>1.25</v>
      </c>
      <c r="CU122" s="135">
        <v>1</v>
      </c>
      <c r="CV122" s="134"/>
      <c r="CX122" s="136" t="s">
        <v>167</v>
      </c>
      <c r="CY122" s="137"/>
      <c r="CZ122" s="137"/>
      <c r="DA122" s="138"/>
      <c r="DB122" s="139"/>
      <c r="DE122" s="50"/>
      <c r="DF122" s="114" t="s">
        <v>165</v>
      </c>
      <c r="DG122" s="134">
        <f>INDEX($G:$G,MATCH(DG121,$F:$F,0))</f>
        <v>43831</v>
      </c>
      <c r="DH122" s="114" t="s">
        <v>166</v>
      </c>
      <c r="DI122" s="134">
        <f>INDEX($H:$H,MATCH(DG121,$F:$F,0))</f>
        <v>44012</v>
      </c>
      <c r="DJ122" s="135">
        <v>1.25</v>
      </c>
      <c r="DK122" s="135">
        <v>1</v>
      </c>
      <c r="DL122" s="134"/>
      <c r="DN122" s="136" t="s">
        <v>167</v>
      </c>
      <c r="DO122" s="137"/>
      <c r="DP122" s="137"/>
      <c r="DQ122" s="137"/>
      <c r="DR122" s="138"/>
      <c r="DS122" s="137"/>
      <c r="DT122" s="137"/>
      <c r="DU122" s="139"/>
    </row>
    <row r="123" spans="10:125" x14ac:dyDescent="0.25">
      <c r="J123" s="86" t="str" cm="1">
        <f t="array" ref="J123">LOOKUP(2,1/($G$17:$G$33&lt;=$L123)/($H$17:$H$33&gt;=$L123),$F$17:$F$33)</f>
        <v>2H22</v>
      </c>
      <c r="K123" s="86" t="str" cm="1">
        <f t="array" ref="K123">LOOKUP(2,1/($G$6:$G$14&lt;=$L123)/($H$6:$H$14&gt;=$L123),$F$6:$F$14)</f>
        <v>FY22</v>
      </c>
      <c r="L123" s="118">
        <v>44642</v>
      </c>
      <c r="M123" s="49">
        <v>11822875.491642086</v>
      </c>
      <c r="N123" s="49">
        <v>15648758.000737464</v>
      </c>
      <c r="O123" s="50">
        <v>5000000</v>
      </c>
      <c r="P123" s="119" cm="1">
        <f t="array" ref="P123">LOOKUP(2,1/($B$10:$B$14&lt;=$L123)/($C$10:$C$14&gt;=$L123),$D$10:$D$14)</f>
        <v>1.1000000000000001</v>
      </c>
      <c r="Q123" s="120" cm="1">
        <f t="array" ref="Q123">LOOKUP(2,1/($B$17:$B$21&lt;=$L123)/($C$17:$C$21&gt;=$L123),$D$17:$D$21)</f>
        <v>134.49039999999999</v>
      </c>
      <c r="R123" s="113" t="str">
        <f t="shared" si="105"/>
        <v/>
      </c>
      <c r="S123" s="113" t="str">
        <f t="shared" si="106"/>
        <v>2H22</v>
      </c>
      <c r="T123" s="113" t="str">
        <f t="shared" ca="1" si="107"/>
        <v/>
      </c>
      <c r="U123" s="113" t="str">
        <f t="shared" si="108"/>
        <v/>
      </c>
      <c r="V123" s="113" t="str">
        <f t="shared" si="109"/>
        <v>FY22</v>
      </c>
      <c r="W123" s="113" t="str">
        <f t="shared" ca="1" si="110"/>
        <v/>
      </c>
      <c r="X123" s="50"/>
      <c r="Y123" s="114" t="s">
        <v>165</v>
      </c>
      <c r="Z123" s="134">
        <f>INDEX($G:$G,MATCH(Z122,$F:$F,0))</f>
        <v>44743</v>
      </c>
      <c r="AA123" s="114" t="s">
        <v>166</v>
      </c>
      <c r="AB123" s="134">
        <f>INDEX($H:$H,MATCH(Z122,$F:$F,0))</f>
        <v>45107</v>
      </c>
      <c r="AC123" s="135">
        <v>1.3</v>
      </c>
      <c r="AD123" s="135">
        <v>1</v>
      </c>
      <c r="AE123" s="134"/>
      <c r="AF123" s="134"/>
      <c r="AH123" s="136" t="s">
        <v>167</v>
      </c>
      <c r="AI123" s="137"/>
      <c r="AJ123" s="137"/>
      <c r="AK123" s="137"/>
      <c r="AL123" s="138"/>
      <c r="AM123" s="137"/>
      <c r="AN123" s="137"/>
      <c r="AO123" s="139"/>
      <c r="AR123" s="50"/>
      <c r="AS123" s="114" t="s">
        <v>165</v>
      </c>
      <c r="AT123" s="134">
        <f>INDEX($G:$G,MATCH(AT122,$F:$F,0))</f>
        <v>44927</v>
      </c>
      <c r="AU123" s="114" t="s">
        <v>166</v>
      </c>
      <c r="AV123" s="134">
        <f>INDEX($H:$H,MATCH(AT122,$F:$F,0))</f>
        <v>45107</v>
      </c>
      <c r="AW123" s="134"/>
      <c r="AY123" s="136" t="s">
        <v>167</v>
      </c>
      <c r="AZ123" s="137"/>
      <c r="BA123" s="137"/>
      <c r="BB123" s="138"/>
      <c r="BC123" s="139"/>
      <c r="BF123" s="50"/>
      <c r="BG123" s="114" t="s">
        <v>165</v>
      </c>
      <c r="BH123" s="134">
        <f>INDEX($G:$G,MATCH(BH122,$F:$F,0))</f>
        <v>44743</v>
      </c>
      <c r="BI123" s="114" t="s">
        <v>166</v>
      </c>
      <c r="BJ123" s="134">
        <f>INDEX($H:$H,MATCH(BH122,$F:$F,0))</f>
        <v>45107</v>
      </c>
      <c r="BK123" s="134"/>
      <c r="BL123" s="134"/>
      <c r="BM123" s="134"/>
      <c r="BO123" s="136" t="s">
        <v>167</v>
      </c>
      <c r="BP123" s="137"/>
      <c r="BQ123" s="137"/>
      <c r="BR123" s="137"/>
      <c r="BS123" s="138"/>
      <c r="BT123" s="137"/>
      <c r="BU123" s="137"/>
      <c r="BV123" s="139"/>
      <c r="BY123" s="50"/>
      <c r="CO123" s="50"/>
      <c r="CP123" s="114" t="s">
        <v>91</v>
      </c>
      <c r="CQ123" s="140">
        <f>INDEX($O:$O,MATCH(CQ121,$U:$U,0))</f>
        <v>20000000</v>
      </c>
      <c r="CR123" s="114" t="s">
        <v>76</v>
      </c>
      <c r="CS123" s="140">
        <f ca="1">INDEX($O:$O,MATCH(CQ121,$W:$W,0))</f>
        <v>10000000</v>
      </c>
      <c r="CT123" s="140"/>
      <c r="CU123" s="140"/>
      <c r="CV123" s="140"/>
      <c r="CX123" s="147" t="s">
        <v>165</v>
      </c>
      <c r="CY123" s="148">
        <f>CQ122</f>
        <v>44378</v>
      </c>
      <c r="CZ123" s="142"/>
      <c r="DA123" s="143" t="s">
        <v>15</v>
      </c>
      <c r="DB123" s="144" t="s">
        <v>139</v>
      </c>
      <c r="DE123" s="50"/>
      <c r="DF123" s="114" t="s">
        <v>91</v>
      </c>
      <c r="DG123" s="140">
        <f>INDEX($O:$O,MATCH(DG121,$R:$R,0))</f>
        <v>5000000</v>
      </c>
      <c r="DH123" s="114" t="s">
        <v>76</v>
      </c>
      <c r="DI123" s="140">
        <f ca="1">INDEX($O:$O,MATCH(DG121,$T:$T,0))</f>
        <v>20000000</v>
      </c>
      <c r="DJ123" s="140"/>
      <c r="DK123" s="140"/>
      <c r="DL123" s="140"/>
      <c r="DN123" s="147" t="s">
        <v>165</v>
      </c>
      <c r="DO123" s="148">
        <f>DG122</f>
        <v>43831</v>
      </c>
      <c r="DP123" s="142"/>
      <c r="DQ123" s="142"/>
      <c r="DR123" s="143" t="s">
        <v>15</v>
      </c>
      <c r="DS123" s="142"/>
      <c r="DT123" s="142"/>
      <c r="DU123" s="144" t="s">
        <v>139</v>
      </c>
    </row>
    <row r="124" spans="10:125" x14ac:dyDescent="0.25">
      <c r="J124" s="86" t="str" cm="1">
        <f t="array" ref="J124">LOOKUP(2,1/($G$17:$G$33&lt;=$L124)/($H$17:$H$33&gt;=$L124),$F$17:$F$33)</f>
        <v>2H22</v>
      </c>
      <c r="K124" s="86" t="str" cm="1">
        <f t="array" ref="K124">LOOKUP(2,1/($G$6:$G$14&lt;=$L124)/($H$6:$H$14&gt;=$L124),$F$6:$F$14)</f>
        <v>FY22</v>
      </c>
      <c r="L124" s="118">
        <v>44635</v>
      </c>
      <c r="M124" s="49">
        <v>8610531.5880039353</v>
      </c>
      <c r="N124" s="49">
        <v>11396899.609882008</v>
      </c>
      <c r="O124" s="50">
        <v>2000000</v>
      </c>
      <c r="P124" s="119" cm="1">
        <f t="array" ref="P124">LOOKUP(2,1/($B$10:$B$14&lt;=$L124)/($C$10:$C$14&gt;=$L124),$D$10:$D$14)</f>
        <v>1.1000000000000001</v>
      </c>
      <c r="Q124" s="120" cm="1">
        <f t="array" ref="Q124">LOOKUP(2,1/($B$17:$B$21&lt;=$L124)/($C$17:$C$21&gt;=$L124),$D$17:$D$21)</f>
        <v>134.49039999999999</v>
      </c>
      <c r="R124" s="113" t="str">
        <f t="shared" si="105"/>
        <v/>
      </c>
      <c r="S124" s="113" t="str">
        <f t="shared" si="106"/>
        <v>2H22</v>
      </c>
      <c r="T124" s="113" t="str">
        <f t="shared" ca="1" si="107"/>
        <v/>
      </c>
      <c r="U124" s="113" t="str">
        <f t="shared" si="108"/>
        <v/>
      </c>
      <c r="V124" s="113" t="str">
        <f t="shared" si="109"/>
        <v>FY22</v>
      </c>
      <c r="W124" s="113" t="str">
        <f t="shared" ca="1" si="110"/>
        <v/>
      </c>
      <c r="X124" s="50"/>
      <c r="Y124" s="114" t="s">
        <v>91</v>
      </c>
      <c r="Z124" s="140">
        <f>INDEX($O:$O,MATCH(Z122,$U:$U,0))</f>
        <v>30000000</v>
      </c>
      <c r="AA124" s="114" t="s">
        <v>76</v>
      </c>
      <c r="AB124" s="140">
        <f ca="1">INDEX($O:$O,MATCH(Z122,$W:$W,0))</f>
        <v>5000000</v>
      </c>
      <c r="AC124" s="140"/>
      <c r="AD124" s="140"/>
      <c r="AE124" s="140"/>
      <c r="AF124" s="140"/>
      <c r="AH124" s="141" t="s">
        <v>168</v>
      </c>
      <c r="AI124" s="141"/>
      <c r="AJ124" s="142"/>
      <c r="AK124" s="142"/>
      <c r="AL124" s="143" t="s">
        <v>15</v>
      </c>
      <c r="AM124" s="142"/>
      <c r="AN124" s="142"/>
      <c r="AO124" s="144" t="s">
        <v>139</v>
      </c>
      <c r="AR124" s="50"/>
      <c r="AS124" s="114" t="s">
        <v>91</v>
      </c>
      <c r="AT124" s="145">
        <v>40000000</v>
      </c>
      <c r="AU124" s="114" t="s">
        <v>76</v>
      </c>
      <c r="AV124" s="145">
        <v>40000000</v>
      </c>
      <c r="AW124" s="146"/>
      <c r="AY124" s="147" t="s">
        <v>165</v>
      </c>
      <c r="AZ124" s="148">
        <f>AT123</f>
        <v>44927</v>
      </c>
      <c r="BA124" s="142"/>
      <c r="BB124" s="143" t="s">
        <v>15</v>
      </c>
      <c r="BC124" s="144" t="s">
        <v>139</v>
      </c>
      <c r="BF124" s="50"/>
      <c r="BG124" s="114" t="s">
        <v>91</v>
      </c>
      <c r="BH124" s="140">
        <f>INDEX($O:$O,MATCH(BH122,$U:$U,0))</f>
        <v>30000000</v>
      </c>
      <c r="BI124" s="114" t="s">
        <v>76</v>
      </c>
      <c r="BJ124" s="140">
        <f ca="1">INDEX($O:$O,MATCH(BH122,$W:$W,0))</f>
        <v>5000000</v>
      </c>
      <c r="BK124" s="140"/>
      <c r="BL124" s="140"/>
      <c r="BM124" s="140"/>
      <c r="BO124" s="141" t="s">
        <v>168</v>
      </c>
      <c r="BP124" s="141"/>
      <c r="BQ124" s="2"/>
      <c r="BR124" s="2"/>
      <c r="BS124" s="149" t="s">
        <v>15</v>
      </c>
      <c r="BT124" s="2"/>
      <c r="BU124" s="2"/>
      <c r="BV124" s="150" t="s">
        <v>139</v>
      </c>
      <c r="BY124" s="50"/>
      <c r="CO124" s="50"/>
      <c r="CP124" s="114" t="s">
        <v>169</v>
      </c>
      <c r="CQ124" s="119" cm="1">
        <f t="array" ref="CQ124">LOOKUP(2,1/($B$10:$B$14&lt;=CQ120)/($C$10:$C$14&gt;=CQ120),$D$10:$D$14)</f>
        <v>1.1000000000000001</v>
      </c>
      <c r="CR124" s="114" t="s">
        <v>149</v>
      </c>
      <c r="CS124" s="152" cm="1">
        <f t="array" ref="CS124">LOOKUP(2,1/($B$6:$B$7&lt;=CQ120)/($C$6:$C$7&gt;=CQ120),$D$6:$D$7)</f>
        <v>0.10299999999999999</v>
      </c>
      <c r="CT124" s="152" t="s">
        <v>170</v>
      </c>
      <c r="CU124" s="152" t="s">
        <v>171</v>
      </c>
      <c r="CV124" s="152"/>
      <c r="CX124" s="153" t="s">
        <v>166</v>
      </c>
      <c r="CY124" s="158">
        <f>CS122</f>
        <v>44742</v>
      </c>
      <c r="CZ124" s="154"/>
      <c r="DA124" s="155">
        <f>CQ127/1000000</f>
        <v>3</v>
      </c>
      <c r="DB124" s="156">
        <f>MAX(CR127:CS127)/1000000</f>
        <v>8.724753857499433</v>
      </c>
      <c r="DE124" s="50"/>
      <c r="DF124" s="114" t="s">
        <v>169</v>
      </c>
      <c r="DG124" s="119" cm="1">
        <f t="array" ref="DG124">LOOKUP(2,1/($B$10:$B$14&lt;=DG120)/($C$10:$C$14&gt;=DG120),$D$10:$D$14)</f>
        <v>1.1000000000000001</v>
      </c>
      <c r="DH124" s="114" t="s">
        <v>149</v>
      </c>
      <c r="DI124" s="152" cm="1">
        <f t="array" ref="DI124">LOOKUP(2,1/($B$6:$B$7&lt;=DG120)/($C$6:$C$7&gt;=DG120),$D$6:$D$7)</f>
        <v>0.10299999999999999</v>
      </c>
      <c r="DJ124" s="152" t="s">
        <v>170</v>
      </c>
      <c r="DK124" s="152" t="s">
        <v>171</v>
      </c>
      <c r="DL124" s="152"/>
      <c r="DN124" s="153" t="s">
        <v>166</v>
      </c>
      <c r="DO124" s="158">
        <f>DI122</f>
        <v>44012</v>
      </c>
      <c r="DP124" s="154"/>
      <c r="DQ124" s="154"/>
      <c r="DR124" s="155">
        <f>DG127/1000000</f>
        <v>3</v>
      </c>
      <c r="DS124" s="154"/>
      <c r="DT124" s="154"/>
      <c r="DU124" s="156" t="e">
        <f>MAX(DH127:DI127)/1000000</f>
        <v>#DIV/0!</v>
      </c>
    </row>
    <row r="125" spans="10:125" x14ac:dyDescent="0.25">
      <c r="J125" s="86" t="str" cm="1">
        <f t="array" ref="J125">LOOKUP(2,1/($G$17:$G$33&lt;=$L125)/($H$17:$H$33&gt;=$L125),$F$17:$F$33)</f>
        <v>2H22</v>
      </c>
      <c r="K125" s="86" t="str" cm="1">
        <f t="array" ref="K125">LOOKUP(2,1/($G$6:$G$14&lt;=$L125)/($H$6:$H$14&gt;=$L125),$F$6:$F$14)</f>
        <v>FY22</v>
      </c>
      <c r="L125" s="118">
        <v>44628</v>
      </c>
      <c r="M125" s="49">
        <v>18445974.557522126</v>
      </c>
      <c r="N125" s="49">
        <v>24415091.924336284</v>
      </c>
      <c r="O125" s="50">
        <v>10000000</v>
      </c>
      <c r="P125" s="119" cm="1">
        <f t="array" ref="P125">LOOKUP(2,1/($B$10:$B$14&lt;=$L125)/($C$10:$C$14&gt;=$L125),$D$10:$D$14)</f>
        <v>1.1000000000000001</v>
      </c>
      <c r="Q125" s="120" cm="1">
        <f t="array" ref="Q125">LOOKUP(2,1/($B$17:$B$21&lt;=$L125)/($C$17:$C$21&gt;=$L125),$D$17:$D$21)</f>
        <v>134.49039999999999</v>
      </c>
      <c r="R125" s="113" t="str">
        <f t="shared" si="105"/>
        <v/>
      </c>
      <c r="S125" s="113" t="str">
        <f t="shared" si="106"/>
        <v>2H22</v>
      </c>
      <c r="T125" s="113" t="str">
        <f t="shared" ca="1" si="107"/>
        <v/>
      </c>
      <c r="U125" s="113" t="str">
        <f t="shared" si="108"/>
        <v/>
      </c>
      <c r="V125" s="113" t="str">
        <f t="shared" si="109"/>
        <v>FY22</v>
      </c>
      <c r="W125" s="113" t="str">
        <f t="shared" ca="1" si="110"/>
        <v/>
      </c>
      <c r="X125" s="50"/>
      <c r="Y125" s="114" t="s">
        <v>169</v>
      </c>
      <c r="Z125" s="135">
        <v>1.3</v>
      </c>
      <c r="AA125" s="114" t="s">
        <v>149</v>
      </c>
      <c r="AB125" s="152" cm="1">
        <f t="array" ref="AB125">LOOKUP(2,1/($B$6:$B$7&lt;=Z121)/($C$6:$C$7&gt;=Z121),$D$6:$D$7)</f>
        <v>0.10299999999999999</v>
      </c>
      <c r="AC125" s="152" t="s">
        <v>170</v>
      </c>
      <c r="AD125" s="152" t="s">
        <v>171</v>
      </c>
      <c r="AE125" s="152"/>
      <c r="AF125" s="152"/>
      <c r="AH125" s="153" t="s">
        <v>165</v>
      </c>
      <c r="AI125" s="148">
        <f>Z123</f>
        <v>44743</v>
      </c>
      <c r="AJ125" s="154"/>
      <c r="AK125" s="154"/>
      <c r="AL125" s="155">
        <f t="shared" ref="AL125:AL134" si="145">Z128/1000000</f>
        <v>3</v>
      </c>
      <c r="AM125" s="154"/>
      <c r="AN125" s="154"/>
      <c r="AO125" s="156">
        <f t="shared" ref="AO125:AO134" si="146">MAX(AA128:AB128)/1000000</f>
        <v>8.8022835111123054</v>
      </c>
      <c r="AR125" s="50"/>
      <c r="AS125" s="114" t="s">
        <v>169</v>
      </c>
      <c r="AT125" s="159">
        <v>1.2</v>
      </c>
      <c r="AU125" s="114" t="s">
        <v>149</v>
      </c>
      <c r="AV125" s="152" cm="1">
        <f t="array" ref="AV125">LOOKUP(2,1/($B$6:$B$7&lt;=AT121)/($C$6:$C$7&gt;=AT121),$D$6:$D$7)</f>
        <v>0.10299999999999999</v>
      </c>
      <c r="AW125" s="152"/>
      <c r="AY125" s="153" t="s">
        <v>166</v>
      </c>
      <c r="AZ125" s="158">
        <f>AV123</f>
        <v>45107</v>
      </c>
      <c r="BA125" s="154"/>
      <c r="BB125" s="155">
        <f>AT128/1000000</f>
        <v>8</v>
      </c>
      <c r="BC125" s="156" t="e">
        <f>MAX(AU128:AV128)/1000000</f>
        <v>#DIV/0!</v>
      </c>
      <c r="BF125" s="50"/>
      <c r="BG125" s="114" t="s">
        <v>169</v>
      </c>
      <c r="BH125" s="119" cm="1">
        <f t="array" ref="BH125">LOOKUP(2,1/($B$10:$B$14&lt;=BH121)/($C$10:$C$14&gt;=BH121),$D$10:$D$14)</f>
        <v>1.1000000000000001</v>
      </c>
      <c r="BI125" s="114" t="s">
        <v>149</v>
      </c>
      <c r="BJ125" s="152" cm="1">
        <f t="array" ref="BJ125">LOOKUP(2,1/($B$6:$B$7&lt;=BH121)/($C$6:$C$7&gt;=BH121),$D$6:$D$7)</f>
        <v>0.10299999999999999</v>
      </c>
      <c r="BK125" s="152"/>
      <c r="BL125" s="152"/>
      <c r="BM125" s="152"/>
      <c r="BO125" s="153" t="s">
        <v>165</v>
      </c>
      <c r="BP125" s="158">
        <f>BH123</f>
        <v>44743</v>
      </c>
      <c r="BQ125" s="154"/>
      <c r="BR125" s="154"/>
      <c r="BS125" s="155">
        <f t="shared" ref="BS125:BS134" si="147">BH128/1000000</f>
        <v>4</v>
      </c>
      <c r="BT125" s="154"/>
      <c r="BU125" s="154"/>
      <c r="BV125" s="156" t="e">
        <f t="shared" ref="BV125:BV134" si="148">MAX(BI128:BJ128)/1000000</f>
        <v>#DIV/0!</v>
      </c>
      <c r="BY125" s="50"/>
      <c r="CO125" s="50"/>
      <c r="CP125" s="114" t="s">
        <v>172</v>
      </c>
      <c r="CQ125" s="119" cm="1">
        <f t="array" ref="CQ125">LOOKUP(2,1/($B$17:$B$21&lt;=CQ120)/($C$17:$C$21&gt;=CQ120),$D$17:$D$21)</f>
        <v>134.49039999999999</v>
      </c>
      <c r="CR125" s="114" t="s">
        <v>173</v>
      </c>
      <c r="CS125" s="162">
        <f>41/53</f>
        <v>0.77358490566037741</v>
      </c>
      <c r="CT125" s="162">
        <v>1</v>
      </c>
      <c r="CU125" s="162">
        <f>1-CT125</f>
        <v>0</v>
      </c>
      <c r="CV125" s="163"/>
      <c r="CX125" s="153" t="s">
        <v>91</v>
      </c>
      <c r="CY125" s="155">
        <f>CQ123/1000000</f>
        <v>20</v>
      </c>
      <c r="CZ125" s="154"/>
      <c r="DA125" s="155">
        <f t="shared" ref="DA125:DA133" si="149">CQ128/1000000</f>
        <v>8</v>
      </c>
      <c r="DB125" s="156" t="e">
        <f t="shared" ref="DB125:DB133" si="150">MAX(CR128:CS128)/1000000</f>
        <v>#DIV/0!</v>
      </c>
      <c r="DE125" s="50"/>
      <c r="DF125" s="114" t="s">
        <v>172</v>
      </c>
      <c r="DG125" s="119" cm="1">
        <f t="array" ref="DG125">LOOKUP(2,1/($B$17:$B$21&lt;=DG120)/($C$17:$C$21&gt;=DG120),$D$17:$D$21)</f>
        <v>134.49039999999999</v>
      </c>
      <c r="DH125" s="114" t="s">
        <v>173</v>
      </c>
      <c r="DI125" s="163">
        <f>INT((WEEKDAY(DG120-5)-DG120+DI120)/7)/INT((WEEKDAY(DG122-5)-DG122+DI122)/7)</f>
        <v>1</v>
      </c>
      <c r="DJ125" s="162">
        <v>1</v>
      </c>
      <c r="DK125" s="162">
        <f>1-DJ125</f>
        <v>0</v>
      </c>
      <c r="DL125" s="163"/>
      <c r="DN125" s="153" t="s">
        <v>91</v>
      </c>
      <c r="DO125" s="155">
        <f>DG123/1000000</f>
        <v>5</v>
      </c>
      <c r="DP125" s="154"/>
      <c r="DQ125" s="154"/>
      <c r="DR125" s="155">
        <f t="shared" ref="DR125:DR133" si="151">DG128/1000000</f>
        <v>8</v>
      </c>
      <c r="DS125" s="154"/>
      <c r="DT125" s="154"/>
      <c r="DU125" s="156" t="e">
        <f t="shared" ref="DU125:DU133" si="152">MAX(DH128:DI128)/1000000</f>
        <v>#DIV/0!</v>
      </c>
    </row>
    <row r="126" spans="10:125" x14ac:dyDescent="0.25">
      <c r="J126" s="86" t="str" cm="1">
        <f t="array" ref="J126">LOOKUP(2,1/($G$17:$G$33&lt;=$L126)/($H$17:$H$33&gt;=$L126),$F$17:$F$33)</f>
        <v>2H22</v>
      </c>
      <c r="K126" s="86" t="str" cm="1">
        <f t="array" ref="K126">LOOKUP(2,1/($G$6:$G$14&lt;=$L126)/($H$6:$H$14&gt;=$L126),$F$6:$F$14)</f>
        <v>FY22</v>
      </c>
      <c r="L126" s="118">
        <v>44621</v>
      </c>
      <c r="M126" s="49">
        <v>12893113.692232059</v>
      </c>
      <c r="N126" s="49">
        <v>17065325.283038352</v>
      </c>
      <c r="O126" s="50">
        <v>5000000</v>
      </c>
      <c r="P126" s="119" cm="1">
        <f t="array" ref="P126">LOOKUP(2,1/($B$10:$B$14&lt;=$L126)/($C$10:$C$14&gt;=$L126),$D$10:$D$14)</f>
        <v>1.1000000000000001</v>
      </c>
      <c r="Q126" s="120" cm="1">
        <f t="array" ref="Q126">LOOKUP(2,1/($B$17:$B$21&lt;=$L126)/($C$17:$C$21&gt;=$L126),$D$17:$D$21)</f>
        <v>134.49039999999999</v>
      </c>
      <c r="R126" s="113" t="str">
        <f t="shared" si="105"/>
        <v/>
      </c>
      <c r="S126" s="113" t="str">
        <f t="shared" si="106"/>
        <v>2H22</v>
      </c>
      <c r="T126" s="113" t="str">
        <f t="shared" ca="1" si="107"/>
        <v/>
      </c>
      <c r="U126" s="113" t="str">
        <f t="shared" si="108"/>
        <v/>
      </c>
      <c r="V126" s="113" t="str">
        <f t="shared" si="109"/>
        <v>FY22</v>
      </c>
      <c r="W126" s="113" t="str">
        <f t="shared" ca="1" si="110"/>
        <v/>
      </c>
      <c r="X126" s="50"/>
      <c r="Y126" s="114" t="s">
        <v>172</v>
      </c>
      <c r="Z126" s="119" cm="1">
        <f t="array" ref="Z126">LOOKUP(2,1/($B$17:$B$21&lt;=Z121)/($C$17:$C$21&gt;=Z121),$D$17:$D$21)</f>
        <v>134.49039999999999</v>
      </c>
      <c r="AA126" s="114" t="s">
        <v>0</v>
      </c>
      <c r="AB126" s="135">
        <v>1</v>
      </c>
      <c r="AC126" s="162">
        <v>1</v>
      </c>
      <c r="AD126" s="162">
        <f>1-AC126</f>
        <v>0</v>
      </c>
      <c r="AH126" s="153" t="s">
        <v>166</v>
      </c>
      <c r="AI126" s="158">
        <f>AB123</f>
        <v>45107</v>
      </c>
      <c r="AJ126" s="154"/>
      <c r="AK126" s="154"/>
      <c r="AL126" s="155">
        <f t="shared" si="145"/>
        <v>5</v>
      </c>
      <c r="AM126" s="154"/>
      <c r="AN126" s="154"/>
      <c r="AO126" s="156">
        <f t="shared" si="146"/>
        <v>10.617691177648037</v>
      </c>
      <c r="AR126" s="50"/>
      <c r="AS126" s="114" t="s">
        <v>172</v>
      </c>
      <c r="AT126" s="119" cm="1">
        <f t="array" ref="AT126">LOOKUP(2,1/($B$17:$B$21&lt;=AT121)/($C$17:$C$21&gt;=AT121),$D$17:$D$21)</f>
        <v>134.49039999999999</v>
      </c>
      <c r="AU126" s="114" t="s">
        <v>0</v>
      </c>
      <c r="AV126" s="135">
        <f>1+(1.2/1.1-1)*-10%</f>
        <v>0.99090909090909096</v>
      </c>
      <c r="AY126" s="153" t="s">
        <v>91</v>
      </c>
      <c r="AZ126" s="155">
        <f>AT124/1000000</f>
        <v>40</v>
      </c>
      <c r="BA126" s="154"/>
      <c r="BB126" s="155">
        <f t="shared" ref="BB126:BB134" si="153">AT129/1000000</f>
        <v>20</v>
      </c>
      <c r="BC126" s="156">
        <f t="shared" ref="BC126:BC134" si="154">MAX(AU129:AV129)/1000000</f>
        <v>20.984831132186397</v>
      </c>
      <c r="BF126" s="50"/>
      <c r="BG126" s="114" t="s">
        <v>172</v>
      </c>
      <c r="BH126" s="119" cm="1">
        <f t="array" ref="BH126">LOOKUP(2,1/($B$17:$B$21&lt;=BH121)/($C$17:$C$21&gt;=BH121),$D$17:$D$21)</f>
        <v>134.49039999999999</v>
      </c>
      <c r="BO126" s="153" t="s">
        <v>166</v>
      </c>
      <c r="BP126" s="158">
        <f>BJ123</f>
        <v>45107</v>
      </c>
      <c r="BQ126" s="154"/>
      <c r="BR126" s="154"/>
      <c r="BS126" s="155">
        <f t="shared" si="147"/>
        <v>8</v>
      </c>
      <c r="BT126" s="154"/>
      <c r="BU126" s="154"/>
      <c r="BV126" s="156" t="e">
        <f t="shared" si="148"/>
        <v>#DIV/0!</v>
      </c>
      <c r="BY126" s="50"/>
      <c r="CO126" s="50"/>
      <c r="CP126" s="111" t="s">
        <v>174</v>
      </c>
      <c r="CQ126" s="111" t="s">
        <v>175</v>
      </c>
      <c r="CR126" s="111" t="s">
        <v>176</v>
      </c>
      <c r="CS126" s="111" t="s">
        <v>177</v>
      </c>
      <c r="CT126" s="111" t="s">
        <v>178</v>
      </c>
      <c r="CU126" s="111" t="s">
        <v>179</v>
      </c>
      <c r="CV126" s="111" t="s">
        <v>180</v>
      </c>
      <c r="CX126" s="153" t="s">
        <v>76</v>
      </c>
      <c r="CY126" s="155">
        <f ca="1">CS123/1000000</f>
        <v>10</v>
      </c>
      <c r="CZ126" s="154"/>
      <c r="DA126" s="155">
        <f t="shared" si="149"/>
        <v>20</v>
      </c>
      <c r="DB126" s="156">
        <f t="shared" si="150"/>
        <v>22.336329078738373</v>
      </c>
      <c r="DE126" s="50"/>
      <c r="DF126" s="111" t="s">
        <v>174</v>
      </c>
      <c r="DG126" s="111" t="s">
        <v>175</v>
      </c>
      <c r="DH126" s="111" t="s">
        <v>176</v>
      </c>
      <c r="DI126" s="111" t="s">
        <v>177</v>
      </c>
      <c r="DJ126" s="111" t="s">
        <v>178</v>
      </c>
      <c r="DK126" s="111" t="s">
        <v>179</v>
      </c>
      <c r="DL126" s="111" t="s">
        <v>180</v>
      </c>
      <c r="DN126" s="153" t="s">
        <v>76</v>
      </c>
      <c r="DO126" s="155">
        <f ca="1">DI123/1000000</f>
        <v>20</v>
      </c>
      <c r="DP126" s="154"/>
      <c r="DQ126" s="154"/>
      <c r="DR126" s="155">
        <f t="shared" si="151"/>
        <v>12</v>
      </c>
      <c r="DS126" s="154"/>
      <c r="DT126" s="154"/>
      <c r="DU126" s="156" t="e">
        <f t="shared" si="152"/>
        <v>#DIV/0!</v>
      </c>
    </row>
    <row r="127" spans="10:125" x14ac:dyDescent="0.25">
      <c r="J127" s="86" t="str" cm="1">
        <f t="array" ref="J127">LOOKUP(2,1/($G$17:$G$33&lt;=$L127)/($H$17:$H$33&gt;=$L127),$F$17:$F$33)</f>
        <v>2H22</v>
      </c>
      <c r="K127" s="86" t="str" cm="1">
        <f t="array" ref="K127">LOOKUP(2,1/($G$6:$G$14&lt;=$L127)/($H$6:$H$14&gt;=$L127),$F$6:$F$14)</f>
        <v>FY22</v>
      </c>
      <c r="L127" s="118">
        <v>44614</v>
      </c>
      <c r="M127" s="49">
        <v>9469921.951819079</v>
      </c>
      <c r="N127" s="49">
        <v>12534388.695427733</v>
      </c>
      <c r="O127" s="50">
        <v>2000000</v>
      </c>
      <c r="P127" s="119" cm="1">
        <f t="array" ref="P127">LOOKUP(2,1/($B$10:$B$14&lt;=$L127)/($C$10:$C$14&gt;=$L127),$D$10:$D$14)</f>
        <v>1.1000000000000001</v>
      </c>
      <c r="Q127" s="120" cm="1">
        <f t="array" ref="Q127">LOOKUP(2,1/($B$17:$B$21&lt;=$L127)/($C$17:$C$21&gt;=$L127),$D$17:$D$21)</f>
        <v>134.49039999999999</v>
      </c>
      <c r="R127" s="113" t="str">
        <f t="shared" si="105"/>
        <v/>
      </c>
      <c r="S127" s="113" t="str">
        <f t="shared" si="106"/>
        <v>2H22</v>
      </c>
      <c r="T127" s="113" t="str">
        <f t="shared" ca="1" si="107"/>
        <v/>
      </c>
      <c r="U127" s="113" t="str">
        <f t="shared" si="108"/>
        <v/>
      </c>
      <c r="V127" s="113" t="str">
        <f t="shared" si="109"/>
        <v>FY22</v>
      </c>
      <c r="W127" s="113" t="str">
        <f t="shared" ca="1" si="110"/>
        <v/>
      </c>
      <c r="X127" s="50"/>
      <c r="Y127" s="111" t="s">
        <v>174</v>
      </c>
      <c r="Z127" s="111" t="s">
        <v>175</v>
      </c>
      <c r="AA127" s="111" t="s">
        <v>176</v>
      </c>
      <c r="AB127" s="111" t="s">
        <v>177</v>
      </c>
      <c r="AC127" s="111" t="s">
        <v>178</v>
      </c>
      <c r="AD127" s="111" t="s">
        <v>179</v>
      </c>
      <c r="AE127" s="111" t="s">
        <v>180</v>
      </c>
      <c r="AF127" s="37"/>
      <c r="AH127" s="153" t="s">
        <v>169</v>
      </c>
      <c r="AI127" s="165">
        <f>Z125</f>
        <v>1.3</v>
      </c>
      <c r="AJ127" s="154"/>
      <c r="AK127" s="154"/>
      <c r="AL127" s="155">
        <f t="shared" si="145"/>
        <v>10</v>
      </c>
      <c r="AM127" s="154"/>
      <c r="AN127" s="154"/>
      <c r="AO127" s="156">
        <f t="shared" si="146"/>
        <v>13.579888338428162</v>
      </c>
      <c r="AR127" s="50"/>
      <c r="AS127" s="111" t="s">
        <v>174</v>
      </c>
      <c r="AT127" s="111" t="s">
        <v>175</v>
      </c>
      <c r="AU127" s="111" t="s">
        <v>176</v>
      </c>
      <c r="AV127" s="111" t="s">
        <v>177</v>
      </c>
      <c r="AW127" s="111" t="s">
        <v>180</v>
      </c>
      <c r="AY127" s="153" t="s">
        <v>76</v>
      </c>
      <c r="AZ127" s="155">
        <f>AV124/1000000</f>
        <v>40</v>
      </c>
      <c r="BA127" s="154"/>
      <c r="BB127" s="155">
        <f t="shared" si="153"/>
        <v>30</v>
      </c>
      <c r="BC127" s="156">
        <f t="shared" si="154"/>
        <v>26.371160321389532</v>
      </c>
      <c r="BF127" s="50"/>
      <c r="BG127" s="111" t="s">
        <v>174</v>
      </c>
      <c r="BH127" s="111" t="s">
        <v>175</v>
      </c>
      <c r="BI127" s="111" t="s">
        <v>176</v>
      </c>
      <c r="BJ127" s="111" t="s">
        <v>177</v>
      </c>
      <c r="BK127" s="111"/>
      <c r="BL127" s="111"/>
      <c r="BM127" s="111" t="s">
        <v>180</v>
      </c>
      <c r="BO127" s="153" t="s">
        <v>169</v>
      </c>
      <c r="BP127" s="165">
        <f>BH125</f>
        <v>1.1000000000000001</v>
      </c>
      <c r="BQ127" s="154"/>
      <c r="BR127" s="154"/>
      <c r="BS127" s="155">
        <f t="shared" si="147"/>
        <v>20</v>
      </c>
      <c r="BT127" s="154"/>
      <c r="BU127" s="154"/>
      <c r="BV127" s="156">
        <f t="shared" si="148"/>
        <v>22.336329078738373</v>
      </c>
      <c r="BY127" s="50"/>
      <c r="CO127" s="50"/>
      <c r="CP127" s="146">
        <v>1</v>
      </c>
      <c r="CQ127" s="166">
        <v>3000000</v>
      </c>
      <c r="CR127" s="168">
        <f t="shared" ref="CR127:CR133" si="155">AVERAGEIFS($M:$M,$L:$L,"&gt;="&amp;CQ$120,$L:$L,"&lt;="&amp;CS$120,$O:$O,"="&amp;CQ127)</f>
        <v>8724753.8574994337</v>
      </c>
      <c r="CS127" s="168"/>
      <c r="CT127" s="168"/>
      <c r="CU127" s="168"/>
      <c r="CV127" s="167">
        <f t="shared" ref="CV127:CV133" si="156">COUNTIFS($L:$L,"&gt;="&amp;CQ$120,$L:$L,"&lt;="&amp;CS$120,$O:$O,"="&amp;CQ127)</f>
        <v>2</v>
      </c>
      <c r="CX127" s="153" t="s">
        <v>169</v>
      </c>
      <c r="CY127" s="165">
        <f>CQ124</f>
        <v>1.1000000000000001</v>
      </c>
      <c r="CZ127" s="154"/>
      <c r="DA127" s="155">
        <f t="shared" si="149"/>
        <v>40</v>
      </c>
      <c r="DB127" s="156" t="e">
        <f t="shared" si="150"/>
        <v>#DIV/0!</v>
      </c>
      <c r="DE127" s="50"/>
      <c r="DF127" s="146">
        <v>1</v>
      </c>
      <c r="DG127" s="166">
        <v>3000000</v>
      </c>
      <c r="DH127" s="168" t="e">
        <f t="shared" ref="DH127:DH133" si="157">AVERAGEIFS($M:$M,$L:$L,"&gt;="&amp;DG$120,$L:$L,"&lt;="&amp;DI$120,$O:$O,"="&amp;DG127)</f>
        <v>#DIV/0!</v>
      </c>
      <c r="DI127" s="168"/>
      <c r="DJ127" s="168"/>
      <c r="DK127" s="168"/>
      <c r="DL127" s="167">
        <f t="shared" ref="DL127:DL133" si="158">COUNTIFS($L:$L,"&gt;="&amp;DG$120,$L:$L,"&lt;="&amp;DI$120,$O:$O,"="&amp;DG127)</f>
        <v>0</v>
      </c>
      <c r="DN127" s="153" t="s">
        <v>169</v>
      </c>
      <c r="DO127" s="165">
        <f>DG124</f>
        <v>1.1000000000000001</v>
      </c>
      <c r="DP127" s="154"/>
      <c r="DQ127" s="154"/>
      <c r="DR127" s="155">
        <f t="shared" si="151"/>
        <v>20</v>
      </c>
      <c r="DS127" s="154"/>
      <c r="DT127" s="154"/>
      <c r="DU127" s="156">
        <f t="shared" si="152"/>
        <v>24.465498525073752</v>
      </c>
    </row>
    <row r="128" spans="10:125" x14ac:dyDescent="0.25">
      <c r="J128" s="86" t="str" cm="1">
        <f t="array" ref="J128">LOOKUP(2,1/($G$17:$G$33&lt;=$L128)/($H$17:$H$33&gt;=$L128),$F$17:$F$33)</f>
        <v>2H22</v>
      </c>
      <c r="K128" s="86" t="str" cm="1">
        <f t="array" ref="K128">LOOKUP(2,1/($G$6:$G$14&lt;=$L128)/($H$6:$H$14&gt;=$L128),$F$6:$F$14)</f>
        <v>FY22</v>
      </c>
      <c r="L128" s="118">
        <v>44607</v>
      </c>
      <c r="M128" s="49">
        <v>15074664.70009833</v>
      </c>
      <c r="N128" s="49">
        <v>19952826.197050147</v>
      </c>
      <c r="O128" s="50">
        <v>10000000</v>
      </c>
      <c r="P128" s="119" cm="1">
        <f t="array" ref="P128">LOOKUP(2,1/($B$10:$B$14&lt;=$L128)/($C$10:$C$14&gt;=$L128),$D$10:$D$14)</f>
        <v>1.1000000000000001</v>
      </c>
      <c r="Q128" s="120" cm="1">
        <f t="array" ref="Q128">LOOKUP(2,1/($B$17:$B$21&lt;=$L128)/($C$17:$C$21&gt;=$L128),$D$17:$D$21)</f>
        <v>134.49039999999999</v>
      </c>
      <c r="R128" s="113" t="str">
        <f t="shared" si="105"/>
        <v/>
      </c>
      <c r="S128" s="113" t="str">
        <f t="shared" si="106"/>
        <v>2H22</v>
      </c>
      <c r="T128" s="113" t="str">
        <f t="shared" ca="1" si="107"/>
        <v/>
      </c>
      <c r="U128" s="113" t="str">
        <f t="shared" si="108"/>
        <v/>
      </c>
      <c r="V128" s="113" t="str">
        <f t="shared" si="109"/>
        <v>FY22</v>
      </c>
      <c r="W128" s="113" t="str">
        <f t="shared" ca="1" si="110"/>
        <v/>
      </c>
      <c r="X128" s="50"/>
      <c r="Y128" s="146">
        <v>1</v>
      </c>
      <c r="Z128" s="166">
        <v>3000000</v>
      </c>
      <c r="AA128" s="167">
        <f t="shared" ref="AA128:AA133" si="159">AVERAGEIFS($M:$M,$L:$L,"&gt;="&amp;Z$121,$L:$L,"&lt;="&amp;AB$121,$O:$O,"="&amp;Z128)*AB$126</f>
        <v>8802283.5111123063</v>
      </c>
      <c r="AB128" s="168"/>
      <c r="AC128" s="145">
        <v>7166000</v>
      </c>
      <c r="AD128" s="168"/>
      <c r="AE128" s="167">
        <f t="shared" ref="AE128:AE133" si="160">COUNTIFS($L:$L,"&gt;="&amp;Z$121,$L:$L,"&lt;="&amp;AB$121,$O:$O,"="&amp;Z128)</f>
        <v>13</v>
      </c>
      <c r="AF128" s="167"/>
      <c r="AH128" s="153" t="s">
        <v>149</v>
      </c>
      <c r="AI128" s="169">
        <f>AB125</f>
        <v>0.10299999999999999</v>
      </c>
      <c r="AJ128" s="154"/>
      <c r="AK128" s="154"/>
      <c r="AL128" s="155">
        <f t="shared" si="145"/>
        <v>20</v>
      </c>
      <c r="AM128" s="154"/>
      <c r="AN128" s="154"/>
      <c r="AO128" s="156">
        <f t="shared" si="146"/>
        <v>20.69317822019887</v>
      </c>
      <c r="AR128" s="50"/>
      <c r="AS128" s="146">
        <v>1</v>
      </c>
      <c r="AT128" s="166">
        <v>8000000</v>
      </c>
      <c r="AU128" s="167" t="e">
        <f t="shared" ref="AU128:AU133" si="161">AVERAGEIFS($M:$M,$L:$L,"&gt;="&amp;AT$121,$L:$L,"&lt;="&amp;AV$121,$O:$O,"="&amp;AT128)*AV$126</f>
        <v>#DIV/0!</v>
      </c>
      <c r="AV128" s="168"/>
      <c r="AW128" s="167">
        <f t="shared" ref="AW128:AW133" si="162">COUNTIFS($L:$L,"&gt;="&amp;AT$64,$L:$L,"&lt;="&amp;AV$64,$O:$O,"="&amp;$AT128)</f>
        <v>0</v>
      </c>
      <c r="AY128" s="153" t="s">
        <v>169</v>
      </c>
      <c r="AZ128" s="165">
        <f>AT125</f>
        <v>1.2</v>
      </c>
      <c r="BA128" s="154"/>
      <c r="BB128" s="155">
        <f t="shared" si="153"/>
        <v>50</v>
      </c>
      <c r="BC128" s="156">
        <f t="shared" si="154"/>
        <v>41.087545615446501</v>
      </c>
      <c r="BF128" s="50"/>
      <c r="BG128" s="146">
        <v>1</v>
      </c>
      <c r="BH128" s="166">
        <v>4000000</v>
      </c>
      <c r="BI128" s="167" t="e">
        <f t="shared" ref="BI128:BI133" si="163">AVERAGEIFS($M:$M,$L:$L,"&gt;="&amp;BH$121,$L:$L,"&lt;="&amp;BJ$121,$O:$O,"="&amp;BH128)</f>
        <v>#DIV/0!</v>
      </c>
      <c r="BJ128" s="168"/>
      <c r="BK128" s="168"/>
      <c r="BL128" s="168"/>
      <c r="BM128" s="167">
        <f t="shared" ref="BM128:BM134" si="164">COUNTIFS($L:$L,"&gt;="&amp;BH$121,$L:$L,"&lt;="&amp;BJ$121,$O:$O,"="&amp;BH128)</f>
        <v>0</v>
      </c>
      <c r="BO128" s="153" t="s">
        <v>149</v>
      </c>
      <c r="BP128" s="169">
        <f>BJ125</f>
        <v>0.10299999999999999</v>
      </c>
      <c r="BQ128" s="154"/>
      <c r="BR128" s="154"/>
      <c r="BS128" s="155">
        <f t="shared" si="147"/>
        <v>40</v>
      </c>
      <c r="BT128" s="154"/>
      <c r="BU128" s="154"/>
      <c r="BV128" s="156" t="e">
        <f t="shared" si="148"/>
        <v>#DIV/0!</v>
      </c>
      <c r="BY128" s="50"/>
      <c r="CO128" s="50"/>
      <c r="CP128" s="146">
        <v>2</v>
      </c>
      <c r="CQ128" s="166">
        <v>8000000</v>
      </c>
      <c r="CR128" s="168" t="e">
        <f t="shared" si="155"/>
        <v>#DIV/0!</v>
      </c>
      <c r="CS128" s="168"/>
      <c r="CV128" s="167">
        <f t="shared" si="156"/>
        <v>0</v>
      </c>
      <c r="CX128" s="153" t="s">
        <v>149</v>
      </c>
      <c r="CY128" s="169">
        <f>CS124</f>
        <v>0.10299999999999999</v>
      </c>
      <c r="CZ128" s="154"/>
      <c r="DA128" s="155">
        <f t="shared" si="149"/>
        <v>60</v>
      </c>
      <c r="DB128" s="156" t="e">
        <f t="shared" si="150"/>
        <v>#DIV/0!</v>
      </c>
      <c r="DE128" s="50"/>
      <c r="DF128" s="146">
        <v>2</v>
      </c>
      <c r="DG128" s="166">
        <v>8000000</v>
      </c>
      <c r="DH128" s="168" t="e">
        <f t="shared" si="157"/>
        <v>#DIV/0!</v>
      </c>
      <c r="DL128" s="167">
        <f t="shared" si="158"/>
        <v>0</v>
      </c>
      <c r="DN128" s="153" t="s">
        <v>149</v>
      </c>
      <c r="DO128" s="169">
        <f>DI124</f>
        <v>0.10299999999999999</v>
      </c>
      <c r="DP128" s="154"/>
      <c r="DQ128" s="154"/>
      <c r="DR128" s="155">
        <f t="shared" si="151"/>
        <v>40</v>
      </c>
      <c r="DS128" s="154"/>
      <c r="DT128" s="154"/>
      <c r="DU128" s="156" t="e">
        <f t="shared" si="152"/>
        <v>#DIV/0!</v>
      </c>
    </row>
    <row r="129" spans="10:125" x14ac:dyDescent="0.25">
      <c r="J129" s="86" t="str" cm="1">
        <f t="array" ref="J129">LOOKUP(2,1/($G$17:$G$33&lt;=$L129)/($H$17:$H$33&gt;=$L129),$F$17:$F$33)</f>
        <v>2H22</v>
      </c>
      <c r="K129" s="86" t="str" cm="1">
        <f t="array" ref="K129">LOOKUP(2,1/($G$6:$G$14&lt;=$L129)/($H$6:$H$14&gt;=$L129),$F$6:$F$14)</f>
        <v>FY22</v>
      </c>
      <c r="L129" s="118">
        <v>44600</v>
      </c>
      <c r="M129" s="49">
        <v>10997342.920353984</v>
      </c>
      <c r="N129" s="49">
        <v>14556083.089380533</v>
      </c>
      <c r="O129" s="50">
        <v>5000000</v>
      </c>
      <c r="P129" s="119" cm="1">
        <f t="array" ref="P129">LOOKUP(2,1/($B$10:$B$14&lt;=$L129)/($C$10:$C$14&gt;=$L129),$D$10:$D$14)</f>
        <v>1.1000000000000001</v>
      </c>
      <c r="Q129" s="120" cm="1">
        <f t="array" ref="Q129">LOOKUP(2,1/($B$17:$B$21&lt;=$L129)/($C$17:$C$21&gt;=$L129),$D$17:$D$21)</f>
        <v>134.49039999999999</v>
      </c>
      <c r="R129" s="113" t="str">
        <f t="shared" si="105"/>
        <v/>
      </c>
      <c r="S129" s="113" t="str">
        <f t="shared" si="106"/>
        <v>2H22</v>
      </c>
      <c r="T129" s="113" t="str">
        <f t="shared" ca="1" si="107"/>
        <v/>
      </c>
      <c r="U129" s="113" t="str">
        <f t="shared" si="108"/>
        <v/>
      </c>
      <c r="V129" s="113" t="str">
        <f t="shared" si="109"/>
        <v>FY22</v>
      </c>
      <c r="W129" s="113" t="str">
        <f t="shared" ca="1" si="110"/>
        <v/>
      </c>
      <c r="X129" s="50"/>
      <c r="Y129" s="146">
        <v>2</v>
      </c>
      <c r="Z129" s="166">
        <v>5000000</v>
      </c>
      <c r="AA129" s="167">
        <f t="shared" si="159"/>
        <v>10617691.177648038</v>
      </c>
      <c r="AC129" s="145">
        <v>8699200</v>
      </c>
      <c r="AE129" s="167">
        <f t="shared" si="160"/>
        <v>12</v>
      </c>
      <c r="AF129" s="167"/>
      <c r="AH129" s="153" t="s">
        <v>172</v>
      </c>
      <c r="AI129" s="170">
        <f>Z126</f>
        <v>134.49039999999999</v>
      </c>
      <c r="AJ129" s="154"/>
      <c r="AK129" s="154"/>
      <c r="AL129" s="155">
        <f t="shared" si="145"/>
        <v>30</v>
      </c>
      <c r="AM129" s="154"/>
      <c r="AN129" s="154"/>
      <c r="AO129" s="156">
        <f t="shared" si="146"/>
        <v>25.387419480576561</v>
      </c>
      <c r="AR129" s="50"/>
      <c r="AS129" s="146">
        <v>2</v>
      </c>
      <c r="AT129" s="166">
        <v>20000000</v>
      </c>
      <c r="AU129" s="167">
        <f t="shared" si="161"/>
        <v>20984831.132186398</v>
      </c>
      <c r="AW129" s="167">
        <f t="shared" si="162"/>
        <v>5</v>
      </c>
      <c r="AY129" s="153" t="s">
        <v>149</v>
      </c>
      <c r="AZ129" s="169">
        <f>AV125</f>
        <v>0.10299999999999999</v>
      </c>
      <c r="BA129" s="154"/>
      <c r="BB129" s="155">
        <f t="shared" si="153"/>
        <v>100</v>
      </c>
      <c r="BC129" s="156" t="e">
        <f t="shared" si="154"/>
        <v>#DIV/0!</v>
      </c>
      <c r="BF129" s="50"/>
      <c r="BG129" s="146">
        <v>2</v>
      </c>
      <c r="BH129" s="166">
        <v>8000000</v>
      </c>
      <c r="BI129" s="167" t="e">
        <f t="shared" si="163"/>
        <v>#DIV/0!</v>
      </c>
      <c r="BM129" s="167">
        <f t="shared" si="164"/>
        <v>0</v>
      </c>
      <c r="BO129" s="153" t="s">
        <v>172</v>
      </c>
      <c r="BP129" s="170">
        <f>BH126</f>
        <v>134.49039999999999</v>
      </c>
      <c r="BQ129" s="154"/>
      <c r="BR129" s="154"/>
      <c r="BS129" s="155">
        <f t="shared" si="147"/>
        <v>60</v>
      </c>
      <c r="BT129" s="154"/>
      <c r="BU129" s="154"/>
      <c r="BV129" s="156" t="e">
        <f t="shared" si="148"/>
        <v>#DIV/0!</v>
      </c>
      <c r="CO129" s="50"/>
      <c r="CP129" s="146">
        <v>3</v>
      </c>
      <c r="CQ129" s="166">
        <v>20000000</v>
      </c>
      <c r="CR129" s="168">
        <f t="shared" si="155"/>
        <v>22336329.078738373</v>
      </c>
      <c r="CS129" s="168"/>
      <c r="CV129" s="167">
        <f t="shared" si="156"/>
        <v>7</v>
      </c>
      <c r="CX129" s="153" t="s">
        <v>172</v>
      </c>
      <c r="CY129" s="170">
        <f>CQ125</f>
        <v>134.49039999999999</v>
      </c>
      <c r="CZ129" s="154"/>
      <c r="DA129" s="155">
        <f t="shared" si="149"/>
        <v>80</v>
      </c>
      <c r="DB129" s="156" t="e">
        <f t="shared" si="150"/>
        <v>#DIV/0!</v>
      </c>
      <c r="DE129" s="50"/>
      <c r="DF129" s="146">
        <v>3</v>
      </c>
      <c r="DG129" s="166">
        <v>12000000</v>
      </c>
      <c r="DH129" s="168" t="e">
        <f t="shared" si="157"/>
        <v>#DIV/0!</v>
      </c>
      <c r="DL129" s="167">
        <f t="shared" si="158"/>
        <v>0</v>
      </c>
      <c r="DN129" s="153" t="s">
        <v>172</v>
      </c>
      <c r="DO129" s="170">
        <f>DG125</f>
        <v>134.49039999999999</v>
      </c>
      <c r="DP129" s="154"/>
      <c r="DQ129" s="154"/>
      <c r="DR129" s="155">
        <f t="shared" si="151"/>
        <v>60</v>
      </c>
      <c r="DS129" s="154"/>
      <c r="DT129" s="154"/>
      <c r="DU129" s="156" t="e">
        <f t="shared" si="152"/>
        <v>#DIV/0!</v>
      </c>
    </row>
    <row r="130" spans="10:125" x14ac:dyDescent="0.25">
      <c r="J130" s="86" t="str" cm="1">
        <f t="array" ref="J130">LOOKUP(2,1/($G$17:$G$33&lt;=$L130)/($H$17:$H$33&gt;=$L130),$F$17:$F$33)</f>
        <v>2H22</v>
      </c>
      <c r="K130" s="86" t="str" cm="1">
        <f t="array" ref="K130">LOOKUP(2,1/($G$6:$G$14&lt;=$L130)/($H$6:$H$14&gt;=$L130),$F$6:$F$14)</f>
        <v>FY22</v>
      </c>
      <c r="L130" s="118">
        <v>44593</v>
      </c>
      <c r="M130" s="49">
        <v>9568139.3805309739</v>
      </c>
      <c r="N130" s="49">
        <v>12664389.284070795</v>
      </c>
      <c r="O130" s="50">
        <v>2000000</v>
      </c>
      <c r="P130" s="119" cm="1">
        <f t="array" ref="P130">LOOKUP(2,1/($B$10:$B$14&lt;=$L130)/($C$10:$C$14&gt;=$L130),$D$10:$D$14)</f>
        <v>1.1000000000000001</v>
      </c>
      <c r="Q130" s="120" cm="1">
        <f t="array" ref="Q130">LOOKUP(2,1/($B$17:$B$21&lt;=$L130)/($C$17:$C$21&gt;=$L130),$D$17:$D$21)</f>
        <v>134.49039999999999</v>
      </c>
      <c r="R130" s="113" t="str">
        <f t="shared" si="105"/>
        <v/>
      </c>
      <c r="S130" s="113" t="str">
        <f t="shared" si="106"/>
        <v>2H22</v>
      </c>
      <c r="T130" s="113" t="str">
        <f t="shared" ca="1" si="107"/>
        <v/>
      </c>
      <c r="U130" s="113" t="str">
        <f t="shared" si="108"/>
        <v/>
      </c>
      <c r="V130" s="113" t="str">
        <f t="shared" si="109"/>
        <v>FY22</v>
      </c>
      <c r="W130" s="113" t="str">
        <f t="shared" ca="1" si="110"/>
        <v/>
      </c>
      <c r="X130" s="50"/>
      <c r="Y130" s="146">
        <v>3</v>
      </c>
      <c r="Z130" s="166">
        <v>10000000</v>
      </c>
      <c r="AA130" s="167">
        <f t="shared" si="159"/>
        <v>13579888.338428162</v>
      </c>
      <c r="AC130" s="145">
        <v>12532200</v>
      </c>
      <c r="AE130" s="167">
        <f t="shared" si="160"/>
        <v>11</v>
      </c>
      <c r="AF130" s="167"/>
      <c r="AH130" s="171"/>
      <c r="AJ130" s="154"/>
      <c r="AK130" s="154"/>
      <c r="AL130" s="155">
        <f t="shared" si="145"/>
        <v>50</v>
      </c>
      <c r="AM130" s="154"/>
      <c r="AN130" s="154"/>
      <c r="AO130" s="156">
        <f t="shared" si="146"/>
        <v>41.464495575221243</v>
      </c>
      <c r="AR130" s="50"/>
      <c r="AS130" s="146">
        <v>3</v>
      </c>
      <c r="AT130" s="166">
        <v>30000000</v>
      </c>
      <c r="AU130" s="167">
        <f t="shared" si="161"/>
        <v>26371160.32138953</v>
      </c>
      <c r="AW130" s="167">
        <f t="shared" si="162"/>
        <v>2</v>
      </c>
      <c r="AY130" s="153" t="s">
        <v>172</v>
      </c>
      <c r="AZ130" s="170">
        <f>AT126</f>
        <v>134.49039999999999</v>
      </c>
      <c r="BA130" s="154"/>
      <c r="BB130" s="155">
        <f t="shared" si="153"/>
        <v>160</v>
      </c>
      <c r="BC130" s="156" t="e">
        <f t="shared" si="154"/>
        <v>#DIV/0!</v>
      </c>
      <c r="BF130" s="50"/>
      <c r="BG130" s="146">
        <v>3</v>
      </c>
      <c r="BH130" s="166">
        <v>20000000</v>
      </c>
      <c r="BI130" s="167">
        <f t="shared" si="163"/>
        <v>22336329.078738373</v>
      </c>
      <c r="BM130" s="167">
        <f t="shared" si="164"/>
        <v>7</v>
      </c>
      <c r="BO130" s="171"/>
      <c r="BQ130" s="154"/>
      <c r="BR130" s="154"/>
      <c r="BS130" s="155">
        <f t="shared" si="147"/>
        <v>80</v>
      </c>
      <c r="BT130" s="154"/>
      <c r="BU130" s="154"/>
      <c r="BV130" s="156" t="e">
        <f t="shared" si="148"/>
        <v>#DIV/0!</v>
      </c>
      <c r="BY130" s="50"/>
      <c r="CO130" s="50"/>
      <c r="CP130" s="146">
        <v>4</v>
      </c>
      <c r="CQ130" s="166">
        <v>40000000</v>
      </c>
      <c r="CR130" s="168" t="e">
        <f t="shared" si="155"/>
        <v>#DIV/0!</v>
      </c>
      <c r="CS130" s="168"/>
      <c r="CV130" s="167">
        <f t="shared" si="156"/>
        <v>0</v>
      </c>
      <c r="CX130" s="172"/>
      <c r="CY130" s="2"/>
      <c r="CZ130" s="154"/>
      <c r="DA130" s="155">
        <f t="shared" si="149"/>
        <v>120</v>
      </c>
      <c r="DB130" s="156" t="e">
        <f t="shared" si="150"/>
        <v>#DIV/0!</v>
      </c>
      <c r="DE130" s="50"/>
      <c r="DF130" s="146">
        <v>4</v>
      </c>
      <c r="DG130" s="166">
        <v>20000000</v>
      </c>
      <c r="DH130" s="168">
        <f t="shared" si="157"/>
        <v>24465498.525073752</v>
      </c>
      <c r="DL130" s="167">
        <f t="shared" si="158"/>
        <v>1</v>
      </c>
      <c r="DN130" s="172"/>
      <c r="DO130" s="2"/>
      <c r="DP130" s="154"/>
      <c r="DQ130" s="154"/>
      <c r="DR130" s="155">
        <f t="shared" si="151"/>
        <v>80</v>
      </c>
      <c r="DS130" s="154"/>
      <c r="DT130" s="154"/>
      <c r="DU130" s="156" t="e">
        <f t="shared" si="152"/>
        <v>#DIV/0!</v>
      </c>
    </row>
    <row r="131" spans="10:125" x14ac:dyDescent="0.25">
      <c r="J131" s="86" t="str" cm="1">
        <f t="array" ref="J131">LOOKUP(2,1/($G$17:$G$33&lt;=$L131)/($H$17:$H$33&gt;=$L131),$F$17:$F$33)</f>
        <v>2H22</v>
      </c>
      <c r="K131" s="86" t="str" cm="1">
        <f t="array" ref="K131">LOOKUP(2,1/($G$6:$G$14&lt;=$L131)/($H$6:$H$14&gt;=$L131),$F$6:$F$14)</f>
        <v>FY22</v>
      </c>
      <c r="L131" s="118">
        <v>44586</v>
      </c>
      <c r="M131" s="49">
        <v>46351200.835791551</v>
      </c>
      <c r="N131" s="49">
        <v>61350449.426253691</v>
      </c>
      <c r="O131" s="50">
        <v>50000000</v>
      </c>
      <c r="P131" s="119" cm="1">
        <f t="array" ref="P131">LOOKUP(2,1/($B$10:$B$14&lt;=$L131)/($C$10:$C$14&gt;=$L131),$D$10:$D$14)</f>
        <v>1.1000000000000001</v>
      </c>
      <c r="Q131" s="120" cm="1">
        <f t="array" ref="Q131">LOOKUP(2,1/($B$17:$B$21&lt;=$L131)/($C$17:$C$21&gt;=$L131),$D$17:$D$21)</f>
        <v>134.49039999999999</v>
      </c>
      <c r="R131" s="113" t="str">
        <f t="shared" si="105"/>
        <v/>
      </c>
      <c r="S131" s="113" t="str">
        <f t="shared" si="106"/>
        <v>2H22</v>
      </c>
      <c r="T131" s="113" t="str">
        <f t="shared" ca="1" si="107"/>
        <v/>
      </c>
      <c r="U131" s="113" t="str">
        <f t="shared" si="108"/>
        <v/>
      </c>
      <c r="V131" s="113" t="str">
        <f t="shared" si="109"/>
        <v>FY22</v>
      </c>
      <c r="W131" s="113" t="str">
        <f t="shared" ca="1" si="110"/>
        <v/>
      </c>
      <c r="X131" s="50"/>
      <c r="Y131" s="146">
        <v>4</v>
      </c>
      <c r="Z131" s="166">
        <v>20000000</v>
      </c>
      <c r="AA131" s="167">
        <f t="shared" si="159"/>
        <v>20693178.22019887</v>
      </c>
      <c r="AC131" s="145">
        <v>20198200</v>
      </c>
      <c r="AE131" s="167">
        <f t="shared" si="160"/>
        <v>9</v>
      </c>
      <c r="AF131" s="167"/>
      <c r="AH131" s="153" t="s">
        <v>91</v>
      </c>
      <c r="AI131" s="155">
        <f>Z124/1000000</f>
        <v>30</v>
      </c>
      <c r="AJ131" s="154"/>
      <c r="AK131" s="154"/>
      <c r="AL131" s="155">
        <f t="shared" si="145"/>
        <v>70</v>
      </c>
      <c r="AM131" s="154"/>
      <c r="AN131" s="154"/>
      <c r="AO131" s="156">
        <f t="shared" si="146"/>
        <v>58.528199999999998</v>
      </c>
      <c r="AR131" s="50"/>
      <c r="AS131" s="146">
        <v>4</v>
      </c>
      <c r="AT131" s="166">
        <v>50000000</v>
      </c>
      <c r="AU131" s="167">
        <f t="shared" si="161"/>
        <v>41087545.6154465</v>
      </c>
      <c r="AW131" s="167">
        <f t="shared" si="162"/>
        <v>1</v>
      </c>
      <c r="AY131" s="172"/>
      <c r="AZ131" s="2"/>
      <c r="BA131" s="154"/>
      <c r="BB131" s="155">
        <f t="shared" si="153"/>
        <v>200</v>
      </c>
      <c r="BC131" s="156">
        <f t="shared" si="154"/>
        <v>396.36363636363637</v>
      </c>
      <c r="BF131" s="50"/>
      <c r="BG131" s="146">
        <v>4</v>
      </c>
      <c r="BH131" s="166">
        <v>40000000</v>
      </c>
      <c r="BI131" s="167" t="e">
        <f t="shared" si="163"/>
        <v>#DIV/0!</v>
      </c>
      <c r="BM131" s="167">
        <f t="shared" si="164"/>
        <v>0</v>
      </c>
      <c r="BO131" s="153" t="s">
        <v>91</v>
      </c>
      <c r="BP131" s="155">
        <f>BH124/1000000</f>
        <v>30</v>
      </c>
      <c r="BQ131" s="154"/>
      <c r="BR131" s="154"/>
      <c r="BS131" s="155">
        <f t="shared" si="147"/>
        <v>120</v>
      </c>
      <c r="BT131" s="154"/>
      <c r="BU131" s="154"/>
      <c r="BV131" s="156">
        <f t="shared" si="148"/>
        <v>226.12630409125558</v>
      </c>
      <c r="BY131" s="50"/>
      <c r="CO131" s="50"/>
      <c r="CP131" s="146">
        <v>5</v>
      </c>
      <c r="CQ131" s="166">
        <v>60000000</v>
      </c>
      <c r="CR131" s="168" t="e">
        <f t="shared" si="155"/>
        <v>#DIV/0!</v>
      </c>
      <c r="CS131" s="173"/>
      <c r="CT131" s="145">
        <v>94830000</v>
      </c>
      <c r="CU131" s="145">
        <v>86029000</v>
      </c>
      <c r="CV131" s="167">
        <f t="shared" si="156"/>
        <v>0</v>
      </c>
      <c r="CX131" s="172" t="s">
        <v>147</v>
      </c>
      <c r="CY131" s="174">
        <f>CQ120</f>
        <v>44378</v>
      </c>
      <c r="CZ131" s="154"/>
      <c r="DA131" s="155">
        <f t="shared" si="149"/>
        <v>160</v>
      </c>
      <c r="DB131" s="156">
        <f t="shared" si="150"/>
        <v>291.38749999999999</v>
      </c>
      <c r="DE131" s="50"/>
      <c r="DF131" s="146">
        <v>5</v>
      </c>
      <c r="DG131" s="166">
        <v>40000000</v>
      </c>
      <c r="DH131" s="168" t="e">
        <f t="shared" si="157"/>
        <v>#DIV/0!</v>
      </c>
      <c r="DL131" s="167">
        <f t="shared" si="158"/>
        <v>0</v>
      </c>
      <c r="DN131" s="172" t="s">
        <v>147</v>
      </c>
      <c r="DO131" s="174">
        <f>DG120</f>
        <v>43831</v>
      </c>
      <c r="DP131" s="154"/>
      <c r="DQ131" s="154"/>
      <c r="DR131" s="155">
        <f t="shared" si="151"/>
        <v>100</v>
      </c>
      <c r="DS131" s="154"/>
      <c r="DT131" s="154"/>
      <c r="DU131" s="156">
        <f t="shared" si="152"/>
        <v>149.29374999999996</v>
      </c>
    </row>
    <row r="132" spans="10:125" x14ac:dyDescent="0.25">
      <c r="J132" s="86" t="str" cm="1">
        <f t="array" ref="J132">LOOKUP(2,1/($G$17:$G$33&lt;=$L132)/($H$17:$H$33&gt;=$L132),$F$17:$F$33)</f>
        <v>2H22</v>
      </c>
      <c r="K132" s="86" t="str" cm="1">
        <f t="array" ref="K132">LOOKUP(2,1/($G$6:$G$14&lt;=$L132)/($H$6:$H$14&gt;=$L132),$F$6:$F$14)</f>
        <v>FY22</v>
      </c>
      <c r="L132" s="118">
        <v>44579</v>
      </c>
      <c r="M132" s="49">
        <v>32041685.594886929</v>
      </c>
      <c r="N132" s="49">
        <v>42410375.053392336</v>
      </c>
      <c r="O132" s="50">
        <v>30000000</v>
      </c>
      <c r="P132" s="119" cm="1">
        <f t="array" ref="P132">LOOKUP(2,1/($B$10:$B$14&lt;=$L132)/($C$10:$C$14&gt;=$L132),$D$10:$D$14)</f>
        <v>1.1000000000000001</v>
      </c>
      <c r="Q132" s="120" cm="1">
        <f t="array" ref="Q132">LOOKUP(2,1/($B$17:$B$21&lt;=$L132)/($C$17:$C$21&gt;=$L132),$D$17:$D$21)</f>
        <v>134.49039999999999</v>
      </c>
      <c r="R132" s="113" t="str">
        <f t="shared" si="105"/>
        <v/>
      </c>
      <c r="S132" s="113" t="str">
        <f t="shared" si="106"/>
        <v>2H22</v>
      </c>
      <c r="T132" s="113" t="str">
        <f t="shared" ca="1" si="107"/>
        <v/>
      </c>
      <c r="U132" s="113" t="str">
        <f t="shared" si="108"/>
        <v/>
      </c>
      <c r="V132" s="113" t="str">
        <f t="shared" si="109"/>
        <v>FY22</v>
      </c>
      <c r="W132" s="113" t="str">
        <f t="shared" ca="1" si="110"/>
        <v/>
      </c>
      <c r="X132" s="50"/>
      <c r="Y132" s="146">
        <v>5</v>
      </c>
      <c r="Z132" s="166">
        <v>30000000</v>
      </c>
      <c r="AA132" s="167">
        <f t="shared" si="159"/>
        <v>25387419.48057656</v>
      </c>
      <c r="AC132" s="145">
        <v>27864199.999999996</v>
      </c>
      <c r="AD132" s="145"/>
      <c r="AE132" s="167">
        <f t="shared" si="160"/>
        <v>4</v>
      </c>
      <c r="AF132" s="167"/>
      <c r="AH132" s="172" t="s">
        <v>147</v>
      </c>
      <c r="AI132" s="174">
        <f>Z121</f>
        <v>44698</v>
      </c>
      <c r="AJ132" s="154"/>
      <c r="AK132" s="154"/>
      <c r="AL132" s="155">
        <f t="shared" si="145"/>
        <v>100</v>
      </c>
      <c r="AM132" s="154"/>
      <c r="AN132" s="154"/>
      <c r="AO132" s="156">
        <f t="shared" si="146"/>
        <v>105.98406</v>
      </c>
      <c r="AR132" s="50"/>
      <c r="AS132" s="146">
        <v>5</v>
      </c>
      <c r="AT132" s="166">
        <v>100000000</v>
      </c>
      <c r="AU132" s="167" t="e">
        <f t="shared" si="161"/>
        <v>#DIV/0!</v>
      </c>
      <c r="AW132" s="167">
        <f t="shared" si="162"/>
        <v>0</v>
      </c>
      <c r="AY132" s="172" t="s">
        <v>147</v>
      </c>
      <c r="AZ132" s="174">
        <f>AT121</f>
        <v>44652</v>
      </c>
      <c r="BA132" s="154"/>
      <c r="BB132" s="155">
        <f t="shared" si="153"/>
        <v>250</v>
      </c>
      <c r="BC132" s="156">
        <f t="shared" si="154"/>
        <v>515.27272727272737</v>
      </c>
      <c r="BF132" s="50"/>
      <c r="BG132" s="146">
        <v>5</v>
      </c>
      <c r="BH132" s="166">
        <v>60000000</v>
      </c>
      <c r="BI132" s="167" t="e">
        <f t="shared" si="163"/>
        <v>#DIV/0!</v>
      </c>
      <c r="BM132" s="167">
        <f t="shared" si="164"/>
        <v>0</v>
      </c>
      <c r="BO132" s="171"/>
      <c r="BQ132" s="154"/>
      <c r="BR132" s="154"/>
      <c r="BS132" s="155">
        <f t="shared" si="147"/>
        <v>150</v>
      </c>
      <c r="BT132" s="154"/>
      <c r="BU132" s="154"/>
      <c r="BV132" s="156">
        <f t="shared" si="148"/>
        <v>295</v>
      </c>
      <c r="BY132" s="50"/>
      <c r="CO132" s="50"/>
      <c r="CP132" s="146">
        <v>6</v>
      </c>
      <c r="CQ132" s="166">
        <v>80000000</v>
      </c>
      <c r="CR132" s="168" t="e">
        <f t="shared" si="155"/>
        <v>#DIV/0!</v>
      </c>
      <c r="CS132" s="173"/>
      <c r="CT132" s="145">
        <v>122485999.99999999</v>
      </c>
      <c r="CU132" s="145">
        <v>126083000</v>
      </c>
      <c r="CV132" s="167">
        <f t="shared" si="156"/>
        <v>0</v>
      </c>
      <c r="CX132" s="172" t="s">
        <v>148</v>
      </c>
      <c r="CY132" s="174">
        <f>CS120</f>
        <v>44742</v>
      </c>
      <c r="CZ132" s="154"/>
      <c r="DA132" s="155">
        <f t="shared" si="149"/>
        <v>200</v>
      </c>
      <c r="DB132" s="156">
        <f t="shared" si="150"/>
        <v>360.52749999999997</v>
      </c>
      <c r="DE132" s="50"/>
      <c r="DF132" s="146">
        <v>6</v>
      </c>
      <c r="DG132" s="166">
        <v>60000000</v>
      </c>
      <c r="DH132" s="168" t="e">
        <f t="shared" si="157"/>
        <v>#DIV/0!</v>
      </c>
      <c r="DJ132" s="145">
        <v>75767000</v>
      </c>
      <c r="DK132" s="145">
        <v>65348000</v>
      </c>
      <c r="DL132" s="167">
        <f t="shared" si="158"/>
        <v>0</v>
      </c>
      <c r="DN132" s="172" t="s">
        <v>148</v>
      </c>
      <c r="DO132" s="174">
        <f>DI120</f>
        <v>44012</v>
      </c>
      <c r="DP132" s="154"/>
      <c r="DQ132" s="154"/>
      <c r="DR132" s="155">
        <f t="shared" si="151"/>
        <v>150</v>
      </c>
      <c r="DS132" s="154"/>
      <c r="DT132" s="154"/>
      <c r="DU132" s="156">
        <f t="shared" si="152"/>
        <v>217.52499999999998</v>
      </c>
    </row>
    <row r="133" spans="10:125" x14ac:dyDescent="0.25">
      <c r="J133" s="86" t="str" cm="1">
        <f t="array" ref="J133">LOOKUP(2,1/($G$17:$G$33&lt;=$L133)/($H$17:$H$33&gt;=$L133),$F$17:$F$33)</f>
        <v>2H22</v>
      </c>
      <c r="K133" s="86" t="str" cm="1">
        <f t="array" ref="K133">LOOKUP(2,1/($G$6:$G$14&lt;=$L133)/($H$6:$H$14&gt;=$L133),$F$6:$F$14)</f>
        <v>FY22</v>
      </c>
      <c r="L133" s="118">
        <v>44572</v>
      </c>
      <c r="M133" s="49">
        <v>24718907.694198627</v>
      </c>
      <c r="N133" s="49">
        <v>32717946.224041302</v>
      </c>
      <c r="O133" s="50">
        <v>20000000</v>
      </c>
      <c r="P133" s="119" cm="1">
        <f t="array" ref="P133">LOOKUP(2,1/($B$10:$B$14&lt;=$L133)/($C$10:$C$14&gt;=$L133),$D$10:$D$14)</f>
        <v>1.1000000000000001</v>
      </c>
      <c r="Q133" s="120" cm="1">
        <f t="array" ref="Q133">LOOKUP(2,1/($B$17:$B$21&lt;=$L133)/($C$17:$C$21&gt;=$L133),$D$17:$D$21)</f>
        <v>134.49039999999999</v>
      </c>
      <c r="R133" s="113" t="str">
        <f t="shared" si="105"/>
        <v/>
      </c>
      <c r="S133" s="113" t="str">
        <f t="shared" si="106"/>
        <v>2H22</v>
      </c>
      <c r="T133" s="113" t="str">
        <f t="shared" ca="1" si="107"/>
        <v/>
      </c>
      <c r="U133" s="113" t="str">
        <f t="shared" si="108"/>
        <v/>
      </c>
      <c r="V133" s="113" t="str">
        <f t="shared" si="109"/>
        <v>FY22</v>
      </c>
      <c r="W133" s="113" t="str">
        <f t="shared" ca="1" si="110"/>
        <v/>
      </c>
      <c r="X133" s="50"/>
      <c r="Y133" s="146">
        <v>6</v>
      </c>
      <c r="Z133" s="166">
        <v>50000000</v>
      </c>
      <c r="AA133" s="167">
        <f t="shared" si="159"/>
        <v>41464495.575221241</v>
      </c>
      <c r="AC133" s="145">
        <v>43196200</v>
      </c>
      <c r="AD133" s="145"/>
      <c r="AE133" s="167">
        <f t="shared" si="160"/>
        <v>1</v>
      </c>
      <c r="AF133" s="167"/>
      <c r="AH133" s="172" t="s">
        <v>148</v>
      </c>
      <c r="AI133" s="174">
        <f>AB121</f>
        <v>45041</v>
      </c>
      <c r="AJ133" s="154"/>
      <c r="AK133" s="154"/>
      <c r="AL133" s="155">
        <f t="shared" si="145"/>
        <v>150</v>
      </c>
      <c r="AM133" s="154"/>
      <c r="AN133" s="154"/>
      <c r="AO133" s="156">
        <f t="shared" si="146"/>
        <v>155.81306000000001</v>
      </c>
      <c r="AR133" s="50"/>
      <c r="AS133" s="146">
        <v>6</v>
      </c>
      <c r="AT133" s="166">
        <v>160000000</v>
      </c>
      <c r="AU133" s="167" t="e">
        <f t="shared" si="161"/>
        <v>#DIV/0!</v>
      </c>
      <c r="AW133" s="167">
        <f t="shared" si="162"/>
        <v>0</v>
      </c>
      <c r="AY133" s="172" t="s">
        <v>148</v>
      </c>
      <c r="AZ133" s="174">
        <f>AV121</f>
        <v>44868</v>
      </c>
      <c r="BA133" s="154"/>
      <c r="BB133" s="155">
        <f t="shared" si="153"/>
        <v>300</v>
      </c>
      <c r="BC133" s="156">
        <f t="shared" si="154"/>
        <v>634.18181818181824</v>
      </c>
      <c r="BF133" s="50"/>
      <c r="BG133" s="146">
        <v>6</v>
      </c>
      <c r="BH133" s="166">
        <v>80000000</v>
      </c>
      <c r="BI133" s="167" t="e">
        <f t="shared" si="163"/>
        <v>#DIV/0!</v>
      </c>
      <c r="BM133" s="167">
        <f t="shared" si="164"/>
        <v>0</v>
      </c>
      <c r="BO133" s="172" t="s">
        <v>147</v>
      </c>
      <c r="BP133" s="174">
        <f>BH121</f>
        <v>44378</v>
      </c>
      <c r="BQ133" s="154"/>
      <c r="BR133" s="154"/>
      <c r="BS133" s="155">
        <f t="shared" si="147"/>
        <v>200</v>
      </c>
      <c r="BT133" s="154"/>
      <c r="BU133" s="154"/>
      <c r="BV133" s="156">
        <f t="shared" si="148"/>
        <v>396</v>
      </c>
      <c r="BY133" s="50"/>
      <c r="CO133" s="50"/>
      <c r="CP133" s="146">
        <v>7</v>
      </c>
      <c r="CQ133" s="166">
        <v>120000000</v>
      </c>
      <c r="CR133" s="168" t="e">
        <f t="shared" si="155"/>
        <v>#DIV/0!</v>
      </c>
      <c r="CS133" s="173"/>
      <c r="CT133" s="145">
        <v>177798000</v>
      </c>
      <c r="CU133" s="145">
        <v>234751000</v>
      </c>
      <c r="CV133" s="167">
        <f t="shared" si="156"/>
        <v>0</v>
      </c>
      <c r="CX133" s="172" t="s">
        <v>173</v>
      </c>
      <c r="CY133" s="177">
        <f>CS125</f>
        <v>0.77358490566037741</v>
      </c>
      <c r="CZ133" s="154"/>
      <c r="DA133" s="155">
        <f t="shared" si="149"/>
        <v>250</v>
      </c>
      <c r="DB133" s="156">
        <f t="shared" si="150"/>
        <v>446.95249999999999</v>
      </c>
      <c r="DE133" s="50"/>
      <c r="DF133" s="146">
        <v>7</v>
      </c>
      <c r="DG133" s="166">
        <v>80000000</v>
      </c>
      <c r="DH133" s="168" t="e">
        <f t="shared" si="157"/>
        <v>#DIV/0!</v>
      </c>
      <c r="DJ133" s="145">
        <v>97600999.999999985</v>
      </c>
      <c r="DK133" s="145">
        <v>89990000.000000015</v>
      </c>
      <c r="DL133" s="167">
        <f t="shared" si="158"/>
        <v>0</v>
      </c>
      <c r="DN133" s="172" t="s">
        <v>173</v>
      </c>
      <c r="DO133" s="177">
        <f>DI125</f>
        <v>1</v>
      </c>
      <c r="DP133" s="154"/>
      <c r="DQ133" s="154"/>
      <c r="DR133" s="155">
        <f t="shared" si="151"/>
        <v>200</v>
      </c>
      <c r="DS133" s="154"/>
      <c r="DT133" s="154"/>
      <c r="DU133" s="156">
        <f t="shared" si="152"/>
        <v>285.75624999999997</v>
      </c>
    </row>
    <row r="134" spans="10:125" x14ac:dyDescent="0.25">
      <c r="J134" s="86" t="str" cm="1">
        <f t="array" ref="J134">LOOKUP(2,1/($G$17:$G$33&lt;=$L134)/($H$17:$H$33&gt;=$L134),$F$17:$F$33)</f>
        <v>2H22</v>
      </c>
      <c r="K134" s="86" t="str" cm="1">
        <f t="array" ref="K134">LOOKUP(2,1/($G$6:$G$14&lt;=$L134)/($H$6:$H$14&gt;=$L134),$F$6:$F$14)</f>
        <v>FY22</v>
      </c>
      <c r="L134" s="118">
        <v>44565</v>
      </c>
      <c r="M134" s="49">
        <v>14668907.325467061</v>
      </c>
      <c r="N134" s="49">
        <v>19415765.7359882</v>
      </c>
      <c r="O134" s="50">
        <v>10000000</v>
      </c>
      <c r="P134" s="119" cm="1">
        <f t="array" ref="P134">LOOKUP(2,1/($B$10:$B$14&lt;=$L134)/($C$10:$C$14&gt;=$L134),$D$10:$D$14)</f>
        <v>1.1000000000000001</v>
      </c>
      <c r="Q134" s="120" cm="1">
        <f t="array" ref="Q134">LOOKUP(2,1/($B$17:$B$21&lt;=$L134)/($C$17:$C$21&gt;=$L134),$D$17:$D$21)</f>
        <v>134.49039999999999</v>
      </c>
      <c r="R134" s="113" t="str">
        <f t="shared" si="105"/>
        <v>2H22</v>
      </c>
      <c r="S134" s="113" t="str">
        <f t="shared" si="106"/>
        <v>2H22</v>
      </c>
      <c r="T134" s="113" t="str">
        <f t="shared" ca="1" si="107"/>
        <v/>
      </c>
      <c r="U134" s="113" t="str">
        <f t="shared" si="108"/>
        <v/>
      </c>
      <c r="V134" s="113" t="str">
        <f t="shared" si="109"/>
        <v>FY22</v>
      </c>
      <c r="W134" s="113" t="str">
        <f t="shared" ca="1" si="110"/>
        <v/>
      </c>
      <c r="X134" s="50"/>
      <c r="Y134" s="146">
        <v>7</v>
      </c>
      <c r="Z134" s="145">
        <v>70000000</v>
      </c>
      <c r="AA134" s="145"/>
      <c r="AB134" s="173">
        <f>IF($Z134&gt;=100000000,$AC$123*AC$126*AC134+$AD$123*AD$126*AD134,AC$126*AC134+AD$126*AD134)*AB$126</f>
        <v>58528200</v>
      </c>
      <c r="AC134" s="145">
        <v>58528200</v>
      </c>
      <c r="AD134" s="145"/>
      <c r="AE134" s="167"/>
      <c r="AF134" s="167"/>
      <c r="AH134" s="172" t="s">
        <v>0</v>
      </c>
      <c r="AI134" s="175">
        <f>AB126</f>
        <v>1</v>
      </c>
      <c r="AJ134" s="154"/>
      <c r="AK134" s="154"/>
      <c r="AL134" s="155">
        <f t="shared" si="145"/>
        <v>200</v>
      </c>
      <c r="AM134" s="154"/>
      <c r="AN134" s="154"/>
      <c r="AO134" s="156">
        <f t="shared" si="146"/>
        <v>205.64205999999999</v>
      </c>
      <c r="AR134" s="50"/>
      <c r="AS134" s="146">
        <v>7</v>
      </c>
      <c r="AT134" s="145">
        <v>200000000</v>
      </c>
      <c r="AU134" s="145"/>
      <c r="AV134" s="145">
        <f>AV77*$AV$126</f>
        <v>396363636.36363637</v>
      </c>
      <c r="AW134" s="146"/>
      <c r="AY134" s="176"/>
      <c r="AZ134" s="85"/>
      <c r="BA134" s="154"/>
      <c r="BB134" s="155">
        <f t="shared" si="153"/>
        <v>350</v>
      </c>
      <c r="BC134" s="156">
        <f t="shared" si="154"/>
        <v>763</v>
      </c>
      <c r="BF134" s="50"/>
      <c r="BG134" s="146">
        <v>7</v>
      </c>
      <c r="BH134" s="166">
        <v>120000000</v>
      </c>
      <c r="BI134" s="146">
        <v>226126304.09125558</v>
      </c>
      <c r="BJ134" s="168"/>
      <c r="BK134" s="168"/>
      <c r="BL134" s="168"/>
      <c r="BM134" s="167">
        <f t="shared" si="164"/>
        <v>0</v>
      </c>
      <c r="BO134" s="172" t="s">
        <v>148</v>
      </c>
      <c r="BP134" s="174">
        <f>BJ121</f>
        <v>44742</v>
      </c>
      <c r="BQ134" s="154"/>
      <c r="BR134" s="154"/>
      <c r="BS134" s="155">
        <f t="shared" si="147"/>
        <v>250</v>
      </c>
      <c r="BT134" s="154"/>
      <c r="BU134" s="154"/>
      <c r="BV134" s="156">
        <f t="shared" si="148"/>
        <v>510</v>
      </c>
      <c r="BY134" s="50"/>
      <c r="CO134" s="50"/>
      <c r="CP134" s="146">
        <v>8</v>
      </c>
      <c r="CQ134" s="145">
        <v>160000000</v>
      </c>
      <c r="CR134" s="145"/>
      <c r="CS134" s="173">
        <f>IF($CQ134&gt;=100000000,$CT$122*CT$125*CT134+$CU$122*CU$125*CU134,CT$125*CT134+CU$125*CU134)</f>
        <v>291387500</v>
      </c>
      <c r="CT134" s="145">
        <v>233110000</v>
      </c>
      <c r="CU134" s="145">
        <v>381499000.00000006</v>
      </c>
      <c r="CV134" s="146"/>
      <c r="CX134" s="176"/>
      <c r="CY134" s="32"/>
      <c r="CZ134" s="32"/>
      <c r="DA134" s="32"/>
      <c r="DB134" s="183"/>
      <c r="DE134" s="50"/>
      <c r="DF134" s="146">
        <v>8</v>
      </c>
      <c r="DG134" s="145">
        <v>100000000</v>
      </c>
      <c r="DH134" s="145"/>
      <c r="DI134" s="173">
        <f>IF($DG134&gt;=100000000,$DJ$122*DJ$125*DJ134+$DK$122*DK$125*DK134,DJ$125*DJ134+DK$125*DK134)</f>
        <v>149293749.99999997</v>
      </c>
      <c r="DJ134" s="145">
        <v>119434999.99999999</v>
      </c>
      <c r="DK134" s="145">
        <v>119032000.00000001</v>
      </c>
      <c r="DL134" s="146"/>
      <c r="DN134" s="176"/>
      <c r="DO134" s="32"/>
      <c r="DP134" s="32"/>
      <c r="DQ134" s="32"/>
      <c r="DR134" s="32"/>
      <c r="DS134" s="32"/>
      <c r="DT134" s="32"/>
      <c r="DU134" s="183"/>
    </row>
    <row r="135" spans="10:125" x14ac:dyDescent="0.25">
      <c r="J135" s="86" t="str" cm="1">
        <f t="array" ref="J135">LOOKUP(2,1/($G$17:$G$33&lt;=$L135)/($H$17:$H$33&gt;=$L135),$F$17:$F$33)</f>
        <v>1H22</v>
      </c>
      <c r="K135" s="86" t="str" cm="1">
        <f t="array" ref="K135">LOOKUP(2,1/($G$6:$G$14&lt;=$L135)/($H$6:$H$14&gt;=$L135),$F$6:$F$14)</f>
        <v>FY22</v>
      </c>
      <c r="L135" s="118">
        <v>44558</v>
      </c>
      <c r="M135" s="49">
        <v>9661544.6165191736</v>
      </c>
      <c r="N135" s="49">
        <v>12788020.454424778</v>
      </c>
      <c r="O135" s="50">
        <v>5000000</v>
      </c>
      <c r="P135" s="119" cm="1">
        <f t="array" ref="P135">LOOKUP(2,1/($B$10:$B$14&lt;=$L135)/($C$10:$C$14&gt;=$L135),$D$10:$D$14)</f>
        <v>1.1000000000000001</v>
      </c>
      <c r="Q135" s="120" cm="1">
        <f t="array" ref="Q135">LOOKUP(2,1/($B$17:$B$21&lt;=$L135)/($C$17:$C$21&gt;=$L135),$D$17:$D$21)</f>
        <v>134.49039999999999</v>
      </c>
      <c r="R135" s="113" t="str">
        <f t="shared" si="105"/>
        <v/>
      </c>
      <c r="S135" s="113" t="str">
        <f t="shared" si="106"/>
        <v>2H22</v>
      </c>
      <c r="T135" s="113" t="str">
        <f t="shared" ca="1" si="107"/>
        <v/>
      </c>
      <c r="U135" s="113" t="str">
        <f t="shared" si="108"/>
        <v/>
      </c>
      <c r="V135" s="113" t="str">
        <f t="shared" si="109"/>
        <v>FY22</v>
      </c>
      <c r="W135" s="113" t="str">
        <f t="shared" ca="1" si="110"/>
        <v/>
      </c>
      <c r="X135" s="50"/>
      <c r="Y135" s="146">
        <v>8</v>
      </c>
      <c r="Z135" s="145">
        <v>100000000</v>
      </c>
      <c r="AA135" s="145"/>
      <c r="AB135" s="173">
        <f>IF($Z135&gt;=100000000,$AC$123*AC$126*AC135+$AD$123*AD$126*AD135,AC$126*AC135+AD$126*AD135)*AB$126</f>
        <v>105984060</v>
      </c>
      <c r="AC135" s="145">
        <v>81526200</v>
      </c>
      <c r="AD135" s="145"/>
      <c r="AE135" s="146"/>
      <c r="AF135" s="146"/>
      <c r="AH135" s="179" t="s">
        <v>162</v>
      </c>
      <c r="AI135" s="180">
        <f>AC123</f>
        <v>1.3</v>
      </c>
      <c r="AJ135" s="181"/>
      <c r="AK135" s="181"/>
      <c r="AL135" s="181"/>
      <c r="AM135" s="181"/>
      <c r="AN135" s="181"/>
      <c r="AO135" s="182"/>
      <c r="AR135" s="50"/>
      <c r="AS135" s="146">
        <v>8</v>
      </c>
      <c r="AT135" s="145">
        <v>250000000</v>
      </c>
      <c r="AU135" s="145"/>
      <c r="AV135" s="145">
        <f>AV78*$AV$126</f>
        <v>515272727.27272731</v>
      </c>
      <c r="AW135" s="146"/>
      <c r="AY135" s="176"/>
      <c r="AZ135" s="32"/>
      <c r="BA135" s="32"/>
      <c r="BB135" s="32"/>
      <c r="BC135" s="183"/>
      <c r="BF135" s="50"/>
      <c r="BG135" s="146">
        <v>8</v>
      </c>
      <c r="BH135" s="145">
        <v>150000000</v>
      </c>
      <c r="BI135" s="145"/>
      <c r="BJ135" s="145">
        <v>295000000</v>
      </c>
      <c r="BK135" s="145"/>
      <c r="BL135" s="145"/>
      <c r="BM135" s="146"/>
      <c r="BO135" s="179" t="s">
        <v>0</v>
      </c>
      <c r="BP135" s="185">
        <f>BJ126</f>
        <v>0</v>
      </c>
      <c r="BQ135" s="181"/>
      <c r="BR135" s="181"/>
      <c r="BS135" s="181"/>
      <c r="BT135" s="181"/>
      <c r="BU135" s="181"/>
      <c r="BV135" s="182"/>
      <c r="BY135" s="50"/>
      <c r="CO135" s="50"/>
      <c r="CP135" s="146">
        <v>9</v>
      </c>
      <c r="CQ135" s="145">
        <v>200000000</v>
      </c>
      <c r="CR135" s="145"/>
      <c r="CS135" s="173">
        <f>IF($CQ135&gt;=100000000,$CT$122*CT$125*CT135+$CU$122*CU$125*CU135,CT$125*CT135+CU$125*CU135)</f>
        <v>360527500</v>
      </c>
      <c r="CT135" s="145">
        <v>288422000</v>
      </c>
      <c r="CU135" s="145">
        <v>566327000</v>
      </c>
      <c r="CV135" s="146"/>
      <c r="CX135" s="199"/>
      <c r="CY135" s="2"/>
      <c r="CZ135" s="2"/>
      <c r="DA135" s="2"/>
      <c r="DB135" s="187"/>
      <c r="DE135" s="50"/>
      <c r="DF135" s="146">
        <v>9</v>
      </c>
      <c r="DG135" s="145">
        <v>150000000</v>
      </c>
      <c r="DH135" s="145"/>
      <c r="DI135" s="173">
        <f>IF($DG135&gt;=100000000,$DJ$122*DJ$125*DJ135+$DK$122*DK$125*DK135,DJ$125*DJ135+DK$125*DK135)</f>
        <v>217524999.99999997</v>
      </c>
      <c r="DJ135" s="145">
        <v>174019999.99999997</v>
      </c>
      <c r="DK135" s="145">
        <v>210887000</v>
      </c>
      <c r="DL135" s="146"/>
      <c r="DN135" s="186" t="s">
        <v>220</v>
      </c>
      <c r="DO135" s="2"/>
      <c r="DP135" s="2"/>
      <c r="DQ135" s="2"/>
      <c r="DR135" s="2"/>
      <c r="DS135" s="2"/>
      <c r="DT135" s="2"/>
      <c r="DU135" s="187"/>
    </row>
    <row r="136" spans="10:125" x14ac:dyDescent="0.25">
      <c r="J136" s="86" t="str" cm="1">
        <f t="array" ref="J136">LOOKUP(2,1/($G$17:$G$33&lt;=$L136)/($H$17:$H$33&gt;=$L136),$F$17:$F$33)</f>
        <v>1H22</v>
      </c>
      <c r="K136" s="86" t="str" cm="1">
        <f t="array" ref="K136">LOOKUP(2,1/($G$6:$G$14&lt;=$L136)/($H$6:$H$14&gt;=$L136),$F$6:$F$14)</f>
        <v>FY22</v>
      </c>
      <c r="L136" s="118">
        <v>44551</v>
      </c>
      <c r="M136" s="49">
        <v>8995809.9803343173</v>
      </c>
      <c r="N136" s="49">
        <v>11906854.089970501</v>
      </c>
      <c r="O136" s="50">
        <v>2000000</v>
      </c>
      <c r="P136" s="119" cm="1">
        <f t="array" ref="P136">LOOKUP(2,1/($B$10:$B$14&lt;=$L136)/($C$10:$C$14&gt;=$L136),$D$10:$D$14)</f>
        <v>1.1000000000000001</v>
      </c>
      <c r="Q136" s="120" cm="1">
        <f t="array" ref="Q136">LOOKUP(2,1/($B$17:$B$21&lt;=$L136)/($C$17:$C$21&gt;=$L136),$D$17:$D$21)</f>
        <v>134.49039999999999</v>
      </c>
      <c r="R136" s="113" t="str">
        <f t="shared" si="105"/>
        <v/>
      </c>
      <c r="S136" s="113" t="str">
        <f t="shared" si="106"/>
        <v>2H22</v>
      </c>
      <c r="T136" s="113" t="str">
        <f t="shared" ca="1" si="107"/>
        <v/>
      </c>
      <c r="U136" s="113" t="str">
        <f t="shared" si="108"/>
        <v/>
      </c>
      <c r="V136" s="113" t="str">
        <f t="shared" si="109"/>
        <v>FY22</v>
      </c>
      <c r="W136" s="113" t="str">
        <f t="shared" ca="1" si="110"/>
        <v/>
      </c>
      <c r="X136" s="50"/>
      <c r="Y136" s="146">
        <v>9</v>
      </c>
      <c r="Z136" s="145">
        <v>150000000</v>
      </c>
      <c r="AA136" s="145"/>
      <c r="AB136" s="173">
        <f>IF($Z136&gt;=100000000,$AC$123*AC$126*AC136+$AD$123*AD$126*AD136,AC$126*AC136+AD$126*AD136)*AB$126</f>
        <v>155813060</v>
      </c>
      <c r="AC136" s="145">
        <v>119856200</v>
      </c>
      <c r="AD136" s="145"/>
      <c r="AE136" s="146"/>
      <c r="AF136" s="146"/>
      <c r="AH136" s="2"/>
      <c r="AI136" s="2"/>
      <c r="AJ136" s="2"/>
      <c r="AK136" s="2"/>
      <c r="AL136" s="2"/>
      <c r="AM136" s="2"/>
      <c r="AN136" s="2"/>
      <c r="AO136" s="2"/>
      <c r="AR136" s="50"/>
      <c r="AS136" s="146">
        <v>9</v>
      </c>
      <c r="AT136" s="145">
        <v>300000000</v>
      </c>
      <c r="AU136" s="145"/>
      <c r="AV136" s="145">
        <f>AV79*$AV$126</f>
        <v>634181818.18181825</v>
      </c>
      <c r="AW136" s="146"/>
      <c r="AY136" s="186"/>
      <c r="AZ136" s="2"/>
      <c r="BA136" s="2"/>
      <c r="BB136" s="2"/>
      <c r="BC136" s="187"/>
      <c r="BF136" s="50"/>
      <c r="BG136" s="146">
        <v>9</v>
      </c>
      <c r="BH136" s="145">
        <v>200000000</v>
      </c>
      <c r="BI136" s="145"/>
      <c r="BJ136" s="145">
        <v>396000000</v>
      </c>
      <c r="BK136" s="145"/>
      <c r="BL136" s="145"/>
      <c r="BM136" s="146"/>
      <c r="BO136" s="2"/>
      <c r="BP136" s="2"/>
      <c r="BQ136" s="2"/>
      <c r="BR136" s="2"/>
      <c r="BS136" s="2"/>
      <c r="BT136" s="2"/>
      <c r="BU136" s="2"/>
      <c r="BV136" s="2"/>
      <c r="BY136" s="50"/>
      <c r="CO136" s="50"/>
      <c r="CP136" s="146">
        <v>10</v>
      </c>
      <c r="CQ136" s="145">
        <v>250000000</v>
      </c>
      <c r="CR136" s="145"/>
      <c r="CS136" s="173">
        <f>IF($CQ136&gt;=100000000,$CT$122*CT$125*CT136+$CU$122*CU$125*CU136,CT$125*CT136+CU$125*CU136)</f>
        <v>446952500</v>
      </c>
      <c r="CT136" s="145">
        <v>357562000</v>
      </c>
      <c r="CU136" s="145">
        <v>850911999.99999988</v>
      </c>
      <c r="CV136" s="146"/>
      <c r="CX136" s="189"/>
      <c r="CY136" s="190"/>
      <c r="CZ136" s="190"/>
      <c r="DA136" s="190"/>
      <c r="DB136" s="191"/>
      <c r="DE136" s="50"/>
      <c r="DF136" s="146">
        <v>10</v>
      </c>
      <c r="DG136" s="145">
        <v>200000000</v>
      </c>
      <c r="DH136" s="145"/>
      <c r="DI136" s="173">
        <f>IF($DG136&gt;=100000000,$DJ$122*DJ$125*DJ136+$DK$122*DK$125*DK136,DJ$125*DJ136+DK$125*DK136)</f>
        <v>285756249.99999994</v>
      </c>
      <c r="DJ136" s="145">
        <v>228604999.99999997</v>
      </c>
      <c r="DK136" s="145">
        <v>330242000</v>
      </c>
      <c r="DL136" s="146"/>
      <c r="DN136" s="189"/>
      <c r="DO136" s="190"/>
      <c r="DP136" s="190"/>
      <c r="DQ136" s="190"/>
      <c r="DR136" s="190"/>
      <c r="DS136" s="190"/>
      <c r="DT136" s="190"/>
      <c r="DU136" s="191"/>
    </row>
    <row r="137" spans="10:125" x14ac:dyDescent="0.25">
      <c r="J137" s="86" t="str" cm="1">
        <f t="array" ref="J137">LOOKUP(2,1/($G$17:$G$33&lt;=$L137)/($H$17:$H$33&gt;=$L137),$F$17:$F$33)</f>
        <v>1H22</v>
      </c>
      <c r="K137" s="86" t="str" cm="1">
        <f t="array" ref="K137">LOOKUP(2,1/($G$6:$G$14&lt;=$L137)/($H$6:$H$14&gt;=$L137),$F$6:$F$14)</f>
        <v>FY22</v>
      </c>
      <c r="L137" s="118">
        <v>44544</v>
      </c>
      <c r="M137" s="49">
        <v>9652936.4552605711</v>
      </c>
      <c r="N137" s="49">
        <v>12776626.692182891</v>
      </c>
      <c r="O137" s="50">
        <v>2000000</v>
      </c>
      <c r="P137" s="119" cm="1">
        <f t="array" ref="P137">LOOKUP(2,1/($B$10:$B$14&lt;=$L137)/($C$10:$C$14&gt;=$L137),$D$10:$D$14)</f>
        <v>1.1000000000000001</v>
      </c>
      <c r="Q137" s="120" cm="1">
        <f t="array" ref="Q137">LOOKUP(2,1/($B$17:$B$21&lt;=$L137)/($C$17:$C$21&gt;=$L137),$D$17:$D$21)</f>
        <v>134.49039999999999</v>
      </c>
      <c r="R137" s="113" t="str">
        <f t="shared" si="105"/>
        <v/>
      </c>
      <c r="S137" s="113" t="str">
        <f t="shared" si="106"/>
        <v>2H22</v>
      </c>
      <c r="T137" s="113" t="str">
        <f t="shared" ca="1" si="107"/>
        <v/>
      </c>
      <c r="U137" s="113" t="str">
        <f t="shared" si="108"/>
        <v/>
      </c>
      <c r="V137" s="113" t="str">
        <f t="shared" si="109"/>
        <v>FY22</v>
      </c>
      <c r="W137" s="113" t="str">
        <f t="shared" ca="1" si="110"/>
        <v/>
      </c>
      <c r="X137" s="50"/>
      <c r="Y137" s="146">
        <v>10</v>
      </c>
      <c r="Z137" s="145">
        <v>200000000</v>
      </c>
      <c r="AA137" s="145"/>
      <c r="AB137" s="173">
        <f>IF($Z137&gt;=100000000,$AC$123*AC$126*AC137+$AD$123*AD$126*AD137,AC$126*AC137+AD$126*AD137)*AB$126</f>
        <v>205642060</v>
      </c>
      <c r="AC137" s="145">
        <v>158186200</v>
      </c>
      <c r="AD137" s="145"/>
      <c r="AE137" s="146"/>
      <c r="AF137" s="146"/>
      <c r="AH137" s="188"/>
      <c r="AI137" s="188"/>
      <c r="AJ137" s="188"/>
      <c r="AK137" s="188"/>
      <c r="AL137" s="188"/>
      <c r="AM137" s="188"/>
      <c r="AN137" s="188"/>
      <c r="AO137" s="188"/>
      <c r="AR137" s="50"/>
      <c r="AS137" s="146">
        <v>10</v>
      </c>
      <c r="AT137" s="145">
        <v>350000000</v>
      </c>
      <c r="AU137" s="145"/>
      <c r="AV137" s="145">
        <f>AV80*$AV$126</f>
        <v>763000000</v>
      </c>
      <c r="AW137" s="146"/>
      <c r="AY137" s="189"/>
      <c r="AZ137" s="190"/>
      <c r="BA137" s="190"/>
      <c r="BB137" s="190"/>
      <c r="BC137" s="191"/>
      <c r="BF137" s="50"/>
      <c r="BG137" s="146">
        <v>10</v>
      </c>
      <c r="BH137" s="145">
        <v>250000000</v>
      </c>
      <c r="BI137" s="145"/>
      <c r="BJ137" s="145">
        <v>510000000</v>
      </c>
      <c r="BK137" s="145"/>
      <c r="BL137" s="145"/>
      <c r="BM137" s="146"/>
      <c r="BO137" s="188"/>
      <c r="BP137" s="188"/>
      <c r="BQ137" s="188"/>
      <c r="BR137" s="188"/>
      <c r="BS137" s="188"/>
      <c r="BT137" s="188"/>
      <c r="BU137" s="188"/>
      <c r="BV137" s="188"/>
      <c r="BY137" s="50"/>
      <c r="CO137" s="50"/>
      <c r="DE137" s="50"/>
    </row>
    <row r="138" spans="10:125" x14ac:dyDescent="0.25">
      <c r="J138" s="86" t="str" cm="1">
        <f t="array" ref="J138">LOOKUP(2,1/($G$17:$G$33&lt;=$L138)/($H$17:$H$33&gt;=$L138),$F$17:$F$33)</f>
        <v>1H22</v>
      </c>
      <c r="K138" s="86" t="str" cm="1">
        <f t="array" ref="K138">LOOKUP(2,1/($G$6:$G$14&lt;=$L138)/($H$6:$H$14&gt;=$L138),$F$6:$F$14)</f>
        <v>FY22</v>
      </c>
      <c r="L138" s="118">
        <v>44537</v>
      </c>
      <c r="M138" s="49">
        <v>32741460.176991157</v>
      </c>
      <c r="N138" s="49">
        <v>43336596.690265492</v>
      </c>
      <c r="O138" s="50">
        <v>30000000</v>
      </c>
      <c r="P138" s="119" cm="1">
        <f t="array" ref="P138">LOOKUP(2,1/($B$10:$B$14&lt;=$L138)/($C$10:$C$14&gt;=$L138),$D$10:$D$14)</f>
        <v>1.1000000000000001</v>
      </c>
      <c r="Q138" s="120" cm="1">
        <f t="array" ref="Q138">LOOKUP(2,1/($B$17:$B$21&lt;=$L138)/($C$17:$C$21&gt;=$L138),$D$17:$D$21)</f>
        <v>134.49039999999999</v>
      </c>
      <c r="R138" s="113" t="str">
        <f t="shared" ref="R138:R201" si="165">IF($J138&lt;&gt;$J139,$J138,"")</f>
        <v/>
      </c>
      <c r="S138" s="113" t="str">
        <f t="shared" ref="S138:S201" si="166">IF($O137&lt;$O138,$J138,S137)</f>
        <v>1H22</v>
      </c>
      <c r="T138" s="113" t="str">
        <f t="shared" ref="T138:T201" ca="1" si="167">IF(AND(S138&lt;&gt;S137,ISNUMBER(MATCH($S137,$F$17:$F$33,0))),OFFSET($F$16,MATCH($J138,$F$17:$F$33,0)+1,0),"")</f>
        <v>2H22</v>
      </c>
      <c r="U138" s="113" t="str">
        <f t="shared" ref="U138:U201" si="168">IF($K138&lt;&gt;$K139,$K138,"")</f>
        <v/>
      </c>
      <c r="V138" s="113" t="str">
        <f t="shared" si="109"/>
        <v>FY22</v>
      </c>
      <c r="W138" s="113" t="str">
        <f t="shared" ca="1" si="110"/>
        <v/>
      </c>
      <c r="X138" s="50"/>
      <c r="Y138" s="192"/>
      <c r="AG138" s="105"/>
      <c r="AH138" s="106"/>
      <c r="AI138" s="107"/>
      <c r="AJ138" s="107"/>
      <c r="AK138" s="107"/>
      <c r="AL138" s="108"/>
      <c r="AM138" s="107"/>
      <c r="AN138" s="107"/>
      <c r="AO138" s="108"/>
      <c r="AP138" s="105"/>
      <c r="AQ138" s="105"/>
      <c r="AR138" s="50"/>
      <c r="BF138" s="50"/>
      <c r="BY138" s="50"/>
      <c r="CO138" s="50"/>
      <c r="CP138" s="125" t="s">
        <v>221</v>
      </c>
      <c r="CQ138" s="126"/>
      <c r="CR138" s="126"/>
      <c r="CS138" s="126"/>
      <c r="CT138" s="126"/>
      <c r="CU138" s="126"/>
      <c r="CV138" s="126"/>
      <c r="CW138" s="126"/>
      <c r="CX138" s="126"/>
      <c r="CY138" s="126"/>
      <c r="CZ138" s="126"/>
      <c r="DA138" s="126"/>
      <c r="DB138" s="126"/>
      <c r="DC138" s="126"/>
      <c r="DD138" s="126"/>
      <c r="DE138" s="50"/>
      <c r="DF138" s="125" t="s">
        <v>51</v>
      </c>
      <c r="DG138" s="126"/>
      <c r="DH138" s="126"/>
      <c r="DI138" s="126"/>
      <c r="DJ138" s="126"/>
      <c r="DK138" s="126"/>
      <c r="DL138" s="126"/>
      <c r="DM138" s="126"/>
      <c r="DN138" s="126"/>
      <c r="DO138" s="126"/>
      <c r="DP138" s="126"/>
      <c r="DQ138" s="126"/>
      <c r="DR138" s="126"/>
      <c r="DS138" s="126"/>
      <c r="DT138" s="126"/>
      <c r="DU138" s="126"/>
    </row>
    <row r="139" spans="10:125" x14ac:dyDescent="0.25">
      <c r="J139" s="86" t="str" cm="1">
        <f t="array" ref="J139">LOOKUP(2,1/($G$17:$G$33&lt;=$L139)/($H$17:$H$33&gt;=$L139),$F$17:$F$33)</f>
        <v>1H22</v>
      </c>
      <c r="K139" s="86" t="str" cm="1">
        <f t="array" ref="K139">LOOKUP(2,1/($G$6:$G$14&lt;=$L139)/($H$6:$H$14&gt;=$L139),$F$6:$F$14)</f>
        <v>FY22</v>
      </c>
      <c r="L139" s="118">
        <v>44530</v>
      </c>
      <c r="M139" s="49">
        <v>20637660.152409054</v>
      </c>
      <c r="N139" s="49">
        <v>27316006.97772862</v>
      </c>
      <c r="O139" s="50">
        <v>20000000</v>
      </c>
      <c r="P139" s="119" cm="1">
        <f t="array" ref="P139">LOOKUP(2,1/($B$10:$B$14&lt;=$L139)/($C$10:$C$14&gt;=$L139),$D$10:$D$14)</f>
        <v>1.1000000000000001</v>
      </c>
      <c r="Q139" s="120" cm="1">
        <f t="array" ref="Q139">LOOKUP(2,1/($B$17:$B$21&lt;=$L139)/($C$17:$C$21&gt;=$L139),$D$17:$D$21)</f>
        <v>134.49039999999999</v>
      </c>
      <c r="R139" s="113" t="str">
        <f t="shared" si="165"/>
        <v/>
      </c>
      <c r="S139" s="113" t="str">
        <f t="shared" si="166"/>
        <v>1H22</v>
      </c>
      <c r="T139" s="113" t="str">
        <f t="shared" ca="1" si="167"/>
        <v/>
      </c>
      <c r="U139" s="113" t="str">
        <f t="shared" si="168"/>
        <v/>
      </c>
      <c r="V139" s="113" t="str">
        <f t="shared" si="109"/>
        <v>FY22</v>
      </c>
      <c r="W139" s="113" t="str">
        <f t="shared" ca="1" si="110"/>
        <v/>
      </c>
      <c r="X139" s="50"/>
      <c r="Y139" s="200" t="s">
        <v>23</v>
      </c>
      <c r="Z139" s="201"/>
      <c r="AA139" s="201"/>
      <c r="AB139" s="201"/>
      <c r="AC139" s="201"/>
      <c r="AD139" s="201"/>
      <c r="AE139" s="201"/>
      <c r="AF139" s="201"/>
      <c r="AG139" s="201"/>
      <c r="AH139" s="201"/>
      <c r="AI139" s="201"/>
      <c r="AJ139" s="201"/>
      <c r="AK139" s="201"/>
      <c r="AL139" s="201"/>
      <c r="AM139" s="201"/>
      <c r="AN139" s="201"/>
      <c r="AO139" s="201"/>
      <c r="AP139" s="201"/>
      <c r="AQ139" s="201"/>
      <c r="AR139" s="50"/>
      <c r="AS139" s="193" t="s">
        <v>223</v>
      </c>
      <c r="AT139" s="194"/>
      <c r="AU139" s="194"/>
      <c r="AV139" s="194"/>
      <c r="AW139" s="194"/>
      <c r="AX139" s="194"/>
      <c r="AY139" s="194"/>
      <c r="AZ139" s="194"/>
      <c r="BA139" s="194"/>
      <c r="BB139" s="194"/>
      <c r="BC139" s="194"/>
      <c r="BD139" s="194"/>
      <c r="BE139" s="194"/>
      <c r="BF139" s="50"/>
      <c r="BG139" s="123" t="s">
        <v>224</v>
      </c>
      <c r="BH139" s="124"/>
      <c r="BI139" s="124"/>
      <c r="BJ139" s="124"/>
      <c r="BK139" s="124"/>
      <c r="BL139" s="124"/>
      <c r="BM139" s="124"/>
      <c r="BN139" s="124"/>
      <c r="BO139" s="124"/>
      <c r="BP139" s="124"/>
      <c r="BQ139" s="124"/>
      <c r="BR139" s="124"/>
      <c r="BS139" s="124"/>
      <c r="BT139" s="124"/>
      <c r="BU139" s="124"/>
      <c r="BV139" s="124"/>
      <c r="BW139" s="124"/>
      <c r="BX139" s="124"/>
      <c r="BY139" s="50"/>
      <c r="CO139" s="50"/>
      <c r="CP139" s="114" t="s">
        <v>147</v>
      </c>
      <c r="CQ139" s="115">
        <v>44378</v>
      </c>
      <c r="CR139" s="114" t="s">
        <v>148</v>
      </c>
      <c r="CS139" s="115">
        <v>44742</v>
      </c>
      <c r="CT139" s="132"/>
      <c r="CU139" s="132"/>
      <c r="CV139" s="132"/>
      <c r="CW139" s="133"/>
      <c r="CX139" s="133"/>
      <c r="CY139" s="133"/>
      <c r="CZ139" s="133"/>
      <c r="DA139" s="133"/>
      <c r="DB139" s="133"/>
      <c r="DC139" s="133"/>
      <c r="DD139" s="133"/>
      <c r="DE139" s="50"/>
      <c r="DF139" s="114" t="s">
        <v>147</v>
      </c>
      <c r="DG139" s="115">
        <v>44013</v>
      </c>
      <c r="DH139" s="114" t="s">
        <v>148</v>
      </c>
      <c r="DI139" s="115">
        <v>44196</v>
      </c>
      <c r="DJ139" s="132"/>
      <c r="DK139" s="132"/>
      <c r="DL139" s="132"/>
      <c r="DM139" s="133"/>
      <c r="DN139" s="133"/>
      <c r="DO139" s="133"/>
      <c r="DP139" s="133"/>
      <c r="DQ139" s="133"/>
      <c r="DR139" s="133"/>
      <c r="DS139" s="133"/>
      <c r="DT139" s="133"/>
      <c r="DU139" s="133"/>
    </row>
    <row r="140" spans="10:125" x14ac:dyDescent="0.25">
      <c r="J140" s="86" t="str" cm="1">
        <f t="array" ref="J140">LOOKUP(2,1/($G$17:$G$33&lt;=$L140)/($H$17:$H$33&gt;=$L140),$F$17:$F$33)</f>
        <v>1H22</v>
      </c>
      <c r="K140" s="86" t="str" cm="1">
        <f t="array" ref="K140">LOOKUP(2,1/($G$6:$G$14&lt;=$L140)/($H$6:$H$14&gt;=$L140),$F$6:$F$14)</f>
        <v>FY22</v>
      </c>
      <c r="L140" s="118">
        <v>44523</v>
      </c>
      <c r="M140" s="49">
        <v>16019015.363815146</v>
      </c>
      <c r="N140" s="49">
        <v>21202768.735545725</v>
      </c>
      <c r="O140" s="50">
        <v>10000000</v>
      </c>
      <c r="P140" s="119" cm="1">
        <f t="array" ref="P140">LOOKUP(2,1/($B$10:$B$14&lt;=$L140)/($C$10:$C$14&gt;=$L140),$D$10:$D$14)</f>
        <v>1.1000000000000001</v>
      </c>
      <c r="Q140" s="120" cm="1">
        <f t="array" ref="Q140">LOOKUP(2,1/($B$17:$B$21&lt;=$L140)/($C$17:$C$21&gt;=$L140),$D$17:$D$21)</f>
        <v>134.49039999999999</v>
      </c>
      <c r="R140" s="113" t="str">
        <f t="shared" si="165"/>
        <v/>
      </c>
      <c r="S140" s="113" t="str">
        <f t="shared" si="166"/>
        <v>1H22</v>
      </c>
      <c r="T140" s="113" t="str">
        <f t="shared" ca="1" si="167"/>
        <v/>
      </c>
      <c r="U140" s="113" t="str">
        <f t="shared" si="168"/>
        <v/>
      </c>
      <c r="V140" s="113" t="str">
        <f t="shared" si="109"/>
        <v>FY22</v>
      </c>
      <c r="W140" s="113" t="str">
        <f t="shared" ca="1" si="110"/>
        <v/>
      </c>
      <c r="X140" s="50"/>
      <c r="Y140" s="114" t="s">
        <v>147</v>
      </c>
      <c r="Z140" s="115">
        <v>44743</v>
      </c>
      <c r="AA140" s="114" t="s">
        <v>148</v>
      </c>
      <c r="AB140" s="115">
        <v>45107</v>
      </c>
      <c r="AC140" s="132"/>
      <c r="AD140" s="132"/>
      <c r="AE140" s="132"/>
      <c r="AF140" s="132"/>
      <c r="AG140" s="133"/>
      <c r="AH140" s="133"/>
      <c r="AI140" s="133"/>
      <c r="AJ140" s="133"/>
      <c r="AK140" s="133"/>
      <c r="AL140" s="133"/>
      <c r="AM140" s="133"/>
      <c r="AN140" s="133"/>
      <c r="AO140" s="133"/>
      <c r="AP140" s="133"/>
      <c r="AQ140" s="133"/>
      <c r="AR140" s="50"/>
      <c r="AS140" s="114" t="s">
        <v>147</v>
      </c>
      <c r="AT140" s="115" t="s">
        <v>158</v>
      </c>
      <c r="AU140" s="114" t="s">
        <v>148</v>
      </c>
      <c r="AV140" s="115" t="s">
        <v>158</v>
      </c>
      <c r="AW140" s="132"/>
      <c r="AX140" s="133"/>
      <c r="AY140" s="133"/>
      <c r="AZ140" s="133"/>
      <c r="BA140" s="133"/>
      <c r="BB140" s="133"/>
      <c r="BC140" s="133"/>
      <c r="BD140" s="133"/>
      <c r="BE140" s="133"/>
      <c r="BF140" s="50"/>
      <c r="BG140" s="114" t="s">
        <v>147</v>
      </c>
      <c r="BH140" s="115">
        <v>44524</v>
      </c>
      <c r="BI140" s="114" t="s">
        <v>148</v>
      </c>
      <c r="BJ140" s="115">
        <v>44889</v>
      </c>
      <c r="BK140" s="132"/>
      <c r="BL140" s="132"/>
      <c r="BM140" s="132"/>
      <c r="BN140" s="133"/>
      <c r="BO140" s="133"/>
      <c r="BP140" s="133"/>
      <c r="BQ140" s="133"/>
      <c r="BR140" s="133"/>
      <c r="BS140" s="133"/>
      <c r="BT140" s="133"/>
      <c r="BU140" s="133"/>
      <c r="BV140" s="133"/>
      <c r="BW140" s="133"/>
      <c r="BX140" s="133"/>
      <c r="BY140" s="50"/>
      <c r="CO140" s="50"/>
      <c r="CP140" s="114" t="s">
        <v>159</v>
      </c>
      <c r="CQ140" s="115" t="s">
        <v>22</v>
      </c>
      <c r="CR140" s="114" t="s">
        <v>161</v>
      </c>
      <c r="CS140" s="134" t="str" cm="1">
        <f t="array" ref="CS140">IF(OR(LOOKUP(2,1/($B$10:$B$14&lt;=CS139)/($C$10:$C$14&gt;=CS139),$D$10:$D$14)&lt;&gt;CQ143,LOOKUP(2,1/($B$6:$B$7&lt;=CS139)/($C$6:$C$7&gt;=CS139),$D$6:$D$7)&lt;&gt;CS143),"FAIL","PASS")</f>
        <v>PASS</v>
      </c>
      <c r="CT140" s="134" t="s">
        <v>162</v>
      </c>
      <c r="CU140" s="134" t="s">
        <v>162</v>
      </c>
      <c r="CV140" s="134"/>
      <c r="CW140" s="133"/>
      <c r="CX140" s="133"/>
      <c r="CY140" s="133"/>
      <c r="CZ140" s="133"/>
      <c r="DA140" s="133"/>
      <c r="DB140" s="133"/>
      <c r="DC140" s="133"/>
      <c r="DD140" s="133"/>
      <c r="DE140" s="50"/>
      <c r="DF140" s="114" t="s">
        <v>159</v>
      </c>
      <c r="DG140" s="115" t="s">
        <v>51</v>
      </c>
      <c r="DH140" s="114" t="s">
        <v>161</v>
      </c>
      <c r="DI140" s="134" t="str" cm="1">
        <f t="array" ref="DI140">IF(OR(LOOKUP(2,1/($B$10:$B$14&lt;=DI139)/($C$10:$C$14&gt;=DI139),$D$10:$D$14)&lt;&gt;DG143,LOOKUP(2,1/($B$6:$B$7&lt;=DI139)/($C$6:$C$7&gt;=DI139),$D$6:$D$7)&lt;&gt;DI143),"FAIL","PASS")</f>
        <v>PASS</v>
      </c>
      <c r="DJ140" s="134" t="s">
        <v>162</v>
      </c>
      <c r="DK140" s="134" t="s">
        <v>162</v>
      </c>
      <c r="DL140" s="134"/>
      <c r="DM140" s="133"/>
      <c r="DN140" s="133"/>
      <c r="DO140" s="133"/>
      <c r="DP140" s="133"/>
      <c r="DQ140" s="133"/>
      <c r="DR140" s="133"/>
      <c r="DS140" s="133"/>
      <c r="DT140" s="133"/>
      <c r="DU140" s="133"/>
    </row>
    <row r="141" spans="10:125" x14ac:dyDescent="0.25">
      <c r="J141" s="86" t="str" cm="1">
        <f t="array" ref="J141">LOOKUP(2,1/($G$17:$G$33&lt;=$L141)/($H$17:$H$33&gt;=$L141),$F$17:$F$33)</f>
        <v>1H22</v>
      </c>
      <c r="K141" s="86" t="str" cm="1">
        <f t="array" ref="K141">LOOKUP(2,1/($G$6:$G$14&lt;=$L141)/($H$6:$H$14&gt;=$L141),$F$6:$F$14)</f>
        <v>FY22</v>
      </c>
      <c r="L141" s="118">
        <v>44516</v>
      </c>
      <c r="M141" s="49">
        <v>11567999.016715834</v>
      </c>
      <c r="N141" s="49">
        <v>15311403.498525076</v>
      </c>
      <c r="O141" s="50">
        <v>5000000</v>
      </c>
      <c r="P141" s="119" cm="1">
        <f t="array" ref="P141">LOOKUP(2,1/($B$10:$B$14&lt;=$L141)/($C$10:$C$14&gt;=$L141),$D$10:$D$14)</f>
        <v>1.1000000000000001</v>
      </c>
      <c r="Q141" s="120" cm="1">
        <f t="array" ref="Q141">LOOKUP(2,1/($B$17:$B$21&lt;=$L141)/($C$17:$C$21&gt;=$L141),$D$17:$D$21)</f>
        <v>134.49039999999999</v>
      </c>
      <c r="R141" s="113" t="str">
        <f t="shared" si="165"/>
        <v/>
      </c>
      <c r="S141" s="113" t="str">
        <f t="shared" si="166"/>
        <v>1H22</v>
      </c>
      <c r="T141" s="113" t="str">
        <f t="shared" ca="1" si="167"/>
        <v/>
      </c>
      <c r="U141" s="113" t="str">
        <f t="shared" si="168"/>
        <v/>
      </c>
      <c r="V141" s="113" t="str">
        <f t="shared" si="109"/>
        <v>FY22</v>
      </c>
      <c r="W141" s="113" t="str">
        <f t="shared" ca="1" si="110"/>
        <v/>
      </c>
      <c r="X141" s="50"/>
      <c r="Y141" s="114" t="s">
        <v>159</v>
      </c>
      <c r="Z141" s="115" t="s">
        <v>23</v>
      </c>
      <c r="AA141" s="114" t="s">
        <v>161</v>
      </c>
      <c r="AB141" s="115" t="s">
        <v>163</v>
      </c>
      <c r="AC141" s="134" t="s">
        <v>162</v>
      </c>
      <c r="AD141" s="134" t="s">
        <v>162</v>
      </c>
      <c r="AE141" s="134"/>
      <c r="AF141" s="134"/>
      <c r="AG141" s="133"/>
      <c r="AH141" s="133"/>
      <c r="AI141" s="133"/>
      <c r="AJ141" s="133"/>
      <c r="AK141" s="133"/>
      <c r="AL141" s="133"/>
      <c r="AM141" s="133"/>
      <c r="AN141" s="133"/>
      <c r="AO141" s="133"/>
      <c r="AP141" s="133"/>
      <c r="AQ141" s="133"/>
      <c r="AR141" s="50"/>
      <c r="AS141" s="114" t="s">
        <v>159</v>
      </c>
      <c r="AT141" s="115" t="s">
        <v>181</v>
      </c>
      <c r="AU141" s="114" t="s">
        <v>161</v>
      </c>
      <c r="AV141" s="115" t="s">
        <v>163</v>
      </c>
      <c r="AW141" s="132"/>
      <c r="AX141" s="133"/>
      <c r="AY141" s="133"/>
      <c r="AZ141" s="133"/>
      <c r="BA141" s="133"/>
      <c r="BB141" s="133"/>
      <c r="BC141" s="133"/>
      <c r="BD141" s="133"/>
      <c r="BE141" s="133"/>
      <c r="BF141" s="50"/>
      <c r="BG141" s="114" t="s">
        <v>159</v>
      </c>
      <c r="BH141" s="115" t="s">
        <v>23</v>
      </c>
      <c r="BI141" s="114" t="s">
        <v>161</v>
      </c>
      <c r="BJ141" s="134" t="str" cm="1">
        <f t="array" ref="BJ141">IF(OR(LOOKUP(2,1/($B$10:$B$14&lt;=BJ140)/($C$10:$C$14&gt;=BJ140),$D$10:$D$14)&lt;&gt;BH144,LOOKUP(2,1/($B$6:$B$7&lt;=BJ140)/($C$6:$C$7&gt;=BJ140),$D$6:$D$7)&lt;&gt;BJ144),"FAIL","PASS")</f>
        <v>PASS</v>
      </c>
      <c r="BK141" s="134" t="s">
        <v>162</v>
      </c>
      <c r="BL141" s="134" t="s">
        <v>162</v>
      </c>
      <c r="BM141" s="134"/>
      <c r="BN141" s="133"/>
      <c r="BO141" s="133"/>
      <c r="BP141" s="133"/>
      <c r="BQ141" s="133"/>
      <c r="BR141" s="133"/>
      <c r="BS141" s="133"/>
      <c r="BT141" s="133"/>
      <c r="BU141" s="133"/>
      <c r="BV141" s="133"/>
      <c r="BW141" s="133"/>
      <c r="BX141" s="133"/>
      <c r="BY141" s="50"/>
      <c r="CO141" s="50"/>
      <c r="CP141" s="114" t="s">
        <v>165</v>
      </c>
      <c r="CQ141" s="134">
        <f>INDEX($G:$G,MATCH(CQ140,$F:$F,0))</f>
        <v>44378</v>
      </c>
      <c r="CR141" s="114" t="s">
        <v>166</v>
      </c>
      <c r="CS141" s="134">
        <f>INDEX($H:$H,MATCH(CQ140,$F:$F,0))</f>
        <v>44742</v>
      </c>
      <c r="CT141" s="135">
        <v>1.25</v>
      </c>
      <c r="CU141" s="135">
        <v>1</v>
      </c>
      <c r="CV141" s="134"/>
      <c r="CX141" s="136" t="s">
        <v>167</v>
      </c>
      <c r="CY141" s="137"/>
      <c r="CZ141" s="137"/>
      <c r="DA141" s="138"/>
      <c r="DB141" s="139"/>
      <c r="DE141" s="50"/>
      <c r="DF141" s="114" t="s">
        <v>165</v>
      </c>
      <c r="DG141" s="134">
        <f>INDEX($G:$G,MATCH(DG140,$F:$F,0))</f>
        <v>44013</v>
      </c>
      <c r="DH141" s="114" t="s">
        <v>166</v>
      </c>
      <c r="DI141" s="134">
        <f>INDEX($H:$H,MATCH(DG140,$F:$F,0))</f>
        <v>44196</v>
      </c>
      <c r="DJ141" s="135">
        <v>1.25</v>
      </c>
      <c r="DK141" s="135">
        <v>1</v>
      </c>
      <c r="DL141" s="134"/>
      <c r="DN141" s="136" t="s">
        <v>167</v>
      </c>
      <c r="DO141" s="137"/>
      <c r="DP141" s="137"/>
      <c r="DQ141" s="137"/>
      <c r="DR141" s="138"/>
      <c r="DS141" s="137"/>
      <c r="DT141" s="137"/>
      <c r="DU141" s="139"/>
    </row>
    <row r="142" spans="10:125" x14ac:dyDescent="0.25">
      <c r="J142" s="86" t="str" cm="1">
        <f t="array" ref="J142">LOOKUP(2,1/($G$17:$G$33&lt;=$L142)/($H$17:$H$33&gt;=$L142),$F$17:$F$33)</f>
        <v>1H22</v>
      </c>
      <c r="K142" s="86" t="str" cm="1">
        <f t="array" ref="K142">LOOKUP(2,1/($G$6:$G$14&lt;=$L142)/($H$6:$H$14&gt;=$L142),$F$6:$F$14)</f>
        <v>FY22</v>
      </c>
      <c r="L142" s="118">
        <v>44509</v>
      </c>
      <c r="M142" s="49">
        <v>9624065.1425762083</v>
      </c>
      <c r="N142" s="49">
        <v>12738412.622713868</v>
      </c>
      <c r="O142" s="50">
        <v>2000000</v>
      </c>
      <c r="P142" s="119" cm="1">
        <f t="array" ref="P142">LOOKUP(2,1/($B$10:$B$14&lt;=$L142)/($C$10:$C$14&gt;=$L142),$D$10:$D$14)</f>
        <v>1.1000000000000001</v>
      </c>
      <c r="Q142" s="120" cm="1">
        <f t="array" ref="Q142">LOOKUP(2,1/($B$17:$B$21&lt;=$L142)/($C$17:$C$21&gt;=$L142),$D$17:$D$21)</f>
        <v>134.49039999999999</v>
      </c>
      <c r="R142" s="113" t="str">
        <f t="shared" si="165"/>
        <v/>
      </c>
      <c r="S142" s="113" t="str">
        <f t="shared" si="166"/>
        <v>1H22</v>
      </c>
      <c r="T142" s="113" t="str">
        <f t="shared" ca="1" si="167"/>
        <v/>
      </c>
      <c r="U142" s="113" t="str">
        <f t="shared" si="168"/>
        <v/>
      </c>
      <c r="V142" s="113" t="str">
        <f t="shared" ref="V142:V205" si="169">IF($O141&lt;$O142,$K142,V141)</f>
        <v>FY22</v>
      </c>
      <c r="W142" s="113" t="str">
        <f t="shared" ref="W142:W205" ca="1" si="170">IF(AND(V142&lt;&gt;V141,ISNUMBER(MATCH($V141,$F$6:$F$14,0))),OFFSET($F$5,MATCH($K142,$F$6:$F$14,0)+1,0),"")</f>
        <v/>
      </c>
      <c r="X142" s="50"/>
      <c r="Y142" s="114" t="s">
        <v>165</v>
      </c>
      <c r="Z142" s="134">
        <f>INDEX($G:$G,MATCH(Z141,$F:$F,0))</f>
        <v>44743</v>
      </c>
      <c r="AA142" s="114" t="s">
        <v>166</v>
      </c>
      <c r="AB142" s="134">
        <f>INDEX($H:$H,MATCH(Z141,$F:$F,0))</f>
        <v>45107</v>
      </c>
      <c r="AC142" s="135">
        <v>1.3</v>
      </c>
      <c r="AD142" s="135">
        <v>1</v>
      </c>
      <c r="AE142" s="134"/>
      <c r="AF142" s="134"/>
      <c r="AH142" s="136" t="s">
        <v>167</v>
      </c>
      <c r="AI142" s="137"/>
      <c r="AJ142" s="137"/>
      <c r="AK142" s="137"/>
      <c r="AL142" s="138"/>
      <c r="AM142" s="137"/>
      <c r="AN142" s="137"/>
      <c r="AO142" s="139"/>
      <c r="AR142" s="50"/>
      <c r="AS142" s="114" t="s">
        <v>165</v>
      </c>
      <c r="AT142" s="134">
        <f>INDEX($G:$G,MATCH(AT141,$F:$F,0))</f>
        <v>45108</v>
      </c>
      <c r="AU142" s="114" t="s">
        <v>166</v>
      </c>
      <c r="AV142" s="134">
        <f>INDEX($H:$H,MATCH(AT141,$F:$F,0))</f>
        <v>45473</v>
      </c>
      <c r="AW142" s="134"/>
      <c r="AY142" s="136" t="s">
        <v>167</v>
      </c>
      <c r="AZ142" s="137"/>
      <c r="BA142" s="137"/>
      <c r="BB142" s="138"/>
      <c r="BC142" s="139"/>
      <c r="BF142" s="50"/>
      <c r="BG142" s="114" t="s">
        <v>165</v>
      </c>
      <c r="BH142" s="134">
        <f>INDEX($G:$G,MATCH(BH141,$F:$F,0))</f>
        <v>44743</v>
      </c>
      <c r="BI142" s="114" t="s">
        <v>166</v>
      </c>
      <c r="BJ142" s="134">
        <f>INDEX($H:$H,MATCH(BH141,$F:$F,0))</f>
        <v>45107</v>
      </c>
      <c r="BK142" s="135">
        <v>1.4</v>
      </c>
      <c r="BL142" s="135">
        <v>1</v>
      </c>
      <c r="BM142" s="134"/>
      <c r="BO142" s="136" t="s">
        <v>167</v>
      </c>
      <c r="BP142" s="137"/>
      <c r="BQ142" s="137"/>
      <c r="BR142" s="137"/>
      <c r="BS142" s="138"/>
      <c r="BT142" s="137"/>
      <c r="BU142" s="137"/>
      <c r="BV142" s="139"/>
      <c r="BY142" s="50"/>
      <c r="CO142" s="50"/>
      <c r="CP142" s="114" t="s">
        <v>91</v>
      </c>
      <c r="CQ142" s="140">
        <f>INDEX($O:$O,MATCH(CQ140,$U:$U,0))</f>
        <v>20000000</v>
      </c>
      <c r="CR142" s="114" t="s">
        <v>76</v>
      </c>
      <c r="CS142" s="140">
        <f ca="1">INDEX($O:$O,MATCH(CQ140,$W:$W,0))</f>
        <v>10000000</v>
      </c>
      <c r="CT142" s="140"/>
      <c r="CU142" s="140"/>
      <c r="CV142" s="140"/>
      <c r="CX142" s="147" t="s">
        <v>165</v>
      </c>
      <c r="CY142" s="148">
        <f>CQ141</f>
        <v>44378</v>
      </c>
      <c r="CZ142" s="142"/>
      <c r="DA142" s="143" t="s">
        <v>15</v>
      </c>
      <c r="DB142" s="144" t="s">
        <v>139</v>
      </c>
      <c r="DE142" s="50"/>
      <c r="DF142" s="114" t="s">
        <v>91</v>
      </c>
      <c r="DG142" s="140">
        <f>INDEX($O:$O,MATCH(DG140,$R:$R,0))</f>
        <v>50000000</v>
      </c>
      <c r="DH142" s="114" t="s">
        <v>76</v>
      </c>
      <c r="DI142" s="140">
        <f ca="1">INDEX($O:$O,MATCH(DG140,$T:$T,0))</f>
        <v>15000000</v>
      </c>
      <c r="DJ142" s="140"/>
      <c r="DK142" s="140"/>
      <c r="DL142" s="140"/>
      <c r="DN142" s="147" t="s">
        <v>165</v>
      </c>
      <c r="DO142" s="148">
        <f>DG141</f>
        <v>44013</v>
      </c>
      <c r="DP142" s="142"/>
      <c r="DQ142" s="142"/>
      <c r="DR142" s="143" t="s">
        <v>15</v>
      </c>
      <c r="DS142" s="142"/>
      <c r="DT142" s="142"/>
      <c r="DU142" s="144" t="s">
        <v>139</v>
      </c>
    </row>
    <row r="143" spans="10:125" x14ac:dyDescent="0.25">
      <c r="J143" s="86" t="str" cm="1">
        <f t="array" ref="J143">LOOKUP(2,1/($G$17:$G$33&lt;=$L143)/($H$17:$H$33&gt;=$L143),$F$17:$F$33)</f>
        <v>1H22</v>
      </c>
      <c r="K143" s="86" t="str" cm="1">
        <f t="array" ref="K143">LOOKUP(2,1/($G$6:$G$14&lt;=$L143)/($H$6:$H$14&gt;=$L143),$F$6:$F$14)</f>
        <v>FY22</v>
      </c>
      <c r="L143" s="118">
        <v>44502</v>
      </c>
      <c r="M143" s="49">
        <v>50284365.290068828</v>
      </c>
      <c r="N143" s="49">
        <v>66556385.897935092</v>
      </c>
      <c r="O143" s="50">
        <v>50000000</v>
      </c>
      <c r="P143" s="119" cm="1">
        <f t="array" ref="P143">LOOKUP(2,1/($B$10:$B$14&lt;=$L143)/($C$10:$C$14&gt;=$L143),$D$10:$D$14)</f>
        <v>1.1000000000000001</v>
      </c>
      <c r="Q143" s="120" cm="1">
        <f t="array" ref="Q143">LOOKUP(2,1/($B$17:$B$21&lt;=$L143)/($C$17:$C$21&gt;=$L143),$D$17:$D$21)</f>
        <v>134.49039999999999</v>
      </c>
      <c r="R143" s="113" t="str">
        <f t="shared" si="165"/>
        <v/>
      </c>
      <c r="S143" s="113" t="str">
        <f t="shared" si="166"/>
        <v>1H22</v>
      </c>
      <c r="T143" s="113" t="str">
        <f t="shared" ca="1" si="167"/>
        <v/>
      </c>
      <c r="U143" s="113" t="str">
        <f t="shared" si="168"/>
        <v/>
      </c>
      <c r="V143" s="113" t="str">
        <f t="shared" si="169"/>
        <v>FY22</v>
      </c>
      <c r="W143" s="113" t="str">
        <f t="shared" ca="1" si="170"/>
        <v/>
      </c>
      <c r="X143" s="50"/>
      <c r="Y143" s="114" t="s">
        <v>91</v>
      </c>
      <c r="Z143" s="140">
        <f>INDEX($O:$O,MATCH(Z141,$U:$U,0))</f>
        <v>30000000</v>
      </c>
      <c r="AA143" s="114" t="s">
        <v>76</v>
      </c>
      <c r="AB143" s="140">
        <f ca="1">INDEX($O:$O,MATCH(Z141,$W:$W,0))</f>
        <v>5000000</v>
      </c>
      <c r="AC143" s="140"/>
      <c r="AD143" s="140"/>
      <c r="AE143" s="140"/>
      <c r="AF143" s="140"/>
      <c r="AH143" s="141" t="s">
        <v>168</v>
      </c>
      <c r="AI143" s="141"/>
      <c r="AJ143" s="142"/>
      <c r="AK143" s="142"/>
      <c r="AL143" s="143" t="s">
        <v>15</v>
      </c>
      <c r="AM143" s="142"/>
      <c r="AN143" s="142"/>
      <c r="AO143" s="144" t="s">
        <v>139</v>
      </c>
      <c r="AR143" s="50"/>
      <c r="AS143" s="114" t="s">
        <v>91</v>
      </c>
      <c r="AT143" s="145">
        <v>12000000</v>
      </c>
      <c r="AU143" s="114" t="s">
        <v>76</v>
      </c>
      <c r="AV143" s="145">
        <v>12000000</v>
      </c>
      <c r="AW143" s="146"/>
      <c r="AY143" s="147" t="s">
        <v>165</v>
      </c>
      <c r="AZ143" s="148">
        <f>AT142</f>
        <v>45108</v>
      </c>
      <c r="BA143" s="142"/>
      <c r="BB143" s="143" t="s">
        <v>15</v>
      </c>
      <c r="BC143" s="144" t="s">
        <v>139</v>
      </c>
      <c r="BF143" s="50"/>
      <c r="BG143" s="114" t="s">
        <v>91</v>
      </c>
      <c r="BH143" s="140">
        <f>INDEX($O:$O,MATCH(BH141,$U:$U,0))</f>
        <v>30000000</v>
      </c>
      <c r="BI143" s="114" t="s">
        <v>76</v>
      </c>
      <c r="BJ143" s="140">
        <f ca="1">INDEX($O:$O,MATCH(BH141,$W:$W,0))</f>
        <v>5000000</v>
      </c>
      <c r="BK143" s="140"/>
      <c r="BL143" s="140"/>
      <c r="BM143" s="140"/>
      <c r="BO143" s="141" t="s">
        <v>168</v>
      </c>
      <c r="BP143" s="141"/>
      <c r="BQ143" s="2"/>
      <c r="BR143" s="2"/>
      <c r="BS143" s="149" t="s">
        <v>15</v>
      </c>
      <c r="BT143" s="2"/>
      <c r="BU143" s="2"/>
      <c r="BV143" s="150" t="s">
        <v>139</v>
      </c>
      <c r="BY143" s="50"/>
      <c r="CO143" s="50"/>
      <c r="CP143" s="114" t="s">
        <v>169</v>
      </c>
      <c r="CQ143" s="119" cm="1">
        <f t="array" ref="CQ143">LOOKUP(2,1/($B$10:$B$14&lt;=CQ139)/($C$10:$C$14&gt;=CQ139),$D$10:$D$14)</f>
        <v>1.1000000000000001</v>
      </c>
      <c r="CR143" s="114" t="s">
        <v>149</v>
      </c>
      <c r="CS143" s="152" cm="1">
        <f t="array" ref="CS143">LOOKUP(2,1/($B$6:$B$7&lt;=CQ139)/($C$6:$C$7&gt;=CQ139),$D$6:$D$7)</f>
        <v>0.10299999999999999</v>
      </c>
      <c r="CT143" s="152" t="s">
        <v>170</v>
      </c>
      <c r="CU143" s="152" t="s">
        <v>171</v>
      </c>
      <c r="CV143" s="152"/>
      <c r="CX143" s="153" t="s">
        <v>166</v>
      </c>
      <c r="CY143" s="158">
        <f>CS141</f>
        <v>44742</v>
      </c>
      <c r="CZ143" s="154"/>
      <c r="DA143" s="155">
        <f>CQ146/1000000</f>
        <v>4</v>
      </c>
      <c r="DB143" s="156" t="e">
        <f>MAX(CR146:CS146)/1000000</f>
        <v>#DIV/0!</v>
      </c>
      <c r="DE143" s="50"/>
      <c r="DF143" s="114" t="s">
        <v>169</v>
      </c>
      <c r="DG143" s="119" cm="1">
        <f t="array" ref="DG143">LOOKUP(2,1/($B$10:$B$14&lt;=DG139)/($C$10:$C$14&gt;=DG139),$D$10:$D$14)</f>
        <v>1.1000000000000001</v>
      </c>
      <c r="DH143" s="114" t="s">
        <v>149</v>
      </c>
      <c r="DI143" s="152" cm="1">
        <f t="array" ref="DI143">LOOKUP(2,1/($B$6:$B$7&lt;=DG139)/($C$6:$C$7&gt;=DG139),$D$6:$D$7)</f>
        <v>0.10299999999999999</v>
      </c>
      <c r="DJ143" s="152" t="s">
        <v>170</v>
      </c>
      <c r="DK143" s="152" t="s">
        <v>171</v>
      </c>
      <c r="DL143" s="152"/>
      <c r="DN143" s="153" t="s">
        <v>166</v>
      </c>
      <c r="DO143" s="158">
        <f>DI141</f>
        <v>44196</v>
      </c>
      <c r="DP143" s="154"/>
      <c r="DQ143" s="154"/>
      <c r="DR143" s="155">
        <f>DG146/1000000</f>
        <v>3</v>
      </c>
      <c r="DS143" s="154"/>
      <c r="DT143" s="154"/>
      <c r="DU143" s="156" t="e">
        <f>MAX(DH146:DI146)/1000000</f>
        <v>#DIV/0!</v>
      </c>
    </row>
    <row r="144" spans="10:125" x14ac:dyDescent="0.25">
      <c r="J144" s="86" t="str" cm="1">
        <f t="array" ref="J144">LOOKUP(2,1/($G$17:$G$33&lt;=$L144)/($H$17:$H$33&gt;=$L144),$F$17:$F$33)</f>
        <v>1H22</v>
      </c>
      <c r="K144" s="86" t="str" cm="1">
        <f t="array" ref="K144">LOOKUP(2,1/($G$6:$G$14&lt;=$L144)/($H$6:$H$14&gt;=$L144),$F$6:$F$14)</f>
        <v>FY22</v>
      </c>
      <c r="L144" s="118">
        <v>44495</v>
      </c>
      <c r="M144" s="49">
        <v>33086930.063913479</v>
      </c>
      <c r="N144" s="49">
        <v>43793860.632595874</v>
      </c>
      <c r="O144" s="50">
        <v>30000000</v>
      </c>
      <c r="P144" s="119" cm="1">
        <f t="array" ref="P144">LOOKUP(2,1/($B$10:$B$14&lt;=$L144)/($C$10:$C$14&gt;=$L144),$D$10:$D$14)</f>
        <v>1.1000000000000001</v>
      </c>
      <c r="Q144" s="120" cm="1">
        <f t="array" ref="Q144">LOOKUP(2,1/($B$17:$B$21&lt;=$L144)/($C$17:$C$21&gt;=$L144),$D$17:$D$21)</f>
        <v>134.49039999999999</v>
      </c>
      <c r="R144" s="113" t="str">
        <f t="shared" si="165"/>
        <v/>
      </c>
      <c r="S144" s="113" t="str">
        <f t="shared" si="166"/>
        <v>1H22</v>
      </c>
      <c r="T144" s="113" t="str">
        <f t="shared" ca="1" si="167"/>
        <v/>
      </c>
      <c r="U144" s="113" t="str">
        <f t="shared" si="168"/>
        <v/>
      </c>
      <c r="V144" s="113" t="str">
        <f t="shared" si="169"/>
        <v>FY22</v>
      </c>
      <c r="W144" s="113" t="str">
        <f t="shared" ca="1" si="170"/>
        <v/>
      </c>
      <c r="X144" s="50"/>
      <c r="Y144" s="114" t="s">
        <v>169</v>
      </c>
      <c r="Z144" s="135">
        <v>1.3</v>
      </c>
      <c r="AA144" s="114" t="s">
        <v>149</v>
      </c>
      <c r="AB144" s="152" cm="1">
        <f t="array" ref="AB144">LOOKUP(2,1/($B$6:$B$7&lt;=Z140)/($C$6:$C$7&gt;=Z140),$D$6:$D$7)</f>
        <v>0.10299999999999999</v>
      </c>
      <c r="AC144" s="152" t="s">
        <v>170</v>
      </c>
      <c r="AD144" s="152" t="s">
        <v>171</v>
      </c>
      <c r="AE144" s="152"/>
      <c r="AF144" s="152"/>
      <c r="AH144" s="153" t="s">
        <v>165</v>
      </c>
      <c r="AI144" s="148">
        <f>Z142</f>
        <v>44743</v>
      </c>
      <c r="AJ144" s="154"/>
      <c r="AK144" s="154"/>
      <c r="AL144" s="155">
        <f t="shared" ref="AL144:AL153" si="171">Z147/1000000</f>
        <v>3</v>
      </c>
      <c r="AM144" s="154"/>
      <c r="AN144" s="154"/>
      <c r="AO144" s="156">
        <f t="shared" ref="AO144:AO153" si="172">MAX(AA147:AB147)/1000000</f>
        <v>8.7370023856395544</v>
      </c>
      <c r="AR144" s="50"/>
      <c r="AS144" s="114" t="s">
        <v>169</v>
      </c>
      <c r="AT144" s="159">
        <v>1.2</v>
      </c>
      <c r="AU144" s="114" t="s">
        <v>149</v>
      </c>
      <c r="AV144" s="160">
        <v>0.10299999999999999</v>
      </c>
      <c r="AW144" s="157"/>
      <c r="AY144" s="153" t="s">
        <v>166</v>
      </c>
      <c r="AZ144" s="158">
        <f>AV142</f>
        <v>45473</v>
      </c>
      <c r="BA144" s="154"/>
      <c r="BB144" s="155">
        <f>AT147/1000000</f>
        <v>3</v>
      </c>
      <c r="BC144" s="156">
        <f>MAX(AU147:AV147)/1000000</f>
        <v>14.122742885888002</v>
      </c>
      <c r="BF144" s="50"/>
      <c r="BG144" s="114" t="s">
        <v>169</v>
      </c>
      <c r="BH144" s="119" cm="1">
        <f t="array" ref="BH144">LOOKUP(2,1/($B$10:$B$14&lt;=BH140)/($C$10:$C$14&gt;=BH140),$D$10:$D$14)</f>
        <v>1.1000000000000001</v>
      </c>
      <c r="BI144" s="114" t="s">
        <v>149</v>
      </c>
      <c r="BJ144" s="152" cm="1">
        <f t="array" ref="BJ144">LOOKUP(2,1/($B$6:$B$7&lt;=BH140)/($C$6:$C$7&gt;=BH140),$D$6:$D$7)</f>
        <v>0.10299999999999999</v>
      </c>
      <c r="BK144" s="152" t="s">
        <v>170</v>
      </c>
      <c r="BL144" s="152" t="s">
        <v>171</v>
      </c>
      <c r="BM144" s="152"/>
      <c r="BO144" s="153" t="s">
        <v>165</v>
      </c>
      <c r="BP144" s="158">
        <f>BH142</f>
        <v>44743</v>
      </c>
      <c r="BQ144" s="154"/>
      <c r="BR144" s="154"/>
      <c r="BS144" s="155">
        <f t="shared" ref="BS144:BS153" si="173">BH147/1000000</f>
        <v>8</v>
      </c>
      <c r="BT144" s="154"/>
      <c r="BU144" s="154"/>
      <c r="BV144" s="156" t="e">
        <f t="shared" ref="BV144:BV153" si="174">MAX(BI147:BJ147)/1000000</f>
        <v>#DIV/0!</v>
      </c>
      <c r="BY144" s="50"/>
      <c r="CO144" s="50"/>
      <c r="CP144" s="114" t="s">
        <v>172</v>
      </c>
      <c r="CQ144" s="119" cm="1">
        <f t="array" ref="CQ144">LOOKUP(2,1/($B$17:$B$21&lt;=CQ139)/($C$17:$C$21&gt;=CQ139),$D$17:$D$21)</f>
        <v>134.49039999999999</v>
      </c>
      <c r="CR144" s="114" t="s">
        <v>173</v>
      </c>
      <c r="CS144" s="162">
        <f>12/53</f>
        <v>0.22641509433962265</v>
      </c>
      <c r="CT144" s="162">
        <v>1</v>
      </c>
      <c r="CU144" s="162">
        <f>1-CT144</f>
        <v>0</v>
      </c>
      <c r="CV144" s="163"/>
      <c r="CX144" s="153" t="s">
        <v>91</v>
      </c>
      <c r="CY144" s="155">
        <f>CQ142/1000000</f>
        <v>20</v>
      </c>
      <c r="CZ144" s="154"/>
      <c r="DA144" s="155">
        <f t="shared" ref="DA144:DA152" si="175">CQ147/1000000</f>
        <v>8</v>
      </c>
      <c r="DB144" s="156" t="e">
        <f t="shared" ref="DB144:DB152" si="176">MAX(CR147:CS147)/1000000</f>
        <v>#DIV/0!</v>
      </c>
      <c r="DE144" s="50"/>
      <c r="DF144" s="114" t="s">
        <v>172</v>
      </c>
      <c r="DG144" s="119" cm="1">
        <f t="array" ref="DG144">LOOKUP(2,1/($B$17:$B$21&lt;=DG139)/($C$17:$C$21&gt;=DG139),$D$17:$D$21)</f>
        <v>134.49039999999999</v>
      </c>
      <c r="DH144" s="114" t="s">
        <v>173</v>
      </c>
      <c r="DI144" s="163">
        <f>INT((WEEKDAY(DG139-5)-DG139+DI139)/7)/INT((WEEKDAY(DG141-5)-DG141+DI141)/7)</f>
        <v>1</v>
      </c>
      <c r="DJ144" s="162">
        <v>1</v>
      </c>
      <c r="DK144" s="162">
        <f>1-DJ144</f>
        <v>0</v>
      </c>
      <c r="DL144" s="163"/>
      <c r="DN144" s="153" t="s">
        <v>91</v>
      </c>
      <c r="DO144" s="155">
        <f>DG142/1000000</f>
        <v>50</v>
      </c>
      <c r="DP144" s="154"/>
      <c r="DQ144" s="154"/>
      <c r="DR144" s="155">
        <f t="shared" ref="DR144:DR152" si="177">DG147/1000000</f>
        <v>8</v>
      </c>
      <c r="DS144" s="154"/>
      <c r="DT144" s="154"/>
      <c r="DU144" s="156" t="e">
        <f t="shared" ref="DU144:DU152" si="178">MAX(DH147:DI147)/1000000</f>
        <v>#DIV/0!</v>
      </c>
    </row>
    <row r="145" spans="10:125" x14ac:dyDescent="0.25">
      <c r="J145" s="86" t="str" cm="1">
        <f t="array" ref="J145">LOOKUP(2,1/($G$17:$G$33&lt;=$L145)/($H$17:$H$33&gt;=$L145),$F$17:$F$33)</f>
        <v>1H22</v>
      </c>
      <c r="K145" s="86" t="str" cm="1">
        <f t="array" ref="K145">LOOKUP(2,1/($G$6:$G$14&lt;=$L145)/($H$6:$H$14&gt;=$L145),$F$6:$F$14)</f>
        <v>FY22</v>
      </c>
      <c r="L145" s="118">
        <v>44488</v>
      </c>
      <c r="M145" s="49">
        <v>21203085.422812197</v>
      </c>
      <c r="N145" s="49">
        <v>28064403.865634222</v>
      </c>
      <c r="O145" s="50">
        <v>20000000</v>
      </c>
      <c r="P145" s="119" cm="1">
        <f t="array" ref="P145">LOOKUP(2,1/($B$10:$B$14&lt;=$L145)/($C$10:$C$14&gt;=$L145),$D$10:$D$14)</f>
        <v>1.1000000000000001</v>
      </c>
      <c r="Q145" s="120" cm="1">
        <f t="array" ref="Q145">LOOKUP(2,1/($B$17:$B$21&lt;=$L145)/($C$17:$C$21&gt;=$L145),$D$17:$D$21)</f>
        <v>134.49039999999999</v>
      </c>
      <c r="R145" s="113" t="str">
        <f t="shared" si="165"/>
        <v/>
      </c>
      <c r="S145" s="113" t="str">
        <f t="shared" si="166"/>
        <v>1H22</v>
      </c>
      <c r="T145" s="113" t="str">
        <f t="shared" ca="1" si="167"/>
        <v/>
      </c>
      <c r="U145" s="113" t="str">
        <f t="shared" si="168"/>
        <v/>
      </c>
      <c r="V145" s="113" t="str">
        <f t="shared" si="169"/>
        <v>FY22</v>
      </c>
      <c r="W145" s="113" t="str">
        <f t="shared" ca="1" si="170"/>
        <v/>
      </c>
      <c r="X145" s="50"/>
      <c r="Y145" s="114" t="s">
        <v>172</v>
      </c>
      <c r="Z145" s="119" cm="1">
        <f t="array" ref="Z145">LOOKUP(2,1/($B$17:$B$21&lt;=Z140)/($C$17:$C$21&gt;=Z140),$D$17:$D$21)</f>
        <v>134.49039999999999</v>
      </c>
      <c r="AA145" s="114" t="s">
        <v>0</v>
      </c>
      <c r="AB145" s="135">
        <v>1</v>
      </c>
      <c r="AC145" s="162">
        <v>1</v>
      </c>
      <c r="AD145" s="162">
        <f>1-AC145</f>
        <v>0</v>
      </c>
      <c r="AH145" s="153" t="s">
        <v>166</v>
      </c>
      <c r="AI145" s="158">
        <f>AB142</f>
        <v>45107</v>
      </c>
      <c r="AJ145" s="154"/>
      <c r="AK145" s="154"/>
      <c r="AL145" s="155">
        <f t="shared" si="171"/>
        <v>5</v>
      </c>
      <c r="AM145" s="154"/>
      <c r="AN145" s="154"/>
      <c r="AO145" s="156">
        <f t="shared" si="172"/>
        <v>10.671138079706665</v>
      </c>
      <c r="AR145" s="50"/>
      <c r="AS145" s="114" t="s">
        <v>172</v>
      </c>
      <c r="AT145" s="159">
        <v>134.49039999999999</v>
      </c>
      <c r="AU145" s="114" t="s">
        <v>0</v>
      </c>
      <c r="AV145" s="135">
        <f>1+(1.2/1.1-1)*-50%</f>
        <v>0.95454545454545459</v>
      </c>
      <c r="AY145" s="153" t="s">
        <v>91</v>
      </c>
      <c r="AZ145" s="155">
        <f>AT143/1000000</f>
        <v>12</v>
      </c>
      <c r="BA145" s="154"/>
      <c r="BB145" s="155">
        <f t="shared" ref="BB145:BB153" si="179">AT148/1000000</f>
        <v>8</v>
      </c>
      <c r="BC145" s="156">
        <f t="shared" ref="BC145:BC152" si="180">MAX(AU148:AV148)/1000000</f>
        <v>18.997084701504004</v>
      </c>
      <c r="BF145" s="50"/>
      <c r="BG145" s="114" t="s">
        <v>172</v>
      </c>
      <c r="BH145" s="119" cm="1">
        <f t="array" ref="BH145">LOOKUP(2,1/($B$17:$B$21&lt;=BH140)/($C$17:$C$21&gt;=BH140),$D$17:$D$21)</f>
        <v>134.49039999999999</v>
      </c>
      <c r="BI145" s="114" t="s">
        <v>0</v>
      </c>
      <c r="BJ145" s="135">
        <v>1</v>
      </c>
      <c r="BK145" s="162">
        <v>1</v>
      </c>
      <c r="BL145" s="162">
        <f>1-BK145</f>
        <v>0</v>
      </c>
      <c r="BO145" s="153" t="s">
        <v>166</v>
      </c>
      <c r="BP145" s="158">
        <f>BJ142</f>
        <v>45107</v>
      </c>
      <c r="BQ145" s="154"/>
      <c r="BR145" s="154"/>
      <c r="BS145" s="155">
        <f t="shared" si="173"/>
        <v>20</v>
      </c>
      <c r="BT145" s="154"/>
      <c r="BU145" s="154"/>
      <c r="BV145" s="156">
        <f t="shared" si="174"/>
        <v>21.606190062886963</v>
      </c>
      <c r="BY145" s="50"/>
      <c r="CO145" s="50"/>
      <c r="CP145" s="111" t="s">
        <v>174</v>
      </c>
      <c r="CQ145" s="111" t="s">
        <v>175</v>
      </c>
      <c r="CR145" s="111" t="s">
        <v>176</v>
      </c>
      <c r="CS145" s="111" t="s">
        <v>177</v>
      </c>
      <c r="CT145" s="111" t="s">
        <v>178</v>
      </c>
      <c r="CU145" s="111" t="s">
        <v>179</v>
      </c>
      <c r="CV145" s="111" t="s">
        <v>180</v>
      </c>
      <c r="CX145" s="153" t="s">
        <v>76</v>
      </c>
      <c r="CY145" s="155">
        <f ca="1">CS142/1000000</f>
        <v>10</v>
      </c>
      <c r="CZ145" s="154"/>
      <c r="DA145" s="155">
        <f t="shared" si="175"/>
        <v>20</v>
      </c>
      <c r="DB145" s="156">
        <f t="shared" si="176"/>
        <v>22.336329078738373</v>
      </c>
      <c r="DE145" s="50"/>
      <c r="DF145" s="111" t="s">
        <v>174</v>
      </c>
      <c r="DG145" s="111" t="s">
        <v>175</v>
      </c>
      <c r="DH145" s="111" t="s">
        <v>176</v>
      </c>
      <c r="DI145" s="111" t="s">
        <v>177</v>
      </c>
      <c r="DJ145" s="111" t="s">
        <v>178</v>
      </c>
      <c r="DK145" s="111" t="s">
        <v>179</v>
      </c>
      <c r="DL145" s="111" t="s">
        <v>180</v>
      </c>
      <c r="DN145" s="153" t="s">
        <v>76</v>
      </c>
      <c r="DO145" s="155">
        <f ca="1">DI142/1000000</f>
        <v>15</v>
      </c>
      <c r="DP145" s="154"/>
      <c r="DQ145" s="154"/>
      <c r="DR145" s="155">
        <f t="shared" si="177"/>
        <v>20</v>
      </c>
      <c r="DS145" s="154"/>
      <c r="DT145" s="154"/>
      <c r="DU145" s="156">
        <f t="shared" si="178"/>
        <v>24.641486356932155</v>
      </c>
    </row>
    <row r="146" spans="10:125" x14ac:dyDescent="0.25">
      <c r="J146" s="86" t="str" cm="1">
        <f t="array" ref="J146">LOOKUP(2,1/($G$17:$G$33&lt;=$L146)/($H$17:$H$33&gt;=$L146),$F$17:$F$33)</f>
        <v>1H22</v>
      </c>
      <c r="K146" s="86" t="str" cm="1">
        <f t="array" ref="K146">LOOKUP(2,1/($G$6:$G$14&lt;=$L146)/($H$6:$H$14&gt;=$L146),$F$6:$F$14)</f>
        <v>FY22</v>
      </c>
      <c r="L146" s="118">
        <v>44481</v>
      </c>
      <c r="M146" s="49">
        <v>16350092.305801379</v>
      </c>
      <c r="N146" s="49">
        <v>21640982.175958704</v>
      </c>
      <c r="O146" s="50">
        <v>10000000</v>
      </c>
      <c r="P146" s="119" cm="1">
        <f t="array" ref="P146">LOOKUP(2,1/($B$10:$B$14&lt;=$L146)/($C$10:$C$14&gt;=$L146),$D$10:$D$14)</f>
        <v>1.1000000000000001</v>
      </c>
      <c r="Q146" s="120" cm="1">
        <f t="array" ref="Q146">LOOKUP(2,1/($B$17:$B$21&lt;=$L146)/($C$17:$C$21&gt;=$L146),$D$17:$D$21)</f>
        <v>134.49039999999999</v>
      </c>
      <c r="R146" s="113" t="str">
        <f t="shared" si="165"/>
        <v/>
      </c>
      <c r="S146" s="113" t="str">
        <f t="shared" si="166"/>
        <v>1H22</v>
      </c>
      <c r="T146" s="113" t="str">
        <f t="shared" ca="1" si="167"/>
        <v/>
      </c>
      <c r="U146" s="113" t="str">
        <f t="shared" si="168"/>
        <v/>
      </c>
      <c r="V146" s="113" t="str">
        <f t="shared" si="169"/>
        <v>FY22</v>
      </c>
      <c r="W146" s="113" t="str">
        <f t="shared" ca="1" si="170"/>
        <v/>
      </c>
      <c r="X146" s="50"/>
      <c r="Y146" s="111" t="s">
        <v>174</v>
      </c>
      <c r="Z146" s="111" t="s">
        <v>175</v>
      </c>
      <c r="AA146" s="111" t="s">
        <v>176</v>
      </c>
      <c r="AB146" s="111" t="s">
        <v>177</v>
      </c>
      <c r="AC146" s="111" t="s">
        <v>178</v>
      </c>
      <c r="AD146" s="111" t="s">
        <v>179</v>
      </c>
      <c r="AE146" s="111" t="s">
        <v>180</v>
      </c>
      <c r="AF146" s="37"/>
      <c r="AH146" s="153" t="s">
        <v>169</v>
      </c>
      <c r="AI146" s="165">
        <f>Z144</f>
        <v>1.3</v>
      </c>
      <c r="AJ146" s="154"/>
      <c r="AK146" s="154"/>
      <c r="AL146" s="155">
        <f t="shared" si="171"/>
        <v>10</v>
      </c>
      <c r="AM146" s="154"/>
      <c r="AN146" s="154"/>
      <c r="AO146" s="156">
        <f t="shared" si="172"/>
        <v>13.786939647705136</v>
      </c>
      <c r="AR146" s="50"/>
      <c r="AS146" s="111" t="s">
        <v>174</v>
      </c>
      <c r="AT146" s="111" t="s">
        <v>175</v>
      </c>
      <c r="AU146" s="111" t="s">
        <v>176</v>
      </c>
      <c r="AV146" s="111" t="s">
        <v>177</v>
      </c>
      <c r="AW146" s="111" t="s">
        <v>180</v>
      </c>
      <c r="AY146" s="153" t="s">
        <v>76</v>
      </c>
      <c r="AZ146" s="155">
        <f>AV143/1000000</f>
        <v>12</v>
      </c>
      <c r="BA146" s="154"/>
      <c r="BB146" s="155">
        <f t="shared" si="179"/>
        <v>12</v>
      </c>
      <c r="BC146" s="156">
        <f t="shared" si="180"/>
        <v>23.954590243584004</v>
      </c>
      <c r="BF146" s="50"/>
      <c r="BG146" s="111" t="s">
        <v>174</v>
      </c>
      <c r="BH146" s="111" t="s">
        <v>175</v>
      </c>
      <c r="BI146" s="111" t="s">
        <v>176</v>
      </c>
      <c r="BJ146" s="111" t="s">
        <v>177</v>
      </c>
      <c r="BK146" s="111" t="s">
        <v>178</v>
      </c>
      <c r="BL146" s="111" t="s">
        <v>179</v>
      </c>
      <c r="BM146" s="111" t="s">
        <v>180</v>
      </c>
      <c r="BO146" s="153" t="s">
        <v>169</v>
      </c>
      <c r="BP146" s="165">
        <f>BH144</f>
        <v>1.1000000000000001</v>
      </c>
      <c r="BQ146" s="154"/>
      <c r="BR146" s="154"/>
      <c r="BS146" s="155">
        <f t="shared" si="173"/>
        <v>30</v>
      </c>
      <c r="BT146" s="154"/>
      <c r="BU146" s="154"/>
      <c r="BV146" s="156">
        <f t="shared" si="174"/>
        <v>29.502335228991761</v>
      </c>
      <c r="BY146" s="50"/>
      <c r="CO146" s="50"/>
      <c r="CP146" s="146">
        <v>1</v>
      </c>
      <c r="CQ146" s="166">
        <v>4000000</v>
      </c>
      <c r="CR146" s="168" t="e">
        <f t="shared" ref="CR146:CR152" si="181">AVERAGEIFS($M:$M,$L:$L,"&gt;="&amp;CQ$139,$L:$L,"&lt;="&amp;CS$139,$O:$O,"="&amp;CQ146)</f>
        <v>#DIV/0!</v>
      </c>
      <c r="CS146" s="168"/>
      <c r="CT146" s="168"/>
      <c r="CU146" s="168"/>
      <c r="CV146" s="167">
        <f t="shared" ref="CV146:CV152" si="182">COUNTIFS($L:$L,"&gt;="&amp;CQ$139,$L:$L,"&lt;="&amp;CS$139,$O:$O,"="&amp;CQ146)</f>
        <v>0</v>
      </c>
      <c r="CX146" s="153" t="s">
        <v>169</v>
      </c>
      <c r="CY146" s="165">
        <f>CQ143</f>
        <v>1.1000000000000001</v>
      </c>
      <c r="CZ146" s="154"/>
      <c r="DA146" s="155">
        <f t="shared" si="175"/>
        <v>40</v>
      </c>
      <c r="DB146" s="156" t="e">
        <f t="shared" si="176"/>
        <v>#DIV/0!</v>
      </c>
      <c r="DE146" s="50"/>
      <c r="DF146" s="146">
        <v>1</v>
      </c>
      <c r="DG146" s="166">
        <v>3000000</v>
      </c>
      <c r="DH146" s="168" t="e">
        <f>AVERAGEIFS($M:$M,$L:$L,"&gt;="&amp;DG$139,$L:$L,"&lt;="&amp;DI$139,$O:$O,"="&amp;DG146)</f>
        <v>#DIV/0!</v>
      </c>
      <c r="DI146" s="168"/>
      <c r="DJ146" s="168"/>
      <c r="DK146" s="168"/>
      <c r="DL146" s="167">
        <f>COUNTIFS($L:$L,"&gt;="&amp;DG$139,$L:$L,"&lt;="&amp;DI$139,$O:$O,"="&amp;DG146)</f>
        <v>0</v>
      </c>
      <c r="DN146" s="153" t="s">
        <v>169</v>
      </c>
      <c r="DO146" s="165">
        <f>DG143</f>
        <v>1.1000000000000001</v>
      </c>
      <c r="DP146" s="154"/>
      <c r="DQ146" s="154"/>
      <c r="DR146" s="155">
        <f t="shared" si="177"/>
        <v>40</v>
      </c>
      <c r="DS146" s="154"/>
      <c r="DT146" s="154"/>
      <c r="DU146" s="156" t="e">
        <f t="shared" si="178"/>
        <v>#DIV/0!</v>
      </c>
    </row>
    <row r="147" spans="10:125" x14ac:dyDescent="0.25">
      <c r="J147" s="86" t="str" cm="1">
        <f t="array" ref="J147">LOOKUP(2,1/($G$17:$G$33&lt;=$L147)/($H$17:$H$33&gt;=$L147),$F$17:$F$33)</f>
        <v>1H22</v>
      </c>
      <c r="K147" s="86" t="str" cm="1">
        <f t="array" ref="K147">LOOKUP(2,1/($G$6:$G$14&lt;=$L147)/($H$6:$H$14&gt;=$L147),$F$6:$F$14)</f>
        <v>FY22</v>
      </c>
      <c r="L147" s="118">
        <v>44474</v>
      </c>
      <c r="M147" s="49">
        <v>12042942.232055068</v>
      </c>
      <c r="N147" s="49">
        <v>15940038.338348087</v>
      </c>
      <c r="O147" s="50">
        <v>5000000</v>
      </c>
      <c r="P147" s="119" cm="1">
        <f t="array" ref="P147">LOOKUP(2,1/($B$10:$B$14&lt;=$L147)/($C$10:$C$14&gt;=$L147),$D$10:$D$14)</f>
        <v>1.1000000000000001</v>
      </c>
      <c r="Q147" s="120" cm="1">
        <f t="array" ref="Q147">LOOKUP(2,1/($B$17:$B$21&lt;=$L147)/($C$17:$C$21&gt;=$L147),$D$17:$D$21)</f>
        <v>134.49039999999999</v>
      </c>
      <c r="R147" s="113" t="str">
        <f t="shared" si="165"/>
        <v/>
      </c>
      <c r="S147" s="113" t="str">
        <f t="shared" si="166"/>
        <v>1H22</v>
      </c>
      <c r="T147" s="113" t="str">
        <f t="shared" ca="1" si="167"/>
        <v/>
      </c>
      <c r="U147" s="113" t="str">
        <f t="shared" si="168"/>
        <v/>
      </c>
      <c r="V147" s="113" t="str">
        <f t="shared" si="169"/>
        <v>FY22</v>
      </c>
      <c r="W147" s="113" t="str">
        <f t="shared" ca="1" si="170"/>
        <v/>
      </c>
      <c r="X147" s="50"/>
      <c r="Y147" s="146">
        <v>1</v>
      </c>
      <c r="Z147" s="166">
        <v>3000000</v>
      </c>
      <c r="AA147" s="167">
        <f t="shared" ref="AA147:AA152" si="183">AVERAGEIFS($M:$M,$L:$L,"&gt;="&amp;Z$140,$L:$L,"&lt;="&amp;AB$140,$O:$O,"="&amp;Z147)*AB$145</f>
        <v>8737002.3856395539</v>
      </c>
      <c r="AB147" s="168"/>
      <c r="AC147" s="145">
        <v>9063600.0000000019</v>
      </c>
      <c r="AD147" s="168"/>
      <c r="AE147" s="167">
        <f t="shared" ref="AE147:AE152" si="184">COUNTIFS($L:$L,"&gt;="&amp;Z$140,$L:$L,"&lt;="&amp;AB$140,$O:$O,"="&amp;Z147)</f>
        <v>13</v>
      </c>
      <c r="AF147" s="167"/>
      <c r="AH147" s="153" t="s">
        <v>149</v>
      </c>
      <c r="AI147" s="169">
        <f>AB144</f>
        <v>0.10299999999999999</v>
      </c>
      <c r="AJ147" s="154"/>
      <c r="AK147" s="154"/>
      <c r="AL147" s="155">
        <f t="shared" si="171"/>
        <v>20</v>
      </c>
      <c r="AM147" s="154"/>
      <c r="AN147" s="154"/>
      <c r="AO147" s="156">
        <f t="shared" si="172"/>
        <v>20.868692473072119</v>
      </c>
      <c r="AR147" s="50"/>
      <c r="AS147" s="146">
        <v>1</v>
      </c>
      <c r="AT147" s="166">
        <v>3000000</v>
      </c>
      <c r="AU147" s="146">
        <f>AU90</f>
        <v>14122742.885888001</v>
      </c>
      <c r="AV147" s="168"/>
      <c r="AW147" s="167"/>
      <c r="AY147" s="153" t="s">
        <v>169</v>
      </c>
      <c r="AZ147" s="165">
        <f>AT144</f>
        <v>1.2</v>
      </c>
      <c r="BA147" s="154"/>
      <c r="BB147" s="155">
        <f t="shared" si="179"/>
        <v>20</v>
      </c>
      <c r="BC147" s="156">
        <f t="shared" si="180"/>
        <v>29.706800812416002</v>
      </c>
      <c r="BF147" s="50"/>
      <c r="BG147" s="146">
        <v>1</v>
      </c>
      <c r="BH147" s="166">
        <v>8000000</v>
      </c>
      <c r="BI147" s="167" t="e">
        <f t="shared" ref="BI147:BI152" si="185">AVERAGEIFS($M:$M,$L:$L,"&gt;="&amp;BH$140,$L:$L,"&lt;="&amp;BJ$140,$O:$O,"="&amp;BH147)*BJ$145</f>
        <v>#DIV/0!</v>
      </c>
      <c r="BJ147" s="168"/>
      <c r="BK147" s="168"/>
      <c r="BL147" s="168"/>
      <c r="BM147" s="167">
        <f t="shared" ref="BM147:BM152" si="186">COUNTIFS($L:$L,"&gt;="&amp;BH$140,$L:$L,"&lt;="&amp;BJ$140,$O:$O,"="&amp;BH147)</f>
        <v>0</v>
      </c>
      <c r="BO147" s="153" t="s">
        <v>149</v>
      </c>
      <c r="BP147" s="169">
        <f>BJ144</f>
        <v>0.10299999999999999</v>
      </c>
      <c r="BQ147" s="154"/>
      <c r="BR147" s="154"/>
      <c r="BS147" s="155">
        <f t="shared" si="173"/>
        <v>50</v>
      </c>
      <c r="BT147" s="154"/>
      <c r="BU147" s="154"/>
      <c r="BV147" s="156">
        <f t="shared" si="174"/>
        <v>43.907848205506397</v>
      </c>
      <c r="BY147" s="50"/>
      <c r="CO147" s="50"/>
      <c r="CP147" s="146">
        <v>2</v>
      </c>
      <c r="CQ147" s="166">
        <v>8000000</v>
      </c>
      <c r="CR147" s="168" t="e">
        <f t="shared" si="181"/>
        <v>#DIV/0!</v>
      </c>
      <c r="CS147" s="168"/>
      <c r="CV147" s="167">
        <f t="shared" si="182"/>
        <v>0</v>
      </c>
      <c r="CX147" s="153" t="s">
        <v>149</v>
      </c>
      <c r="CY147" s="169">
        <f>CS143</f>
        <v>0.10299999999999999</v>
      </c>
      <c r="CZ147" s="154"/>
      <c r="DA147" s="155">
        <f t="shared" si="175"/>
        <v>60</v>
      </c>
      <c r="DB147" s="156" t="e">
        <f t="shared" si="176"/>
        <v>#DIV/0!</v>
      </c>
      <c r="DE147" s="50"/>
      <c r="DF147" s="146">
        <v>2</v>
      </c>
      <c r="DG147" s="166">
        <v>8000000</v>
      </c>
      <c r="DH147" s="168" t="e">
        <f>AVERAGEIFS($M:$M,$L:$L,"&gt;="&amp;DG$139,$L:$L,"&lt;="&amp;DI$139,$O:$O,"="&amp;DG147)</f>
        <v>#DIV/0!</v>
      </c>
      <c r="DL147" s="167">
        <f>COUNTIFS($L:$L,"&gt;="&amp;DG$139,$L:$L,"&lt;="&amp;DI$139,$O:$O,"="&amp;DG147)</f>
        <v>0</v>
      </c>
      <c r="DN147" s="153" t="s">
        <v>149</v>
      </c>
      <c r="DO147" s="169">
        <f>DI143</f>
        <v>0.10299999999999999</v>
      </c>
      <c r="DP147" s="154"/>
      <c r="DQ147" s="154"/>
      <c r="DR147" s="155">
        <f t="shared" si="177"/>
        <v>60</v>
      </c>
      <c r="DS147" s="154"/>
      <c r="DT147" s="154"/>
      <c r="DU147" s="156" t="e">
        <f t="shared" si="178"/>
        <v>#DIV/0!</v>
      </c>
    </row>
    <row r="148" spans="10:125" x14ac:dyDescent="0.25">
      <c r="J148" s="86" t="str" cm="1">
        <f t="array" ref="J148">LOOKUP(2,1/($G$17:$G$33&lt;=$L148)/($H$17:$H$33&gt;=$L148),$F$17:$F$33)</f>
        <v>1H22</v>
      </c>
      <c r="K148" s="86" t="str" cm="1">
        <f t="array" ref="K148">LOOKUP(2,1/($G$6:$G$14&lt;=$L148)/($H$6:$H$14&gt;=$L148),$F$6:$F$14)</f>
        <v>FY22</v>
      </c>
      <c r="L148" s="118">
        <v>44467</v>
      </c>
      <c r="M148" s="49">
        <v>9819176.2536873184</v>
      </c>
      <c r="N148" s="49">
        <v>12996661.689380534</v>
      </c>
      <c r="O148" s="50">
        <v>2000000</v>
      </c>
      <c r="P148" s="119" cm="1">
        <f t="array" ref="P148">LOOKUP(2,1/($B$10:$B$14&lt;=$L148)/($C$10:$C$14&gt;=$L148),$D$10:$D$14)</f>
        <v>1.1000000000000001</v>
      </c>
      <c r="Q148" s="120" cm="1">
        <f t="array" ref="Q148">LOOKUP(2,1/($B$17:$B$21&lt;=$L148)/($C$17:$C$21&gt;=$L148),$D$17:$D$21)</f>
        <v>134.49039999999999</v>
      </c>
      <c r="R148" s="113" t="str">
        <f t="shared" si="165"/>
        <v/>
      </c>
      <c r="S148" s="113" t="str">
        <f t="shared" si="166"/>
        <v>1H22</v>
      </c>
      <c r="T148" s="113" t="str">
        <f t="shared" ca="1" si="167"/>
        <v/>
      </c>
      <c r="U148" s="113" t="str">
        <f t="shared" si="168"/>
        <v/>
      </c>
      <c r="V148" s="113" t="str">
        <f t="shared" si="169"/>
        <v>FY22</v>
      </c>
      <c r="W148" s="113" t="str">
        <f t="shared" ca="1" si="170"/>
        <v/>
      </c>
      <c r="X148" s="50"/>
      <c r="Y148" s="146">
        <v>2</v>
      </c>
      <c r="Z148" s="166">
        <v>5000000</v>
      </c>
      <c r="AA148" s="167">
        <f t="shared" si="183"/>
        <v>10671138.079706665</v>
      </c>
      <c r="AC148" s="145">
        <v>10401000</v>
      </c>
      <c r="AE148" s="167">
        <f t="shared" si="184"/>
        <v>12</v>
      </c>
      <c r="AF148" s="167"/>
      <c r="AH148" s="153" t="s">
        <v>172</v>
      </c>
      <c r="AI148" s="170">
        <f>Z145</f>
        <v>134.49039999999999</v>
      </c>
      <c r="AJ148" s="154"/>
      <c r="AK148" s="154"/>
      <c r="AL148" s="155">
        <f t="shared" si="171"/>
        <v>30</v>
      </c>
      <c r="AM148" s="154"/>
      <c r="AN148" s="154"/>
      <c r="AO148" s="156">
        <f t="shared" si="172"/>
        <v>26.15743537656104</v>
      </c>
      <c r="AR148" s="50"/>
      <c r="AS148" s="146">
        <v>2</v>
      </c>
      <c r="AT148" s="166">
        <v>8000000</v>
      </c>
      <c r="AU148" s="146">
        <f t="shared" ref="AU148:AU154" si="187">AU91</f>
        <v>18997084.701504003</v>
      </c>
      <c r="AW148" s="167"/>
      <c r="AY148" s="153" t="s">
        <v>149</v>
      </c>
      <c r="AZ148" s="169">
        <f>AV144</f>
        <v>0.10299999999999999</v>
      </c>
      <c r="BA148" s="154"/>
      <c r="BB148" s="155">
        <f t="shared" si="179"/>
        <v>40</v>
      </c>
      <c r="BC148" s="156">
        <f t="shared" si="180"/>
        <v>44.655295112064003</v>
      </c>
      <c r="BF148" s="50"/>
      <c r="BG148" s="146">
        <v>2</v>
      </c>
      <c r="BH148" s="166">
        <v>20000000</v>
      </c>
      <c r="BI148" s="167">
        <f t="shared" si="185"/>
        <v>21606190.062886965</v>
      </c>
      <c r="BM148" s="167">
        <f t="shared" si="186"/>
        <v>7</v>
      </c>
      <c r="BO148" s="153" t="s">
        <v>172</v>
      </c>
      <c r="BP148" s="170">
        <f>BH145</f>
        <v>134.49039999999999</v>
      </c>
      <c r="BQ148" s="154"/>
      <c r="BR148" s="154"/>
      <c r="BS148" s="155">
        <f t="shared" si="173"/>
        <v>100</v>
      </c>
      <c r="BT148" s="154"/>
      <c r="BU148" s="154"/>
      <c r="BV148" s="156" t="e">
        <f t="shared" si="174"/>
        <v>#DIV/0!</v>
      </c>
      <c r="BY148" s="50"/>
      <c r="CO148" s="50"/>
      <c r="CP148" s="146">
        <v>3</v>
      </c>
      <c r="CQ148" s="166">
        <v>20000000</v>
      </c>
      <c r="CR148" s="168">
        <f t="shared" si="181"/>
        <v>22336329.078738373</v>
      </c>
      <c r="CS148" s="168"/>
      <c r="CV148" s="167">
        <f t="shared" si="182"/>
        <v>7</v>
      </c>
      <c r="CX148" s="153" t="s">
        <v>172</v>
      </c>
      <c r="CY148" s="170">
        <f>CQ144</f>
        <v>134.49039999999999</v>
      </c>
      <c r="CZ148" s="154"/>
      <c r="DA148" s="155">
        <f t="shared" si="175"/>
        <v>80</v>
      </c>
      <c r="DB148" s="156" t="e">
        <f t="shared" si="176"/>
        <v>#DIV/0!</v>
      </c>
      <c r="DE148" s="50"/>
      <c r="DF148" s="146">
        <v>3</v>
      </c>
      <c r="DG148" s="166">
        <v>20000000</v>
      </c>
      <c r="DH148" s="168">
        <f>AVERAGEIFS($M:$M,$L:$L,"&gt;="&amp;DG$139,$L:$L,"&lt;="&amp;DI$139,$O:$O,"="&amp;DG148)</f>
        <v>24641486.356932156</v>
      </c>
      <c r="DL148" s="167">
        <f>COUNTIFS($L:$L,"&gt;="&amp;DG$139,$L:$L,"&lt;="&amp;DI$139,$O:$O,"="&amp;DG148)</f>
        <v>2</v>
      </c>
      <c r="DN148" s="153" t="s">
        <v>172</v>
      </c>
      <c r="DO148" s="170">
        <f>DG144</f>
        <v>134.49039999999999</v>
      </c>
      <c r="DP148" s="154"/>
      <c r="DQ148" s="154"/>
      <c r="DR148" s="155">
        <f t="shared" si="177"/>
        <v>80</v>
      </c>
      <c r="DS148" s="154"/>
      <c r="DT148" s="154"/>
      <c r="DU148" s="156">
        <f t="shared" si="178"/>
        <v>107.121</v>
      </c>
    </row>
    <row r="149" spans="10:125" x14ac:dyDescent="0.25">
      <c r="J149" s="86" t="str" cm="1">
        <f t="array" ref="J149">LOOKUP(2,1/($G$17:$G$33&lt;=$L149)/($H$17:$H$33&gt;=$L149),$F$17:$F$33)</f>
        <v>1H22</v>
      </c>
      <c r="K149" s="86" t="str" cm="1">
        <f t="array" ref="K149">LOOKUP(2,1/($G$6:$G$14&lt;=$L149)/($H$6:$H$14&gt;=$L149),$F$6:$F$14)</f>
        <v>FY22</v>
      </c>
      <c r="L149" s="118">
        <v>44460</v>
      </c>
      <c r="M149" s="49">
        <v>37092954.400196664</v>
      </c>
      <c r="N149" s="49">
        <v>49096234.444100298</v>
      </c>
      <c r="O149" s="50">
        <v>30000000</v>
      </c>
      <c r="P149" s="119" cm="1">
        <f t="array" ref="P149">LOOKUP(2,1/($B$10:$B$14&lt;=$L149)/($C$10:$C$14&gt;=$L149),$D$10:$D$14)</f>
        <v>1.1000000000000001</v>
      </c>
      <c r="Q149" s="120" cm="1">
        <f t="array" ref="Q149">LOOKUP(2,1/($B$17:$B$21&lt;=$L149)/($C$17:$C$21&gt;=$L149),$D$17:$D$21)</f>
        <v>134.49039999999999</v>
      </c>
      <c r="R149" s="113" t="str">
        <f t="shared" si="165"/>
        <v/>
      </c>
      <c r="S149" s="113" t="str">
        <f t="shared" si="166"/>
        <v>1H22</v>
      </c>
      <c r="T149" s="113" t="str">
        <f t="shared" ca="1" si="167"/>
        <v/>
      </c>
      <c r="U149" s="113" t="str">
        <f t="shared" si="168"/>
        <v/>
      </c>
      <c r="V149" s="113" t="str">
        <f t="shared" si="169"/>
        <v>FY22</v>
      </c>
      <c r="W149" s="113" t="str">
        <f t="shared" ca="1" si="170"/>
        <v/>
      </c>
      <c r="X149" s="50"/>
      <c r="Y149" s="146">
        <v>3</v>
      </c>
      <c r="Z149" s="166">
        <v>10000000</v>
      </c>
      <c r="AA149" s="167">
        <f t="shared" si="183"/>
        <v>13786939.647705136</v>
      </c>
      <c r="AC149" s="145">
        <v>13744499.999999998</v>
      </c>
      <c r="AE149" s="167">
        <f t="shared" si="184"/>
        <v>11</v>
      </c>
      <c r="AF149" s="167"/>
      <c r="AH149" s="171"/>
      <c r="AJ149" s="154"/>
      <c r="AK149" s="154"/>
      <c r="AL149" s="155">
        <f t="shared" si="171"/>
        <v>50</v>
      </c>
      <c r="AM149" s="154"/>
      <c r="AN149" s="154"/>
      <c r="AO149" s="156">
        <f t="shared" si="172"/>
        <v>41.464495575221243</v>
      </c>
      <c r="AR149" s="50"/>
      <c r="AS149" s="146">
        <v>3</v>
      </c>
      <c r="AT149" s="166">
        <v>12000000</v>
      </c>
      <c r="AU149" s="146">
        <f t="shared" si="187"/>
        <v>23954590.243584003</v>
      </c>
      <c r="AW149" s="167"/>
      <c r="AY149" s="153" t="s">
        <v>172</v>
      </c>
      <c r="AZ149" s="170">
        <f>AT145</f>
        <v>134.49039999999999</v>
      </c>
      <c r="BA149" s="154"/>
      <c r="BB149" s="155">
        <f t="shared" si="179"/>
        <v>60</v>
      </c>
      <c r="BC149" s="156">
        <f t="shared" si="180"/>
        <v>74.486643678720014</v>
      </c>
      <c r="BF149" s="50"/>
      <c r="BG149" s="146">
        <v>3</v>
      </c>
      <c r="BH149" s="166">
        <v>30000000</v>
      </c>
      <c r="BI149" s="167">
        <f t="shared" si="185"/>
        <v>29502335.228991762</v>
      </c>
      <c r="BM149" s="167">
        <f t="shared" si="186"/>
        <v>4</v>
      </c>
      <c r="BO149" s="171"/>
      <c r="BQ149" s="154"/>
      <c r="BR149" s="154"/>
      <c r="BS149" s="155">
        <f t="shared" si="173"/>
        <v>160</v>
      </c>
      <c r="BT149" s="154"/>
      <c r="BU149" s="154"/>
      <c r="BV149" s="156" t="e">
        <f t="shared" si="174"/>
        <v>#DIV/0!</v>
      </c>
      <c r="BY149" s="50"/>
      <c r="CO149" s="50"/>
      <c r="CP149" s="146">
        <v>4</v>
      </c>
      <c r="CQ149" s="166">
        <v>40000000</v>
      </c>
      <c r="CR149" s="168" t="e">
        <f t="shared" si="181"/>
        <v>#DIV/0!</v>
      </c>
      <c r="CS149" s="168"/>
      <c r="CV149" s="167">
        <f t="shared" si="182"/>
        <v>0</v>
      </c>
      <c r="CX149" s="172"/>
      <c r="CY149" s="2"/>
      <c r="CZ149" s="154"/>
      <c r="DA149" s="155">
        <f t="shared" si="175"/>
        <v>120</v>
      </c>
      <c r="DB149" s="156" t="e">
        <f t="shared" si="176"/>
        <v>#DIV/0!</v>
      </c>
      <c r="DE149" s="50"/>
      <c r="DF149" s="146">
        <v>4</v>
      </c>
      <c r="DG149" s="166">
        <v>40000000</v>
      </c>
      <c r="DH149" s="168" t="e">
        <f>AVERAGEIFS($M:$M,$L:$L,"&gt;="&amp;DG$139,$L:$L,"&lt;="&amp;DI$139,$O:$O,"="&amp;DG149)</f>
        <v>#DIV/0!</v>
      </c>
      <c r="DL149" s="167">
        <f>COUNTIFS($L:$L,"&gt;="&amp;DG$139,$L:$L,"&lt;="&amp;DI$139,$O:$O,"="&amp;DG149)</f>
        <v>0</v>
      </c>
      <c r="DN149" s="172"/>
      <c r="DO149" s="2"/>
      <c r="DP149" s="154"/>
      <c r="DQ149" s="154"/>
      <c r="DR149" s="155">
        <f t="shared" si="177"/>
        <v>100</v>
      </c>
      <c r="DS149" s="154"/>
      <c r="DT149" s="154"/>
      <c r="DU149" s="156">
        <f t="shared" si="178"/>
        <v>162.44874999999999</v>
      </c>
    </row>
    <row r="150" spans="10:125" x14ac:dyDescent="0.25">
      <c r="J150" s="86" t="str" cm="1">
        <f t="array" ref="J150">LOOKUP(2,1/($G$17:$G$33&lt;=$L150)/($H$17:$H$33&gt;=$L150),$F$17:$F$33)</f>
        <v>1H22</v>
      </c>
      <c r="K150" s="86" t="str" cm="1">
        <f t="array" ref="K150">LOOKUP(2,1/($G$6:$G$14&lt;=$L150)/($H$6:$H$14&gt;=$L150),$F$6:$F$14)</f>
        <v>FY22</v>
      </c>
      <c r="L150" s="118">
        <v>44453</v>
      </c>
      <c r="M150" s="49">
        <v>26493046.091445435</v>
      </c>
      <c r="N150" s="49">
        <v>35066195.806637175</v>
      </c>
      <c r="O150" s="50">
        <v>20000000</v>
      </c>
      <c r="P150" s="119" cm="1">
        <f t="array" ref="P150">LOOKUP(2,1/($B$10:$B$14&lt;=$L150)/($C$10:$C$14&gt;=$L150),$D$10:$D$14)</f>
        <v>1.1000000000000001</v>
      </c>
      <c r="Q150" s="120" cm="1">
        <f t="array" ref="Q150">LOOKUP(2,1/($B$17:$B$21&lt;=$L150)/($C$17:$C$21&gt;=$L150),$D$17:$D$21)</f>
        <v>134.49039999999999</v>
      </c>
      <c r="R150" s="113" t="str">
        <f t="shared" si="165"/>
        <v/>
      </c>
      <c r="S150" s="113" t="str">
        <f t="shared" si="166"/>
        <v>1H22</v>
      </c>
      <c r="T150" s="113" t="str">
        <f t="shared" ca="1" si="167"/>
        <v/>
      </c>
      <c r="U150" s="113" t="str">
        <f t="shared" si="168"/>
        <v/>
      </c>
      <c r="V150" s="113" t="str">
        <f t="shared" si="169"/>
        <v>FY22</v>
      </c>
      <c r="W150" s="113" t="str">
        <f t="shared" ca="1" si="170"/>
        <v/>
      </c>
      <c r="X150" s="50"/>
      <c r="Y150" s="146">
        <v>4</v>
      </c>
      <c r="Z150" s="166">
        <v>20000000</v>
      </c>
      <c r="AA150" s="167">
        <f t="shared" si="183"/>
        <v>20868692.473072119</v>
      </c>
      <c r="AC150" s="145">
        <v>20431500</v>
      </c>
      <c r="AE150" s="167">
        <f t="shared" si="184"/>
        <v>10</v>
      </c>
      <c r="AF150" s="167"/>
      <c r="AH150" s="153" t="s">
        <v>91</v>
      </c>
      <c r="AI150" s="155">
        <f>Z143/1000000</f>
        <v>30</v>
      </c>
      <c r="AJ150" s="154"/>
      <c r="AK150" s="154"/>
      <c r="AL150" s="155">
        <f t="shared" si="171"/>
        <v>70</v>
      </c>
      <c r="AM150" s="154"/>
      <c r="AN150" s="154"/>
      <c r="AO150" s="156">
        <f t="shared" si="172"/>
        <v>53.866499999999995</v>
      </c>
      <c r="AR150" s="50"/>
      <c r="AS150" s="146">
        <v>4</v>
      </c>
      <c r="AT150" s="166">
        <v>20000000</v>
      </c>
      <c r="AU150" s="146">
        <f t="shared" si="187"/>
        <v>29706800.812416002</v>
      </c>
      <c r="AW150" s="167"/>
      <c r="AY150" s="172"/>
      <c r="AZ150" s="2"/>
      <c r="BA150" s="154"/>
      <c r="BB150" s="155">
        <f t="shared" si="179"/>
        <v>80</v>
      </c>
      <c r="BC150" s="156">
        <f t="shared" si="180"/>
        <v>107.54796019968002</v>
      </c>
      <c r="BF150" s="50"/>
      <c r="BG150" s="146">
        <v>4</v>
      </c>
      <c r="BH150" s="166">
        <v>50000000</v>
      </c>
      <c r="BI150" s="167">
        <f t="shared" si="185"/>
        <v>43907848.205506399</v>
      </c>
      <c r="BM150" s="167">
        <f t="shared" si="186"/>
        <v>2</v>
      </c>
      <c r="BO150" s="153" t="s">
        <v>91</v>
      </c>
      <c r="BP150" s="155">
        <f>BH143/1000000</f>
        <v>30</v>
      </c>
      <c r="BQ150" s="154"/>
      <c r="BR150" s="154"/>
      <c r="BS150" s="155">
        <f t="shared" si="173"/>
        <v>200</v>
      </c>
      <c r="BT150" s="154"/>
      <c r="BU150" s="154"/>
      <c r="BV150" s="156">
        <f t="shared" si="174"/>
        <v>346.96199999999999</v>
      </c>
      <c r="BY150" s="50"/>
      <c r="CO150" s="50"/>
      <c r="CP150" s="146">
        <v>5</v>
      </c>
      <c r="CQ150" s="166">
        <v>60000000</v>
      </c>
      <c r="CR150" s="168" t="e">
        <f t="shared" si="181"/>
        <v>#DIV/0!</v>
      </c>
      <c r="CS150" s="168"/>
      <c r="CT150" s="145">
        <v>94830000</v>
      </c>
      <c r="CU150" s="145">
        <v>86029000</v>
      </c>
      <c r="CV150" s="167">
        <f t="shared" si="182"/>
        <v>0</v>
      </c>
      <c r="CX150" s="172" t="s">
        <v>147</v>
      </c>
      <c r="CY150" s="174">
        <f>CQ139</f>
        <v>44378</v>
      </c>
      <c r="CZ150" s="154"/>
      <c r="DA150" s="155">
        <f t="shared" si="175"/>
        <v>160</v>
      </c>
      <c r="DB150" s="156">
        <f t="shared" si="176"/>
        <v>291.38749999999999</v>
      </c>
      <c r="DE150" s="50"/>
      <c r="DF150" s="146">
        <v>5</v>
      </c>
      <c r="DG150" s="166">
        <v>60000000</v>
      </c>
      <c r="DH150" s="168" t="e">
        <f>AVERAGEIFS($M:$M,$L:$L,"&gt;="&amp;DG$139,$L:$L,"&lt;="&amp;DI$139,$O:$O,"="&amp;DG150)</f>
        <v>#DIV/0!</v>
      </c>
      <c r="DJ150" s="145">
        <v>84283000</v>
      </c>
      <c r="DK150" s="145">
        <v>84583000</v>
      </c>
      <c r="DL150" s="167">
        <f>COUNTIFS($L:$L,"&gt;="&amp;DG$139,$L:$L,"&lt;="&amp;DI$139,$O:$O,"="&amp;DG150)</f>
        <v>0</v>
      </c>
      <c r="DN150" s="172" t="s">
        <v>147</v>
      </c>
      <c r="DO150" s="174">
        <f>DG139</f>
        <v>44013</v>
      </c>
      <c r="DP150" s="154"/>
      <c r="DQ150" s="154"/>
      <c r="DR150" s="155">
        <f t="shared" si="177"/>
        <v>120</v>
      </c>
      <c r="DS150" s="154"/>
      <c r="DT150" s="154"/>
      <c r="DU150" s="156">
        <f t="shared" si="178"/>
        <v>190.99625</v>
      </c>
    </row>
    <row r="151" spans="10:125" x14ac:dyDescent="0.25">
      <c r="J151" s="86" t="str" cm="1">
        <f t="array" ref="J151">LOOKUP(2,1/($G$17:$G$33&lt;=$L151)/($H$17:$H$33&gt;=$L151),$F$17:$F$33)</f>
        <v>1H22</v>
      </c>
      <c r="K151" s="86" t="str" cm="1">
        <f t="array" ref="K151">LOOKUP(2,1/($G$6:$G$14&lt;=$L151)/($H$6:$H$14&gt;=$L151),$F$6:$F$14)</f>
        <v>FY22</v>
      </c>
      <c r="L151" s="118">
        <v>44446</v>
      </c>
      <c r="M151" s="49">
        <v>18400582.841691252</v>
      </c>
      <c r="N151" s="49">
        <v>24355011.449262537</v>
      </c>
      <c r="O151" s="50">
        <v>10000000</v>
      </c>
      <c r="P151" s="119" cm="1">
        <f t="array" ref="P151">LOOKUP(2,1/($B$10:$B$14&lt;=$L151)/($C$10:$C$14&gt;=$L151),$D$10:$D$14)</f>
        <v>1.1000000000000001</v>
      </c>
      <c r="Q151" s="120" cm="1">
        <f t="array" ref="Q151">LOOKUP(2,1/($B$17:$B$21&lt;=$L151)/($C$17:$C$21&gt;=$L151),$D$17:$D$21)</f>
        <v>134.49039999999999</v>
      </c>
      <c r="R151" s="113" t="str">
        <f t="shared" si="165"/>
        <v/>
      </c>
      <c r="S151" s="113" t="str">
        <f t="shared" si="166"/>
        <v>1H22</v>
      </c>
      <c r="T151" s="113" t="str">
        <f t="shared" ca="1" si="167"/>
        <v/>
      </c>
      <c r="U151" s="113" t="str">
        <f t="shared" si="168"/>
        <v/>
      </c>
      <c r="V151" s="113" t="str">
        <f t="shared" si="169"/>
        <v>FY22</v>
      </c>
      <c r="W151" s="113" t="str">
        <f t="shared" ca="1" si="170"/>
        <v/>
      </c>
      <c r="X151" s="50"/>
      <c r="Y151" s="146">
        <v>5</v>
      </c>
      <c r="Z151" s="166">
        <v>30000000</v>
      </c>
      <c r="AA151" s="167">
        <f t="shared" si="183"/>
        <v>26157435.376561038</v>
      </c>
      <c r="AC151" s="145">
        <v>27118500</v>
      </c>
      <c r="AD151" s="145"/>
      <c r="AE151" s="167">
        <f t="shared" si="184"/>
        <v>5</v>
      </c>
      <c r="AF151" s="167"/>
      <c r="AH151" s="172" t="s">
        <v>147</v>
      </c>
      <c r="AI151" s="174">
        <f>Z140</f>
        <v>44743</v>
      </c>
      <c r="AJ151" s="154"/>
      <c r="AK151" s="154"/>
      <c r="AL151" s="155">
        <f t="shared" si="171"/>
        <v>100</v>
      </c>
      <c r="AM151" s="154"/>
      <c r="AN151" s="154"/>
      <c r="AO151" s="156">
        <f t="shared" si="172"/>
        <v>96.10575</v>
      </c>
      <c r="AR151" s="50"/>
      <c r="AS151" s="146">
        <v>5</v>
      </c>
      <c r="AT151" s="166">
        <v>40000000</v>
      </c>
      <c r="AU151" s="146">
        <f t="shared" si="187"/>
        <v>44655295.112064004</v>
      </c>
      <c r="AW151" s="167"/>
      <c r="AY151" s="172" t="s">
        <v>147</v>
      </c>
      <c r="AZ151" s="174" t="str">
        <f>AT140</f>
        <v>EST</v>
      </c>
      <c r="BA151" s="154"/>
      <c r="BB151" s="155">
        <f t="shared" si="179"/>
        <v>100</v>
      </c>
      <c r="BC151" s="156">
        <f t="shared" si="180"/>
        <v>182.73015790848001</v>
      </c>
      <c r="BF151" s="50"/>
      <c r="BG151" s="146">
        <v>5</v>
      </c>
      <c r="BH151" s="166">
        <v>100000000</v>
      </c>
      <c r="BI151" s="167" t="e">
        <f t="shared" si="185"/>
        <v>#DIV/0!</v>
      </c>
      <c r="BK151" s="145">
        <v>131990000.00000001</v>
      </c>
      <c r="BL151" s="145">
        <v>141620000</v>
      </c>
      <c r="BM151" s="167">
        <f t="shared" si="186"/>
        <v>0</v>
      </c>
      <c r="BO151" s="171"/>
      <c r="BQ151" s="154"/>
      <c r="BR151" s="154"/>
      <c r="BS151" s="155">
        <f t="shared" si="173"/>
        <v>250</v>
      </c>
      <c r="BT151" s="154"/>
      <c r="BU151" s="154"/>
      <c r="BV151" s="156">
        <f t="shared" si="174"/>
        <v>428.05</v>
      </c>
      <c r="BY151" s="50"/>
      <c r="CO151" s="50"/>
      <c r="CP151" s="146">
        <v>6</v>
      </c>
      <c r="CQ151" s="166">
        <v>80000000</v>
      </c>
      <c r="CR151" s="168" t="e">
        <f t="shared" si="181"/>
        <v>#DIV/0!</v>
      </c>
      <c r="CS151" s="168"/>
      <c r="CT151" s="145">
        <v>122485999.99999999</v>
      </c>
      <c r="CU151" s="145">
        <v>126083000</v>
      </c>
      <c r="CV151" s="167">
        <f t="shared" si="182"/>
        <v>0</v>
      </c>
      <c r="CX151" s="172" t="s">
        <v>148</v>
      </c>
      <c r="CY151" s="174">
        <f>CS139</f>
        <v>44742</v>
      </c>
      <c r="CZ151" s="154"/>
      <c r="DA151" s="155">
        <f t="shared" si="175"/>
        <v>200</v>
      </c>
      <c r="DB151" s="156">
        <f t="shared" si="176"/>
        <v>360.52749999999997</v>
      </c>
      <c r="DE151" s="50"/>
      <c r="DF151" s="146">
        <v>6</v>
      </c>
      <c r="DG151" s="145">
        <v>80000000</v>
      </c>
      <c r="DH151" s="145"/>
      <c r="DI151" s="173">
        <f>IF($DG151&gt;=100000000,$DJ$141*DJ$144*DJ151+$DK$141*DK$144*DK151,DJ$144*DJ151+DK$144*DK151)</f>
        <v>107121000</v>
      </c>
      <c r="DJ151" s="145">
        <v>107121000</v>
      </c>
      <c r="DK151" s="145">
        <v>110883000</v>
      </c>
      <c r="DL151" s="167"/>
      <c r="DN151" s="172" t="s">
        <v>148</v>
      </c>
      <c r="DO151" s="174">
        <f>DI139</f>
        <v>44196</v>
      </c>
      <c r="DP151" s="154"/>
      <c r="DQ151" s="154"/>
      <c r="DR151" s="155">
        <f t="shared" si="177"/>
        <v>160</v>
      </c>
      <c r="DS151" s="154"/>
      <c r="DT151" s="154"/>
      <c r="DU151" s="156">
        <f t="shared" si="178"/>
        <v>248.09124999999997</v>
      </c>
    </row>
    <row r="152" spans="10:125" x14ac:dyDescent="0.25">
      <c r="J152" s="86" t="str" cm="1">
        <f t="array" ref="J152">LOOKUP(2,1/($G$17:$G$33&lt;=$L152)/($H$17:$H$33&gt;=$L152),$F$17:$F$33)</f>
        <v>1H22</v>
      </c>
      <c r="K152" s="86" t="str" cm="1">
        <f t="array" ref="K152">LOOKUP(2,1/($G$6:$G$14&lt;=$L152)/($H$6:$H$14&gt;=$L152),$F$6:$F$14)</f>
        <v>FY22</v>
      </c>
      <c r="L152" s="118">
        <v>44439</v>
      </c>
      <c r="M152" s="49">
        <v>11312176.007866276</v>
      </c>
      <c r="N152" s="49">
        <v>14972796.164011803</v>
      </c>
      <c r="O152" s="50">
        <v>5000000</v>
      </c>
      <c r="P152" s="119" cm="1">
        <f t="array" ref="P152">LOOKUP(2,1/($B$10:$B$14&lt;=$L152)/($C$10:$C$14&gt;=$L152),$D$10:$D$14)</f>
        <v>1.1000000000000001</v>
      </c>
      <c r="Q152" s="120" cm="1">
        <f t="array" ref="Q152">LOOKUP(2,1/($B$17:$B$21&lt;=$L152)/($C$17:$C$21&gt;=$L152),$D$17:$D$21)</f>
        <v>134.49039999999999</v>
      </c>
      <c r="R152" s="113" t="str">
        <f t="shared" si="165"/>
        <v/>
      </c>
      <c r="S152" s="113" t="str">
        <f t="shared" si="166"/>
        <v>1H22</v>
      </c>
      <c r="T152" s="113" t="str">
        <f t="shared" ca="1" si="167"/>
        <v/>
      </c>
      <c r="U152" s="113" t="str">
        <f t="shared" si="168"/>
        <v/>
      </c>
      <c r="V152" s="113" t="str">
        <f t="shared" si="169"/>
        <v>FY22</v>
      </c>
      <c r="W152" s="113" t="str">
        <f t="shared" ca="1" si="170"/>
        <v/>
      </c>
      <c r="X152" s="50"/>
      <c r="Y152" s="146">
        <v>6</v>
      </c>
      <c r="Z152" s="166">
        <v>50000000</v>
      </c>
      <c r="AA152" s="167">
        <f t="shared" si="183"/>
        <v>41464495.575221241</v>
      </c>
      <c r="AC152" s="145">
        <v>40492499.999999993</v>
      </c>
      <c r="AD152" s="145"/>
      <c r="AE152" s="167">
        <f t="shared" si="184"/>
        <v>1</v>
      </c>
      <c r="AF152" s="167"/>
      <c r="AH152" s="172" t="s">
        <v>148</v>
      </c>
      <c r="AI152" s="174">
        <f>AB140</f>
        <v>45107</v>
      </c>
      <c r="AJ152" s="154"/>
      <c r="AK152" s="154"/>
      <c r="AL152" s="155">
        <f t="shared" si="171"/>
        <v>150</v>
      </c>
      <c r="AM152" s="154"/>
      <c r="AN152" s="154"/>
      <c r="AO152" s="156">
        <f t="shared" si="172"/>
        <v>139.57124999999999</v>
      </c>
      <c r="AR152" s="50"/>
      <c r="AS152" s="146">
        <v>6</v>
      </c>
      <c r="AT152" s="166">
        <v>60000000</v>
      </c>
      <c r="AU152" s="146">
        <f t="shared" si="187"/>
        <v>74486643.678720012</v>
      </c>
      <c r="AW152" s="167"/>
      <c r="AY152" s="172" t="s">
        <v>148</v>
      </c>
      <c r="AZ152" s="174" t="str">
        <f>AV140</f>
        <v>EST</v>
      </c>
      <c r="BA152" s="154"/>
      <c r="BB152" s="155">
        <f t="shared" si="179"/>
        <v>150</v>
      </c>
      <c r="BC152" s="156">
        <f t="shared" si="180"/>
        <v>233.86363636363637</v>
      </c>
      <c r="BF152" s="50"/>
      <c r="BG152" s="146">
        <v>6</v>
      </c>
      <c r="BH152" s="166">
        <v>160000000</v>
      </c>
      <c r="BI152" s="167" t="e">
        <f t="shared" si="185"/>
        <v>#DIV/0!</v>
      </c>
      <c r="BK152" s="145">
        <v>201494000.00000003</v>
      </c>
      <c r="BL152" s="145">
        <v>244478000</v>
      </c>
      <c r="BM152" s="167">
        <f t="shared" si="186"/>
        <v>0</v>
      </c>
      <c r="BO152" s="172" t="s">
        <v>147</v>
      </c>
      <c r="BP152" s="174">
        <f>BH140</f>
        <v>44524</v>
      </c>
      <c r="BQ152" s="154"/>
      <c r="BR152" s="154"/>
      <c r="BS152" s="155">
        <f t="shared" si="173"/>
        <v>300</v>
      </c>
      <c r="BT152" s="154"/>
      <c r="BU152" s="154"/>
      <c r="BV152" s="156">
        <f t="shared" si="174"/>
        <v>509.13799999999992</v>
      </c>
      <c r="BY152" s="50"/>
      <c r="CO152" s="50"/>
      <c r="CP152" s="146">
        <v>7</v>
      </c>
      <c r="CQ152" s="166">
        <v>120000000</v>
      </c>
      <c r="CR152" s="168" t="e">
        <f t="shared" si="181"/>
        <v>#DIV/0!</v>
      </c>
      <c r="CS152" s="168"/>
      <c r="CT152" s="145">
        <v>177798000</v>
      </c>
      <c r="CU152" s="145">
        <v>234751000</v>
      </c>
      <c r="CV152" s="167">
        <f t="shared" si="182"/>
        <v>0</v>
      </c>
      <c r="CX152" s="172" t="s">
        <v>173</v>
      </c>
      <c r="CY152" s="177">
        <f>CS144</f>
        <v>0.22641509433962265</v>
      </c>
      <c r="CZ152" s="154"/>
      <c r="DA152" s="155">
        <f t="shared" si="175"/>
        <v>250</v>
      </c>
      <c r="DB152" s="156">
        <f t="shared" si="176"/>
        <v>446.95249999999999</v>
      </c>
      <c r="DE152" s="50"/>
      <c r="DF152" s="146">
        <v>7</v>
      </c>
      <c r="DG152" s="145">
        <v>100000000</v>
      </c>
      <c r="DH152" s="145"/>
      <c r="DI152" s="173">
        <f>IF($DG152&gt;=100000000,$DJ$141*DJ$144*DJ152+$DK$141*DK$144*DK152,DJ$144*DJ152+DK$144*DK152)</f>
        <v>162448750</v>
      </c>
      <c r="DJ152" s="145">
        <v>129959000</v>
      </c>
      <c r="DK152" s="145">
        <v>139102999.99999997</v>
      </c>
      <c r="DL152" s="167"/>
      <c r="DN152" s="172" t="s">
        <v>173</v>
      </c>
      <c r="DO152" s="177">
        <f>DI144</f>
        <v>1</v>
      </c>
      <c r="DP152" s="154"/>
      <c r="DQ152" s="154"/>
      <c r="DR152" s="155">
        <f t="shared" si="177"/>
        <v>200</v>
      </c>
      <c r="DS152" s="154"/>
      <c r="DT152" s="154"/>
      <c r="DU152" s="156">
        <f t="shared" si="178"/>
        <v>305.18624999999997</v>
      </c>
    </row>
    <row r="153" spans="10:125" x14ac:dyDescent="0.25">
      <c r="J153" s="86" t="str" cm="1">
        <f t="array" ref="J153">LOOKUP(2,1/($G$17:$G$33&lt;=$L153)/($H$17:$H$33&gt;=$L153),$F$17:$F$33)</f>
        <v>1H22</v>
      </c>
      <c r="K153" s="86" t="str" cm="1">
        <f t="array" ref="K153">LOOKUP(2,1/($G$6:$G$14&lt;=$L153)/($H$6:$H$14&gt;=$L153),$F$6:$F$14)</f>
        <v>FY22</v>
      </c>
      <c r="L153" s="118">
        <v>44432</v>
      </c>
      <c r="M153" s="49">
        <v>9724531.5880039353</v>
      </c>
      <c r="N153" s="49">
        <v>12871390.009882007</v>
      </c>
      <c r="O153" s="50">
        <v>2000000</v>
      </c>
      <c r="P153" s="119" cm="1">
        <f t="array" ref="P153">LOOKUP(2,1/($B$10:$B$14&lt;=$L153)/($C$10:$C$14&gt;=$L153),$D$10:$D$14)</f>
        <v>1.1000000000000001</v>
      </c>
      <c r="Q153" s="120" cm="1">
        <f t="array" ref="Q153">LOOKUP(2,1/($B$17:$B$21&lt;=$L153)/($C$17:$C$21&gt;=$L153),$D$17:$D$21)</f>
        <v>134.49039999999999</v>
      </c>
      <c r="R153" s="113" t="str">
        <f t="shared" si="165"/>
        <v/>
      </c>
      <c r="S153" s="113" t="str">
        <f t="shared" si="166"/>
        <v>1H22</v>
      </c>
      <c r="T153" s="113" t="str">
        <f t="shared" ca="1" si="167"/>
        <v/>
      </c>
      <c r="U153" s="113" t="str">
        <f t="shared" si="168"/>
        <v/>
      </c>
      <c r="V153" s="113" t="str">
        <f t="shared" si="169"/>
        <v>FY22</v>
      </c>
      <c r="W153" s="113" t="str">
        <f t="shared" ca="1" si="170"/>
        <v/>
      </c>
      <c r="X153" s="50"/>
      <c r="Y153" s="146">
        <v>7</v>
      </c>
      <c r="Z153" s="145">
        <v>70000000</v>
      </c>
      <c r="AA153" s="145"/>
      <c r="AB153" s="173">
        <f>IF($Z153&gt;=100000000,$AC$142*AC$145*AC153+$AD$142*AD$145*AD153,AC$145*AC153+AD$145*AD153)*AB$145</f>
        <v>53866499.999999993</v>
      </c>
      <c r="AC153" s="145">
        <v>53866499.999999993</v>
      </c>
      <c r="AD153" s="145"/>
      <c r="AE153" s="167"/>
      <c r="AF153" s="167"/>
      <c r="AH153" s="172" t="s">
        <v>0</v>
      </c>
      <c r="AI153" s="175">
        <f>AB145</f>
        <v>1</v>
      </c>
      <c r="AJ153" s="154"/>
      <c r="AK153" s="154"/>
      <c r="AL153" s="155">
        <f t="shared" si="171"/>
        <v>200</v>
      </c>
      <c r="AM153" s="154"/>
      <c r="AN153" s="154"/>
      <c r="AO153" s="156">
        <f t="shared" si="172"/>
        <v>183.03675000000001</v>
      </c>
      <c r="AR153" s="50"/>
      <c r="AS153" s="146">
        <v>7</v>
      </c>
      <c r="AT153" s="166">
        <v>80000000</v>
      </c>
      <c r="AU153" s="146">
        <f t="shared" si="187"/>
        <v>107547960.19968002</v>
      </c>
      <c r="AV153" s="168"/>
      <c r="AW153" s="168"/>
      <c r="AY153" s="176"/>
      <c r="AZ153" s="85"/>
      <c r="BA153" s="154"/>
      <c r="BB153" s="155">
        <f t="shared" si="179"/>
        <v>200</v>
      </c>
      <c r="BC153" s="156">
        <f>MAX(AU156:AV156)/1000000</f>
        <v>300.68181818181819</v>
      </c>
      <c r="BF153" s="50"/>
      <c r="BG153" s="146">
        <v>7</v>
      </c>
      <c r="BH153" s="145">
        <v>200000000</v>
      </c>
      <c r="BI153" s="145"/>
      <c r="BJ153" s="173">
        <f>IF($BH153&gt;=100000000,$BK$142*BK$145*BK153+$BL$142*BL$145*BL153,BK$145*BK153+BL$145*BL153)</f>
        <v>346962000</v>
      </c>
      <c r="BK153" s="145">
        <v>247830000</v>
      </c>
      <c r="BL153" s="145">
        <v>325050000</v>
      </c>
      <c r="BM153" s="146"/>
      <c r="BO153" s="172" t="s">
        <v>148</v>
      </c>
      <c r="BP153" s="174">
        <f>BJ140</f>
        <v>44889</v>
      </c>
      <c r="BQ153" s="154"/>
      <c r="BR153" s="154"/>
      <c r="BS153" s="155">
        <f t="shared" si="173"/>
        <v>350</v>
      </c>
      <c r="BT153" s="154"/>
      <c r="BU153" s="154"/>
      <c r="BV153" s="156">
        <f t="shared" si="174"/>
        <v>590.226</v>
      </c>
      <c r="BY153" s="50"/>
      <c r="CO153" s="50"/>
      <c r="CP153" s="146">
        <v>8</v>
      </c>
      <c r="CQ153" s="145">
        <v>160000000</v>
      </c>
      <c r="CR153" s="145"/>
      <c r="CS153" s="173">
        <f>IF($CQ153&gt;=100000000,$CT$122*CT$125*CT153+$CU$122*CU$125*CU153,CT$125*CT153+CU$125*CU153)</f>
        <v>291387500</v>
      </c>
      <c r="CT153" s="145">
        <v>233110000</v>
      </c>
      <c r="CU153" s="145">
        <v>381499000.00000006</v>
      </c>
      <c r="CV153" s="146"/>
      <c r="CX153" s="176"/>
      <c r="CY153" s="32"/>
      <c r="CZ153" s="32"/>
      <c r="DA153" s="32"/>
      <c r="DB153" s="183"/>
      <c r="DE153" s="50"/>
      <c r="DF153" s="146">
        <v>8</v>
      </c>
      <c r="DG153" s="145">
        <v>120000000</v>
      </c>
      <c r="DH153" s="145"/>
      <c r="DI153" s="173">
        <f>IF($DG153&gt;=100000000,$DJ$141*DJ$144*DJ153+$DK$141*DK$144*DK153,DJ$144*DJ153+DK$144*DK153)</f>
        <v>190996250</v>
      </c>
      <c r="DJ153" s="145">
        <v>152797000</v>
      </c>
      <c r="DK153" s="145">
        <v>169243000</v>
      </c>
      <c r="DL153" s="146"/>
      <c r="DN153" s="176"/>
      <c r="DO153" s="32"/>
      <c r="DP153" s="32"/>
      <c r="DQ153" s="32"/>
      <c r="DR153" s="32"/>
      <c r="DS153" s="32"/>
      <c r="DT153" s="32"/>
      <c r="DU153" s="183"/>
    </row>
    <row r="154" spans="10:125" x14ac:dyDescent="0.25">
      <c r="J154" s="86" t="str" cm="1">
        <f t="array" ref="J154">LOOKUP(2,1/($G$17:$G$33&lt;=$L154)/($H$17:$H$33&gt;=$L154),$F$17:$F$33)</f>
        <v>1H22</v>
      </c>
      <c r="K154" s="86" t="str" cm="1">
        <f t="array" ref="K154">LOOKUP(2,1/($G$6:$G$14&lt;=$L154)/($H$6:$H$14&gt;=$L154),$F$6:$F$14)</f>
        <v>FY22</v>
      </c>
      <c r="L154" s="118">
        <v>44425</v>
      </c>
      <c r="M154" s="49">
        <v>21044769.665683389</v>
      </c>
      <c r="N154" s="49">
        <v>27854857.12949853</v>
      </c>
      <c r="O154" s="50">
        <v>10000000</v>
      </c>
      <c r="P154" s="119" cm="1">
        <f t="array" ref="P154">LOOKUP(2,1/($B$10:$B$14&lt;=$L154)/($C$10:$C$14&gt;=$L154),$D$10:$D$14)</f>
        <v>1.1000000000000001</v>
      </c>
      <c r="Q154" s="120" cm="1">
        <f t="array" ref="Q154">LOOKUP(2,1/($B$17:$B$21&lt;=$L154)/($C$17:$C$21&gt;=$L154),$D$17:$D$21)</f>
        <v>134.49039999999999</v>
      </c>
      <c r="R154" s="113" t="str">
        <f t="shared" si="165"/>
        <v/>
      </c>
      <c r="S154" s="113" t="str">
        <f t="shared" si="166"/>
        <v>1H22</v>
      </c>
      <c r="T154" s="113" t="str">
        <f t="shared" ca="1" si="167"/>
        <v/>
      </c>
      <c r="U154" s="113" t="str">
        <f t="shared" si="168"/>
        <v/>
      </c>
      <c r="V154" s="113" t="str">
        <f t="shared" si="169"/>
        <v>FY22</v>
      </c>
      <c r="W154" s="113" t="str">
        <f t="shared" ca="1" si="170"/>
        <v/>
      </c>
      <c r="X154" s="50"/>
      <c r="Y154" s="146">
        <v>8</v>
      </c>
      <c r="Z154" s="145">
        <v>100000000</v>
      </c>
      <c r="AA154" s="145"/>
      <c r="AB154" s="173">
        <f>IF($Z154&gt;=100000000,$AC$142*AC$145*AC154+$AD$142*AD$145*AD154,AC$145*AC154+AD$145*AD154)*AB$145</f>
        <v>96105750</v>
      </c>
      <c r="AC154" s="145">
        <v>73927500</v>
      </c>
      <c r="AD154" s="145"/>
      <c r="AE154" s="146"/>
      <c r="AF154" s="146"/>
      <c r="AH154" s="179" t="s">
        <v>162</v>
      </c>
      <c r="AI154" s="180">
        <f>AC142</f>
        <v>1.3</v>
      </c>
      <c r="AJ154" s="181"/>
      <c r="AK154" s="181"/>
      <c r="AL154" s="181"/>
      <c r="AM154" s="181"/>
      <c r="AN154" s="181"/>
      <c r="AO154" s="182"/>
      <c r="AR154" s="50"/>
      <c r="AS154" s="146">
        <v>8</v>
      </c>
      <c r="AT154" s="166">
        <v>100000000</v>
      </c>
      <c r="AU154" s="146">
        <f t="shared" si="187"/>
        <v>182730157.90848002</v>
      </c>
      <c r="AV154" s="168"/>
      <c r="AW154" s="168"/>
      <c r="AY154" s="176"/>
      <c r="AZ154" s="32"/>
      <c r="BA154" s="32"/>
      <c r="BB154" s="32"/>
      <c r="BC154" s="183"/>
      <c r="BF154" s="50"/>
      <c r="BG154" s="146">
        <v>8</v>
      </c>
      <c r="BH154" s="145">
        <v>250000000</v>
      </c>
      <c r="BI154" s="145"/>
      <c r="BJ154" s="173">
        <f>IF($BH154&gt;=100000000,$BK$142*BK$145*BK154+$BL$142*BL$145*BL154,BK$145*BK154+BL$145*BL154)</f>
        <v>428050000</v>
      </c>
      <c r="BK154" s="145">
        <v>305750000</v>
      </c>
      <c r="BL154" s="145">
        <v>439265000.00000006</v>
      </c>
      <c r="BM154" s="146"/>
      <c r="BO154" s="179" t="s">
        <v>0</v>
      </c>
      <c r="BP154" s="185">
        <f>BJ145</f>
        <v>1</v>
      </c>
      <c r="BQ154" s="181"/>
      <c r="BR154" s="181"/>
      <c r="BS154" s="181"/>
      <c r="BT154" s="181"/>
      <c r="BU154" s="181"/>
      <c r="BV154" s="182"/>
      <c r="BY154" s="50"/>
      <c r="CO154" s="50"/>
      <c r="CP154" s="146">
        <v>9</v>
      </c>
      <c r="CQ154" s="145">
        <v>200000000</v>
      </c>
      <c r="CR154" s="145"/>
      <c r="CS154" s="173">
        <f>IF($CQ154&gt;=100000000,$CT$122*CT$125*CT154+$CU$122*CU$125*CU154,CT$125*CT154+CU$125*CU154)</f>
        <v>360527500</v>
      </c>
      <c r="CT154" s="145">
        <v>288422000</v>
      </c>
      <c r="CU154" s="145">
        <v>566327000</v>
      </c>
      <c r="CV154" s="146"/>
      <c r="CX154" s="199"/>
      <c r="CY154" s="2"/>
      <c r="CZ154" s="2"/>
      <c r="DA154" s="2"/>
      <c r="DB154" s="187"/>
      <c r="DE154" s="50"/>
      <c r="DF154" s="146">
        <v>9</v>
      </c>
      <c r="DG154" s="145">
        <v>160000000</v>
      </c>
      <c r="DH154" s="145"/>
      <c r="DI154" s="173">
        <f>IF($DG154&gt;=100000000,$DJ$141*DJ$144*DJ154+$DK$141*DK$144*DK154,DJ$144*DJ154+DK$144*DK154)</f>
        <v>248091249.99999997</v>
      </c>
      <c r="DJ154" s="145">
        <v>198472999.99999997</v>
      </c>
      <c r="DK154" s="145">
        <v>235283000</v>
      </c>
      <c r="DL154" s="146"/>
      <c r="DN154" s="186"/>
      <c r="DO154" s="2"/>
      <c r="DP154" s="2"/>
      <c r="DQ154" s="2"/>
      <c r="DR154" s="2"/>
      <c r="DS154" s="2"/>
      <c r="DT154" s="2"/>
      <c r="DU154" s="187"/>
    </row>
    <row r="155" spans="10:125" x14ac:dyDescent="0.25">
      <c r="J155" s="86" t="str" cm="1">
        <f t="array" ref="J155">LOOKUP(2,1/($G$17:$G$33&lt;=$L155)/($H$17:$H$33&gt;=$L155),$F$17:$F$33)</f>
        <v>1H22</v>
      </c>
      <c r="K155" s="86" t="str" cm="1">
        <f t="array" ref="K155">LOOKUP(2,1/($G$6:$G$14&lt;=$L155)/($H$6:$H$14&gt;=$L155),$F$6:$F$14)</f>
        <v>FY22</v>
      </c>
      <c r="L155" s="118">
        <v>44418</v>
      </c>
      <c r="M155" s="49">
        <v>10800299.778761065</v>
      </c>
      <c r="N155" s="49">
        <v>14295276.787168143</v>
      </c>
      <c r="O155" s="50">
        <v>5000000</v>
      </c>
      <c r="P155" s="119" cm="1">
        <f t="array" ref="P155">LOOKUP(2,1/($B$10:$B$14&lt;=$L155)/($C$10:$C$14&gt;=$L155),$D$10:$D$14)</f>
        <v>1.1000000000000001</v>
      </c>
      <c r="Q155" s="120" cm="1">
        <f t="array" ref="Q155">LOOKUP(2,1/($B$17:$B$21&lt;=$L155)/($C$17:$C$21&gt;=$L155),$D$17:$D$21)</f>
        <v>134.49039999999999</v>
      </c>
      <c r="R155" s="113" t="str">
        <f t="shared" si="165"/>
        <v/>
      </c>
      <c r="S155" s="113" t="str">
        <f t="shared" si="166"/>
        <v>1H22</v>
      </c>
      <c r="T155" s="113" t="str">
        <f t="shared" ca="1" si="167"/>
        <v/>
      </c>
      <c r="U155" s="113" t="str">
        <f t="shared" si="168"/>
        <v/>
      </c>
      <c r="V155" s="113" t="str">
        <f t="shared" si="169"/>
        <v>FY22</v>
      </c>
      <c r="W155" s="113" t="str">
        <f t="shared" ca="1" si="170"/>
        <v/>
      </c>
      <c r="X155" s="50"/>
      <c r="Y155" s="146">
        <v>9</v>
      </c>
      <c r="Z155" s="145">
        <v>150000000</v>
      </c>
      <c r="AA155" s="145"/>
      <c r="AB155" s="173">
        <f>IF($Z155&gt;=100000000,$AC$142*AC$145*AC155+$AD$142*AD$145*AD155,AC$145*AC155+AD$145*AD155)*AB$145</f>
        <v>139571250</v>
      </c>
      <c r="AC155" s="145">
        <v>107362500</v>
      </c>
      <c r="AD155" s="145"/>
      <c r="AE155" s="146"/>
      <c r="AF155" s="146"/>
      <c r="AH155" s="2"/>
      <c r="AI155" s="2"/>
      <c r="AJ155" s="2"/>
      <c r="AK155" s="2"/>
      <c r="AL155" s="2"/>
      <c r="AM155" s="2"/>
      <c r="AN155" s="2"/>
      <c r="AO155" s="2"/>
      <c r="AR155" s="50"/>
      <c r="AS155" s="146">
        <v>9</v>
      </c>
      <c r="AT155" s="145">
        <v>150000000</v>
      </c>
      <c r="AU155" s="184"/>
      <c r="AV155" s="145">
        <f>AV98</f>
        <v>233863636.36363637</v>
      </c>
      <c r="AW155" s="146"/>
      <c r="AY155" s="186"/>
      <c r="AZ155" s="2"/>
      <c r="BA155" s="2"/>
      <c r="BB155" s="2"/>
      <c r="BC155" s="187"/>
      <c r="BF155" s="50"/>
      <c r="BG155" s="146">
        <v>9</v>
      </c>
      <c r="BH155" s="145">
        <v>300000000</v>
      </c>
      <c r="BI155" s="145"/>
      <c r="BJ155" s="173">
        <f>IF($BH155&gt;=100000000,$BK$142*BK$145*BK155+$BL$142*BL$145*BL155,BK$145*BK155+BL$145*BL155)</f>
        <v>509137999.99999994</v>
      </c>
      <c r="BK155" s="145">
        <v>363670000</v>
      </c>
      <c r="BL155" s="145">
        <v>568480000</v>
      </c>
      <c r="BM155" s="146"/>
      <c r="BO155" s="2"/>
      <c r="BP155" s="2"/>
      <c r="BQ155" s="2"/>
      <c r="BR155" s="2"/>
      <c r="BS155" s="2"/>
      <c r="BT155" s="2"/>
      <c r="BU155" s="2"/>
      <c r="BV155" s="2"/>
      <c r="BY155" s="50"/>
      <c r="CO155" s="50"/>
      <c r="CP155" s="146">
        <v>10</v>
      </c>
      <c r="CQ155" s="145">
        <v>250000000</v>
      </c>
      <c r="CR155" s="145"/>
      <c r="CS155" s="173">
        <f>IF($CQ155&gt;=100000000,$CT$122*CT$125*CT155+$CU$122*CU$125*CU155,CT$125*CT155+CU$125*CU155)</f>
        <v>446952500</v>
      </c>
      <c r="CT155" s="145">
        <v>357562000</v>
      </c>
      <c r="CU155" s="145">
        <v>850911999.99999988</v>
      </c>
      <c r="CV155" s="146"/>
      <c r="CX155" s="189"/>
      <c r="CY155" s="190"/>
      <c r="CZ155" s="190"/>
      <c r="DA155" s="190"/>
      <c r="DB155" s="191"/>
      <c r="DE155" s="50"/>
      <c r="DF155" s="146">
        <v>10</v>
      </c>
      <c r="DG155" s="145">
        <v>200000000</v>
      </c>
      <c r="DH155" s="145"/>
      <c r="DI155" s="173">
        <f>IF($DG155&gt;=100000000,$DJ$141*DJ$144*DJ155+$DK$141*DK$144*DK155,DJ$144*DJ155+DK$144*DK155)</f>
        <v>305186250</v>
      </c>
      <c r="DJ155" s="145">
        <v>244149000</v>
      </c>
      <c r="DK155" s="145">
        <v>309002999.99999994</v>
      </c>
      <c r="DL155" s="146"/>
      <c r="DN155" s="189"/>
      <c r="DO155" s="190"/>
      <c r="DP155" s="190"/>
      <c r="DQ155" s="190"/>
      <c r="DR155" s="190"/>
      <c r="DS155" s="190"/>
      <c r="DT155" s="190"/>
      <c r="DU155" s="191"/>
    </row>
    <row r="156" spans="10:125" x14ac:dyDescent="0.25">
      <c r="J156" s="86" t="str" cm="1">
        <f t="array" ref="J156">LOOKUP(2,1/($G$17:$G$33&lt;=$L156)/($H$17:$H$33&gt;=$L156),$F$17:$F$33)</f>
        <v>1H22</v>
      </c>
      <c r="K156" s="86" t="str" cm="1">
        <f t="array" ref="K156">LOOKUP(2,1/($G$6:$G$14&lt;=$L156)/($H$6:$H$14&gt;=$L156),$F$6:$F$14)</f>
        <v>FY22</v>
      </c>
      <c r="L156" s="118">
        <v>44411</v>
      </c>
      <c r="M156" s="49">
        <v>8737466.5683382507</v>
      </c>
      <c r="N156" s="49">
        <v>11564910.749852508</v>
      </c>
      <c r="O156" s="50">
        <v>2000000</v>
      </c>
      <c r="P156" s="119" cm="1">
        <f t="array" ref="P156">LOOKUP(2,1/($B$10:$B$14&lt;=$L156)/($C$10:$C$14&gt;=$L156),$D$10:$D$14)</f>
        <v>1.1000000000000001</v>
      </c>
      <c r="Q156" s="120" cm="1">
        <f t="array" ref="Q156">LOOKUP(2,1/($B$17:$B$21&lt;=$L156)/($C$17:$C$21&gt;=$L156),$D$17:$D$21)</f>
        <v>134.49039999999999</v>
      </c>
      <c r="R156" s="113" t="str">
        <f t="shared" si="165"/>
        <v/>
      </c>
      <c r="S156" s="113" t="str">
        <f t="shared" si="166"/>
        <v>1H22</v>
      </c>
      <c r="T156" s="113" t="str">
        <f t="shared" ca="1" si="167"/>
        <v/>
      </c>
      <c r="U156" s="113" t="str">
        <f t="shared" si="168"/>
        <v/>
      </c>
      <c r="V156" s="113" t="str">
        <f t="shared" si="169"/>
        <v>FY22</v>
      </c>
      <c r="W156" s="113" t="str">
        <f t="shared" ca="1" si="170"/>
        <v/>
      </c>
      <c r="X156" s="50"/>
      <c r="Y156" s="146">
        <v>10</v>
      </c>
      <c r="Z156" s="145">
        <v>200000000</v>
      </c>
      <c r="AA156" s="145"/>
      <c r="AB156" s="173">
        <f>IF($Z156&gt;=100000000,$AC$142*AC$145*AC156+$AD$142*AD$145*AD156,AC$145*AC156+AD$145*AD156)*AB$145</f>
        <v>183036750</v>
      </c>
      <c r="AC156" s="145">
        <v>140797500</v>
      </c>
      <c r="AD156" s="145"/>
      <c r="AE156" s="146"/>
      <c r="AF156" s="146"/>
      <c r="AH156" s="188"/>
      <c r="AI156" s="188"/>
      <c r="AJ156" s="188"/>
      <c r="AK156" s="188"/>
      <c r="AL156" s="188"/>
      <c r="AM156" s="188"/>
      <c r="AN156" s="188"/>
      <c r="AO156" s="188"/>
      <c r="AR156" s="50"/>
      <c r="AS156" s="146">
        <v>10</v>
      </c>
      <c r="AT156" s="145">
        <v>200000000</v>
      </c>
      <c r="AU156" s="184"/>
      <c r="AV156" s="145">
        <f>AV99</f>
        <v>300681818.18181819</v>
      </c>
      <c r="AW156" s="146"/>
      <c r="AY156" s="189"/>
      <c r="AZ156" s="190"/>
      <c r="BA156" s="190"/>
      <c r="BB156" s="190"/>
      <c r="BC156" s="191"/>
      <c r="BF156" s="50"/>
      <c r="BG156" s="146">
        <v>10</v>
      </c>
      <c r="BH156" s="145">
        <v>350000000</v>
      </c>
      <c r="BI156" s="145"/>
      <c r="BJ156" s="173">
        <f>IF($BH156&gt;=100000000,$BK$142*BK$145*BK156+$BL$142*BL$145*BL156,BK$145*BK156+BL$145*BL156)</f>
        <v>590226000</v>
      </c>
      <c r="BK156" s="145">
        <v>421590000.00000006</v>
      </c>
      <c r="BL156" s="145">
        <v>712695000</v>
      </c>
      <c r="BM156" s="146"/>
      <c r="BO156" s="188"/>
      <c r="BP156" s="188"/>
      <c r="BQ156" s="188"/>
      <c r="BR156" s="188"/>
      <c r="BS156" s="188"/>
      <c r="BT156" s="188"/>
      <c r="BU156" s="188"/>
      <c r="BV156" s="188"/>
      <c r="BY156" s="50"/>
      <c r="CO156" s="50"/>
      <c r="DE156" s="50"/>
    </row>
    <row r="157" spans="10:125" x14ac:dyDescent="0.25">
      <c r="J157" s="86" t="str" cm="1">
        <f t="array" ref="J157">LOOKUP(2,1/($G$17:$G$33&lt;=$L157)/($H$17:$H$33&gt;=$L157),$F$17:$F$33)</f>
        <v>1H22</v>
      </c>
      <c r="K157" s="86" t="str" cm="1">
        <f t="array" ref="K157">LOOKUP(2,1/($G$6:$G$14&lt;=$L157)/($H$6:$H$14&gt;=$L157),$F$6:$F$14)</f>
        <v>FY22</v>
      </c>
      <c r="L157" s="118">
        <v>44404</v>
      </c>
      <c r="M157" s="49">
        <v>15715806.907571292</v>
      </c>
      <c r="N157" s="49">
        <v>20801442.022861362</v>
      </c>
      <c r="O157" s="50">
        <v>10000000</v>
      </c>
      <c r="P157" s="119" cm="1">
        <f t="array" ref="P157">LOOKUP(2,1/($B$10:$B$14&lt;=$L157)/($C$10:$C$14&gt;=$L157),$D$10:$D$14)</f>
        <v>1.1000000000000001</v>
      </c>
      <c r="Q157" s="120" cm="1">
        <f t="array" ref="Q157">LOOKUP(2,1/($B$17:$B$21&lt;=$L157)/($C$17:$C$21&gt;=$L157),$D$17:$D$21)</f>
        <v>134.49039999999999</v>
      </c>
      <c r="R157" s="113" t="str">
        <f t="shared" si="165"/>
        <v/>
      </c>
      <c r="S157" s="113" t="str">
        <f t="shared" si="166"/>
        <v>1H22</v>
      </c>
      <c r="T157" s="113" t="str">
        <f t="shared" ca="1" si="167"/>
        <v/>
      </c>
      <c r="U157" s="113" t="str">
        <f t="shared" si="168"/>
        <v/>
      </c>
      <c r="V157" s="113" t="str">
        <f t="shared" si="169"/>
        <v>FY22</v>
      </c>
      <c r="W157" s="113" t="str">
        <f t="shared" ca="1" si="170"/>
        <v/>
      </c>
      <c r="X157" s="50"/>
      <c r="AH157" s="106"/>
      <c r="AI157" s="107"/>
      <c r="AJ157" s="107"/>
      <c r="AK157" s="107"/>
      <c r="AL157" s="108"/>
      <c r="AM157" s="107"/>
      <c r="AN157" s="107"/>
      <c r="AO157" s="108"/>
      <c r="AR157" s="50"/>
      <c r="AS157" s="192"/>
      <c r="AX157" s="105"/>
      <c r="AY157" s="105"/>
      <c r="AZ157" s="105"/>
      <c r="BA157" s="105"/>
      <c r="BB157" s="105"/>
      <c r="BC157" s="105"/>
      <c r="BD157" s="105"/>
      <c r="BE157" s="105"/>
      <c r="BF157" s="50"/>
      <c r="BY157" s="50"/>
      <c r="CO157" s="50"/>
      <c r="DE157" s="50"/>
      <c r="DF157" s="125" t="s">
        <v>52</v>
      </c>
      <c r="DG157" s="126"/>
      <c r="DH157" s="126"/>
      <c r="DI157" s="126"/>
      <c r="DJ157" s="126"/>
      <c r="DK157" s="126"/>
      <c r="DL157" s="126"/>
      <c r="DM157" s="126"/>
      <c r="DN157" s="126"/>
      <c r="DO157" s="126"/>
      <c r="DP157" s="126"/>
      <c r="DQ157" s="126"/>
      <c r="DR157" s="126"/>
      <c r="DS157" s="126"/>
      <c r="DT157" s="126"/>
      <c r="DU157" s="126"/>
    </row>
    <row r="158" spans="10:125" x14ac:dyDescent="0.25">
      <c r="J158" s="86" t="str" cm="1">
        <f t="array" ref="J158">LOOKUP(2,1/($G$17:$G$33&lt;=$L158)/($H$17:$H$33&gt;=$L158),$F$17:$F$33)</f>
        <v>1H22</v>
      </c>
      <c r="K158" s="86" t="str" cm="1">
        <f t="array" ref="K158">LOOKUP(2,1/($G$6:$G$14&lt;=$L158)/($H$6:$H$14&gt;=$L158),$F$6:$F$14)</f>
        <v>FY22</v>
      </c>
      <c r="L158" s="118">
        <v>44397</v>
      </c>
      <c r="M158" s="49">
        <v>11303058.628318587</v>
      </c>
      <c r="N158" s="49">
        <v>14960728.400442481</v>
      </c>
      <c r="O158" s="50">
        <v>5000000</v>
      </c>
      <c r="P158" s="119" cm="1">
        <f t="array" ref="P158">LOOKUP(2,1/($B$10:$B$14&lt;=$L158)/($C$10:$C$14&gt;=$L158),$D$10:$D$14)</f>
        <v>1.1000000000000001</v>
      </c>
      <c r="Q158" s="120" cm="1">
        <f t="array" ref="Q158">LOOKUP(2,1/($B$17:$B$21&lt;=$L158)/($C$17:$C$21&gt;=$L158),$D$17:$D$21)</f>
        <v>134.49039999999999</v>
      </c>
      <c r="R158" s="113" t="str">
        <f t="shared" si="165"/>
        <v/>
      </c>
      <c r="S158" s="113" t="str">
        <f t="shared" si="166"/>
        <v>1H22</v>
      </c>
      <c r="T158" s="113" t="str">
        <f t="shared" ca="1" si="167"/>
        <v/>
      </c>
      <c r="U158" s="113" t="str">
        <f t="shared" si="168"/>
        <v/>
      </c>
      <c r="V158" s="113" t="str">
        <f t="shared" si="169"/>
        <v>FY22</v>
      </c>
      <c r="W158" s="113" t="str">
        <f t="shared" ca="1" si="170"/>
        <v/>
      </c>
      <c r="X158" s="50"/>
      <c r="AR158" s="50"/>
      <c r="AS158" s="121" t="s">
        <v>225</v>
      </c>
      <c r="AT158" s="122"/>
      <c r="AU158" s="122"/>
      <c r="AV158" s="122"/>
      <c r="AW158" s="122"/>
      <c r="AX158" s="122"/>
      <c r="AY158" s="122"/>
      <c r="AZ158" s="122"/>
      <c r="BA158" s="122"/>
      <c r="BB158" s="122"/>
      <c r="BC158" s="122"/>
      <c r="BD158" s="122"/>
      <c r="BE158" s="122"/>
      <c r="BF158" s="50"/>
      <c r="BY158" s="50"/>
      <c r="CO158" s="50"/>
      <c r="DE158" s="50"/>
      <c r="DF158" s="114" t="s">
        <v>147</v>
      </c>
      <c r="DG158" s="115">
        <v>44197</v>
      </c>
      <c r="DH158" s="114" t="s">
        <v>148</v>
      </c>
      <c r="DI158" s="115">
        <v>44377</v>
      </c>
      <c r="DJ158" s="132"/>
      <c r="DK158" s="132"/>
      <c r="DL158" s="132"/>
      <c r="DM158" s="133"/>
      <c r="DN158" s="133"/>
      <c r="DO158" s="133"/>
      <c r="DP158" s="133"/>
      <c r="DQ158" s="133"/>
      <c r="DR158" s="133"/>
      <c r="DS158" s="133"/>
      <c r="DT158" s="133"/>
      <c r="DU158" s="133"/>
    </row>
    <row r="159" spans="10:125" x14ac:dyDescent="0.25">
      <c r="J159" s="86" t="str" cm="1">
        <f t="array" ref="J159">LOOKUP(2,1/($G$17:$G$33&lt;=$L159)/($H$17:$H$33&gt;=$L159),$F$17:$F$33)</f>
        <v>1H22</v>
      </c>
      <c r="K159" s="86" t="str" cm="1">
        <f t="array" ref="K159">LOOKUP(2,1/($G$6:$G$14&lt;=$L159)/($H$6:$H$14&gt;=$L159),$F$6:$F$14)</f>
        <v>FY22</v>
      </c>
      <c r="L159" s="118">
        <v>44390</v>
      </c>
      <c r="M159" s="49">
        <v>9220282.9400196653</v>
      </c>
      <c r="N159" s="49">
        <v>12203966.499410028</v>
      </c>
      <c r="O159" s="50">
        <v>2000000</v>
      </c>
      <c r="P159" s="119" cm="1">
        <f t="array" ref="P159">LOOKUP(2,1/($B$10:$B$14&lt;=$L159)/($C$10:$C$14&gt;=$L159),$D$10:$D$14)</f>
        <v>1.1000000000000001</v>
      </c>
      <c r="Q159" s="120" cm="1">
        <f t="array" ref="Q159">LOOKUP(2,1/($B$17:$B$21&lt;=$L159)/($C$17:$C$21&gt;=$L159),$D$17:$D$21)</f>
        <v>134.49039999999999</v>
      </c>
      <c r="R159" s="113" t="str">
        <f t="shared" si="165"/>
        <v/>
      </c>
      <c r="S159" s="113" t="str">
        <f t="shared" si="166"/>
        <v>1H22</v>
      </c>
      <c r="T159" s="113" t="str">
        <f t="shared" ca="1" si="167"/>
        <v/>
      </c>
      <c r="U159" s="113" t="str">
        <f t="shared" si="168"/>
        <v/>
      </c>
      <c r="V159" s="113" t="str">
        <f t="shared" si="169"/>
        <v>FY22</v>
      </c>
      <c r="W159" s="113" t="str">
        <f t="shared" ca="1" si="170"/>
        <v/>
      </c>
      <c r="X159" s="50"/>
      <c r="Y159" s="114" t="s">
        <v>147</v>
      </c>
      <c r="Z159" s="115">
        <v>45108</v>
      </c>
      <c r="AA159" s="114" t="s">
        <v>148</v>
      </c>
      <c r="AB159" s="115">
        <v>45657</v>
      </c>
      <c r="AR159" s="50"/>
      <c r="AS159" s="114" t="s">
        <v>147</v>
      </c>
      <c r="AT159" s="115">
        <v>44652</v>
      </c>
      <c r="AU159" s="114" t="s">
        <v>148</v>
      </c>
      <c r="AV159" s="115">
        <v>44868</v>
      </c>
      <c r="AW159" s="132"/>
      <c r="AX159" s="133"/>
      <c r="AY159" s="133"/>
      <c r="AZ159" s="133"/>
      <c r="BA159" s="133"/>
      <c r="BB159" s="133"/>
      <c r="BC159" s="133"/>
      <c r="BD159" s="133"/>
      <c r="BE159" s="133"/>
      <c r="BF159" s="50"/>
      <c r="BY159" s="50"/>
      <c r="CO159" s="50"/>
      <c r="DE159" s="50"/>
      <c r="DF159" s="114" t="s">
        <v>159</v>
      </c>
      <c r="DG159" s="115" t="s">
        <v>52</v>
      </c>
      <c r="DH159" s="114" t="s">
        <v>161</v>
      </c>
      <c r="DI159" s="134" t="str" cm="1">
        <f t="array" ref="DI159">IF(OR(LOOKUP(2,1/($B$10:$B$14&lt;=DI158)/($C$10:$C$14&gt;=DI158),$D$10:$D$14)&lt;&gt;DG162,LOOKUP(2,1/($B$6:$B$7&lt;=DI158)/($C$6:$C$7&gt;=DI158),$D$6:$D$7)&lt;&gt;DI162),"FAIL","PASS")</f>
        <v>PASS</v>
      </c>
      <c r="DJ159" s="134" t="s">
        <v>162</v>
      </c>
      <c r="DK159" s="134" t="s">
        <v>162</v>
      </c>
      <c r="DL159" s="134"/>
      <c r="DM159" s="133"/>
      <c r="DN159" s="133"/>
      <c r="DO159" s="133"/>
      <c r="DP159" s="133"/>
      <c r="DQ159" s="133"/>
      <c r="DR159" s="133"/>
      <c r="DS159" s="133"/>
      <c r="DT159" s="133"/>
      <c r="DU159" s="133"/>
    </row>
    <row r="160" spans="10:125" x14ac:dyDescent="0.25">
      <c r="J160" s="86" t="str" cm="1">
        <f t="array" ref="J160">LOOKUP(2,1/($G$17:$G$33&lt;=$L160)/($H$17:$H$33&gt;=$L160),$F$17:$F$33)</f>
        <v>1H22</v>
      </c>
      <c r="K160" s="86" t="str" cm="1">
        <f t="array" ref="K160">LOOKUP(2,1/($G$6:$G$14&lt;=$L160)/($H$6:$H$14&gt;=$L160),$F$6:$F$14)</f>
        <v>FY22</v>
      </c>
      <c r="L160" s="118">
        <v>44383</v>
      </c>
      <c r="M160" s="49">
        <v>25373026.302851532</v>
      </c>
      <c r="N160" s="49">
        <v>33583737.614454284</v>
      </c>
      <c r="O160" s="50">
        <v>20000000</v>
      </c>
      <c r="P160" s="119" cm="1">
        <f t="array" ref="P160">LOOKUP(2,1/($B$10:$B$14&lt;=$L160)/($C$10:$C$14&gt;=$L160),$D$10:$D$14)</f>
        <v>1.1000000000000001</v>
      </c>
      <c r="Q160" s="120" cm="1">
        <f t="array" ref="Q160">LOOKUP(2,1/($B$17:$B$21&lt;=$L160)/($C$17:$C$21&gt;=$L160),$D$17:$D$21)</f>
        <v>134.49039999999999</v>
      </c>
      <c r="R160" s="113" t="str">
        <f t="shared" si="165"/>
        <v>1H22</v>
      </c>
      <c r="S160" s="113" t="str">
        <f t="shared" si="166"/>
        <v>1H22</v>
      </c>
      <c r="T160" s="113" t="str">
        <f t="shared" ca="1" si="167"/>
        <v/>
      </c>
      <c r="U160" s="113" t="str">
        <f t="shared" si="168"/>
        <v>FY22</v>
      </c>
      <c r="V160" s="113" t="str">
        <f t="shared" si="169"/>
        <v>FY22</v>
      </c>
      <c r="W160" s="113" t="str">
        <f t="shared" ca="1" si="170"/>
        <v/>
      </c>
      <c r="X160" s="50"/>
      <c r="AA160" s="114" t="s">
        <v>0</v>
      </c>
      <c r="AB160" s="135">
        <v>1</v>
      </c>
      <c r="AR160" s="50"/>
      <c r="AS160" s="114" t="s">
        <v>159</v>
      </c>
      <c r="AT160" s="115" t="s">
        <v>181</v>
      </c>
      <c r="AU160" s="114" t="s">
        <v>161</v>
      </c>
      <c r="AV160" s="115" t="s">
        <v>163</v>
      </c>
      <c r="AW160" s="132"/>
      <c r="AX160" s="133"/>
      <c r="AY160" s="133"/>
      <c r="AZ160" s="133"/>
      <c r="BA160" s="133"/>
      <c r="BB160" s="133"/>
      <c r="BC160" s="133"/>
      <c r="BD160" s="133"/>
      <c r="BE160" s="133"/>
      <c r="BF160" s="50"/>
      <c r="BY160" s="50"/>
      <c r="CO160" s="50"/>
      <c r="DE160" s="50"/>
      <c r="DF160" s="114" t="s">
        <v>165</v>
      </c>
      <c r="DG160" s="134">
        <f>INDEX($G:$G,MATCH(DG159,$F:$F,0))</f>
        <v>44197</v>
      </c>
      <c r="DH160" s="114" t="s">
        <v>166</v>
      </c>
      <c r="DI160" s="134">
        <f>INDEX($H:$H,MATCH(DG159,$F:$F,0))</f>
        <v>44377</v>
      </c>
      <c r="DJ160" s="135">
        <v>1.25</v>
      </c>
      <c r="DK160" s="135">
        <v>1</v>
      </c>
      <c r="DL160" s="134"/>
      <c r="DN160" s="136" t="s">
        <v>167</v>
      </c>
      <c r="DO160" s="137"/>
      <c r="DP160" s="137"/>
      <c r="DQ160" s="137"/>
      <c r="DR160" s="138"/>
      <c r="DS160" s="137"/>
      <c r="DT160" s="137"/>
      <c r="DU160" s="139"/>
    </row>
    <row r="161" spans="10:125" x14ac:dyDescent="0.25">
      <c r="J161" s="86" t="str" cm="1">
        <f t="array" ref="J161">LOOKUP(2,1/($G$17:$G$33&lt;=$L161)/($H$17:$H$33&gt;=$L161),$F$17:$F$33)</f>
        <v>2H21</v>
      </c>
      <c r="K161" s="86" t="str" cm="1">
        <f t="array" ref="K161">LOOKUP(2,1/($G$6:$G$14&lt;=$L161)/($H$6:$H$14&gt;=$L161),$F$6:$F$14)</f>
        <v>FY21</v>
      </c>
      <c r="L161" s="118">
        <v>44376</v>
      </c>
      <c r="M161" s="49">
        <v>14779653.146509342</v>
      </c>
      <c r="N161" s="49">
        <v>19562348.904719763</v>
      </c>
      <c r="O161" s="50">
        <v>10000000</v>
      </c>
      <c r="P161" s="119" cm="1">
        <f t="array" ref="P161">LOOKUP(2,1/($B$10:$B$14&lt;=$L161)/($C$10:$C$14&gt;=$L161),$D$10:$D$14)</f>
        <v>1.1000000000000001</v>
      </c>
      <c r="Q161" s="120" cm="1">
        <f t="array" ref="Q161">LOOKUP(2,1/($B$17:$B$21&lt;=$L161)/($C$17:$C$21&gt;=$L161),$D$17:$D$21)</f>
        <v>134.49039999999999</v>
      </c>
      <c r="R161" s="113" t="str">
        <f t="shared" si="165"/>
        <v/>
      </c>
      <c r="S161" s="113" t="str">
        <f t="shared" si="166"/>
        <v>1H22</v>
      </c>
      <c r="T161" s="113" t="str">
        <f t="shared" ca="1" si="167"/>
        <v/>
      </c>
      <c r="U161" s="113" t="str">
        <f t="shared" si="168"/>
        <v/>
      </c>
      <c r="V161" s="113" t="str">
        <f t="shared" si="169"/>
        <v>FY22</v>
      </c>
      <c r="W161" s="113" t="str">
        <f t="shared" ca="1" si="170"/>
        <v/>
      </c>
      <c r="X161" s="50"/>
      <c r="AR161" s="50"/>
      <c r="AS161" s="114" t="s">
        <v>165</v>
      </c>
      <c r="AT161" s="134">
        <f>INDEX($G:$G,MATCH(AT160,$F:$F,0))</f>
        <v>45108</v>
      </c>
      <c r="AU161" s="114" t="s">
        <v>166</v>
      </c>
      <c r="AV161" s="134">
        <f>INDEX($H:$H,MATCH(AT160,$F:$F,0))</f>
        <v>45473</v>
      </c>
      <c r="AW161" s="134"/>
      <c r="AY161" s="136" t="s">
        <v>167</v>
      </c>
      <c r="AZ161" s="137"/>
      <c r="BA161" s="137"/>
      <c r="BB161" s="138"/>
      <c r="BC161" s="139"/>
      <c r="BF161" s="50"/>
      <c r="BY161" s="50"/>
      <c r="CO161" s="50"/>
      <c r="DE161" s="50"/>
      <c r="DF161" s="114" t="s">
        <v>91</v>
      </c>
      <c r="DG161" s="140">
        <f>INDEX($O:$O,MATCH(DG159,$R:$R,0))</f>
        <v>2000000</v>
      </c>
      <c r="DH161" s="114" t="s">
        <v>76</v>
      </c>
      <c r="DI161" s="140">
        <f ca="1">INDEX($O:$O,MATCH(DG159,$T:$T,0))</f>
        <v>10000000</v>
      </c>
      <c r="DJ161" s="140"/>
      <c r="DK161" s="140"/>
      <c r="DL161" s="140"/>
      <c r="DN161" s="147" t="s">
        <v>165</v>
      </c>
      <c r="DO161" s="148">
        <f>DG160</f>
        <v>44197</v>
      </c>
      <c r="DP161" s="142"/>
      <c r="DQ161" s="142"/>
      <c r="DR161" s="143" t="s">
        <v>15</v>
      </c>
      <c r="DS161" s="142"/>
      <c r="DT161" s="142"/>
      <c r="DU161" s="144" t="s">
        <v>139</v>
      </c>
    </row>
    <row r="162" spans="10:125" x14ac:dyDescent="0.25">
      <c r="J162" s="86" t="str" cm="1">
        <f t="array" ref="J162">LOOKUP(2,1/($G$17:$G$33&lt;=$L162)/($H$17:$H$33&gt;=$L162),$F$17:$F$33)</f>
        <v>2H21</v>
      </c>
      <c r="K162" s="86" t="str" cm="1">
        <f t="array" ref="K162">LOOKUP(2,1/($G$6:$G$14&lt;=$L162)/($H$6:$H$14&gt;=$L162),$F$6:$F$14)</f>
        <v>FY21</v>
      </c>
      <c r="L162" s="118">
        <v>44369</v>
      </c>
      <c r="M162" s="49">
        <v>10317431.661750248</v>
      </c>
      <c r="N162" s="49">
        <v>13656152.547492627</v>
      </c>
      <c r="O162" s="50">
        <v>5000000</v>
      </c>
      <c r="P162" s="119" cm="1">
        <f t="array" ref="P162">LOOKUP(2,1/($B$10:$B$14&lt;=$L162)/($C$10:$C$14&gt;=$L162),$D$10:$D$14)</f>
        <v>1.1000000000000001</v>
      </c>
      <c r="Q162" s="120" cm="1">
        <f t="array" ref="Q162">LOOKUP(2,1/($B$17:$B$21&lt;=$L162)/($C$17:$C$21&gt;=$L162),$D$17:$D$21)</f>
        <v>134.49039999999999</v>
      </c>
      <c r="R162" s="113" t="str">
        <f t="shared" si="165"/>
        <v/>
      </c>
      <c r="S162" s="113" t="str">
        <f t="shared" si="166"/>
        <v>1H22</v>
      </c>
      <c r="T162" s="113" t="str">
        <f t="shared" ca="1" si="167"/>
        <v/>
      </c>
      <c r="U162" s="113" t="str">
        <f t="shared" si="168"/>
        <v/>
      </c>
      <c r="V162" s="113" t="str">
        <f t="shared" si="169"/>
        <v>FY22</v>
      </c>
      <c r="W162" s="113" t="str">
        <f t="shared" ca="1" si="170"/>
        <v/>
      </c>
      <c r="AB162" s="85" t="s">
        <v>226</v>
      </c>
      <c r="AC162" s="85" t="s">
        <v>227</v>
      </c>
      <c r="AS162" s="114" t="s">
        <v>91</v>
      </c>
      <c r="AT162" s="145">
        <v>20000000</v>
      </c>
      <c r="AU162" s="114" t="s">
        <v>76</v>
      </c>
      <c r="AV162" s="145">
        <v>20000000</v>
      </c>
      <c r="AW162" s="146"/>
      <c r="AY162" s="147" t="s">
        <v>165</v>
      </c>
      <c r="AZ162" s="148">
        <f>AT161</f>
        <v>45108</v>
      </c>
      <c r="BA162" s="142"/>
      <c r="BB162" s="143" t="s">
        <v>15</v>
      </c>
      <c r="BC162" s="144" t="s">
        <v>139</v>
      </c>
      <c r="DF162" s="114" t="s">
        <v>169</v>
      </c>
      <c r="DG162" s="119" cm="1">
        <f t="array" ref="DG162">LOOKUP(2,1/($B$10:$B$14&lt;=DG158)/($C$10:$C$14&gt;=DG158),$D$10:$D$14)</f>
        <v>1.1000000000000001</v>
      </c>
      <c r="DH162" s="114" t="s">
        <v>149</v>
      </c>
      <c r="DI162" s="152" cm="1">
        <f t="array" ref="DI162">LOOKUP(2,1/($B$6:$B$7&lt;=DG158)/($C$6:$C$7&gt;=DG158),$D$6:$D$7)</f>
        <v>0.10299999999999999</v>
      </c>
      <c r="DJ162" s="152" t="s">
        <v>170</v>
      </c>
      <c r="DK162" s="152" t="s">
        <v>171</v>
      </c>
      <c r="DL162" s="152"/>
      <c r="DN162" s="153" t="s">
        <v>166</v>
      </c>
      <c r="DO162" s="158">
        <f>DI160</f>
        <v>44377</v>
      </c>
      <c r="DP162" s="154"/>
      <c r="DQ162" s="154"/>
      <c r="DR162" s="155">
        <f>DG165/1000000</f>
        <v>3</v>
      </c>
      <c r="DS162" s="154"/>
      <c r="DT162" s="154"/>
      <c r="DU162" s="156" t="e">
        <f>MAX(DH165:DI165)/1000000</f>
        <v>#DIV/0!</v>
      </c>
    </row>
    <row r="163" spans="10:125" x14ac:dyDescent="0.25">
      <c r="J163" s="86" t="str" cm="1">
        <f t="array" ref="J163">LOOKUP(2,1/($G$17:$G$33&lt;=$L163)/($H$17:$H$33&gt;=$L163),$F$17:$F$33)</f>
        <v>2H21</v>
      </c>
      <c r="K163" s="86" t="str" cm="1">
        <f t="array" ref="K163">LOOKUP(2,1/($G$6:$G$14&lt;=$L163)/($H$6:$H$14&gt;=$L163),$F$6:$F$14)</f>
        <v>FY21</v>
      </c>
      <c r="L163" s="118">
        <v>44362</v>
      </c>
      <c r="M163" s="49">
        <v>8353085.0540806307</v>
      </c>
      <c r="N163" s="49">
        <v>11056143.377581121</v>
      </c>
      <c r="O163" s="50">
        <v>2000000</v>
      </c>
      <c r="P163" s="119" cm="1">
        <f t="array" ref="P163">LOOKUP(2,1/($B$10:$B$14&lt;=$L163)/($C$10:$C$14&gt;=$L163),$D$10:$D$14)</f>
        <v>1.1000000000000001</v>
      </c>
      <c r="Q163" s="120" cm="1">
        <f t="array" ref="Q163">LOOKUP(2,1/($B$17:$B$21&lt;=$L163)/($C$17:$C$21&gt;=$L163),$D$17:$D$21)</f>
        <v>134.49039999999999</v>
      </c>
      <c r="R163" s="113" t="str">
        <f t="shared" si="165"/>
        <v/>
      </c>
      <c r="S163" s="113" t="str">
        <f t="shared" si="166"/>
        <v>1H22</v>
      </c>
      <c r="T163" s="113" t="str">
        <f t="shared" ca="1" si="167"/>
        <v/>
      </c>
      <c r="U163" s="113" t="str">
        <f t="shared" si="168"/>
        <v/>
      </c>
      <c r="V163" s="113" t="str">
        <f t="shared" si="169"/>
        <v>FY22</v>
      </c>
      <c r="W163" s="113" t="str">
        <f t="shared" ca="1" si="170"/>
        <v/>
      </c>
      <c r="Y163" s="146">
        <v>1</v>
      </c>
      <c r="Z163" s="202">
        <v>3000000</v>
      </c>
      <c r="AA163" s="167">
        <f>AVERAGEIFS($M:$M,$L:$L,"&gt;="&amp;Z$159,$L:$L,"&lt;="&amp;AB$159,$O:$O,"="&amp;Z163)*AB$160</f>
        <v>8751321.2688212674</v>
      </c>
      <c r="AC163" s="145">
        <v>8650100</v>
      </c>
      <c r="AD163" s="221">
        <f>AA163/1000000</f>
        <v>8.7513212688212683</v>
      </c>
      <c r="AE163" s="167">
        <f>COUNTIFS($L:$L,"&gt;="&amp;Z$159,$L:$L,"&lt;="&amp;AB$159,$O:$O,"="&amp;Z163)</f>
        <v>11</v>
      </c>
      <c r="AF163" s="167"/>
      <c r="AH163">
        <f>Z163/1000000</f>
        <v>3</v>
      </c>
      <c r="AI163" s="228">
        <f>AD163</f>
        <v>8.7513212688212683</v>
      </c>
      <c r="AJ163" s="204"/>
      <c r="AK163" s="228">
        <v>9.0169928442728438</v>
      </c>
      <c r="AL163" s="57"/>
      <c r="AO163" s="57"/>
      <c r="AS163" s="114" t="s">
        <v>169</v>
      </c>
      <c r="AT163" s="159">
        <v>1.2</v>
      </c>
      <c r="AU163" s="114" t="s">
        <v>149</v>
      </c>
      <c r="AV163" s="152" cm="1">
        <f t="array" ref="AV163">LOOKUP(2,1/($B$6:$B$7&lt;=AT159)/($C$6:$C$7&gt;=AT159),$D$6:$D$7)</f>
        <v>0.10299999999999999</v>
      </c>
      <c r="AW163" s="157"/>
      <c r="AY163" s="153" t="s">
        <v>166</v>
      </c>
      <c r="AZ163" s="158">
        <f>AV161</f>
        <v>45473</v>
      </c>
      <c r="BA163" s="154"/>
      <c r="BB163" s="155">
        <f>AT166/1000000</f>
        <v>4</v>
      </c>
      <c r="BC163" s="156" t="e">
        <f>MAX(AU166:AV166)/1000000</f>
        <v>#DIV/0!</v>
      </c>
      <c r="DF163" s="114" t="s">
        <v>172</v>
      </c>
      <c r="DG163" s="119" cm="1">
        <f t="array" ref="DG163">LOOKUP(2,1/($B$17:$B$21&lt;=DG158)/($C$17:$C$21&gt;=DG158),$D$17:$D$21)</f>
        <v>134.49039999999999</v>
      </c>
      <c r="DH163" s="114" t="s">
        <v>173</v>
      </c>
      <c r="DI163" s="163">
        <f>INT((WEEKDAY(DG158-5)-DG158+DI158)/7)/INT((WEEKDAY(DG160-5)-DG160+DI160)/7)</f>
        <v>1</v>
      </c>
      <c r="DJ163" s="162">
        <v>1</v>
      </c>
      <c r="DK163" s="162">
        <f>1-DJ163</f>
        <v>0</v>
      </c>
      <c r="DL163" s="163"/>
      <c r="DN163" s="153" t="s">
        <v>91</v>
      </c>
      <c r="DO163" s="155">
        <f>DG161/1000000</f>
        <v>2</v>
      </c>
      <c r="DP163" s="154"/>
      <c r="DQ163" s="154"/>
      <c r="DR163" s="155">
        <f t="shared" ref="DR163:DR171" si="188">DG166/1000000</f>
        <v>8</v>
      </c>
      <c r="DS163" s="154"/>
      <c r="DT163" s="154"/>
      <c r="DU163" s="156" t="e">
        <f t="shared" ref="DU163:DU171" si="189">MAX(DH166:DI166)/1000000</f>
        <v>#DIV/0!</v>
      </c>
    </row>
    <row r="164" spans="10:125" x14ac:dyDescent="0.25">
      <c r="J164" s="86" t="str" cm="1">
        <f t="array" ref="J164">LOOKUP(2,1/($G$17:$G$33&lt;=$L164)/($H$17:$H$33&gt;=$L164),$F$17:$F$33)</f>
        <v>2H21</v>
      </c>
      <c r="K164" s="86" t="str" cm="1">
        <f t="array" ref="K164">LOOKUP(2,1/($G$6:$G$14&lt;=$L164)/($H$6:$H$14&gt;=$L164),$F$6:$F$14)</f>
        <v>FY21</v>
      </c>
      <c r="L164" s="118">
        <v>44355</v>
      </c>
      <c r="M164" s="49">
        <v>17663805.555555556</v>
      </c>
      <c r="N164" s="49">
        <v>23379813.033333331</v>
      </c>
      <c r="O164" s="50">
        <v>10000000</v>
      </c>
      <c r="P164" s="119" cm="1">
        <f t="array" ref="P164">LOOKUP(2,1/($B$10:$B$14&lt;=$L164)/($C$10:$C$14&gt;=$L164),$D$10:$D$14)</f>
        <v>1.1000000000000001</v>
      </c>
      <c r="Q164" s="120" cm="1">
        <f t="array" ref="Q164">LOOKUP(2,1/($B$17:$B$21&lt;=$L164)/($C$17:$C$21&gt;=$L164),$D$17:$D$21)</f>
        <v>134.49039999999999</v>
      </c>
      <c r="R164" s="113" t="str">
        <f t="shared" si="165"/>
        <v/>
      </c>
      <c r="S164" s="113" t="str">
        <f t="shared" si="166"/>
        <v>2H21</v>
      </c>
      <c r="T164" s="113" t="str">
        <f t="shared" ca="1" si="167"/>
        <v>1H22</v>
      </c>
      <c r="U164" s="113" t="str">
        <f t="shared" si="168"/>
        <v/>
      </c>
      <c r="V164" s="113" t="str">
        <f t="shared" si="169"/>
        <v>FY21</v>
      </c>
      <c r="W164" s="113" t="str">
        <f t="shared" ca="1" si="170"/>
        <v>FY22</v>
      </c>
      <c r="X164" s="50"/>
      <c r="Y164" s="146">
        <v>2</v>
      </c>
      <c r="Z164" s="202">
        <v>5000000</v>
      </c>
      <c r="AA164" s="167">
        <f>AVERAGEIFS($M:$M,$L:$L,"&gt;="&amp;Z$159,$L:$L,"&lt;="&amp;AB$159,$O:$O,"="&amp;Z164)*AB$160</f>
        <v>9456567.2980672978</v>
      </c>
      <c r="AC164" s="145">
        <v>10012700</v>
      </c>
      <c r="AD164" s="221">
        <f>AA164/1000000</f>
        <v>9.4565672980672986</v>
      </c>
      <c r="AE164" s="167">
        <f>COUNTIFS($L:$L,"&gt;="&amp;Z$159,$L:$L,"&lt;="&amp;AB$159,$O:$O,"="&amp;Z164)</f>
        <v>6</v>
      </c>
      <c r="AF164" s="167"/>
      <c r="AH164">
        <f t="shared" ref="AH164:AH175" si="190">Z164/1000000</f>
        <v>5</v>
      </c>
      <c r="AI164" s="228">
        <f t="shared" ref="AI164:AI176" si="191">AD164</f>
        <v>9.4565672980672986</v>
      </c>
      <c r="AJ164" s="204"/>
      <c r="AK164" s="228">
        <v>9.8348299899899914</v>
      </c>
      <c r="AL164" s="57"/>
      <c r="AO164" s="57"/>
      <c r="AR164" s="50"/>
      <c r="AS164" s="114" t="s">
        <v>172</v>
      </c>
      <c r="AT164" s="119" cm="1">
        <f t="array" ref="AT164">LOOKUP(2,1/($B$17:$B$21&lt;=AT159)/($C$17:$C$21&gt;=AT159),$D$17:$D$21)</f>
        <v>134.49039999999999</v>
      </c>
      <c r="AU164" s="114" t="s">
        <v>0</v>
      </c>
      <c r="AV164" s="135">
        <f>$AV$49*(1+(1.2/1.1-1)*-30%)</f>
        <v>0.92409090909090907</v>
      </c>
      <c r="AY164" s="153" t="s">
        <v>91</v>
      </c>
      <c r="AZ164" s="155">
        <f>AT162/1000000</f>
        <v>20</v>
      </c>
      <c r="BA164" s="154"/>
      <c r="BB164" s="155">
        <f t="shared" ref="BB164:BB172" si="192">AT167/1000000</f>
        <v>8</v>
      </c>
      <c r="BC164" s="156" t="e">
        <f t="shared" ref="BC164:BC171" si="193">MAX(AU167:AV167)/1000000</f>
        <v>#DIV/0!</v>
      </c>
      <c r="BF164" s="50"/>
      <c r="BY164" s="50"/>
      <c r="CO164" s="50"/>
      <c r="DE164" s="50"/>
      <c r="DF164" s="111" t="s">
        <v>174</v>
      </c>
      <c r="DG164" s="111" t="s">
        <v>175</v>
      </c>
      <c r="DH164" s="111" t="s">
        <v>176</v>
      </c>
      <c r="DI164" s="111" t="s">
        <v>177</v>
      </c>
      <c r="DJ164" s="111" t="s">
        <v>178</v>
      </c>
      <c r="DK164" s="111" t="s">
        <v>179</v>
      </c>
      <c r="DL164" s="111" t="s">
        <v>180</v>
      </c>
      <c r="DN164" s="153" t="s">
        <v>76</v>
      </c>
      <c r="DO164" s="155">
        <f ca="1">DI161/1000000</f>
        <v>10</v>
      </c>
      <c r="DP164" s="154"/>
      <c r="DQ164" s="154"/>
      <c r="DR164" s="155">
        <f t="shared" si="188"/>
        <v>20</v>
      </c>
      <c r="DS164" s="154"/>
      <c r="DT164" s="154"/>
      <c r="DU164" s="156">
        <f t="shared" si="189"/>
        <v>25.388643928220262</v>
      </c>
    </row>
    <row r="165" spans="10:125" x14ac:dyDescent="0.25">
      <c r="J165" s="86" t="str" cm="1">
        <f t="array" ref="J165">LOOKUP(2,1/($G$17:$G$33&lt;=$L165)/($H$17:$H$33&gt;=$L165),$F$17:$F$33)</f>
        <v>2H21</v>
      </c>
      <c r="K165" s="86" t="str" cm="1">
        <f t="array" ref="K165">LOOKUP(2,1/($G$6:$G$14&lt;=$L165)/($H$6:$H$14&gt;=$L165),$F$6:$F$14)</f>
        <v>FY21</v>
      </c>
      <c r="L165" s="118">
        <v>44348</v>
      </c>
      <c r="M165" s="49">
        <v>12060125.245821046</v>
      </c>
      <c r="N165" s="49">
        <v>15962781.775368735</v>
      </c>
      <c r="O165" s="50">
        <v>5000000</v>
      </c>
      <c r="P165" s="119" cm="1">
        <f t="array" ref="P165">LOOKUP(2,1/($B$10:$B$14&lt;=$L165)/($C$10:$C$14&gt;=$L165),$D$10:$D$14)</f>
        <v>1.1000000000000001</v>
      </c>
      <c r="Q165" s="120" cm="1">
        <f t="array" ref="Q165">LOOKUP(2,1/($B$17:$B$21&lt;=$L165)/($C$17:$C$21&gt;=$L165),$D$17:$D$21)</f>
        <v>134.49039999999999</v>
      </c>
      <c r="R165" s="113" t="str">
        <f t="shared" si="165"/>
        <v/>
      </c>
      <c r="S165" s="113" t="str">
        <f t="shared" si="166"/>
        <v>2H21</v>
      </c>
      <c r="T165" s="113" t="str">
        <f t="shared" ca="1" si="167"/>
        <v/>
      </c>
      <c r="U165" s="113" t="str">
        <f t="shared" si="168"/>
        <v/>
      </c>
      <c r="V165" s="113" t="str">
        <f t="shared" si="169"/>
        <v>FY21</v>
      </c>
      <c r="W165" s="113" t="str">
        <f t="shared" ca="1" si="170"/>
        <v/>
      </c>
      <c r="X165" s="50"/>
      <c r="Y165" s="146">
        <v>3</v>
      </c>
      <c r="Z165" s="202">
        <v>8000000</v>
      </c>
      <c r="AA165" s="167">
        <f>AVERAGEIFS($M:$M,$L:$L,"&gt;="&amp;Z$159,$L:$L,"&lt;="&amp;AB$159,$O:$O,"="&amp;Z165)*AB$160</f>
        <v>11777123.777623778</v>
      </c>
      <c r="AC165" s="145">
        <v>12056600</v>
      </c>
      <c r="AD165" s="221">
        <f>AA165/1000000</f>
        <v>11.777123777623778</v>
      </c>
      <c r="AE165" s="167">
        <f>COUNTIFS($L:$L,"&gt;="&amp;Z$159,$L:$L,"&lt;="&amp;AB$159,$O:$O,"="&amp;Z165)</f>
        <v>3</v>
      </c>
      <c r="AF165" s="167"/>
      <c r="AH165">
        <f t="shared" si="190"/>
        <v>8</v>
      </c>
      <c r="AI165" s="228">
        <f t="shared" si="191"/>
        <v>11.777123777623778</v>
      </c>
      <c r="AJ165" s="204"/>
      <c r="AK165" s="228"/>
      <c r="AL165" s="57"/>
      <c r="AO165" s="57"/>
      <c r="AR165" s="50"/>
      <c r="AS165" s="111" t="s">
        <v>174</v>
      </c>
      <c r="AT165" s="111" t="s">
        <v>175</v>
      </c>
      <c r="AU165" s="111" t="s">
        <v>176</v>
      </c>
      <c r="AV165" s="111" t="s">
        <v>177</v>
      </c>
      <c r="AW165" s="111" t="s">
        <v>180</v>
      </c>
      <c r="AY165" s="153" t="s">
        <v>76</v>
      </c>
      <c r="AZ165" s="155">
        <f>AV162/1000000</f>
        <v>20</v>
      </c>
      <c r="BA165" s="154"/>
      <c r="BB165" s="155">
        <f t="shared" si="192"/>
        <v>20</v>
      </c>
      <c r="BC165" s="156">
        <f t="shared" si="193"/>
        <v>19.569798941162816</v>
      </c>
      <c r="BF165" s="50"/>
      <c r="BY165" s="50"/>
      <c r="CO165" s="50"/>
      <c r="DE165" s="50"/>
      <c r="DF165" s="146">
        <v>1</v>
      </c>
      <c r="DG165" s="166">
        <v>3000000</v>
      </c>
      <c r="DH165" s="168" t="e">
        <f t="shared" ref="DH165:DH170" si="194">AVERAGEIFS($M:$M,$L:$L,"&gt;="&amp;DG$158,$L:$L,"&lt;="&amp;DI$158,$O:$O,"="&amp;DG165)</f>
        <v>#DIV/0!</v>
      </c>
      <c r="DI165" s="168"/>
      <c r="DJ165" s="168"/>
      <c r="DK165" s="168"/>
      <c r="DL165" s="167">
        <f t="shared" ref="DL165:DL170" si="195">COUNTIFS($L:$L,"&gt;="&amp;DG$158,$L:$L,"&lt;="&amp;DI$158,$O:$O,"="&amp;DG165)</f>
        <v>0</v>
      </c>
      <c r="DN165" s="153" t="s">
        <v>169</v>
      </c>
      <c r="DO165" s="165">
        <f>DG162</f>
        <v>1.1000000000000001</v>
      </c>
      <c r="DP165" s="154"/>
      <c r="DQ165" s="154"/>
      <c r="DR165" s="155">
        <f t="shared" si="188"/>
        <v>30</v>
      </c>
      <c r="DS165" s="154"/>
      <c r="DT165" s="154"/>
      <c r="DU165" s="156">
        <f t="shared" si="189"/>
        <v>32.679496312684371</v>
      </c>
    </row>
    <row r="166" spans="10:125" x14ac:dyDescent="0.25">
      <c r="J166" s="86" t="str" cm="1">
        <f t="array" ref="J166">LOOKUP(2,1/($G$17:$G$33&lt;=$L166)/($H$17:$H$33&gt;=$L166),$F$17:$F$33)</f>
        <v>2H21</v>
      </c>
      <c r="K166" s="86" t="str" cm="1">
        <f t="array" ref="K166">LOOKUP(2,1/($G$6:$G$14&lt;=$L166)/($H$6:$H$14&gt;=$L166),$F$6:$F$14)</f>
        <v>FY21</v>
      </c>
      <c r="L166" s="118">
        <v>44341</v>
      </c>
      <c r="M166" s="49">
        <v>8917251.2291052137</v>
      </c>
      <c r="N166" s="49">
        <v>11802873.726843661</v>
      </c>
      <c r="O166" s="50">
        <v>2000000</v>
      </c>
      <c r="P166" s="119" cm="1">
        <f t="array" ref="P166">LOOKUP(2,1/($B$10:$B$14&lt;=$L166)/($C$10:$C$14&gt;=$L166),$D$10:$D$14)</f>
        <v>1.1000000000000001</v>
      </c>
      <c r="Q166" s="120" cm="1">
        <f t="array" ref="Q166">LOOKUP(2,1/($B$17:$B$21&lt;=$L166)/($C$17:$C$21&gt;=$L166),$D$17:$D$21)</f>
        <v>134.49039999999999</v>
      </c>
      <c r="R166" s="113" t="str">
        <f t="shared" si="165"/>
        <v/>
      </c>
      <c r="S166" s="113" t="str">
        <f t="shared" si="166"/>
        <v>2H21</v>
      </c>
      <c r="T166" s="113" t="str">
        <f t="shared" ca="1" si="167"/>
        <v/>
      </c>
      <c r="U166" s="113" t="str">
        <f t="shared" si="168"/>
        <v/>
      </c>
      <c r="V166" s="113" t="str">
        <f t="shared" si="169"/>
        <v>FY21</v>
      </c>
      <c r="W166" s="113" t="str">
        <f t="shared" ca="1" si="170"/>
        <v/>
      </c>
      <c r="X166" s="50"/>
      <c r="Y166" s="146">
        <v>4</v>
      </c>
      <c r="Z166" s="202">
        <v>10000000</v>
      </c>
      <c r="AA166" s="167">
        <f>AVERAGEIFS($M:$M,$L:$L,"&gt;="&amp;Z$159,$L:$L,"&lt;="&amp;AB$159,$O:$O,"="&amp;Z166)*AB$160</f>
        <v>14403726.132726133</v>
      </c>
      <c r="AC166" s="145">
        <v>13419200</v>
      </c>
      <c r="AD166" s="221">
        <f>AA166/1000000</f>
        <v>14.403726132726133</v>
      </c>
      <c r="AE166" s="167">
        <f>COUNTIFS($L:$L,"&gt;="&amp;Z$159,$L:$L,"&lt;="&amp;AB$159,$O:$O,"="&amp;Z166)</f>
        <v>7</v>
      </c>
      <c r="AF166" s="167"/>
      <c r="AH166">
        <f t="shared" si="190"/>
        <v>10</v>
      </c>
      <c r="AI166" s="228">
        <f t="shared" si="191"/>
        <v>14.403726132726133</v>
      </c>
      <c r="AJ166" s="204"/>
      <c r="AK166" s="228">
        <v>14.979875178035179</v>
      </c>
      <c r="AL166" s="57"/>
      <c r="AO166" s="57"/>
      <c r="AR166" s="50"/>
      <c r="AS166" s="146">
        <v>1</v>
      </c>
      <c r="AT166" s="166">
        <v>4000000</v>
      </c>
      <c r="AU166" s="167" t="e">
        <f t="shared" ref="AU166:AU171" si="196">AVERAGEIFS($M:$M,$L:$L,"&gt;="&amp;AT$159,$L:$L,"&lt;="&amp;AV$159,$O:$O,"="&amp;AT166)*AV$164</f>
        <v>#DIV/0!</v>
      </c>
      <c r="AV166" s="168"/>
      <c r="AW166" s="167">
        <f t="shared" ref="AW166:AW172" si="197">COUNTIFS($L:$L,"&gt;="&amp;AT$6,$L:$L,"&lt;="&amp;AV$6,$O:$O,"="&amp;$AT166)</f>
        <v>0</v>
      </c>
      <c r="AY166" s="153" t="s">
        <v>169</v>
      </c>
      <c r="AZ166" s="165">
        <f>AT163</f>
        <v>1.2</v>
      </c>
      <c r="BA166" s="154"/>
      <c r="BB166" s="155">
        <f t="shared" si="192"/>
        <v>40</v>
      </c>
      <c r="BC166" s="156" t="e">
        <f t="shared" si="193"/>
        <v>#DIV/0!</v>
      </c>
      <c r="BF166" s="50"/>
      <c r="BY166" s="50"/>
      <c r="CO166" s="50"/>
      <c r="DE166" s="50"/>
      <c r="DF166" s="146">
        <v>2</v>
      </c>
      <c r="DG166" s="166">
        <v>8000000</v>
      </c>
      <c r="DH166" s="168" t="e">
        <f t="shared" si="194"/>
        <v>#DIV/0!</v>
      </c>
      <c r="DL166" s="167">
        <f t="shared" si="195"/>
        <v>0</v>
      </c>
      <c r="DN166" s="153" t="s">
        <v>149</v>
      </c>
      <c r="DO166" s="169">
        <f>DI162</f>
        <v>0.10299999999999999</v>
      </c>
      <c r="DP166" s="154"/>
      <c r="DQ166" s="154"/>
      <c r="DR166" s="155">
        <f t="shared" si="188"/>
        <v>50</v>
      </c>
      <c r="DS166" s="154"/>
      <c r="DT166" s="154"/>
      <c r="DU166" s="156" t="e">
        <f t="shared" si="189"/>
        <v>#DIV/0!</v>
      </c>
    </row>
    <row r="167" spans="10:125" x14ac:dyDescent="0.25">
      <c r="J167" s="86" t="str" cm="1">
        <f t="array" ref="J167">LOOKUP(2,1/($G$17:$G$33&lt;=$L167)/($H$17:$H$33&gt;=$L167),$F$17:$F$33)</f>
        <v>2H21</v>
      </c>
      <c r="K167" s="86" t="str" cm="1">
        <f t="array" ref="K167">LOOKUP(2,1/($G$6:$G$14&lt;=$L167)/($H$6:$H$14&gt;=$L167),$F$6:$F$14)</f>
        <v>FY21</v>
      </c>
      <c r="L167" s="118">
        <v>44334</v>
      </c>
      <c r="M167" s="49">
        <v>11883051.745329402</v>
      </c>
      <c r="N167" s="49">
        <v>15728407.290117996</v>
      </c>
      <c r="O167" s="50">
        <v>5000000</v>
      </c>
      <c r="P167" s="119" cm="1">
        <f t="array" ref="P167">LOOKUP(2,1/($B$10:$B$14&lt;=$L167)/($C$10:$C$14&gt;=$L167),$D$10:$D$14)</f>
        <v>1.1000000000000001</v>
      </c>
      <c r="Q167" s="120" cm="1">
        <f t="array" ref="Q167">LOOKUP(2,1/($B$17:$B$21&lt;=$L167)/($C$17:$C$21&gt;=$L167),$D$17:$D$21)</f>
        <v>134.49039999999999</v>
      </c>
      <c r="R167" s="113" t="str">
        <f t="shared" si="165"/>
        <v/>
      </c>
      <c r="S167" s="113" t="str">
        <f t="shared" si="166"/>
        <v>2H21</v>
      </c>
      <c r="T167" s="113" t="str">
        <f t="shared" ca="1" si="167"/>
        <v/>
      </c>
      <c r="U167" s="113" t="str">
        <f t="shared" si="168"/>
        <v/>
      </c>
      <c r="V167" s="113" t="str">
        <f t="shared" si="169"/>
        <v>FY21</v>
      </c>
      <c r="W167" s="113" t="str">
        <f t="shared" ca="1" si="170"/>
        <v/>
      </c>
      <c r="X167" s="50"/>
      <c r="Y167" s="146">
        <v>5</v>
      </c>
      <c r="Z167" s="202">
        <v>15000000</v>
      </c>
      <c r="AA167" s="167">
        <f t="shared" ref="AA167:AA176" si="198">AVERAGEIFS($M:$M,$L:$L,"&gt;="&amp;Z$159,$L:$L,"&lt;="&amp;AB$159,$O:$O,"="&amp;Z167)*AB$160</f>
        <v>15579448.995148992</v>
      </c>
      <c r="AC167" s="145">
        <v>16825700</v>
      </c>
      <c r="AD167" s="221">
        <f t="shared" ref="AD167:AD172" si="199">AA167/1000000</f>
        <v>15.579448995148992</v>
      </c>
      <c r="AE167" s="167">
        <f t="shared" ref="AE167:AE176" si="200">COUNTIFS($L:$L,"&gt;="&amp;Z$159,$L:$L,"&lt;="&amp;AB$159,$O:$O,"="&amp;Z167)</f>
        <v>5</v>
      </c>
      <c r="AF167" s="167"/>
      <c r="AH167">
        <f t="shared" si="190"/>
        <v>15</v>
      </c>
      <c r="AI167" s="228">
        <f t="shared" si="191"/>
        <v>15.579448995148992</v>
      </c>
      <c r="AJ167" s="204"/>
      <c r="AK167" s="228">
        <v>16.219631191191194</v>
      </c>
      <c r="AL167" s="57"/>
      <c r="AO167" s="57"/>
      <c r="AR167" s="50"/>
      <c r="AS167" s="146">
        <v>2</v>
      </c>
      <c r="AT167" s="166">
        <v>8000000</v>
      </c>
      <c r="AU167" s="167" t="e">
        <f t="shared" si="196"/>
        <v>#DIV/0!</v>
      </c>
      <c r="AV167" s="168"/>
      <c r="AW167" s="167">
        <f t="shared" si="197"/>
        <v>0</v>
      </c>
      <c r="AY167" s="153" t="s">
        <v>149</v>
      </c>
      <c r="AZ167" s="169">
        <f>AV163</f>
        <v>0.10299999999999999</v>
      </c>
      <c r="BA167" s="154"/>
      <c r="BB167" s="155">
        <f t="shared" si="192"/>
        <v>60</v>
      </c>
      <c r="BC167" s="156" t="e">
        <f t="shared" si="193"/>
        <v>#DIV/0!</v>
      </c>
      <c r="BF167" s="50"/>
      <c r="BY167" s="50"/>
      <c r="CO167" s="50"/>
      <c r="DE167" s="50"/>
      <c r="DF167" s="146">
        <v>3</v>
      </c>
      <c r="DG167" s="166">
        <v>20000000</v>
      </c>
      <c r="DH167" s="168">
        <f t="shared" si="194"/>
        <v>25388643.928220261</v>
      </c>
      <c r="DL167" s="167">
        <f t="shared" si="195"/>
        <v>2</v>
      </c>
      <c r="DN167" s="153" t="s">
        <v>172</v>
      </c>
      <c r="DO167" s="170">
        <f>DG163</f>
        <v>134.49039999999999</v>
      </c>
      <c r="DP167" s="154"/>
      <c r="DQ167" s="154"/>
      <c r="DR167" s="155">
        <f t="shared" si="188"/>
        <v>80</v>
      </c>
      <c r="DS167" s="154"/>
      <c r="DT167" s="154"/>
      <c r="DU167" s="156" t="e">
        <f t="shared" si="189"/>
        <v>#DIV/0!</v>
      </c>
    </row>
    <row r="168" spans="10:125" x14ac:dyDescent="0.25">
      <c r="J168" s="86" t="str" cm="1">
        <f t="array" ref="J168">LOOKUP(2,1/($G$17:$G$33&lt;=$L168)/($H$17:$H$33&gt;=$L168),$F$17:$F$33)</f>
        <v>2H21</v>
      </c>
      <c r="K168" s="86" t="str" cm="1">
        <f t="array" ref="K168">LOOKUP(2,1/($G$6:$G$14&lt;=$L168)/($H$6:$H$14&gt;=$L168),$F$6:$F$14)</f>
        <v>FY21</v>
      </c>
      <c r="L168" s="118">
        <v>44327</v>
      </c>
      <c r="M168" s="49">
        <v>8842579.1543756165</v>
      </c>
      <c r="N168" s="49">
        <v>11704037.768731564</v>
      </c>
      <c r="O168" s="50">
        <v>2000000</v>
      </c>
      <c r="P168" s="119" cm="1">
        <f t="array" ref="P168">LOOKUP(2,1/($B$10:$B$14&lt;=$L168)/($C$10:$C$14&gt;=$L168),$D$10:$D$14)</f>
        <v>1.1000000000000001</v>
      </c>
      <c r="Q168" s="120" cm="1">
        <f t="array" ref="Q168">LOOKUP(2,1/($B$17:$B$21&lt;=$L168)/($C$17:$C$21&gt;=$L168),$D$17:$D$21)</f>
        <v>134.49039999999999</v>
      </c>
      <c r="R168" s="113" t="str">
        <f t="shared" si="165"/>
        <v/>
      </c>
      <c r="S168" s="113" t="str">
        <f t="shared" si="166"/>
        <v>2H21</v>
      </c>
      <c r="T168" s="113" t="str">
        <f t="shared" ca="1" si="167"/>
        <v/>
      </c>
      <c r="U168" s="113" t="str">
        <f t="shared" si="168"/>
        <v/>
      </c>
      <c r="V168" s="113" t="str">
        <f t="shared" si="169"/>
        <v>FY21</v>
      </c>
      <c r="W168" s="113" t="str">
        <f t="shared" ca="1" si="170"/>
        <v/>
      </c>
      <c r="X168" s="50"/>
      <c r="Y168" s="146">
        <v>6</v>
      </c>
      <c r="Z168" s="202">
        <v>20000000</v>
      </c>
      <c r="AA168" s="167">
        <f t="shared" si="198"/>
        <v>20891056.842556842</v>
      </c>
      <c r="AC168" s="145">
        <v>20232200.000000004</v>
      </c>
      <c r="AD168" s="221">
        <f t="shared" si="199"/>
        <v>20.891056842556843</v>
      </c>
      <c r="AE168" s="167">
        <f t="shared" si="200"/>
        <v>7</v>
      </c>
      <c r="AF168" s="167"/>
      <c r="AH168">
        <f t="shared" si="190"/>
        <v>20</v>
      </c>
      <c r="AI168" s="228">
        <f t="shared" si="191"/>
        <v>20.891056842556843</v>
      </c>
      <c r="AJ168" s="204"/>
      <c r="AK168" s="228">
        <v>22.272541501501497</v>
      </c>
      <c r="AL168" s="57"/>
      <c r="AO168" s="57"/>
      <c r="AR168" s="50"/>
      <c r="AS168" s="146">
        <v>3</v>
      </c>
      <c r="AT168" s="166">
        <v>20000000</v>
      </c>
      <c r="AU168" s="167">
        <f t="shared" si="196"/>
        <v>19569798.941162817</v>
      </c>
      <c r="AV168" s="168"/>
      <c r="AW168" s="167">
        <f t="shared" si="197"/>
        <v>5</v>
      </c>
      <c r="AY168" s="153" t="s">
        <v>172</v>
      </c>
      <c r="AZ168" s="170">
        <f>AT164</f>
        <v>134.49039999999999</v>
      </c>
      <c r="BA168" s="154"/>
      <c r="BB168" s="155">
        <f t="shared" si="192"/>
        <v>80</v>
      </c>
      <c r="BC168" s="156" t="e">
        <f t="shared" si="193"/>
        <v>#DIV/0!</v>
      </c>
      <c r="BF168" s="50"/>
      <c r="BY168" s="50"/>
      <c r="CO168" s="50"/>
      <c r="DE168" s="50"/>
      <c r="DF168" s="146">
        <v>4</v>
      </c>
      <c r="DG168" s="166">
        <v>30000000</v>
      </c>
      <c r="DH168" s="168">
        <f t="shared" si="194"/>
        <v>32679496.312684372</v>
      </c>
      <c r="DL168" s="167">
        <f t="shared" si="195"/>
        <v>2</v>
      </c>
      <c r="DN168" s="172"/>
      <c r="DO168" s="2"/>
      <c r="DP168" s="154"/>
      <c r="DQ168" s="154"/>
      <c r="DR168" s="155">
        <f t="shared" si="188"/>
        <v>100</v>
      </c>
      <c r="DS168" s="154"/>
      <c r="DT168" s="154"/>
      <c r="DU168" s="156">
        <f t="shared" si="189"/>
        <v>162.44874999999999</v>
      </c>
    </row>
    <row r="169" spans="10:125" x14ac:dyDescent="0.25">
      <c r="J169" s="86" t="str" cm="1">
        <f t="array" ref="J169">LOOKUP(2,1/($G$17:$G$33&lt;=$L169)/($H$17:$H$33&gt;=$L169),$F$17:$F$33)</f>
        <v>2H21</v>
      </c>
      <c r="K169" s="86" t="str" cm="1">
        <f t="array" ref="K169">LOOKUP(2,1/($G$6:$G$14&lt;=$L169)/($H$6:$H$14&gt;=$L169),$F$6:$F$14)</f>
        <v>FY21</v>
      </c>
      <c r="L169" s="118">
        <v>44320</v>
      </c>
      <c r="M169" s="49">
        <v>18651486.111111116</v>
      </c>
      <c r="N169" s="49">
        <v>24687107.016666669</v>
      </c>
      <c r="O169" s="50">
        <v>15000000</v>
      </c>
      <c r="P169" s="119" cm="1">
        <f t="array" ref="P169">LOOKUP(2,1/($B$10:$B$14&lt;=$L169)/($C$10:$C$14&gt;=$L169),$D$10:$D$14)</f>
        <v>1.1000000000000001</v>
      </c>
      <c r="Q169" s="120" cm="1">
        <f t="array" ref="Q169">LOOKUP(2,1/($B$17:$B$21&lt;=$L169)/($C$17:$C$21&gt;=$L169),$D$17:$D$21)</f>
        <v>134.49039999999999</v>
      </c>
      <c r="R169" s="113" t="str">
        <f t="shared" si="165"/>
        <v/>
      </c>
      <c r="S169" s="113" t="str">
        <f t="shared" si="166"/>
        <v>2H21</v>
      </c>
      <c r="T169" s="113" t="str">
        <f t="shared" ca="1" si="167"/>
        <v/>
      </c>
      <c r="U169" s="113" t="str">
        <f t="shared" si="168"/>
        <v/>
      </c>
      <c r="V169" s="113" t="str">
        <f t="shared" si="169"/>
        <v>FY21</v>
      </c>
      <c r="W169" s="113" t="str">
        <f t="shared" ca="1" si="170"/>
        <v/>
      </c>
      <c r="X169" s="50"/>
      <c r="Y169" s="146">
        <v>7</v>
      </c>
      <c r="Z169" s="202">
        <v>30000000</v>
      </c>
      <c r="AA169" s="167">
        <f t="shared" si="198"/>
        <v>26900926.907676905</v>
      </c>
      <c r="AC169" s="145">
        <v>27045200</v>
      </c>
      <c r="AD169" s="221">
        <f t="shared" si="199"/>
        <v>26.900926907676904</v>
      </c>
      <c r="AE169" s="167">
        <f t="shared" si="200"/>
        <v>6</v>
      </c>
      <c r="AF169" s="167"/>
      <c r="AH169">
        <f t="shared" si="190"/>
        <v>30</v>
      </c>
      <c r="AI169" s="228">
        <f t="shared" si="191"/>
        <v>26.900926907676904</v>
      </c>
      <c r="AJ169" s="204"/>
      <c r="AK169" s="228">
        <v>29.432125915915915</v>
      </c>
      <c r="AL169" s="57"/>
      <c r="AO169" s="57"/>
      <c r="AR169" s="50"/>
      <c r="AS169" s="146">
        <v>4</v>
      </c>
      <c r="AT169" s="166">
        <v>40000000</v>
      </c>
      <c r="AU169" s="167" t="e">
        <f t="shared" si="196"/>
        <v>#DIV/0!</v>
      </c>
      <c r="AV169" s="168"/>
      <c r="AW169" s="167">
        <f t="shared" si="197"/>
        <v>0</v>
      </c>
      <c r="AY169" s="172"/>
      <c r="AZ169" s="2"/>
      <c r="BA169" s="154"/>
      <c r="BB169" s="155">
        <f t="shared" si="192"/>
        <v>120</v>
      </c>
      <c r="BC169" s="156">
        <f t="shared" si="193"/>
        <v>198.5131988212033</v>
      </c>
      <c r="BF169" s="50"/>
      <c r="BY169" s="50"/>
      <c r="CO169" s="50"/>
      <c r="DE169" s="50"/>
      <c r="DF169" s="146">
        <v>5</v>
      </c>
      <c r="DG169" s="166">
        <v>50000000</v>
      </c>
      <c r="DH169" s="168" t="e">
        <f t="shared" si="194"/>
        <v>#DIV/0!</v>
      </c>
      <c r="DL169" s="167">
        <f t="shared" si="195"/>
        <v>0</v>
      </c>
      <c r="DN169" s="172" t="s">
        <v>147</v>
      </c>
      <c r="DO169" s="174">
        <f>DG158</f>
        <v>44197</v>
      </c>
      <c r="DP169" s="154"/>
      <c r="DQ169" s="154"/>
      <c r="DR169" s="155">
        <f t="shared" si="188"/>
        <v>120</v>
      </c>
      <c r="DS169" s="154"/>
      <c r="DT169" s="154"/>
      <c r="DU169" s="156">
        <f t="shared" si="189"/>
        <v>190.99625</v>
      </c>
    </row>
    <row r="170" spans="10:125" x14ac:dyDescent="0.25">
      <c r="J170" s="86" t="str" cm="1">
        <f t="array" ref="J170">LOOKUP(2,1/($G$17:$G$33&lt;=$L170)/($H$17:$H$33&gt;=$L170),$F$17:$F$33)</f>
        <v>2H21</v>
      </c>
      <c r="K170" s="86" t="str" cm="1">
        <f t="array" ref="K170">LOOKUP(2,1/($G$6:$G$14&lt;=$L170)/($H$6:$H$14&gt;=$L170),$F$6:$F$14)</f>
        <v>FY21</v>
      </c>
      <c r="L170" s="118">
        <v>44313</v>
      </c>
      <c r="M170" s="49">
        <v>11537908.800393315</v>
      </c>
      <c r="N170" s="49">
        <v>15271576.08820059</v>
      </c>
      <c r="O170" s="50">
        <v>5000000</v>
      </c>
      <c r="P170" s="119" cm="1">
        <f t="array" ref="P170">LOOKUP(2,1/($B$10:$B$14&lt;=$L170)/($C$10:$C$14&gt;=$L170),$D$10:$D$14)</f>
        <v>1.1000000000000001</v>
      </c>
      <c r="Q170" s="120" cm="1">
        <f t="array" ref="Q170">LOOKUP(2,1/($B$17:$B$21&lt;=$L170)/($C$17:$C$21&gt;=$L170),$D$17:$D$21)</f>
        <v>134.49039999999999</v>
      </c>
      <c r="R170" s="113" t="str">
        <f t="shared" si="165"/>
        <v/>
      </c>
      <c r="S170" s="113" t="str">
        <f t="shared" si="166"/>
        <v>2H21</v>
      </c>
      <c r="T170" s="113" t="str">
        <f t="shared" ca="1" si="167"/>
        <v/>
      </c>
      <c r="U170" s="113" t="str">
        <f t="shared" si="168"/>
        <v/>
      </c>
      <c r="V170" s="113" t="str">
        <f t="shared" si="169"/>
        <v>FY21</v>
      </c>
      <c r="W170" s="113" t="str">
        <f t="shared" ca="1" si="170"/>
        <v/>
      </c>
      <c r="X170" s="50"/>
      <c r="Y170" s="146">
        <v>8</v>
      </c>
      <c r="Z170" s="202">
        <v>40000000</v>
      </c>
      <c r="AA170" s="167">
        <f t="shared" si="198"/>
        <v>32340324.863324862</v>
      </c>
      <c r="AC170" s="145">
        <v>33858200</v>
      </c>
      <c r="AD170" s="221">
        <f t="shared" si="199"/>
        <v>32.340324863324859</v>
      </c>
      <c r="AE170" s="167">
        <f t="shared" si="200"/>
        <v>3</v>
      </c>
      <c r="AF170" s="167"/>
      <c r="AH170">
        <f t="shared" si="190"/>
        <v>40</v>
      </c>
      <c r="AI170" s="228">
        <f t="shared" si="191"/>
        <v>32.340324863324859</v>
      </c>
      <c r="AJ170" s="204"/>
      <c r="AK170" s="228">
        <v>33.471495615615616</v>
      </c>
      <c r="AL170" s="57"/>
      <c r="AO170" s="57"/>
      <c r="AR170" s="50"/>
      <c r="AS170" s="146">
        <v>5</v>
      </c>
      <c r="AT170" s="166">
        <v>60000000</v>
      </c>
      <c r="AU170" s="167" t="e">
        <f t="shared" si="196"/>
        <v>#DIV/0!</v>
      </c>
      <c r="AV170" s="168"/>
      <c r="AW170" s="167">
        <f t="shared" si="197"/>
        <v>0</v>
      </c>
      <c r="AY170" s="172" t="s">
        <v>147</v>
      </c>
      <c r="AZ170" s="174">
        <f>AT159</f>
        <v>44652</v>
      </c>
      <c r="BA170" s="154"/>
      <c r="BB170" s="155">
        <f t="shared" si="192"/>
        <v>150</v>
      </c>
      <c r="BC170" s="156">
        <f t="shared" si="193"/>
        <v>254.125</v>
      </c>
      <c r="BF170" s="50"/>
      <c r="BY170" s="50"/>
      <c r="CO170" s="50"/>
      <c r="DE170" s="50"/>
      <c r="DF170" s="146">
        <v>6</v>
      </c>
      <c r="DG170" s="166">
        <v>80000000</v>
      </c>
      <c r="DH170" s="168" t="e">
        <f t="shared" si="194"/>
        <v>#DIV/0!</v>
      </c>
      <c r="DJ170" s="145">
        <v>107121000</v>
      </c>
      <c r="DK170" s="145">
        <v>110883000</v>
      </c>
      <c r="DL170" s="167">
        <f t="shared" si="195"/>
        <v>0</v>
      </c>
      <c r="DN170" s="172" t="s">
        <v>148</v>
      </c>
      <c r="DO170" s="174">
        <f>DI158</f>
        <v>44377</v>
      </c>
      <c r="DP170" s="154"/>
      <c r="DQ170" s="154"/>
      <c r="DR170" s="155">
        <f t="shared" si="188"/>
        <v>160</v>
      </c>
      <c r="DS170" s="154"/>
      <c r="DT170" s="154"/>
      <c r="DU170" s="156">
        <f t="shared" si="189"/>
        <v>248.09124999999997</v>
      </c>
    </row>
    <row r="171" spans="10:125" x14ac:dyDescent="0.25">
      <c r="J171" s="86" t="str" cm="1">
        <f t="array" ref="J171">LOOKUP(2,1/($G$17:$G$33&lt;=$L171)/($H$17:$H$33&gt;=$L171),$F$17:$F$33)</f>
        <v>2H21</v>
      </c>
      <c r="K171" s="86" t="str" cm="1">
        <f t="array" ref="K171">LOOKUP(2,1/($G$6:$G$14&lt;=$L171)/($H$6:$H$14&gt;=$L171),$F$6:$F$14)</f>
        <v>FY21</v>
      </c>
      <c r="L171" s="118">
        <v>44306</v>
      </c>
      <c r="M171" s="49">
        <v>8626582.7187807281</v>
      </c>
      <c r="N171" s="49">
        <v>11418144.886578171</v>
      </c>
      <c r="O171" s="50">
        <v>2000000</v>
      </c>
      <c r="P171" s="119" cm="1">
        <f t="array" ref="P171">LOOKUP(2,1/($B$10:$B$14&lt;=$L171)/($C$10:$C$14&gt;=$L171),$D$10:$D$14)</f>
        <v>1.1000000000000001</v>
      </c>
      <c r="Q171" s="120" cm="1">
        <f t="array" ref="Q171">LOOKUP(2,1/($B$17:$B$21&lt;=$L171)/($C$17:$C$21&gt;=$L171),$D$17:$D$21)</f>
        <v>134.49039999999999</v>
      </c>
      <c r="R171" s="113" t="str">
        <f t="shared" si="165"/>
        <v/>
      </c>
      <c r="S171" s="113" t="str">
        <f t="shared" si="166"/>
        <v>2H21</v>
      </c>
      <c r="T171" s="113" t="str">
        <f t="shared" ca="1" si="167"/>
        <v/>
      </c>
      <c r="U171" s="113" t="str">
        <f t="shared" si="168"/>
        <v/>
      </c>
      <c r="V171" s="113" t="str">
        <f t="shared" si="169"/>
        <v>FY21</v>
      </c>
      <c r="W171" s="113" t="str">
        <f t="shared" ca="1" si="170"/>
        <v/>
      </c>
      <c r="X171" s="50"/>
      <c r="Y171" s="146">
        <v>9</v>
      </c>
      <c r="Z171" s="202">
        <v>50000000</v>
      </c>
      <c r="AA171" s="167">
        <f t="shared" si="198"/>
        <v>42276012.012012005</v>
      </c>
      <c r="AB171" s="203"/>
      <c r="AC171" s="145">
        <v>40671200</v>
      </c>
      <c r="AD171" s="221">
        <f t="shared" si="199"/>
        <v>42.276012012012004</v>
      </c>
      <c r="AE171" s="167">
        <f t="shared" si="200"/>
        <v>2</v>
      </c>
      <c r="AF171" s="167"/>
      <c r="AH171">
        <f t="shared" si="190"/>
        <v>50</v>
      </c>
      <c r="AI171" s="228">
        <f t="shared" si="191"/>
        <v>42.276012012012004</v>
      </c>
      <c r="AJ171" s="204"/>
      <c r="AK171" s="228">
        <v>42.120598678678675</v>
      </c>
      <c r="AL171" s="57"/>
      <c r="AO171" s="57"/>
      <c r="AR171" s="50"/>
      <c r="AS171" s="146">
        <v>6</v>
      </c>
      <c r="AT171" s="166">
        <v>80000000</v>
      </c>
      <c r="AU171" s="167" t="e">
        <f t="shared" si="196"/>
        <v>#DIV/0!</v>
      </c>
      <c r="AV171" s="168"/>
      <c r="AW171" s="167">
        <f t="shared" si="197"/>
        <v>0</v>
      </c>
      <c r="AY171" s="172" t="s">
        <v>148</v>
      </c>
      <c r="AZ171" s="174">
        <f>AV159</f>
        <v>44868</v>
      </c>
      <c r="BA171" s="154"/>
      <c r="BB171" s="155">
        <f t="shared" si="192"/>
        <v>200</v>
      </c>
      <c r="BC171" s="156">
        <f t="shared" si="193"/>
        <v>341.91363636363639</v>
      </c>
      <c r="BF171" s="50"/>
      <c r="BY171" s="50"/>
      <c r="CO171" s="50"/>
      <c r="DE171" s="50"/>
      <c r="DF171" s="146">
        <v>7</v>
      </c>
      <c r="DG171" s="145">
        <v>100000000</v>
      </c>
      <c r="DH171" s="145"/>
      <c r="DI171" s="173">
        <f>IF($DG171&gt;=100000000,$DJ$160*DJ$163*DJ171+$DK$160*DK$163*DK171,DJ$163*DJ171+DK$163*DK171)</f>
        <v>162448750</v>
      </c>
      <c r="DJ171" s="145">
        <v>129959000</v>
      </c>
      <c r="DK171" s="145">
        <v>139102999.99999997</v>
      </c>
      <c r="DL171" s="146"/>
      <c r="DN171" s="172" t="s">
        <v>173</v>
      </c>
      <c r="DO171" s="177">
        <f>DI163</f>
        <v>1</v>
      </c>
      <c r="DP171" s="154"/>
      <c r="DQ171" s="154"/>
      <c r="DR171" s="155">
        <f t="shared" si="188"/>
        <v>200</v>
      </c>
      <c r="DS171" s="154"/>
      <c r="DT171" s="154"/>
      <c r="DU171" s="156">
        <f t="shared" si="189"/>
        <v>305.18624999999997</v>
      </c>
    </row>
    <row r="172" spans="10:125" x14ac:dyDescent="0.25">
      <c r="J172" s="86" t="str" cm="1">
        <f t="array" ref="J172">LOOKUP(2,1/($G$17:$G$33&lt;=$L172)/($H$17:$H$33&gt;=$L172),$F$17:$F$33)</f>
        <v>2H21</v>
      </c>
      <c r="K172" s="86" t="str" cm="1">
        <f t="array" ref="K172">LOOKUP(2,1/($G$6:$G$14&lt;=$L172)/($H$6:$H$14&gt;=$L172),$F$6:$F$14)</f>
        <v>FY21</v>
      </c>
      <c r="L172" s="118">
        <v>44299</v>
      </c>
      <c r="M172" s="49">
        <v>28355120.329400204</v>
      </c>
      <c r="N172" s="49">
        <v>37530837.267994106</v>
      </c>
      <c r="O172" s="50">
        <v>35000000</v>
      </c>
      <c r="P172" s="119" cm="1">
        <f t="array" ref="P172">LOOKUP(2,1/($B$10:$B$14&lt;=$L172)/($C$10:$C$14&gt;=$L172),$D$10:$D$14)</f>
        <v>1.1000000000000001</v>
      </c>
      <c r="Q172" s="120" cm="1">
        <f t="array" ref="Q172">LOOKUP(2,1/($B$17:$B$21&lt;=$L172)/($C$17:$C$21&gt;=$L172),$D$17:$D$21)</f>
        <v>134.49039999999999</v>
      </c>
      <c r="R172" s="113" t="str">
        <f t="shared" si="165"/>
        <v/>
      </c>
      <c r="S172" s="113" t="str">
        <f t="shared" si="166"/>
        <v>2H21</v>
      </c>
      <c r="T172" s="113" t="str">
        <f t="shared" ca="1" si="167"/>
        <v/>
      </c>
      <c r="U172" s="113" t="str">
        <f t="shared" si="168"/>
        <v/>
      </c>
      <c r="V172" s="113" t="str">
        <f t="shared" si="169"/>
        <v>FY21</v>
      </c>
      <c r="W172" s="113" t="str">
        <f t="shared" ca="1" si="170"/>
        <v/>
      </c>
      <c r="X172" s="50"/>
      <c r="Y172" s="146">
        <v>10</v>
      </c>
      <c r="Z172" s="202">
        <v>70000000</v>
      </c>
      <c r="AA172" s="167">
        <f t="shared" si="198"/>
        <v>68443644.721644714</v>
      </c>
      <c r="AB172" s="203"/>
      <c r="AC172" s="145">
        <v>54297200</v>
      </c>
      <c r="AD172" s="221">
        <f t="shared" si="199"/>
        <v>68.443644721644716</v>
      </c>
      <c r="AE172" s="167">
        <f t="shared" si="200"/>
        <v>1</v>
      </c>
      <c r="AF172" s="167"/>
      <c r="AH172">
        <f t="shared" si="190"/>
        <v>70</v>
      </c>
      <c r="AI172" s="228">
        <f t="shared" si="191"/>
        <v>68.443644721644716</v>
      </c>
      <c r="AJ172" s="204"/>
      <c r="AK172" s="228">
        <v>71.181390510510511</v>
      </c>
      <c r="AL172" s="57"/>
      <c r="AO172" s="57"/>
      <c r="AR172" s="50"/>
      <c r="AS172" s="146">
        <v>7</v>
      </c>
      <c r="AT172" s="166">
        <v>120000000</v>
      </c>
      <c r="AU172" s="146">
        <f>AU57*$AV$164</f>
        <v>198513198.82120329</v>
      </c>
      <c r="AV172" s="168"/>
      <c r="AW172" s="167">
        <f t="shared" si="197"/>
        <v>0</v>
      </c>
      <c r="AY172" s="176"/>
      <c r="AZ172" s="85"/>
      <c r="BA172" s="154"/>
      <c r="BB172" s="155">
        <f t="shared" si="192"/>
        <v>250</v>
      </c>
      <c r="BC172" s="156">
        <f>MAX(AU175:AV175)/1000000</f>
        <v>443.56363636363636</v>
      </c>
      <c r="BF172" s="50"/>
      <c r="BY172" s="50"/>
      <c r="CO172" s="50"/>
      <c r="DE172" s="50"/>
      <c r="DF172" s="146">
        <v>8</v>
      </c>
      <c r="DG172" s="145">
        <v>120000000</v>
      </c>
      <c r="DH172" s="145"/>
      <c r="DI172" s="173">
        <f>IF($DG172&gt;=100000000,$DJ$160*DJ$163*DJ172+$DK$160*DK$163*DK172,DJ$163*DJ172+DK$163*DK172)</f>
        <v>190996250</v>
      </c>
      <c r="DJ172" s="145">
        <v>152797000</v>
      </c>
      <c r="DK172" s="145">
        <v>169243000</v>
      </c>
      <c r="DL172" s="146"/>
      <c r="DN172" s="176"/>
      <c r="DO172" s="32"/>
      <c r="DP172" s="32"/>
      <c r="DQ172" s="32"/>
      <c r="DR172" s="32"/>
      <c r="DS172" s="32"/>
      <c r="DT172" s="32"/>
      <c r="DU172" s="183"/>
    </row>
    <row r="173" spans="10:125" x14ac:dyDescent="0.25">
      <c r="J173" s="86" t="str" cm="1">
        <f t="array" ref="J173">LOOKUP(2,1/($G$17:$G$33&lt;=$L173)/($H$17:$H$33&gt;=$L173),$F$17:$F$33)</f>
        <v>2H21</v>
      </c>
      <c r="K173" s="86" t="str" cm="1">
        <f t="array" ref="K173">LOOKUP(2,1/($G$6:$G$14&lt;=$L173)/($H$6:$H$14&gt;=$L173),$F$6:$F$14)</f>
        <v>FY21</v>
      </c>
      <c r="L173" s="118">
        <v>44292</v>
      </c>
      <c r="M173" s="49">
        <v>22806144.665683389</v>
      </c>
      <c r="N173" s="49">
        <v>30186213.079498529</v>
      </c>
      <c r="O173" s="50">
        <v>25000000</v>
      </c>
      <c r="P173" s="119" cm="1">
        <f t="array" ref="P173">LOOKUP(2,1/($B$10:$B$14&lt;=$L173)/($C$10:$C$14&gt;=$L173),$D$10:$D$14)</f>
        <v>1.1000000000000001</v>
      </c>
      <c r="Q173" s="120" cm="1">
        <f t="array" ref="Q173">LOOKUP(2,1/($B$17:$B$21&lt;=$L173)/($C$17:$C$21&gt;=$L173),$D$17:$D$21)</f>
        <v>134.49039999999999</v>
      </c>
      <c r="R173" s="113" t="str">
        <f t="shared" si="165"/>
        <v/>
      </c>
      <c r="S173" s="113" t="str">
        <f t="shared" si="166"/>
        <v>2H21</v>
      </c>
      <c r="T173" s="113" t="str">
        <f t="shared" ca="1" si="167"/>
        <v/>
      </c>
      <c r="U173" s="113" t="str">
        <f t="shared" si="168"/>
        <v/>
      </c>
      <c r="V173" s="113" t="str">
        <f t="shared" si="169"/>
        <v>FY21</v>
      </c>
      <c r="W173" s="113" t="str">
        <f t="shared" ca="1" si="170"/>
        <v/>
      </c>
      <c r="X173" s="50"/>
      <c r="Y173" s="146">
        <v>11</v>
      </c>
      <c r="Z173" s="202">
        <v>90000000</v>
      </c>
      <c r="AA173" s="167">
        <f t="shared" si="198"/>
        <v>101791079.34857933</v>
      </c>
      <c r="AB173" s="203"/>
      <c r="AC173" s="145">
        <v>67923200</v>
      </c>
      <c r="AD173" s="203">
        <f>AC173/1000000*1.3</f>
        <v>88.300159999999991</v>
      </c>
      <c r="AE173" s="167">
        <f t="shared" si="200"/>
        <v>1</v>
      </c>
      <c r="AF173" s="167"/>
      <c r="AH173">
        <f t="shared" si="190"/>
        <v>90</v>
      </c>
      <c r="AI173" s="228">
        <f t="shared" si="191"/>
        <v>88.300159999999991</v>
      </c>
      <c r="AJ173" s="204"/>
      <c r="AK173" s="228">
        <v>93.600000000000009</v>
      </c>
      <c r="AL173" s="57"/>
      <c r="AO173" s="57"/>
      <c r="AR173" s="50"/>
      <c r="AS173" s="146">
        <v>8</v>
      </c>
      <c r="AT173" s="145">
        <v>150000000</v>
      </c>
      <c r="AU173" s="145"/>
      <c r="AV173" s="145">
        <f>AV58*$AV$164</f>
        <v>254125000</v>
      </c>
      <c r="AW173" s="146"/>
      <c r="AY173" s="176"/>
      <c r="AZ173" s="32"/>
      <c r="BA173" s="32"/>
      <c r="BB173" s="32"/>
      <c r="BC173" s="183"/>
      <c r="BF173" s="50"/>
      <c r="BY173" s="50"/>
      <c r="CO173" s="50"/>
      <c r="DE173" s="50"/>
      <c r="DF173" s="146">
        <v>9</v>
      </c>
      <c r="DG173" s="145">
        <v>160000000</v>
      </c>
      <c r="DH173" s="145"/>
      <c r="DI173" s="173">
        <f>IF($DG173&gt;=100000000,$DJ$160*DJ$163*DJ173+$DK$160*DK$163*DK173,DJ$163*DJ173+DK$163*DK173)</f>
        <v>248091249.99999997</v>
      </c>
      <c r="DJ173" s="145">
        <v>198472999.99999997</v>
      </c>
      <c r="DK173" s="145">
        <v>235283000</v>
      </c>
      <c r="DL173" s="146"/>
      <c r="DN173" s="186"/>
      <c r="DO173" s="2"/>
      <c r="DP173" s="2"/>
      <c r="DQ173" s="2"/>
      <c r="DR173" s="2"/>
      <c r="DS173" s="2"/>
      <c r="DT173" s="2"/>
      <c r="DU173" s="187"/>
    </row>
    <row r="174" spans="10:125" x14ac:dyDescent="0.25">
      <c r="J174" s="86" t="str" cm="1">
        <f t="array" ref="J174">LOOKUP(2,1/($G$17:$G$33&lt;=$L174)/($H$17:$H$33&gt;=$L174),$F$17:$F$33)</f>
        <v>2H21</v>
      </c>
      <c r="K174" s="86" t="str" cm="1">
        <f t="array" ref="K174">LOOKUP(2,1/($G$6:$G$14&lt;=$L174)/($H$6:$H$14&gt;=$L174),$F$6:$F$14)</f>
        <v>FY21</v>
      </c>
      <c r="L174" s="118">
        <v>44285</v>
      </c>
      <c r="M174" s="49">
        <v>19457857.669616524</v>
      </c>
      <c r="N174" s="49">
        <v>25754420.411504429</v>
      </c>
      <c r="O174" s="50">
        <v>15000000</v>
      </c>
      <c r="P174" s="119" cm="1">
        <f t="array" ref="P174">LOOKUP(2,1/($B$10:$B$14&lt;=$L174)/($C$10:$C$14&gt;=$L174),$D$10:$D$14)</f>
        <v>1.1000000000000001</v>
      </c>
      <c r="Q174" s="120" cm="1">
        <f t="array" ref="Q174">LOOKUP(2,1/($B$17:$B$21&lt;=$L174)/($C$17:$C$21&gt;=$L174),$D$17:$D$21)</f>
        <v>134.49039999999999</v>
      </c>
      <c r="R174" s="113" t="str">
        <f t="shared" si="165"/>
        <v/>
      </c>
      <c r="S174" s="113" t="str">
        <f t="shared" si="166"/>
        <v>2H21</v>
      </c>
      <c r="T174" s="113" t="str">
        <f t="shared" ca="1" si="167"/>
        <v/>
      </c>
      <c r="U174" s="113" t="str">
        <f t="shared" si="168"/>
        <v/>
      </c>
      <c r="V174" s="113" t="str">
        <f t="shared" si="169"/>
        <v>FY21</v>
      </c>
      <c r="W174" s="113" t="str">
        <f t="shared" ca="1" si="170"/>
        <v/>
      </c>
      <c r="X174" s="50"/>
      <c r="Y174" s="146">
        <v>12</v>
      </c>
      <c r="Z174" s="202">
        <v>120000000</v>
      </c>
      <c r="AA174" s="167" t="e">
        <f t="shared" si="198"/>
        <v>#DIV/0!</v>
      </c>
      <c r="AB174" s="203"/>
      <c r="AC174" s="145">
        <v>88362200</v>
      </c>
      <c r="AD174" s="203">
        <f>AC174/1000000*1.3</f>
        <v>114.87086000000001</v>
      </c>
      <c r="AE174" s="167">
        <f t="shared" si="200"/>
        <v>0</v>
      </c>
      <c r="AF174" s="167"/>
      <c r="AH174">
        <f t="shared" si="190"/>
        <v>120</v>
      </c>
      <c r="AI174" s="228">
        <f t="shared" si="191"/>
        <v>114.87086000000001</v>
      </c>
      <c r="AJ174" s="204"/>
      <c r="AK174" s="228">
        <v>137.28</v>
      </c>
      <c r="AL174" s="57"/>
      <c r="AO174" s="57"/>
      <c r="AR174" s="50"/>
      <c r="AS174" s="146">
        <v>9</v>
      </c>
      <c r="AT174" s="145">
        <v>200000000</v>
      </c>
      <c r="AU174" s="145"/>
      <c r="AV174" s="145">
        <f>AV59*$AV$164</f>
        <v>341913636.36363637</v>
      </c>
      <c r="AW174" s="146"/>
      <c r="AY174" s="186"/>
      <c r="AZ174" s="2"/>
      <c r="BA174" s="2"/>
      <c r="BB174" s="2"/>
      <c r="BC174" s="187"/>
      <c r="BF174" s="50"/>
      <c r="BY174" s="50"/>
      <c r="CO174" s="50"/>
      <c r="DE174" s="50"/>
      <c r="DF174" s="146">
        <v>10</v>
      </c>
      <c r="DG174" s="145">
        <v>200000000</v>
      </c>
      <c r="DH174" s="145"/>
      <c r="DI174" s="173">
        <f>IF($DG174&gt;=100000000,$DJ$160*DJ$163*DJ174+$DK$160*DK$163*DK174,DJ$163*DJ174+DK$163*DK174)</f>
        <v>305186250</v>
      </c>
      <c r="DJ174" s="145">
        <v>244149000</v>
      </c>
      <c r="DK174" s="145">
        <v>309002999.99999994</v>
      </c>
      <c r="DL174" s="146"/>
      <c r="DN174" s="189"/>
      <c r="DO174" s="190"/>
      <c r="DP174" s="190"/>
      <c r="DQ174" s="190"/>
      <c r="DR174" s="190"/>
      <c r="DS174" s="190"/>
      <c r="DT174" s="190"/>
      <c r="DU174" s="191"/>
    </row>
    <row r="175" spans="10:125" x14ac:dyDescent="0.25">
      <c r="J175" s="86" t="str" cm="1">
        <f t="array" ref="J175">LOOKUP(2,1/($G$17:$G$33&lt;=$L175)/($H$17:$H$33&gt;=$L175),$F$17:$F$33)</f>
        <v>2H21</v>
      </c>
      <c r="K175" s="86" t="str" cm="1">
        <f t="array" ref="K175">LOOKUP(2,1/($G$6:$G$14&lt;=$L175)/($H$6:$H$14&gt;=$L175),$F$6:$F$14)</f>
        <v>FY21</v>
      </c>
      <c r="L175" s="118">
        <v>44278</v>
      </c>
      <c r="M175" s="49">
        <v>11687564.282202559</v>
      </c>
      <c r="N175" s="49">
        <v>15469660.083923304</v>
      </c>
      <c r="O175" s="50">
        <v>5000000</v>
      </c>
      <c r="P175" s="119" cm="1">
        <f t="array" ref="P175">LOOKUP(2,1/($B$10:$B$14&lt;=$L175)/($C$10:$C$14&gt;=$L175),$D$10:$D$14)</f>
        <v>1.1000000000000001</v>
      </c>
      <c r="Q175" s="120" cm="1">
        <f t="array" ref="Q175">LOOKUP(2,1/($B$17:$B$21&lt;=$L175)/($C$17:$C$21&gt;=$L175),$D$17:$D$21)</f>
        <v>134.49039999999999</v>
      </c>
      <c r="R175" s="113" t="str">
        <f t="shared" si="165"/>
        <v/>
      </c>
      <c r="S175" s="113" t="str">
        <f t="shared" si="166"/>
        <v>2H21</v>
      </c>
      <c r="T175" s="113" t="str">
        <f t="shared" ca="1" si="167"/>
        <v/>
      </c>
      <c r="U175" s="113" t="str">
        <f t="shared" si="168"/>
        <v/>
      </c>
      <c r="V175" s="113" t="str">
        <f t="shared" si="169"/>
        <v>FY21</v>
      </c>
      <c r="W175" s="113" t="str">
        <f t="shared" ca="1" si="170"/>
        <v/>
      </c>
      <c r="X175" s="50"/>
      <c r="Y175" s="146">
        <v>13</v>
      </c>
      <c r="Z175" s="202">
        <v>150000000</v>
      </c>
      <c r="AA175" s="167" t="e">
        <f t="shared" si="198"/>
        <v>#DIV/0!</v>
      </c>
      <c r="AB175" s="203"/>
      <c r="AC175" s="145">
        <v>108801200.00000001</v>
      </c>
      <c r="AD175" s="203">
        <f t="shared" ref="AD175:AD184" si="201">AC175/1000000*1.3</f>
        <v>141.44156000000001</v>
      </c>
      <c r="AE175" s="167">
        <f t="shared" si="200"/>
        <v>0</v>
      </c>
      <c r="AF175" s="167"/>
      <c r="AH175">
        <f t="shared" si="190"/>
        <v>150</v>
      </c>
      <c r="AI175" s="228">
        <f t="shared" si="191"/>
        <v>141.44156000000001</v>
      </c>
      <c r="AJ175" s="204"/>
      <c r="AK175" s="228">
        <v>150.80000000000001</v>
      </c>
      <c r="AL175" s="57"/>
      <c r="AO175" s="57"/>
      <c r="AR175" s="50"/>
      <c r="AS175" s="146">
        <v>10</v>
      </c>
      <c r="AT175" s="145">
        <v>250000000</v>
      </c>
      <c r="AU175" s="145"/>
      <c r="AV175" s="145">
        <f>AV60*$AV$164</f>
        <v>443563636.36363637</v>
      </c>
      <c r="AW175" s="146"/>
      <c r="AY175" s="189"/>
      <c r="AZ175" s="190"/>
      <c r="BA175" s="190"/>
      <c r="BB175" s="190"/>
      <c r="BC175" s="191"/>
      <c r="BF175" s="50"/>
      <c r="BY175" s="50"/>
      <c r="CO175" s="50"/>
      <c r="DE175" s="50"/>
    </row>
    <row r="176" spans="10:125" x14ac:dyDescent="0.25">
      <c r="J176" s="86" t="str" cm="1">
        <f t="array" ref="J176">LOOKUP(2,1/($G$17:$G$33&lt;=$L176)/($H$17:$H$33&gt;=$L176),$F$17:$F$33)</f>
        <v>2H21</v>
      </c>
      <c r="K176" s="86" t="str" cm="1">
        <f t="array" ref="K176">LOOKUP(2,1/($G$6:$G$14&lt;=$L176)/($H$6:$H$14&gt;=$L176),$F$6:$F$14)</f>
        <v>FY21</v>
      </c>
      <c r="L176" s="118">
        <v>44271</v>
      </c>
      <c r="M176" s="49">
        <v>8770426.3765978385</v>
      </c>
      <c r="N176" s="49">
        <v>11608536.352064898</v>
      </c>
      <c r="O176" s="50">
        <v>2000000</v>
      </c>
      <c r="P176" s="119" cm="1">
        <f t="array" ref="P176">LOOKUP(2,1/($B$10:$B$14&lt;=$L176)/($C$10:$C$14&gt;=$L176),$D$10:$D$14)</f>
        <v>1.1000000000000001</v>
      </c>
      <c r="Q176" s="120" cm="1">
        <f t="array" ref="Q176">LOOKUP(2,1/($B$17:$B$21&lt;=$L176)/($C$17:$C$21&gt;=$L176),$D$17:$D$21)</f>
        <v>134.49039999999999</v>
      </c>
      <c r="R176" s="113" t="str">
        <f t="shared" si="165"/>
        <v/>
      </c>
      <c r="S176" s="113" t="str">
        <f t="shared" si="166"/>
        <v>2H21</v>
      </c>
      <c r="T176" s="113" t="str">
        <f t="shared" ca="1" si="167"/>
        <v/>
      </c>
      <c r="U176" s="113" t="str">
        <f t="shared" si="168"/>
        <v/>
      </c>
      <c r="V176" s="113" t="str">
        <f t="shared" si="169"/>
        <v>FY21</v>
      </c>
      <c r="W176" s="113" t="str">
        <f t="shared" ca="1" si="170"/>
        <v/>
      </c>
      <c r="X176" s="50"/>
      <c r="Y176" s="146">
        <v>14</v>
      </c>
      <c r="Z176" s="202">
        <v>200000000</v>
      </c>
      <c r="AA176" s="167" t="e">
        <f t="shared" si="198"/>
        <v>#DIV/0!</v>
      </c>
      <c r="AB176" s="203"/>
      <c r="AC176" s="145">
        <v>142866200</v>
      </c>
      <c r="AD176" s="203">
        <f t="shared" si="201"/>
        <v>185.72605999999999</v>
      </c>
      <c r="AE176" s="167">
        <f t="shared" si="200"/>
        <v>0</v>
      </c>
      <c r="AF176" s="167"/>
      <c r="AH176">
        <f>Z176/1000000</f>
        <v>200</v>
      </c>
      <c r="AI176" s="228">
        <f t="shared" si="191"/>
        <v>185.72605999999999</v>
      </c>
      <c r="AJ176" s="204"/>
      <c r="AK176" s="228">
        <v>208</v>
      </c>
      <c r="AL176" s="57"/>
      <c r="AO176" s="57"/>
      <c r="AR176" s="50"/>
      <c r="AS176" s="192"/>
      <c r="AX176" s="105"/>
      <c r="AY176" s="105"/>
      <c r="AZ176" s="105"/>
      <c r="BA176" s="105"/>
      <c r="BB176" s="105"/>
      <c r="BC176" s="105"/>
      <c r="BD176" s="105"/>
      <c r="BE176" s="105"/>
      <c r="BF176" s="50"/>
      <c r="BY176" s="50"/>
      <c r="CO176" s="50"/>
      <c r="DE176" s="50"/>
      <c r="DF176" s="125" t="s">
        <v>53</v>
      </c>
      <c r="DG176" s="126"/>
      <c r="DH176" s="126"/>
      <c r="DI176" s="126"/>
      <c r="DJ176" s="126"/>
      <c r="DK176" s="126"/>
      <c r="DL176" s="126"/>
      <c r="DM176" s="126"/>
      <c r="DN176" s="126"/>
      <c r="DO176" s="126"/>
      <c r="DP176" s="126"/>
      <c r="DQ176" s="126"/>
      <c r="DR176" s="126"/>
      <c r="DS176" s="126"/>
      <c r="DT176" s="126"/>
      <c r="DU176" s="126"/>
    </row>
    <row r="177" spans="10:125" x14ac:dyDescent="0.25">
      <c r="J177" s="86" t="str" cm="1">
        <f t="array" ref="J177">LOOKUP(2,1/($G$17:$G$33&lt;=$L177)/($H$17:$H$33&gt;=$L177),$F$17:$F$33)</f>
        <v>2H21</v>
      </c>
      <c r="K177" s="86" t="str" cm="1">
        <f t="array" ref="K177">LOOKUP(2,1/($G$6:$G$14&lt;=$L177)/($H$6:$H$14&gt;=$L177),$F$6:$F$14)</f>
        <v>FY21</v>
      </c>
      <c r="L177" s="118">
        <v>44264</v>
      </c>
      <c r="M177" s="49">
        <v>30617725.417895779</v>
      </c>
      <c r="N177" s="49">
        <v>40525621.363126852</v>
      </c>
      <c r="O177" s="50">
        <v>30000000</v>
      </c>
      <c r="P177" s="119" cm="1">
        <f t="array" ref="P177">LOOKUP(2,1/($B$10:$B$14&lt;=$L177)/($C$10:$C$14&gt;=$L177),$D$10:$D$14)</f>
        <v>1.1000000000000001</v>
      </c>
      <c r="Q177" s="120" cm="1">
        <f t="array" ref="Q177">LOOKUP(2,1/($B$17:$B$21&lt;=$L177)/($C$17:$C$21&gt;=$L177),$D$17:$D$21)</f>
        <v>134.49039999999999</v>
      </c>
      <c r="R177" s="113" t="str">
        <f t="shared" si="165"/>
        <v/>
      </c>
      <c r="S177" s="113" t="str">
        <f t="shared" si="166"/>
        <v>2H21</v>
      </c>
      <c r="T177" s="113" t="str">
        <f t="shared" ca="1" si="167"/>
        <v/>
      </c>
      <c r="U177" s="113" t="str">
        <f t="shared" si="168"/>
        <v/>
      </c>
      <c r="V177" s="113" t="str">
        <f t="shared" si="169"/>
        <v>FY21</v>
      </c>
      <c r="W177" s="113" t="str">
        <f t="shared" ca="1" si="170"/>
        <v/>
      </c>
      <c r="X177" s="50"/>
      <c r="Y177" s="146">
        <v>15</v>
      </c>
      <c r="Z177" s="145">
        <v>220000000</v>
      </c>
      <c r="AA177" s="145">
        <v>380000000</v>
      </c>
      <c r="AB177" s="203"/>
      <c r="AC177" s="145">
        <v>281996999.99999994</v>
      </c>
      <c r="AD177" s="203">
        <f t="shared" si="201"/>
        <v>366.59609999999998</v>
      </c>
      <c r="AE177" s="167">
        <f>COUNTIFS($L:$L,"&gt;="&amp;Z$159,$L:$L,"&lt;="&amp;AB$159,$O:$O,"="&amp;#REF!)</f>
        <v>0</v>
      </c>
      <c r="AF177" s="167"/>
      <c r="AH177" s="207"/>
      <c r="AI177" s="205"/>
      <c r="AJ177" s="204"/>
      <c r="AL177" s="57"/>
      <c r="AO177" s="57"/>
      <c r="AR177" s="50"/>
      <c r="BF177" s="50"/>
      <c r="BY177" s="50"/>
      <c r="CO177" s="50"/>
      <c r="DE177" s="50"/>
      <c r="DF177" s="114" t="s">
        <v>147</v>
      </c>
      <c r="DG177" s="115">
        <v>44378</v>
      </c>
      <c r="DH177" s="114" t="s">
        <v>148</v>
      </c>
      <c r="DI177" s="115">
        <v>44561</v>
      </c>
      <c r="DJ177" s="132"/>
      <c r="DK177" s="132"/>
      <c r="DL177" s="132"/>
      <c r="DM177" s="133"/>
      <c r="DN177" s="133"/>
      <c r="DO177" s="133"/>
      <c r="DP177" s="133"/>
      <c r="DQ177" s="133"/>
      <c r="DR177" s="133"/>
      <c r="DS177" s="133"/>
      <c r="DT177" s="133"/>
      <c r="DU177" s="133"/>
    </row>
    <row r="178" spans="10:125" x14ac:dyDescent="0.25">
      <c r="J178" s="86" t="str" cm="1">
        <f t="array" ref="J178">LOOKUP(2,1/($G$17:$G$33&lt;=$L178)/($H$17:$H$33&gt;=$L178),$F$17:$F$33)</f>
        <v>2H21</v>
      </c>
      <c r="K178" s="86" t="str" cm="1">
        <f t="array" ref="K178">LOOKUP(2,1/($G$6:$G$14&lt;=$L178)/($H$6:$H$14&gt;=$L178),$F$6:$F$14)</f>
        <v>FY21</v>
      </c>
      <c r="L178" s="118">
        <v>44257</v>
      </c>
      <c r="M178" s="49">
        <v>25277055.678466085</v>
      </c>
      <c r="N178" s="49">
        <v>33456710.896017708</v>
      </c>
      <c r="O178" s="50">
        <v>20000000</v>
      </c>
      <c r="P178" s="119" cm="1">
        <f t="array" ref="P178">LOOKUP(2,1/($B$10:$B$14&lt;=$L178)/($C$10:$C$14&gt;=$L178),$D$10:$D$14)</f>
        <v>1.1000000000000001</v>
      </c>
      <c r="Q178" s="120" cm="1">
        <f t="array" ref="Q178">LOOKUP(2,1/($B$17:$B$21&lt;=$L178)/($C$17:$C$21&gt;=$L178),$D$17:$D$21)</f>
        <v>134.49039999999999</v>
      </c>
      <c r="R178" s="113" t="str">
        <f t="shared" si="165"/>
        <v/>
      </c>
      <c r="S178" s="113" t="str">
        <f t="shared" si="166"/>
        <v>2H21</v>
      </c>
      <c r="T178" s="113" t="str">
        <f t="shared" ca="1" si="167"/>
        <v/>
      </c>
      <c r="U178" s="113" t="str">
        <f t="shared" si="168"/>
        <v/>
      </c>
      <c r="V178" s="113" t="str">
        <f t="shared" si="169"/>
        <v>FY21</v>
      </c>
      <c r="W178" s="113" t="str">
        <f t="shared" ca="1" si="170"/>
        <v/>
      </c>
      <c r="X178" s="50"/>
      <c r="Y178" s="146">
        <v>16</v>
      </c>
      <c r="Z178" s="145">
        <v>250000000</v>
      </c>
      <c r="AA178" s="145">
        <v>450000000</v>
      </c>
      <c r="AB178" s="203"/>
      <c r="AC178" s="145">
        <v>318102000</v>
      </c>
      <c r="AD178" s="203">
        <f t="shared" si="201"/>
        <v>413.5326</v>
      </c>
      <c r="AE178" s="167">
        <f t="shared" ref="AE178:AE184" si="202">COUNTIFS($L:$L,"&gt;="&amp;Z$159,$L:$L,"&lt;="&amp;AB$159,$O:$O,"="&amp;Z177)</f>
        <v>0</v>
      </c>
      <c r="AF178" s="167"/>
      <c r="AH178" s="207"/>
      <c r="AI178" s="207"/>
      <c r="AJ178" s="207"/>
      <c r="AK178" s="207"/>
      <c r="AR178" s="50"/>
      <c r="AS178" s="197" t="s">
        <v>228</v>
      </c>
      <c r="AT178" s="198"/>
      <c r="AU178" s="198"/>
      <c r="AV178" s="198"/>
      <c r="AW178" s="198"/>
      <c r="AX178" s="198"/>
      <c r="AY178" s="198"/>
      <c r="AZ178" s="198"/>
      <c r="BA178" s="198"/>
      <c r="BB178" s="198"/>
      <c r="BC178" s="198"/>
      <c r="BD178" s="198"/>
      <c r="BE178" s="198"/>
      <c r="BF178" s="50"/>
      <c r="BY178" s="50"/>
      <c r="CO178" s="50"/>
      <c r="DE178" s="50"/>
      <c r="DF178" s="114" t="s">
        <v>159</v>
      </c>
      <c r="DG178" s="115" t="s">
        <v>53</v>
      </c>
      <c r="DH178" s="114" t="s">
        <v>161</v>
      </c>
      <c r="DI178" s="134" t="str" cm="1">
        <f t="array" ref="DI178">IF(OR(LOOKUP(2,1/($B$10:$B$14&lt;=DI177)/($C$10:$C$14&gt;=DI177),$D$10:$D$14)&lt;&gt;DG181,LOOKUP(2,1/($B$6:$B$7&lt;=DI177)/($C$6:$C$7&gt;=DI177),$D$6:$D$7)&lt;&gt;DI181),"FAIL","PASS")</f>
        <v>PASS</v>
      </c>
      <c r="DJ178" s="134" t="s">
        <v>162</v>
      </c>
      <c r="DK178" s="134" t="s">
        <v>162</v>
      </c>
      <c r="DL178" s="134"/>
      <c r="DM178" s="133"/>
      <c r="DN178" s="133"/>
      <c r="DO178" s="133"/>
      <c r="DP178" s="133"/>
      <c r="DQ178" s="133"/>
      <c r="DR178" s="133"/>
      <c r="DS178" s="133"/>
      <c r="DT178" s="133"/>
      <c r="DU178" s="133"/>
    </row>
    <row r="179" spans="10:125" x14ac:dyDescent="0.25">
      <c r="J179" s="86" t="str" cm="1">
        <f t="array" ref="J179">LOOKUP(2,1/($G$17:$G$33&lt;=$L179)/($H$17:$H$33&gt;=$L179),$F$17:$F$33)</f>
        <v>2H21</v>
      </c>
      <c r="K179" s="86" t="str" cm="1">
        <f t="array" ref="K179">LOOKUP(2,1/($G$6:$G$14&lt;=$L179)/($H$6:$H$14&gt;=$L179),$F$6:$F$14)</f>
        <v>FY21</v>
      </c>
      <c r="L179" s="118">
        <v>44250</v>
      </c>
      <c r="M179" s="49">
        <v>19346708.579154383</v>
      </c>
      <c r="N179" s="49">
        <v>25607303.475368738</v>
      </c>
      <c r="O179" s="50">
        <v>10000000</v>
      </c>
      <c r="P179" s="119" cm="1">
        <f t="array" ref="P179">LOOKUP(2,1/($B$10:$B$14&lt;=$L179)/($C$10:$C$14&gt;=$L179),$D$10:$D$14)</f>
        <v>1.1000000000000001</v>
      </c>
      <c r="Q179" s="120" cm="1">
        <f t="array" ref="Q179">LOOKUP(2,1/($B$17:$B$21&lt;=$L179)/($C$17:$C$21&gt;=$L179),$D$17:$D$21)</f>
        <v>134.49039999999999</v>
      </c>
      <c r="R179" s="113" t="str">
        <f t="shared" si="165"/>
        <v/>
      </c>
      <c r="S179" s="113" t="str">
        <f t="shared" si="166"/>
        <v>2H21</v>
      </c>
      <c r="T179" s="113" t="str">
        <f t="shared" ca="1" si="167"/>
        <v/>
      </c>
      <c r="U179" s="113" t="str">
        <f t="shared" si="168"/>
        <v/>
      </c>
      <c r="V179" s="113" t="str">
        <f t="shared" si="169"/>
        <v>FY21</v>
      </c>
      <c r="W179" s="113" t="str">
        <f t="shared" ca="1" si="170"/>
        <v/>
      </c>
      <c r="X179" s="50"/>
      <c r="Y179" s="146">
        <v>17</v>
      </c>
      <c r="Z179" s="145">
        <v>300000000</v>
      </c>
      <c r="AA179" s="145">
        <v>550000000</v>
      </c>
      <c r="AB179" s="203"/>
      <c r="AC179" s="145">
        <v>378277000</v>
      </c>
      <c r="AD179" s="203">
        <f t="shared" si="201"/>
        <v>491.76010000000002</v>
      </c>
      <c r="AE179" s="167">
        <f t="shared" si="202"/>
        <v>0</v>
      </c>
      <c r="AF179" s="167"/>
      <c r="AH179" s="207"/>
      <c r="AI179" s="205"/>
      <c r="AJ179" s="204"/>
      <c r="AK179" s="205"/>
      <c r="AL179" s="57"/>
      <c r="AO179" s="57"/>
      <c r="AR179" s="50"/>
      <c r="AS179" s="114" t="s">
        <v>147</v>
      </c>
      <c r="AT179" s="115">
        <v>44652</v>
      </c>
      <c r="AU179" s="114" t="s">
        <v>148</v>
      </c>
      <c r="AV179" s="115">
        <v>44868</v>
      </c>
      <c r="AW179" s="132"/>
      <c r="AX179" s="133"/>
      <c r="AY179" s="133"/>
      <c r="AZ179" s="133"/>
      <c r="BA179" s="133"/>
      <c r="BB179" s="133"/>
      <c r="BC179" s="133"/>
      <c r="BD179" s="133"/>
      <c r="BE179" s="133"/>
      <c r="BF179" s="50"/>
      <c r="BY179" s="50"/>
      <c r="CO179" s="50"/>
      <c r="DE179" s="50"/>
      <c r="DF179" s="114" t="s">
        <v>165</v>
      </c>
      <c r="DG179" s="134">
        <f>INDEX($G:$G,MATCH(DG178,$F:$F,0))</f>
        <v>44378</v>
      </c>
      <c r="DH179" s="114" t="s">
        <v>166</v>
      </c>
      <c r="DI179" s="134">
        <f>INDEX($H:$H,MATCH(DG178,$F:$F,0))</f>
        <v>44561</v>
      </c>
      <c r="DJ179" s="135">
        <v>1.25</v>
      </c>
      <c r="DK179" s="135">
        <v>1</v>
      </c>
      <c r="DL179" s="134"/>
      <c r="DN179" s="136" t="s">
        <v>167</v>
      </c>
      <c r="DO179" s="137"/>
      <c r="DP179" s="137"/>
      <c r="DQ179" s="137"/>
      <c r="DR179" s="138"/>
      <c r="DS179" s="137"/>
      <c r="DT179" s="137"/>
      <c r="DU179" s="139"/>
    </row>
    <row r="180" spans="10:125" x14ac:dyDescent="0.25">
      <c r="J180" s="86" t="str" cm="1">
        <f t="array" ref="J180">LOOKUP(2,1/($G$17:$G$33&lt;=$L180)/($H$17:$H$33&gt;=$L180),$F$17:$F$33)</f>
        <v>2H21</v>
      </c>
      <c r="K180" s="86" t="str" cm="1">
        <f t="array" ref="K180">LOOKUP(2,1/($G$6:$G$14&lt;=$L180)/($H$6:$H$14&gt;=$L180),$F$6:$F$14)</f>
        <v>FY21</v>
      </c>
      <c r="L180" s="118">
        <v>44243</v>
      </c>
      <c r="M180" s="49">
        <v>10839589.724680433</v>
      </c>
      <c r="N180" s="49">
        <v>14347280.959587021</v>
      </c>
      <c r="O180" s="50">
        <v>5000000</v>
      </c>
      <c r="P180" s="119" cm="1">
        <f t="array" ref="P180">LOOKUP(2,1/($B$10:$B$14&lt;=$L180)/($C$10:$C$14&gt;=$L180),$D$10:$D$14)</f>
        <v>1.1000000000000001</v>
      </c>
      <c r="Q180" s="120" cm="1">
        <f t="array" ref="Q180">LOOKUP(2,1/($B$17:$B$21&lt;=$L180)/($C$17:$C$21&gt;=$L180),$D$17:$D$21)</f>
        <v>134.49039999999999</v>
      </c>
      <c r="R180" s="113" t="str">
        <f t="shared" si="165"/>
        <v/>
      </c>
      <c r="S180" s="113" t="str">
        <f t="shared" si="166"/>
        <v>2H21</v>
      </c>
      <c r="T180" s="113" t="str">
        <f t="shared" ca="1" si="167"/>
        <v/>
      </c>
      <c r="U180" s="113" t="str">
        <f t="shared" si="168"/>
        <v/>
      </c>
      <c r="V180" s="113" t="str">
        <f t="shared" si="169"/>
        <v>FY21</v>
      </c>
      <c r="W180" s="113" t="str">
        <f t="shared" ca="1" si="170"/>
        <v/>
      </c>
      <c r="X180" s="50"/>
      <c r="Y180" s="146">
        <v>18</v>
      </c>
      <c r="Z180" s="145">
        <v>350000000</v>
      </c>
      <c r="AA180" s="145">
        <v>650000000</v>
      </c>
      <c r="AB180" s="203"/>
      <c r="AC180" s="145">
        <v>438452000</v>
      </c>
      <c r="AD180" s="203">
        <f t="shared" si="201"/>
        <v>569.98760000000004</v>
      </c>
      <c r="AE180" s="167">
        <f t="shared" si="202"/>
        <v>0</v>
      </c>
      <c r="AF180" s="167"/>
      <c r="AH180" s="207"/>
      <c r="AI180" s="205"/>
      <c r="AJ180" s="204"/>
      <c r="AK180" s="205"/>
      <c r="AL180" s="57"/>
      <c r="AO180" s="57"/>
      <c r="AR180" s="50"/>
      <c r="AS180" s="114" t="s">
        <v>159</v>
      </c>
      <c r="AT180" s="115" t="s">
        <v>181</v>
      </c>
      <c r="AU180" s="114" t="s">
        <v>161</v>
      </c>
      <c r="AV180" s="115" t="s">
        <v>163</v>
      </c>
      <c r="AW180" s="134"/>
      <c r="AX180" s="133"/>
      <c r="AY180" s="133"/>
      <c r="AZ180" s="133"/>
      <c r="BA180" s="133"/>
      <c r="BB180" s="133"/>
      <c r="BC180" s="133"/>
      <c r="BD180" s="133"/>
      <c r="BE180" s="133"/>
      <c r="BF180" s="50"/>
      <c r="BY180" s="50"/>
      <c r="CO180" s="50"/>
      <c r="DE180" s="50"/>
      <c r="DF180" s="114" t="s">
        <v>91</v>
      </c>
      <c r="DG180" s="140">
        <f>INDEX($O:$O,MATCH(DG178,$R:$R,0))</f>
        <v>20000000</v>
      </c>
      <c r="DH180" s="114" t="s">
        <v>76</v>
      </c>
      <c r="DI180" s="140">
        <f ca="1">INDEX($O:$O,MATCH(DG178,$T:$T,0))</f>
        <v>10000000</v>
      </c>
      <c r="DJ180" s="140"/>
      <c r="DK180" s="140"/>
      <c r="DL180" s="140"/>
      <c r="DN180" s="147" t="s">
        <v>165</v>
      </c>
      <c r="DO180" s="148">
        <f>DG179</f>
        <v>44378</v>
      </c>
      <c r="DP180" s="142"/>
      <c r="DQ180" s="142"/>
      <c r="DR180" s="143" t="s">
        <v>15</v>
      </c>
      <c r="DS180" s="142"/>
      <c r="DT180" s="142"/>
      <c r="DU180" s="144" t="s">
        <v>139</v>
      </c>
    </row>
    <row r="181" spans="10:125" x14ac:dyDescent="0.25">
      <c r="J181" s="86" t="str" cm="1">
        <f t="array" ref="J181">LOOKUP(2,1/($G$17:$G$33&lt;=$L181)/($H$17:$H$33&gt;=$L181),$F$17:$F$33)</f>
        <v>2H21</v>
      </c>
      <c r="K181" s="86" t="str" cm="1">
        <f t="array" ref="K181">LOOKUP(2,1/($G$6:$G$14&lt;=$L181)/($H$6:$H$14&gt;=$L181),$F$6:$F$14)</f>
        <v>FY21</v>
      </c>
      <c r="L181" s="118">
        <v>44236</v>
      </c>
      <c r="M181" s="49">
        <v>8867831.7354965601</v>
      </c>
      <c r="N181" s="49">
        <v>11737462.085103245</v>
      </c>
      <c r="O181" s="50">
        <v>2000000</v>
      </c>
      <c r="P181" s="119" cm="1">
        <f t="array" ref="P181">LOOKUP(2,1/($B$10:$B$14&lt;=$L181)/($C$10:$C$14&gt;=$L181),$D$10:$D$14)</f>
        <v>1.1000000000000001</v>
      </c>
      <c r="Q181" s="120" cm="1">
        <f t="array" ref="Q181">LOOKUP(2,1/($B$17:$B$21&lt;=$L181)/($C$17:$C$21&gt;=$L181),$D$17:$D$21)</f>
        <v>134.49039999999999</v>
      </c>
      <c r="R181" s="113" t="str">
        <f t="shared" si="165"/>
        <v/>
      </c>
      <c r="S181" s="113" t="str">
        <f t="shared" si="166"/>
        <v>2H21</v>
      </c>
      <c r="T181" s="113" t="str">
        <f t="shared" ca="1" si="167"/>
        <v/>
      </c>
      <c r="U181" s="113" t="str">
        <f t="shared" si="168"/>
        <v/>
      </c>
      <c r="V181" s="113" t="str">
        <f t="shared" si="169"/>
        <v>FY21</v>
      </c>
      <c r="W181" s="113" t="str">
        <f t="shared" ca="1" si="170"/>
        <v/>
      </c>
      <c r="X181" s="50"/>
      <c r="Y181" s="146">
        <v>19</v>
      </c>
      <c r="Z181" s="145">
        <v>400000000</v>
      </c>
      <c r="AA181" s="145">
        <v>750000000</v>
      </c>
      <c r="AB181" s="206"/>
      <c r="AC181" s="145">
        <v>498626999.99999994</v>
      </c>
      <c r="AD181" s="203">
        <f t="shared" si="201"/>
        <v>648.21510000000001</v>
      </c>
      <c r="AE181" s="167">
        <f t="shared" si="202"/>
        <v>0</v>
      </c>
      <c r="AF181" s="167"/>
      <c r="AH181" s="207"/>
      <c r="AI181" s="205"/>
      <c r="AJ181" s="204"/>
      <c r="AK181" s="205"/>
      <c r="AL181" s="57"/>
      <c r="AO181" s="57"/>
      <c r="AR181" s="50"/>
      <c r="AS181" s="114" t="s">
        <v>165</v>
      </c>
      <c r="AT181" s="134">
        <f>INDEX($G:$G,MATCH(AT180,$F:$F,0))</f>
        <v>45108</v>
      </c>
      <c r="AU181" s="114" t="s">
        <v>166</v>
      </c>
      <c r="AV181" s="134">
        <f>INDEX($H:$H,MATCH(AT180,$F:$F,0))</f>
        <v>45473</v>
      </c>
      <c r="AW181" s="134"/>
      <c r="AY181" s="136" t="s">
        <v>167</v>
      </c>
      <c r="AZ181" s="137"/>
      <c r="BA181" s="137"/>
      <c r="BB181" s="138"/>
      <c r="BC181" s="139"/>
      <c r="BF181" s="50"/>
      <c r="BY181" s="50"/>
      <c r="CO181" s="50"/>
      <c r="DE181" s="50"/>
      <c r="DF181" s="114" t="s">
        <v>169</v>
      </c>
      <c r="DG181" s="119" cm="1">
        <f t="array" ref="DG181">LOOKUP(2,1/($B$10:$B$14&lt;=DG177)/($C$10:$C$14&gt;=DG177),$D$10:$D$14)</f>
        <v>1.1000000000000001</v>
      </c>
      <c r="DH181" s="114" t="s">
        <v>149</v>
      </c>
      <c r="DI181" s="152" cm="1">
        <f t="array" ref="DI181">LOOKUP(2,1/($B$6:$B$7&lt;=DG177)/($C$6:$C$7&gt;=DG177),$D$6:$D$7)</f>
        <v>0.10299999999999999</v>
      </c>
      <c r="DJ181" s="152" t="s">
        <v>170</v>
      </c>
      <c r="DK181" s="152" t="s">
        <v>171</v>
      </c>
      <c r="DL181" s="152"/>
      <c r="DN181" s="153" t="s">
        <v>166</v>
      </c>
      <c r="DO181" s="158">
        <f>DI179</f>
        <v>44561</v>
      </c>
      <c r="DP181" s="154"/>
      <c r="DQ181" s="154"/>
      <c r="DR181" s="155">
        <f>DG184/1000000</f>
        <v>3</v>
      </c>
      <c r="DS181" s="154"/>
      <c r="DT181" s="154"/>
      <c r="DU181" s="156" t="e">
        <f>MAX(DH184:DI184)/1000000</f>
        <v>#DIV/0!</v>
      </c>
    </row>
    <row r="182" spans="10:125" x14ac:dyDescent="0.25">
      <c r="J182" s="86" t="str" cm="1">
        <f t="array" ref="J182">LOOKUP(2,1/($G$17:$G$33&lt;=$L182)/($H$17:$H$33&gt;=$L182),$F$17:$F$33)</f>
        <v>2H21</v>
      </c>
      <c r="K182" s="86" t="str" cm="1">
        <f t="array" ref="K182">LOOKUP(2,1/($G$6:$G$14&lt;=$L182)/($H$6:$H$14&gt;=$L182),$F$6:$F$14)</f>
        <v>FY21</v>
      </c>
      <c r="L182" s="118">
        <v>44229</v>
      </c>
      <c r="M182" s="49">
        <v>34741267.207472965</v>
      </c>
      <c r="N182" s="49">
        <v>45983541.27581121</v>
      </c>
      <c r="O182" s="50">
        <v>30000000</v>
      </c>
      <c r="P182" s="119" cm="1">
        <f t="array" ref="P182">LOOKUP(2,1/($B$10:$B$14&lt;=$L182)/($C$10:$C$14&gt;=$L182),$D$10:$D$14)</f>
        <v>1.1000000000000001</v>
      </c>
      <c r="Q182" s="120" cm="1">
        <f t="array" ref="Q182">LOOKUP(2,1/($B$17:$B$21&lt;=$L182)/($C$17:$C$21&gt;=$L182),$D$17:$D$21)</f>
        <v>134.49039999999999</v>
      </c>
      <c r="R182" s="113" t="str">
        <f t="shared" si="165"/>
        <v/>
      </c>
      <c r="S182" s="113" t="str">
        <f t="shared" si="166"/>
        <v>2H21</v>
      </c>
      <c r="T182" s="113" t="str">
        <f t="shared" ca="1" si="167"/>
        <v/>
      </c>
      <c r="U182" s="113" t="str">
        <f t="shared" si="168"/>
        <v/>
      </c>
      <c r="V182" s="113" t="str">
        <f t="shared" si="169"/>
        <v>FY21</v>
      </c>
      <c r="W182" s="113" t="str">
        <f t="shared" ca="1" si="170"/>
        <v/>
      </c>
      <c r="X182" s="50"/>
      <c r="Y182" s="146">
        <v>20</v>
      </c>
      <c r="Z182" s="145">
        <v>450000000</v>
      </c>
      <c r="AA182" s="145">
        <v>850000000</v>
      </c>
      <c r="AB182" s="206"/>
      <c r="AC182" s="145">
        <v>558802000</v>
      </c>
      <c r="AD182" s="203">
        <f t="shared" si="201"/>
        <v>726.44260000000008</v>
      </c>
      <c r="AE182" s="167">
        <f t="shared" si="202"/>
        <v>0</v>
      </c>
      <c r="AF182" s="167"/>
      <c r="AH182" s="207"/>
      <c r="AI182" s="205"/>
      <c r="AJ182" s="204"/>
      <c r="AK182" s="205"/>
      <c r="AL182" s="57"/>
      <c r="AO182" s="57"/>
      <c r="AR182" s="50"/>
      <c r="AS182" s="114" t="s">
        <v>91</v>
      </c>
      <c r="AT182" s="145">
        <v>40000000</v>
      </c>
      <c r="AU182" s="114" t="s">
        <v>76</v>
      </c>
      <c r="AV182" s="145">
        <v>40000000</v>
      </c>
      <c r="AW182" s="146"/>
      <c r="AY182" s="147" t="s">
        <v>165</v>
      </c>
      <c r="AZ182" s="148">
        <f>AT181</f>
        <v>45108</v>
      </c>
      <c r="BA182" s="142"/>
      <c r="BB182" s="143" t="s">
        <v>15</v>
      </c>
      <c r="BC182" s="144" t="s">
        <v>139</v>
      </c>
      <c r="BF182" s="50"/>
      <c r="BY182" s="50"/>
      <c r="CO182" s="50"/>
      <c r="DE182" s="50"/>
      <c r="DF182" s="114" t="s">
        <v>172</v>
      </c>
      <c r="DG182" s="119" cm="1">
        <f t="array" ref="DG182">LOOKUP(2,1/($B$17:$B$21&lt;=DG177)/($C$17:$C$21&gt;=DG177),$D$17:$D$21)</f>
        <v>134.49039999999999</v>
      </c>
      <c r="DH182" s="114" t="s">
        <v>173</v>
      </c>
      <c r="DI182" s="163">
        <f>INT((WEEKDAY(DG177-5)-DG177+DI177)/7)/INT((WEEKDAY(DG179-5)-DG179+DI179)/7)</f>
        <v>1</v>
      </c>
      <c r="DJ182" s="162">
        <v>1</v>
      </c>
      <c r="DK182" s="162">
        <f>1-DJ182</f>
        <v>0</v>
      </c>
      <c r="DL182" s="163"/>
      <c r="DN182" s="153" t="s">
        <v>91</v>
      </c>
      <c r="DO182" s="155">
        <f>DG180/1000000</f>
        <v>20</v>
      </c>
      <c r="DP182" s="154"/>
      <c r="DQ182" s="154"/>
      <c r="DR182" s="155">
        <f t="shared" ref="DR182:DR190" si="203">DG185/1000000</f>
        <v>8</v>
      </c>
      <c r="DS182" s="154"/>
      <c r="DT182" s="154"/>
      <c r="DU182" s="156" t="e">
        <f t="shared" ref="DU182:DU190" si="204">MAX(DH185:DI185)/1000000</f>
        <v>#DIV/0!</v>
      </c>
    </row>
    <row r="183" spans="10:125" x14ac:dyDescent="0.25">
      <c r="J183" s="86" t="str" cm="1">
        <f t="array" ref="J183">LOOKUP(2,1/($G$17:$G$33&lt;=$L183)/($H$17:$H$33&gt;=$L183),$F$17:$F$33)</f>
        <v>2H21</v>
      </c>
      <c r="K183" s="86" t="str" cm="1">
        <f t="array" ref="K183">LOOKUP(2,1/($G$6:$G$14&lt;=$L183)/($H$6:$H$14&gt;=$L183),$F$6:$F$14)</f>
        <v>FY21</v>
      </c>
      <c r="L183" s="118">
        <v>44222</v>
      </c>
      <c r="M183" s="49">
        <v>25500232.177974436</v>
      </c>
      <c r="N183" s="49">
        <v>33752107.310766958</v>
      </c>
      <c r="O183" s="50">
        <v>20000000</v>
      </c>
      <c r="P183" s="119" cm="1">
        <f t="array" ref="P183">LOOKUP(2,1/($B$10:$B$14&lt;=$L183)/($C$10:$C$14&gt;=$L183),$D$10:$D$14)</f>
        <v>1.1000000000000001</v>
      </c>
      <c r="Q183" s="120" cm="1">
        <f t="array" ref="Q183">LOOKUP(2,1/($B$17:$B$21&lt;=$L183)/($C$17:$C$21&gt;=$L183),$D$17:$D$21)</f>
        <v>134.49039999999999</v>
      </c>
      <c r="R183" s="113" t="str">
        <f t="shared" si="165"/>
        <v/>
      </c>
      <c r="S183" s="113" t="str">
        <f t="shared" si="166"/>
        <v>2H21</v>
      </c>
      <c r="T183" s="113" t="str">
        <f t="shared" ca="1" si="167"/>
        <v/>
      </c>
      <c r="U183" s="113" t="str">
        <f t="shared" si="168"/>
        <v/>
      </c>
      <c r="V183" s="113" t="str">
        <f t="shared" si="169"/>
        <v>FY21</v>
      </c>
      <c r="W183" s="113" t="str">
        <f t="shared" ca="1" si="170"/>
        <v/>
      </c>
      <c r="X183" s="50"/>
      <c r="Y183" s="146">
        <v>21</v>
      </c>
      <c r="Z183" s="145">
        <v>500000000</v>
      </c>
      <c r="AA183" s="145">
        <v>950000000</v>
      </c>
      <c r="AB183" s="206"/>
      <c r="AC183" s="145">
        <v>618977000</v>
      </c>
      <c r="AD183" s="203">
        <f t="shared" si="201"/>
        <v>804.67010000000005</v>
      </c>
      <c r="AE183" s="167">
        <f t="shared" si="202"/>
        <v>0</v>
      </c>
      <c r="AF183" s="167"/>
      <c r="AH183" s="207"/>
      <c r="AI183" s="205"/>
      <c r="AJ183" s="204"/>
      <c r="AK183" s="205"/>
      <c r="AL183" s="57"/>
      <c r="AO183" s="57"/>
      <c r="AR183" s="50"/>
      <c r="AS183" s="114" t="s">
        <v>169</v>
      </c>
      <c r="AT183" s="159">
        <v>1.2</v>
      </c>
      <c r="AU183" s="114" t="s">
        <v>149</v>
      </c>
      <c r="AV183" s="152" cm="1">
        <f t="array" ref="AV183">LOOKUP(2,1/($B$6:$B$7&lt;=AT179)/($C$6:$C$7&gt;=AT179),$D$6:$D$7)</f>
        <v>0.10299999999999999</v>
      </c>
      <c r="AW183" s="152"/>
      <c r="AY183" s="153" t="s">
        <v>166</v>
      </c>
      <c r="AZ183" s="158">
        <f>AV181</f>
        <v>45473</v>
      </c>
      <c r="BA183" s="154"/>
      <c r="BB183" s="155">
        <f>AT186/1000000</f>
        <v>8</v>
      </c>
      <c r="BC183" s="156" t="e">
        <f>MAX(AU186:AV186)/1000000</f>
        <v>#DIV/0!</v>
      </c>
      <c r="BF183" s="50"/>
      <c r="BY183" s="50"/>
      <c r="CO183" s="50"/>
      <c r="DE183" s="50"/>
      <c r="DF183" s="111" t="s">
        <v>174</v>
      </c>
      <c r="DG183" s="111" t="s">
        <v>175</v>
      </c>
      <c r="DH183" s="111" t="s">
        <v>176</v>
      </c>
      <c r="DI183" s="111" t="s">
        <v>177</v>
      </c>
      <c r="DJ183" s="111" t="s">
        <v>178</v>
      </c>
      <c r="DK183" s="111" t="s">
        <v>179</v>
      </c>
      <c r="DL183" s="111" t="s">
        <v>180</v>
      </c>
      <c r="DN183" s="153" t="s">
        <v>76</v>
      </c>
      <c r="DO183" s="155">
        <f ca="1">DI180/1000000</f>
        <v>10</v>
      </c>
      <c r="DP183" s="154"/>
      <c r="DQ183" s="154"/>
      <c r="DR183" s="155">
        <f t="shared" si="203"/>
        <v>20</v>
      </c>
      <c r="DS183" s="154"/>
      <c r="DT183" s="154"/>
      <c r="DU183" s="156">
        <f t="shared" si="204"/>
        <v>23.426704492379553</v>
      </c>
    </row>
    <row r="184" spans="10:125" x14ac:dyDescent="0.25">
      <c r="J184" s="86" t="str" cm="1">
        <f t="array" ref="J184">LOOKUP(2,1/($G$17:$G$33&lt;=$L184)/($H$17:$H$33&gt;=$L184),$F$17:$F$33)</f>
        <v>2H21</v>
      </c>
      <c r="K184" s="86" t="str" cm="1">
        <f t="array" ref="K184">LOOKUP(2,1/($G$6:$G$14&lt;=$L184)/($H$6:$H$14&gt;=$L184),$F$6:$F$14)</f>
        <v>FY21</v>
      </c>
      <c r="L184" s="118">
        <v>44215</v>
      </c>
      <c r="M184" s="49">
        <v>17438672.812192727</v>
      </c>
      <c r="N184" s="49">
        <v>23081827.33421829</v>
      </c>
      <c r="O184" s="50">
        <v>10000000</v>
      </c>
      <c r="P184" s="119" cm="1">
        <f t="array" ref="P184">LOOKUP(2,1/($B$10:$B$14&lt;=$L184)/($C$10:$C$14&gt;=$L184),$D$10:$D$14)</f>
        <v>1.1000000000000001</v>
      </c>
      <c r="Q184" s="120" cm="1">
        <f t="array" ref="Q184">LOOKUP(2,1/($B$17:$B$21&lt;=$L184)/($C$17:$C$21&gt;=$L184),$D$17:$D$21)</f>
        <v>134.49039999999999</v>
      </c>
      <c r="R184" s="113" t="str">
        <f t="shared" si="165"/>
        <v/>
      </c>
      <c r="S184" s="113" t="str">
        <f t="shared" si="166"/>
        <v>2H21</v>
      </c>
      <c r="T184" s="113" t="str">
        <f t="shared" ca="1" si="167"/>
        <v/>
      </c>
      <c r="U184" s="113" t="str">
        <f t="shared" si="168"/>
        <v/>
      </c>
      <c r="V184" s="113" t="str">
        <f t="shared" si="169"/>
        <v>FY21</v>
      </c>
      <c r="W184" s="113" t="str">
        <f t="shared" ca="1" si="170"/>
        <v/>
      </c>
      <c r="X184" s="50"/>
      <c r="AD184" s="203">
        <f t="shared" si="201"/>
        <v>0</v>
      </c>
      <c r="AE184" s="167">
        <f t="shared" si="202"/>
        <v>0</v>
      </c>
      <c r="AH184" s="204"/>
      <c r="AI184" s="205"/>
      <c r="AJ184" s="204"/>
      <c r="AK184" s="205"/>
      <c r="AL184" s="57"/>
      <c r="AO184" s="57"/>
      <c r="AR184" s="50"/>
      <c r="AS184" s="114" t="s">
        <v>172</v>
      </c>
      <c r="AT184" s="119" cm="1">
        <f t="array" ref="AT184">LOOKUP(2,1/($B$17:$B$21&lt;=AT179)/($C$17:$C$21&gt;=AT179),$D$17:$D$21)</f>
        <v>134.49039999999999</v>
      </c>
      <c r="AU184" s="114" t="s">
        <v>0</v>
      </c>
      <c r="AV184" s="135">
        <f>1+(1.2/1.1-1)*-10%</f>
        <v>0.99090909090909096</v>
      </c>
      <c r="AY184" s="153" t="s">
        <v>91</v>
      </c>
      <c r="AZ184" s="155">
        <f>AT182/1000000</f>
        <v>40</v>
      </c>
      <c r="BA184" s="154"/>
      <c r="BB184" s="155">
        <f t="shared" ref="BB184:BB192" si="205">AT187/1000000</f>
        <v>20</v>
      </c>
      <c r="BC184" s="156">
        <f t="shared" ref="BC184:BC192" si="206">MAX(AU187:AV187)/1000000</f>
        <v>20.984831132186397</v>
      </c>
      <c r="BF184" s="50"/>
      <c r="BY184" s="50"/>
      <c r="CO184" s="50"/>
      <c r="DE184" s="50"/>
      <c r="DF184" s="146">
        <v>1</v>
      </c>
      <c r="DG184" s="166">
        <v>3000000</v>
      </c>
      <c r="DH184" s="168" t="e">
        <f t="shared" ref="DH184:DH189" si="207">AVERAGEIFS($M:$M,$L:$L,"&gt;="&amp;DG$177,$L:$L,"&lt;="&amp;DI$177,$O:$O,"="&amp;DG184)</f>
        <v>#DIV/0!</v>
      </c>
      <c r="DI184" s="168"/>
      <c r="DJ184" s="168"/>
      <c r="DK184" s="168"/>
      <c r="DL184" s="167">
        <f t="shared" ref="DL184:DL189" si="208">COUNTIFS($L:$L,"&gt;="&amp;DG$177,$L:$L,"&lt;="&amp;DI$177,$O:$O,"="&amp;DG184)</f>
        <v>0</v>
      </c>
      <c r="DN184" s="153" t="s">
        <v>169</v>
      </c>
      <c r="DO184" s="165">
        <f>DG181</f>
        <v>1.1000000000000001</v>
      </c>
      <c r="DP184" s="154"/>
      <c r="DQ184" s="154"/>
      <c r="DR184" s="155">
        <f t="shared" si="203"/>
        <v>40</v>
      </c>
      <c r="DS184" s="154"/>
      <c r="DT184" s="154"/>
      <c r="DU184" s="156" t="e">
        <f t="shared" si="204"/>
        <v>#DIV/0!</v>
      </c>
    </row>
    <row r="185" spans="10:125" x14ac:dyDescent="0.25">
      <c r="J185" s="86" t="str" cm="1">
        <f t="array" ref="J185">LOOKUP(2,1/($G$17:$G$33&lt;=$L185)/($H$17:$H$33&gt;=$L185),$F$17:$F$33)</f>
        <v>2H21</v>
      </c>
      <c r="K185" s="86" t="str" cm="1">
        <f t="array" ref="K185">LOOKUP(2,1/($G$6:$G$14&lt;=$L185)/($H$6:$H$14&gt;=$L185),$F$6:$F$14)</f>
        <v>FY21</v>
      </c>
      <c r="L185" s="118">
        <v>44208</v>
      </c>
      <c r="M185" s="49">
        <v>12002894.051130779</v>
      </c>
      <c r="N185" s="49">
        <v>15887030.566076698</v>
      </c>
      <c r="O185" s="50">
        <v>5000000</v>
      </c>
      <c r="P185" s="119" cm="1">
        <f t="array" ref="P185">LOOKUP(2,1/($B$10:$B$14&lt;=$L185)/($C$10:$C$14&gt;=$L185),$D$10:$D$14)</f>
        <v>1.1000000000000001</v>
      </c>
      <c r="Q185" s="120" cm="1">
        <f t="array" ref="Q185">LOOKUP(2,1/($B$17:$B$21&lt;=$L185)/($C$17:$C$21&gt;=$L185),$D$17:$D$21)</f>
        <v>134.49039999999999</v>
      </c>
      <c r="R185" s="113" t="str">
        <f t="shared" si="165"/>
        <v/>
      </c>
      <c r="S185" s="113" t="str">
        <f t="shared" si="166"/>
        <v>2H21</v>
      </c>
      <c r="T185" s="113" t="str">
        <f t="shared" ca="1" si="167"/>
        <v/>
      </c>
      <c r="U185" s="113" t="str">
        <f t="shared" si="168"/>
        <v/>
      </c>
      <c r="V185" s="113" t="str">
        <f t="shared" si="169"/>
        <v>FY21</v>
      </c>
      <c r="W185" s="113" t="str">
        <f t="shared" ca="1" si="170"/>
        <v/>
      </c>
      <c r="X185" s="50"/>
      <c r="AH185" s="204"/>
      <c r="AI185" s="205"/>
      <c r="AJ185" s="204"/>
      <c r="AK185" s="205"/>
      <c r="AL185" s="57"/>
      <c r="AO185" s="57"/>
      <c r="AR185" s="50"/>
      <c r="AS185" s="111" t="s">
        <v>174</v>
      </c>
      <c r="AT185" s="111" t="s">
        <v>175</v>
      </c>
      <c r="AU185" s="111" t="s">
        <v>176</v>
      </c>
      <c r="AV185" s="111" t="s">
        <v>177</v>
      </c>
      <c r="AW185" s="111" t="s">
        <v>180</v>
      </c>
      <c r="AY185" s="153" t="s">
        <v>76</v>
      </c>
      <c r="AZ185" s="155">
        <f>AV182/1000000</f>
        <v>40</v>
      </c>
      <c r="BA185" s="154"/>
      <c r="BB185" s="155">
        <f t="shared" si="205"/>
        <v>30</v>
      </c>
      <c r="BC185" s="156">
        <f t="shared" si="206"/>
        <v>26.371160321389532</v>
      </c>
      <c r="BF185" s="50"/>
      <c r="BY185" s="50"/>
      <c r="CO185" s="50"/>
      <c r="DE185" s="50"/>
      <c r="DF185" s="146">
        <v>2</v>
      </c>
      <c r="DG185" s="166">
        <v>8000000</v>
      </c>
      <c r="DH185" s="168" t="e">
        <f t="shared" si="207"/>
        <v>#DIV/0!</v>
      </c>
      <c r="DL185" s="167">
        <f t="shared" si="208"/>
        <v>0</v>
      </c>
      <c r="DN185" s="153" t="s">
        <v>149</v>
      </c>
      <c r="DO185" s="169">
        <f>DI181</f>
        <v>0.10299999999999999</v>
      </c>
      <c r="DP185" s="154"/>
      <c r="DQ185" s="154"/>
      <c r="DR185" s="155">
        <f t="shared" si="203"/>
        <v>60</v>
      </c>
      <c r="DS185" s="154"/>
      <c r="DT185" s="154"/>
      <c r="DU185" s="156" t="e">
        <f t="shared" si="204"/>
        <v>#DIV/0!</v>
      </c>
    </row>
    <row r="186" spans="10:125" x14ac:dyDescent="0.25">
      <c r="J186" s="86" t="str" cm="1">
        <f t="array" ref="J186">LOOKUP(2,1/($G$17:$G$33&lt;=$L186)/($H$17:$H$33&gt;=$L186),$F$17:$F$33)</f>
        <v>2H21</v>
      </c>
      <c r="K186" s="86" t="str" cm="1">
        <f t="array" ref="K186">LOOKUP(2,1/($G$6:$G$14&lt;=$L186)/($H$6:$H$14&gt;=$L186),$F$6:$F$14)</f>
        <v>FY21</v>
      </c>
      <c r="L186" s="118">
        <v>44201</v>
      </c>
      <c r="M186" s="49">
        <v>9419249.631268438</v>
      </c>
      <c r="N186" s="49">
        <v>12467318.811946904</v>
      </c>
      <c r="O186" s="50">
        <v>2000000</v>
      </c>
      <c r="P186" s="119" cm="1">
        <f t="array" ref="P186">LOOKUP(2,1/($B$10:$B$14&lt;=$L186)/($C$10:$C$14&gt;=$L186),$D$10:$D$14)</f>
        <v>1.1000000000000001</v>
      </c>
      <c r="Q186" s="120" cm="1">
        <f t="array" ref="Q186">LOOKUP(2,1/($B$17:$B$21&lt;=$L186)/($C$17:$C$21&gt;=$L186),$D$17:$D$21)</f>
        <v>134.49039999999999</v>
      </c>
      <c r="R186" s="113" t="str">
        <f t="shared" si="165"/>
        <v>2H21</v>
      </c>
      <c r="S186" s="113" t="str">
        <f t="shared" si="166"/>
        <v>2H21</v>
      </c>
      <c r="T186" s="113" t="str">
        <f t="shared" ca="1" si="167"/>
        <v/>
      </c>
      <c r="U186" s="113" t="str">
        <f t="shared" si="168"/>
        <v/>
      </c>
      <c r="V186" s="113" t="str">
        <f t="shared" si="169"/>
        <v>FY21</v>
      </c>
      <c r="W186" s="113" t="str">
        <f t="shared" ca="1" si="170"/>
        <v/>
      </c>
      <c r="X186" s="50"/>
      <c r="AH186" s="204"/>
      <c r="AI186" s="205"/>
      <c r="AJ186" s="204"/>
      <c r="AK186" s="205"/>
      <c r="AL186" s="57"/>
      <c r="AO186" s="57"/>
      <c r="AR186" s="50"/>
      <c r="AS186" s="146">
        <v>1</v>
      </c>
      <c r="AT186" s="166">
        <v>8000000</v>
      </c>
      <c r="AU186" s="167" t="e">
        <f t="shared" ref="AU186:AU191" si="209">AVERAGEIFS($M:$M,$L:$L,"&gt;="&amp;AT$179,$L:$L,"&lt;="&amp;AV$179,$O:$O,"="&amp;AT186)*AV$184</f>
        <v>#DIV/0!</v>
      </c>
      <c r="AV186" s="168"/>
      <c r="AW186" s="167">
        <f t="shared" ref="AW186:AW191" si="210">COUNTIFS($L:$L,"&gt;="&amp;AT$64,$L:$L,"&lt;="&amp;AV$64,$O:$O,"="&amp;$AT186)</f>
        <v>0</v>
      </c>
      <c r="AY186" s="153" t="s">
        <v>169</v>
      </c>
      <c r="AZ186" s="165">
        <f>AT183</f>
        <v>1.2</v>
      </c>
      <c r="BA186" s="154"/>
      <c r="BB186" s="155">
        <f t="shared" si="205"/>
        <v>50</v>
      </c>
      <c r="BC186" s="156">
        <f t="shared" si="206"/>
        <v>41.087545615446501</v>
      </c>
      <c r="BF186" s="50"/>
      <c r="BY186" s="50"/>
      <c r="CO186" s="50"/>
      <c r="DE186" s="50"/>
      <c r="DF186" s="146">
        <v>3</v>
      </c>
      <c r="DG186" s="166">
        <v>20000000</v>
      </c>
      <c r="DH186" s="168">
        <f t="shared" si="207"/>
        <v>23426704.492379554</v>
      </c>
      <c r="DL186" s="167">
        <f t="shared" si="208"/>
        <v>4</v>
      </c>
      <c r="DN186" s="153" t="s">
        <v>172</v>
      </c>
      <c r="DO186" s="170">
        <f>DG182</f>
        <v>134.49039999999999</v>
      </c>
      <c r="DP186" s="154"/>
      <c r="DQ186" s="154"/>
      <c r="DR186" s="155">
        <f t="shared" si="203"/>
        <v>80</v>
      </c>
      <c r="DS186" s="154"/>
      <c r="DT186" s="154"/>
      <c r="DU186" s="156" t="e">
        <f t="shared" si="204"/>
        <v>#DIV/0!</v>
      </c>
    </row>
    <row r="187" spans="10:125" x14ac:dyDescent="0.25">
      <c r="J187" s="86" t="str" cm="1">
        <f t="array" ref="J187">LOOKUP(2,1/($G$17:$G$33&lt;=$L187)/($H$17:$H$33&gt;=$L187),$F$17:$F$33)</f>
        <v>1H21</v>
      </c>
      <c r="K187" s="86" t="str" cm="1">
        <f t="array" ref="K187">LOOKUP(2,1/($G$6:$G$14&lt;=$L187)/($H$6:$H$14&gt;=$L187),$F$6:$F$14)</f>
        <v>FY21</v>
      </c>
      <c r="L187" s="118">
        <v>44194</v>
      </c>
      <c r="M187" s="49">
        <v>17519683.136676501</v>
      </c>
      <c r="N187" s="49">
        <v>23189052.599705014</v>
      </c>
      <c r="O187" s="50">
        <v>10000000</v>
      </c>
      <c r="P187" s="119" cm="1">
        <f t="array" ref="P187">LOOKUP(2,1/($B$10:$B$14&lt;=$L187)/($C$10:$C$14&gt;=$L187),$D$10:$D$14)</f>
        <v>1.1000000000000001</v>
      </c>
      <c r="Q187" s="120" cm="1">
        <f t="array" ref="Q187">LOOKUP(2,1/($B$17:$B$21&lt;=$L187)/($C$17:$C$21&gt;=$L187),$D$17:$D$21)</f>
        <v>134.49039999999999</v>
      </c>
      <c r="R187" s="113" t="str">
        <f t="shared" si="165"/>
        <v/>
      </c>
      <c r="S187" s="113" t="str">
        <f t="shared" si="166"/>
        <v>1H21</v>
      </c>
      <c r="T187" s="113" t="str">
        <f t="shared" ca="1" si="167"/>
        <v>2H21</v>
      </c>
      <c r="U187" s="113" t="str">
        <f t="shared" si="168"/>
        <v/>
      </c>
      <c r="V187" s="113" t="str">
        <f t="shared" si="169"/>
        <v>FY21</v>
      </c>
      <c r="W187" s="113" t="str">
        <f t="shared" ca="1" si="170"/>
        <v/>
      </c>
      <c r="X187" s="50"/>
      <c r="AH187" s="204"/>
      <c r="AI187" s="205"/>
      <c r="AJ187" s="204"/>
      <c r="AK187" s="205"/>
      <c r="AL187" s="57"/>
      <c r="AO187" s="57"/>
      <c r="AR187" s="50"/>
      <c r="AS187" s="146">
        <v>2</v>
      </c>
      <c r="AT187" s="166">
        <v>20000000</v>
      </c>
      <c r="AU187" s="167">
        <f t="shared" si="209"/>
        <v>20984831.132186398</v>
      </c>
      <c r="AW187" s="167">
        <f t="shared" si="210"/>
        <v>5</v>
      </c>
      <c r="AY187" s="153" t="s">
        <v>149</v>
      </c>
      <c r="AZ187" s="169">
        <f>AV183</f>
        <v>0.10299999999999999</v>
      </c>
      <c r="BA187" s="154"/>
      <c r="BB187" s="155">
        <f t="shared" si="205"/>
        <v>100</v>
      </c>
      <c r="BC187" s="156" t="e">
        <f t="shared" si="206"/>
        <v>#DIV/0!</v>
      </c>
      <c r="BF187" s="50"/>
      <c r="BY187" s="50"/>
      <c r="CO187" s="50"/>
      <c r="DE187" s="50"/>
      <c r="DF187" s="146">
        <v>4</v>
      </c>
      <c r="DG187" s="166">
        <v>40000000</v>
      </c>
      <c r="DH187" s="168" t="e">
        <f t="shared" si="207"/>
        <v>#DIV/0!</v>
      </c>
      <c r="DL187" s="167">
        <f t="shared" si="208"/>
        <v>0</v>
      </c>
      <c r="DN187" s="172"/>
      <c r="DO187" s="2"/>
      <c r="DP187" s="154"/>
      <c r="DQ187" s="154"/>
      <c r="DR187" s="155">
        <f t="shared" si="203"/>
        <v>120</v>
      </c>
      <c r="DS187" s="154"/>
      <c r="DT187" s="154"/>
      <c r="DU187" s="156">
        <f t="shared" si="204"/>
        <v>222.2475</v>
      </c>
    </row>
    <row r="188" spans="10:125" x14ac:dyDescent="0.25">
      <c r="J188" s="86" t="str" cm="1">
        <f t="array" ref="J188">LOOKUP(2,1/($G$17:$G$33&lt;=$L188)/($H$17:$H$33&gt;=$L188),$F$17:$F$33)</f>
        <v>1H21</v>
      </c>
      <c r="K188" s="86" t="str" cm="1">
        <f t="array" ref="K188">LOOKUP(2,1/($G$6:$G$14&lt;=$L188)/($H$6:$H$14&gt;=$L188),$F$6:$F$14)</f>
        <v>FY21</v>
      </c>
      <c r="L188" s="118">
        <v>44187</v>
      </c>
      <c r="M188" s="49">
        <v>12438482.66961652</v>
      </c>
      <c r="N188" s="49">
        <v>16463575.661504425</v>
      </c>
      <c r="O188" s="50">
        <v>5000000</v>
      </c>
      <c r="P188" s="119" cm="1">
        <f t="array" ref="P188">LOOKUP(2,1/($B$10:$B$14&lt;=$L188)/($C$10:$C$14&gt;=$L188),$D$10:$D$14)</f>
        <v>1.1000000000000001</v>
      </c>
      <c r="Q188" s="120" cm="1">
        <f t="array" ref="Q188">LOOKUP(2,1/($B$17:$B$21&lt;=$L188)/($C$17:$C$21&gt;=$L188),$D$17:$D$21)</f>
        <v>134.49039999999999</v>
      </c>
      <c r="R188" s="113" t="str">
        <f t="shared" si="165"/>
        <v/>
      </c>
      <c r="S188" s="113" t="str">
        <f t="shared" si="166"/>
        <v>1H21</v>
      </c>
      <c r="T188" s="113" t="str">
        <f t="shared" ca="1" si="167"/>
        <v/>
      </c>
      <c r="U188" s="113" t="str">
        <f t="shared" si="168"/>
        <v/>
      </c>
      <c r="V188" s="113" t="str">
        <f t="shared" si="169"/>
        <v>FY21</v>
      </c>
      <c r="W188" s="113" t="str">
        <f t="shared" ca="1" si="170"/>
        <v/>
      </c>
      <c r="AH188" s="204"/>
      <c r="AI188" s="205"/>
      <c r="AJ188" s="204"/>
      <c r="AK188" s="205"/>
      <c r="AL188" s="57"/>
      <c r="AO188" s="57"/>
      <c r="AS188" s="146">
        <v>3</v>
      </c>
      <c r="AT188" s="166">
        <v>30000000</v>
      </c>
      <c r="AU188" s="167">
        <f t="shared" si="209"/>
        <v>26371160.32138953</v>
      </c>
      <c r="AW188" s="167">
        <f t="shared" si="210"/>
        <v>2</v>
      </c>
      <c r="AY188" s="153" t="s">
        <v>172</v>
      </c>
      <c r="AZ188" s="170">
        <f>AT184</f>
        <v>134.49039999999999</v>
      </c>
      <c r="BA188" s="154"/>
      <c r="BB188" s="155">
        <f t="shared" si="205"/>
        <v>160</v>
      </c>
      <c r="BC188" s="156" t="e">
        <f t="shared" si="206"/>
        <v>#DIV/0!</v>
      </c>
      <c r="DF188" s="146">
        <v>5</v>
      </c>
      <c r="DG188" s="166">
        <v>60000000</v>
      </c>
      <c r="DH188" s="168" t="e">
        <f t="shared" si="207"/>
        <v>#DIV/0!</v>
      </c>
      <c r="DJ188" s="145">
        <v>94830000</v>
      </c>
      <c r="DK188" s="145">
        <v>86029000</v>
      </c>
      <c r="DL188" s="167">
        <f t="shared" si="208"/>
        <v>0</v>
      </c>
      <c r="DN188" s="172" t="s">
        <v>147</v>
      </c>
      <c r="DO188" s="174">
        <f>DG177</f>
        <v>44378</v>
      </c>
      <c r="DP188" s="154"/>
      <c r="DQ188" s="154"/>
      <c r="DR188" s="155">
        <f t="shared" si="203"/>
        <v>160</v>
      </c>
      <c r="DS188" s="154"/>
      <c r="DT188" s="154"/>
      <c r="DU188" s="156">
        <f t="shared" si="204"/>
        <v>291.38749999999999</v>
      </c>
    </row>
    <row r="189" spans="10:125" x14ac:dyDescent="0.25">
      <c r="J189" s="86" t="str" cm="1">
        <f t="array" ref="J189">LOOKUP(2,1/($G$17:$G$33&lt;=$L189)/($H$17:$H$33&gt;=$L189),$F$17:$F$33)</f>
        <v>1H21</v>
      </c>
      <c r="K189" s="86" t="str" cm="1">
        <f t="array" ref="K189">LOOKUP(2,1/($G$6:$G$14&lt;=$L189)/($H$6:$H$14&gt;=$L189),$F$6:$F$14)</f>
        <v>FY21</v>
      </c>
      <c r="L189" s="118">
        <v>44180</v>
      </c>
      <c r="M189" s="49">
        <v>8899513.397246806</v>
      </c>
      <c r="N189" s="49">
        <v>11779395.932595871</v>
      </c>
      <c r="O189" s="50">
        <v>2000000</v>
      </c>
      <c r="P189" s="119" cm="1">
        <f t="array" ref="P189">LOOKUP(2,1/($B$10:$B$14&lt;=$L189)/($C$10:$C$14&gt;=$L189),$D$10:$D$14)</f>
        <v>1.1000000000000001</v>
      </c>
      <c r="Q189" s="120" cm="1">
        <f t="array" ref="Q189">LOOKUP(2,1/($B$17:$B$21&lt;=$L189)/($C$17:$C$21&gt;=$L189),$D$17:$D$21)</f>
        <v>134.49039999999999</v>
      </c>
      <c r="R189" s="113" t="str">
        <f t="shared" si="165"/>
        <v/>
      </c>
      <c r="S189" s="113" t="str">
        <f t="shared" si="166"/>
        <v>1H21</v>
      </c>
      <c r="T189" s="113" t="str">
        <f t="shared" ca="1" si="167"/>
        <v/>
      </c>
      <c r="U189" s="113" t="str">
        <f t="shared" si="168"/>
        <v/>
      </c>
      <c r="V189" s="113" t="str">
        <f t="shared" si="169"/>
        <v>FY21</v>
      </c>
      <c r="W189" s="113" t="str">
        <f t="shared" ca="1" si="170"/>
        <v/>
      </c>
      <c r="Y189" s="85">
        <f>Z189/1000000</f>
        <v>3</v>
      </c>
      <c r="Z189" s="226">
        <v>3000000</v>
      </c>
      <c r="AA189" s="167">
        <f t="shared" ref="AA189:AA198" si="211">AVERAGEIFS($M:$M,$L:$L,"&gt;="&amp;Z$159,$L:$L,"&lt;="&amp;AB$159,$O:$O,"="&amp;Z189)*AB$160</f>
        <v>8751321.2688212674</v>
      </c>
      <c r="AD189" s="221">
        <f t="shared" ref="AD189:AD197" si="212">AA189/1000000</f>
        <v>8.7513212688212683</v>
      </c>
      <c r="AH189" s="204"/>
      <c r="AI189" s="205"/>
      <c r="AJ189" s="204"/>
      <c r="AK189" s="205"/>
      <c r="AL189" s="57"/>
      <c r="AO189" s="57"/>
      <c r="AS189" s="146">
        <v>4</v>
      </c>
      <c r="AT189" s="166">
        <v>50000000</v>
      </c>
      <c r="AU189" s="167">
        <f t="shared" si="209"/>
        <v>41087545.6154465</v>
      </c>
      <c r="AW189" s="167">
        <f t="shared" si="210"/>
        <v>1</v>
      </c>
      <c r="AY189" s="172"/>
      <c r="AZ189" s="2"/>
      <c r="BA189" s="154"/>
      <c r="BB189" s="155">
        <f t="shared" si="205"/>
        <v>200</v>
      </c>
      <c r="BC189" s="156">
        <f t="shared" si="206"/>
        <v>396.36363636363637</v>
      </c>
      <c r="DF189" s="146">
        <v>6</v>
      </c>
      <c r="DG189" s="166">
        <v>80000000</v>
      </c>
      <c r="DH189" s="168" t="e">
        <f t="shared" si="207"/>
        <v>#DIV/0!</v>
      </c>
      <c r="DJ189" s="145">
        <v>122485999.99999999</v>
      </c>
      <c r="DK189" s="145">
        <v>126083000</v>
      </c>
      <c r="DL189" s="167">
        <f t="shared" si="208"/>
        <v>0</v>
      </c>
      <c r="DN189" s="172" t="s">
        <v>148</v>
      </c>
      <c r="DO189" s="174">
        <f>DI177</f>
        <v>44561</v>
      </c>
      <c r="DP189" s="154"/>
      <c r="DQ189" s="154"/>
      <c r="DR189" s="155">
        <f t="shared" si="203"/>
        <v>200</v>
      </c>
      <c r="DS189" s="154"/>
      <c r="DT189" s="154"/>
      <c r="DU189" s="156">
        <f t="shared" si="204"/>
        <v>360.52749999999997</v>
      </c>
    </row>
    <row r="190" spans="10:125" x14ac:dyDescent="0.25">
      <c r="J190" s="86" t="str" cm="1">
        <f t="array" ref="J190">LOOKUP(2,1/($G$17:$G$33&lt;=$L190)/($H$17:$H$33&gt;=$L190),$F$17:$F$33)</f>
        <v>1H21</v>
      </c>
      <c r="K190" s="86" t="str" cm="1">
        <f t="array" ref="K190">LOOKUP(2,1/($G$6:$G$14&lt;=$L190)/($H$6:$H$14&gt;=$L190),$F$6:$F$14)</f>
        <v>FY21</v>
      </c>
      <c r="L190" s="118">
        <v>44173</v>
      </c>
      <c r="M190" s="49">
        <v>12264618.362831861</v>
      </c>
      <c r="N190" s="49">
        <v>16233448.865044249</v>
      </c>
      <c r="O190" s="50">
        <v>5000000</v>
      </c>
      <c r="P190" s="119" cm="1">
        <f t="array" ref="P190">LOOKUP(2,1/($B$10:$B$14&lt;=$L190)/($C$10:$C$14&gt;=$L190),$D$10:$D$14)</f>
        <v>1.1000000000000001</v>
      </c>
      <c r="Q190" s="120" cm="1">
        <f t="array" ref="Q190">LOOKUP(2,1/($B$17:$B$21&lt;=$L190)/($C$17:$C$21&gt;=$L190),$D$17:$D$21)</f>
        <v>134.49039999999999</v>
      </c>
      <c r="R190" s="113" t="str">
        <f t="shared" si="165"/>
        <v/>
      </c>
      <c r="S190" s="113" t="str">
        <f t="shared" si="166"/>
        <v>1H21</v>
      </c>
      <c r="T190" s="113" t="str">
        <f t="shared" ca="1" si="167"/>
        <v/>
      </c>
      <c r="U190" s="113" t="str">
        <f t="shared" si="168"/>
        <v/>
      </c>
      <c r="V190" s="113" t="str">
        <f t="shared" si="169"/>
        <v>FY21</v>
      </c>
      <c r="W190" s="113" t="str">
        <f t="shared" ca="1" si="170"/>
        <v/>
      </c>
      <c r="X190" s="50"/>
      <c r="Y190" s="85">
        <f t="shared" ref="Y190:Y198" si="213">Z190/1000000</f>
        <v>5</v>
      </c>
      <c r="Z190" s="226">
        <v>5000000</v>
      </c>
      <c r="AA190" s="167">
        <f t="shared" si="211"/>
        <v>9456567.2980672978</v>
      </c>
      <c r="AD190" s="221">
        <f t="shared" si="212"/>
        <v>9.4565672980672986</v>
      </c>
      <c r="AH190" s="204"/>
      <c r="AI190" s="205"/>
      <c r="AJ190" s="204"/>
      <c r="AK190" s="205"/>
      <c r="AL190" s="57"/>
      <c r="AO190" s="57"/>
      <c r="AR190" s="50"/>
      <c r="AS190" s="146">
        <v>5</v>
      </c>
      <c r="AT190" s="166">
        <v>100000000</v>
      </c>
      <c r="AU190" s="167" t="e">
        <f t="shared" si="209"/>
        <v>#DIV/0!</v>
      </c>
      <c r="AW190" s="167">
        <f t="shared" si="210"/>
        <v>0</v>
      </c>
      <c r="AY190" s="172" t="s">
        <v>147</v>
      </c>
      <c r="AZ190" s="174">
        <f>AT179</f>
        <v>44652</v>
      </c>
      <c r="BA190" s="154"/>
      <c r="BB190" s="155">
        <f t="shared" si="205"/>
        <v>250</v>
      </c>
      <c r="BC190" s="156">
        <f t="shared" si="206"/>
        <v>515.27272727272737</v>
      </c>
      <c r="BF190" s="50"/>
      <c r="BY190" s="50"/>
      <c r="CO190" s="50"/>
      <c r="DE190" s="50"/>
      <c r="DF190" s="146">
        <v>7</v>
      </c>
      <c r="DG190" s="145">
        <v>120000000</v>
      </c>
      <c r="DH190" s="145"/>
      <c r="DI190" s="173">
        <f>IF($DG190&gt;=100000000,$DJ$179*DJ$182*DJ190+$DK$179*DK$182*DK190,DJ$182*DJ190+DK$182*DK190)</f>
        <v>222247500</v>
      </c>
      <c r="DJ190" s="145">
        <v>177798000</v>
      </c>
      <c r="DK190" s="145">
        <v>234751000</v>
      </c>
      <c r="DL190" s="146"/>
      <c r="DN190" s="172" t="s">
        <v>173</v>
      </c>
      <c r="DO190" s="177">
        <f>DI182</f>
        <v>1</v>
      </c>
      <c r="DP190" s="154"/>
      <c r="DQ190" s="154"/>
      <c r="DR190" s="155">
        <f t="shared" si="203"/>
        <v>250</v>
      </c>
      <c r="DS190" s="154"/>
      <c r="DT190" s="154"/>
      <c r="DU190" s="156">
        <f t="shared" si="204"/>
        <v>446.95249999999999</v>
      </c>
    </row>
    <row r="191" spans="10:125" x14ac:dyDescent="0.25">
      <c r="J191" s="86" t="str" cm="1">
        <f t="array" ref="J191">LOOKUP(2,1/($G$17:$G$33&lt;=$L191)/($H$17:$H$33&gt;=$L191),$F$17:$F$33)</f>
        <v>1H21</v>
      </c>
      <c r="K191" s="86" t="str" cm="1">
        <f t="array" ref="K191">LOOKUP(2,1/($G$6:$G$14&lt;=$L191)/($H$6:$H$14&gt;=$L191),$F$6:$F$14)</f>
        <v>FY21</v>
      </c>
      <c r="L191" s="118">
        <v>44166</v>
      </c>
      <c r="M191" s="49">
        <v>9508285.6440511327</v>
      </c>
      <c r="N191" s="49">
        <v>12585166.878466079</v>
      </c>
      <c r="O191" s="50">
        <v>2000000</v>
      </c>
      <c r="P191" s="119" cm="1">
        <f t="array" ref="P191">LOOKUP(2,1/($B$10:$B$14&lt;=$L191)/($C$10:$C$14&gt;=$L191),$D$10:$D$14)</f>
        <v>1.1000000000000001</v>
      </c>
      <c r="Q191" s="120" cm="1">
        <f t="array" ref="Q191">LOOKUP(2,1/($B$17:$B$21&lt;=$L191)/($C$17:$C$21&gt;=$L191),$D$17:$D$21)</f>
        <v>134.49039999999999</v>
      </c>
      <c r="R191" s="113" t="str">
        <f t="shared" si="165"/>
        <v/>
      </c>
      <c r="S191" s="113" t="str">
        <f t="shared" si="166"/>
        <v>1H21</v>
      </c>
      <c r="T191" s="113" t="str">
        <f t="shared" ca="1" si="167"/>
        <v/>
      </c>
      <c r="U191" s="113" t="str">
        <f t="shared" si="168"/>
        <v/>
      </c>
      <c r="V191" s="113" t="str">
        <f t="shared" si="169"/>
        <v>FY21</v>
      </c>
      <c r="W191" s="113" t="str">
        <f t="shared" ca="1" si="170"/>
        <v/>
      </c>
      <c r="X191" s="50"/>
      <c r="Y191" s="85">
        <f t="shared" si="213"/>
        <v>10</v>
      </c>
      <c r="Z191" s="226">
        <v>10000000</v>
      </c>
      <c r="AA191" s="167">
        <f t="shared" si="211"/>
        <v>14403726.132726133</v>
      </c>
      <c r="AD191" s="221">
        <f t="shared" si="212"/>
        <v>14.403726132726133</v>
      </c>
      <c r="AH191" s="204"/>
      <c r="AI191" s="205"/>
      <c r="AJ191" s="204"/>
      <c r="AK191" s="205"/>
      <c r="AL191" s="57"/>
      <c r="AO191" s="57"/>
      <c r="AR191" s="50"/>
      <c r="AS191" s="146">
        <v>6</v>
      </c>
      <c r="AT191" s="166">
        <v>160000000</v>
      </c>
      <c r="AU191" s="167" t="e">
        <f t="shared" si="209"/>
        <v>#DIV/0!</v>
      </c>
      <c r="AW191" s="167">
        <f t="shared" si="210"/>
        <v>0</v>
      </c>
      <c r="AY191" s="172" t="s">
        <v>148</v>
      </c>
      <c r="AZ191" s="174">
        <f>AV179</f>
        <v>44868</v>
      </c>
      <c r="BA191" s="154"/>
      <c r="BB191" s="155">
        <f t="shared" si="205"/>
        <v>300</v>
      </c>
      <c r="BC191" s="156">
        <f t="shared" si="206"/>
        <v>634.18181818181824</v>
      </c>
      <c r="BF191" s="50"/>
      <c r="BY191" s="50"/>
      <c r="CO191" s="50"/>
      <c r="DE191" s="50"/>
      <c r="DF191" s="146">
        <v>8</v>
      </c>
      <c r="DG191" s="145">
        <v>160000000</v>
      </c>
      <c r="DH191" s="145"/>
      <c r="DI191" s="173">
        <f>IF($DG191&gt;=100000000,$DJ$179*DJ$182*DJ191+$DK$179*DK$182*DK191,DJ$182*DJ191+DK$182*DK191)</f>
        <v>291387500</v>
      </c>
      <c r="DJ191" s="145">
        <v>233110000</v>
      </c>
      <c r="DK191" s="145">
        <v>381499000.00000006</v>
      </c>
      <c r="DL191" s="146"/>
      <c r="DN191" s="176"/>
      <c r="DO191" s="32"/>
      <c r="DP191" s="32"/>
      <c r="DQ191" s="32"/>
      <c r="DR191" s="32"/>
      <c r="DS191" s="32"/>
      <c r="DT191" s="32"/>
      <c r="DU191" s="183"/>
    </row>
    <row r="192" spans="10:125" x14ac:dyDescent="0.25">
      <c r="J192" s="86" t="str" cm="1">
        <f t="array" ref="J192">LOOKUP(2,1/($G$17:$G$33&lt;=$L192)/($H$17:$H$33&gt;=$L192),$F$17:$F$33)</f>
        <v>1H21</v>
      </c>
      <c r="K192" s="86" t="str" cm="1">
        <f t="array" ref="K192">LOOKUP(2,1/($G$6:$G$14&lt;=$L192)/($H$6:$H$14&gt;=$L192),$F$6:$F$14)</f>
        <v>FY21</v>
      </c>
      <c r="L192" s="118">
        <v>44159</v>
      </c>
      <c r="M192" s="49">
        <v>9219306.1701081619</v>
      </c>
      <c r="N192" s="49">
        <v>12202673.646755163</v>
      </c>
      <c r="O192" s="50">
        <v>2000000</v>
      </c>
      <c r="P192" s="119" cm="1">
        <f t="array" ref="P192">LOOKUP(2,1/($B$10:$B$14&lt;=$L192)/($C$10:$C$14&gt;=$L192),$D$10:$D$14)</f>
        <v>1.1000000000000001</v>
      </c>
      <c r="Q192" s="120" cm="1">
        <f t="array" ref="Q192">LOOKUP(2,1/($B$17:$B$21&lt;=$L192)/($C$17:$C$21&gt;=$L192),$D$17:$D$21)</f>
        <v>134.49039999999999</v>
      </c>
      <c r="R192" s="113" t="str">
        <f t="shared" si="165"/>
        <v/>
      </c>
      <c r="S192" s="113" t="str">
        <f t="shared" si="166"/>
        <v>1H21</v>
      </c>
      <c r="T192" s="113" t="str">
        <f t="shared" ca="1" si="167"/>
        <v/>
      </c>
      <c r="U192" s="113" t="str">
        <f t="shared" si="168"/>
        <v/>
      </c>
      <c r="V192" s="113" t="str">
        <f t="shared" si="169"/>
        <v>FY21</v>
      </c>
      <c r="W192" s="113" t="str">
        <f t="shared" ca="1" si="170"/>
        <v/>
      </c>
      <c r="X192" s="50"/>
      <c r="Y192" s="85">
        <f t="shared" si="213"/>
        <v>20</v>
      </c>
      <c r="Z192" s="226">
        <v>20000000</v>
      </c>
      <c r="AA192" s="167">
        <f t="shared" si="211"/>
        <v>20891056.842556842</v>
      </c>
      <c r="AD192" s="221">
        <f t="shared" si="212"/>
        <v>20.891056842556843</v>
      </c>
      <c r="AH192" s="204"/>
      <c r="AI192" s="205"/>
      <c r="AJ192" s="204"/>
      <c r="AK192" s="205"/>
      <c r="AL192" s="57"/>
      <c r="AO192" s="57"/>
      <c r="AR192" s="50"/>
      <c r="AS192" s="146">
        <v>7</v>
      </c>
      <c r="AT192" s="145">
        <v>200000000</v>
      </c>
      <c r="AU192" s="145"/>
      <c r="AV192" s="145">
        <f>AV77*$AV$184</f>
        <v>396363636.36363637</v>
      </c>
      <c r="AW192" s="146"/>
      <c r="AY192" s="176"/>
      <c r="AZ192" s="85"/>
      <c r="BA192" s="154"/>
      <c r="BB192" s="155">
        <f t="shared" si="205"/>
        <v>350</v>
      </c>
      <c r="BC192" s="156">
        <f t="shared" si="206"/>
        <v>763</v>
      </c>
      <c r="BF192" s="50"/>
      <c r="BY192" s="50"/>
      <c r="CO192" s="50"/>
      <c r="DE192" s="50"/>
      <c r="DF192" s="146">
        <v>9</v>
      </c>
      <c r="DG192" s="145">
        <v>200000000</v>
      </c>
      <c r="DH192" s="145"/>
      <c r="DI192" s="173">
        <f>IF($DG192&gt;=100000000,$DJ$179*DJ$182*DJ192+$DK$179*DK$182*DK192,DJ$182*DJ192+DK$182*DK192)</f>
        <v>360527500</v>
      </c>
      <c r="DJ192" s="145">
        <v>288422000</v>
      </c>
      <c r="DK192" s="145">
        <v>566327000</v>
      </c>
      <c r="DL192" s="146"/>
      <c r="DN192" s="186"/>
      <c r="DO192" s="2"/>
      <c r="DP192" s="2"/>
      <c r="DQ192" s="2"/>
      <c r="DR192" s="2"/>
      <c r="DS192" s="2"/>
      <c r="DT192" s="2"/>
      <c r="DU192" s="187"/>
    </row>
    <row r="193" spans="10:125" x14ac:dyDescent="0.25">
      <c r="J193" s="86" t="str" cm="1">
        <f t="array" ref="J193">LOOKUP(2,1/($G$17:$G$33&lt;=$L193)/($H$17:$H$33&gt;=$L193),$F$17:$F$33)</f>
        <v>1H21</v>
      </c>
      <c r="K193" s="86" t="str" cm="1">
        <f t="array" ref="K193">LOOKUP(2,1/($G$6:$G$14&lt;=$L193)/($H$6:$H$14&gt;=$L193),$F$6:$F$14)</f>
        <v>FY21</v>
      </c>
      <c r="L193" s="118">
        <v>44152</v>
      </c>
      <c r="M193" s="49">
        <v>35676691.86332351</v>
      </c>
      <c r="N193" s="49">
        <v>47221669.350294992</v>
      </c>
      <c r="O193" s="50">
        <v>30000000</v>
      </c>
      <c r="P193" s="119" cm="1">
        <f t="array" ref="P193">LOOKUP(2,1/($B$10:$B$14&lt;=$L193)/($C$10:$C$14&gt;=$L193),$D$10:$D$14)</f>
        <v>1.1000000000000001</v>
      </c>
      <c r="Q193" s="120" cm="1">
        <f t="array" ref="Q193">LOOKUP(2,1/($B$17:$B$21&lt;=$L193)/($C$17:$C$21&gt;=$L193),$D$17:$D$21)</f>
        <v>134.49039999999999</v>
      </c>
      <c r="R193" s="113" t="str">
        <f t="shared" si="165"/>
        <v/>
      </c>
      <c r="S193" s="113" t="str">
        <f t="shared" si="166"/>
        <v>1H21</v>
      </c>
      <c r="T193" s="113" t="str">
        <f t="shared" ca="1" si="167"/>
        <v/>
      </c>
      <c r="U193" s="113" t="str">
        <f t="shared" si="168"/>
        <v/>
      </c>
      <c r="V193" s="113" t="str">
        <f t="shared" si="169"/>
        <v>FY21</v>
      </c>
      <c r="W193" s="113" t="str">
        <f t="shared" ca="1" si="170"/>
        <v/>
      </c>
      <c r="X193" s="50"/>
      <c r="Y193" s="85">
        <f t="shared" si="213"/>
        <v>30</v>
      </c>
      <c r="Z193" s="226">
        <v>30000000</v>
      </c>
      <c r="AA193" s="167">
        <f t="shared" si="211"/>
        <v>26900926.907676905</v>
      </c>
      <c r="AD193" s="221">
        <f t="shared" si="212"/>
        <v>26.900926907676904</v>
      </c>
      <c r="AH193" s="204"/>
      <c r="AI193" s="205"/>
      <c r="AJ193" s="204"/>
      <c r="AK193" s="205"/>
      <c r="AL193" s="57"/>
      <c r="AO193" s="57"/>
      <c r="AR193" s="50"/>
      <c r="AS193" s="146">
        <v>8</v>
      </c>
      <c r="AT193" s="145">
        <v>250000000</v>
      </c>
      <c r="AU193" s="145"/>
      <c r="AV193" s="145">
        <f>AV78*$AV$184</f>
        <v>515272727.27272731</v>
      </c>
      <c r="AW193" s="146"/>
      <c r="AY193" s="176"/>
      <c r="AZ193" s="32"/>
      <c r="BA193" s="32"/>
      <c r="BB193" s="32"/>
      <c r="BC193" s="183"/>
      <c r="BF193" s="50"/>
      <c r="BY193" s="50"/>
      <c r="CO193" s="50"/>
      <c r="DE193" s="50"/>
      <c r="DF193" s="146">
        <v>10</v>
      </c>
      <c r="DG193" s="145">
        <v>250000000</v>
      </c>
      <c r="DH193" s="145"/>
      <c r="DI193" s="173">
        <f>IF($DG193&gt;=100000000,$DJ$179*DJ$182*DJ193+$DK$179*DK$182*DK193,DJ$182*DJ193+DK$182*DK193)</f>
        <v>446952500</v>
      </c>
      <c r="DJ193" s="145">
        <v>357562000</v>
      </c>
      <c r="DK193" s="145">
        <v>850911999.99999988</v>
      </c>
      <c r="DL193" s="146"/>
      <c r="DN193" s="189"/>
      <c r="DO193" s="190"/>
      <c r="DP193" s="190"/>
      <c r="DQ193" s="190"/>
      <c r="DR193" s="190"/>
      <c r="DS193" s="190"/>
      <c r="DT193" s="190"/>
      <c r="DU193" s="191"/>
    </row>
    <row r="194" spans="10:125" x14ac:dyDescent="0.25">
      <c r="J194" s="86" t="str" cm="1">
        <f t="array" ref="J194">LOOKUP(2,1/($G$17:$G$33&lt;=$L194)/($H$17:$H$33&gt;=$L194),$F$17:$F$33)</f>
        <v>1H21</v>
      </c>
      <c r="K194" s="86" t="str" cm="1">
        <f t="array" ref="K194">LOOKUP(2,1/($G$6:$G$14&lt;=$L194)/($H$6:$H$14&gt;=$L194),$F$6:$F$14)</f>
        <v>FY21</v>
      </c>
      <c r="L194" s="118">
        <v>44145</v>
      </c>
      <c r="M194" s="49">
        <v>26046122.418879062</v>
      </c>
      <c r="N194" s="49">
        <v>34474647.633628324</v>
      </c>
      <c r="O194" s="50">
        <v>20000000</v>
      </c>
      <c r="P194" s="119" cm="1">
        <f t="array" ref="P194">LOOKUP(2,1/($B$10:$B$14&lt;=$L194)/($C$10:$C$14&gt;=$L194),$D$10:$D$14)</f>
        <v>1.1000000000000001</v>
      </c>
      <c r="Q194" s="120" cm="1">
        <f t="array" ref="Q194">LOOKUP(2,1/($B$17:$B$21&lt;=$L194)/($C$17:$C$21&gt;=$L194),$D$17:$D$21)</f>
        <v>134.49039999999999</v>
      </c>
      <c r="R194" s="113" t="str">
        <f t="shared" si="165"/>
        <v/>
      </c>
      <c r="S194" s="113" t="str">
        <f t="shared" si="166"/>
        <v>1H21</v>
      </c>
      <c r="T194" s="113" t="str">
        <f t="shared" ca="1" si="167"/>
        <v/>
      </c>
      <c r="U194" s="113" t="str">
        <f t="shared" si="168"/>
        <v/>
      </c>
      <c r="V194" s="113" t="str">
        <f t="shared" si="169"/>
        <v>FY21</v>
      </c>
      <c r="W194" s="113" t="str">
        <f t="shared" ca="1" si="170"/>
        <v/>
      </c>
      <c r="X194" s="50"/>
      <c r="Y194" s="85">
        <f t="shared" si="213"/>
        <v>40</v>
      </c>
      <c r="Z194" s="227">
        <v>40000000</v>
      </c>
      <c r="AA194" s="167">
        <f t="shared" si="211"/>
        <v>32340324.863324862</v>
      </c>
      <c r="AD194" s="221">
        <f t="shared" si="212"/>
        <v>32.340324863324859</v>
      </c>
      <c r="AR194" s="50"/>
      <c r="AS194" s="146">
        <v>9</v>
      </c>
      <c r="AT194" s="145">
        <v>300000000</v>
      </c>
      <c r="AU194" s="145"/>
      <c r="AV194" s="145">
        <f>AV79*$AV$184</f>
        <v>634181818.18181825</v>
      </c>
      <c r="AW194" s="146"/>
      <c r="AY194" s="186"/>
      <c r="AZ194" s="2"/>
      <c r="BA194" s="2"/>
      <c r="BB194" s="2"/>
      <c r="BC194" s="187"/>
      <c r="BF194" s="50"/>
      <c r="BY194" s="50"/>
      <c r="CO194" s="50"/>
      <c r="DE194" s="50"/>
    </row>
    <row r="195" spans="10:125" x14ac:dyDescent="0.25">
      <c r="J195" s="86" t="str" cm="1">
        <f t="array" ref="J195">LOOKUP(2,1/($G$17:$G$33&lt;=$L195)/($H$17:$H$33&gt;=$L195),$F$17:$F$33)</f>
        <v>1H21</v>
      </c>
      <c r="K195" s="86" t="str" cm="1">
        <f t="array" ref="K195">LOOKUP(2,1/($G$6:$G$14&lt;=$L195)/($H$6:$H$14&gt;=$L195),$F$6:$F$14)</f>
        <v>FY21</v>
      </c>
      <c r="L195" s="118">
        <v>44138</v>
      </c>
      <c r="M195" s="49">
        <v>16374744.100294989</v>
      </c>
      <c r="N195" s="49">
        <v>21673611.291150443</v>
      </c>
      <c r="O195" s="50">
        <v>10000000</v>
      </c>
      <c r="P195" s="119" cm="1">
        <f t="array" ref="P195">LOOKUP(2,1/($B$10:$B$14&lt;=$L195)/($C$10:$C$14&gt;=$L195),$D$10:$D$14)</f>
        <v>1.1000000000000001</v>
      </c>
      <c r="Q195" s="120" cm="1">
        <f t="array" ref="Q195">LOOKUP(2,1/($B$17:$B$21&lt;=$L195)/($C$17:$C$21&gt;=$L195),$D$17:$D$21)</f>
        <v>134.49039999999999</v>
      </c>
      <c r="R195" s="113" t="str">
        <f t="shared" si="165"/>
        <v/>
      </c>
      <c r="S195" s="113" t="str">
        <f t="shared" si="166"/>
        <v>1H21</v>
      </c>
      <c r="T195" s="113" t="str">
        <f t="shared" ca="1" si="167"/>
        <v/>
      </c>
      <c r="U195" s="113" t="str">
        <f t="shared" si="168"/>
        <v/>
      </c>
      <c r="V195" s="113" t="str">
        <f t="shared" si="169"/>
        <v>FY21</v>
      </c>
      <c r="W195" s="113" t="str">
        <f t="shared" ca="1" si="170"/>
        <v/>
      </c>
      <c r="X195" s="50"/>
      <c r="Y195" s="85">
        <f t="shared" si="213"/>
        <v>50</v>
      </c>
      <c r="Z195" s="227">
        <v>50000000</v>
      </c>
      <c r="AA195" s="167">
        <f t="shared" si="211"/>
        <v>42276012.012012005</v>
      </c>
      <c r="AD195" s="221">
        <f t="shared" si="212"/>
        <v>42.276012012012004</v>
      </c>
      <c r="AR195" s="50"/>
      <c r="AS195" s="146">
        <v>10</v>
      </c>
      <c r="AT195" s="145">
        <v>350000000</v>
      </c>
      <c r="AU195" s="145"/>
      <c r="AV195" s="145">
        <f>AV80*$AV$184</f>
        <v>763000000</v>
      </c>
      <c r="AW195" s="146"/>
      <c r="AY195" s="189"/>
      <c r="AZ195" s="190"/>
      <c r="BA195" s="190"/>
      <c r="BB195" s="190"/>
      <c r="BC195" s="191"/>
      <c r="BF195" s="50"/>
      <c r="BY195" s="50"/>
      <c r="CO195" s="50"/>
      <c r="DE195" s="50"/>
      <c r="DF195" s="125" t="s">
        <v>229</v>
      </c>
      <c r="DG195" s="126"/>
      <c r="DH195" s="126"/>
      <c r="DI195" s="126"/>
      <c r="DJ195" s="126"/>
      <c r="DK195" s="126"/>
      <c r="DL195" s="126"/>
      <c r="DM195" s="126"/>
      <c r="DN195" s="126"/>
      <c r="DO195" s="126"/>
      <c r="DP195" s="126"/>
      <c r="DQ195" s="126"/>
      <c r="DR195" s="126"/>
      <c r="DS195" s="126"/>
      <c r="DT195" s="126"/>
      <c r="DU195" s="126"/>
    </row>
    <row r="196" spans="10:125" x14ac:dyDescent="0.25">
      <c r="J196" s="86" t="str" cm="1">
        <f t="array" ref="J196">LOOKUP(2,1/($G$17:$G$33&lt;=$L196)/($H$17:$H$33&gt;=$L196),$F$17:$F$33)</f>
        <v>1H21</v>
      </c>
      <c r="K196" s="86" t="str" cm="1">
        <f t="array" ref="K196">LOOKUP(2,1/($G$6:$G$14&lt;=$L196)/($H$6:$H$14&gt;=$L196),$F$6:$F$14)</f>
        <v>FY21</v>
      </c>
      <c r="L196" s="118">
        <v>44131</v>
      </c>
      <c r="M196" s="49">
        <v>11575730.580137661</v>
      </c>
      <c r="N196" s="49">
        <v>15321636.995870207</v>
      </c>
      <c r="O196" s="50">
        <v>5000000</v>
      </c>
      <c r="P196" s="119" cm="1">
        <f t="array" ref="P196">LOOKUP(2,1/($B$10:$B$14&lt;=$L196)/($C$10:$C$14&gt;=$L196),$D$10:$D$14)</f>
        <v>1.1000000000000001</v>
      </c>
      <c r="Q196" s="120" cm="1">
        <f t="array" ref="Q196">LOOKUP(2,1/($B$17:$B$21&lt;=$L196)/($C$17:$C$21&gt;=$L196),$D$17:$D$21)</f>
        <v>134.49039999999999</v>
      </c>
      <c r="R196" s="113" t="str">
        <f t="shared" si="165"/>
        <v/>
      </c>
      <c r="S196" s="113" t="str">
        <f t="shared" si="166"/>
        <v>1H21</v>
      </c>
      <c r="T196" s="113" t="str">
        <f t="shared" ca="1" si="167"/>
        <v/>
      </c>
      <c r="U196" s="113" t="str">
        <f t="shared" si="168"/>
        <v/>
      </c>
      <c r="V196" s="113" t="str">
        <f t="shared" si="169"/>
        <v>FY21</v>
      </c>
      <c r="W196" s="113" t="str">
        <f t="shared" ca="1" si="170"/>
        <v/>
      </c>
      <c r="X196" s="50"/>
      <c r="Y196" s="85">
        <f t="shared" si="213"/>
        <v>70</v>
      </c>
      <c r="Z196" s="227">
        <v>70000000</v>
      </c>
      <c r="AA196" s="167">
        <f t="shared" si="211"/>
        <v>68443644.721644714</v>
      </c>
      <c r="AD196" s="221">
        <f t="shared" si="212"/>
        <v>68.443644721644716</v>
      </c>
      <c r="AR196" s="50"/>
      <c r="BF196" s="50"/>
      <c r="BY196" s="50"/>
      <c r="CO196" s="50"/>
      <c r="DE196" s="50"/>
      <c r="DF196" s="114" t="s">
        <v>147</v>
      </c>
      <c r="DG196" s="115">
        <v>44562</v>
      </c>
      <c r="DH196" s="114" t="s">
        <v>148</v>
      </c>
      <c r="DI196" s="115">
        <v>44742</v>
      </c>
      <c r="DJ196" s="132"/>
      <c r="DK196" s="132"/>
      <c r="DL196" s="132"/>
      <c r="DM196" s="133"/>
      <c r="DN196" s="133"/>
      <c r="DO196" s="133"/>
      <c r="DP196" s="133"/>
      <c r="DQ196" s="133"/>
      <c r="DR196" s="133"/>
      <c r="DS196" s="133"/>
      <c r="DT196" s="133"/>
      <c r="DU196" s="133"/>
    </row>
    <row r="197" spans="10:125" x14ac:dyDescent="0.25">
      <c r="J197" s="86" t="str" cm="1">
        <f t="array" ref="J197">LOOKUP(2,1/($G$17:$G$33&lt;=$L197)/($H$17:$H$33&gt;=$L197),$F$17:$F$33)</f>
        <v>1H21</v>
      </c>
      <c r="K197" s="86" t="str" cm="1">
        <f t="array" ref="K197">LOOKUP(2,1/($G$6:$G$14&lt;=$L197)/($H$6:$H$14&gt;=$L197),$F$6:$F$14)</f>
        <v>FY21</v>
      </c>
      <c r="L197" s="118">
        <v>44124</v>
      </c>
      <c r="M197" s="49">
        <v>9598762.4139626361</v>
      </c>
      <c r="N197" s="49">
        <v>12704921.931120943</v>
      </c>
      <c r="O197" s="50">
        <v>2000000</v>
      </c>
      <c r="P197" s="119" cm="1">
        <f t="array" ref="P197">LOOKUP(2,1/($B$10:$B$14&lt;=$L197)/($C$10:$C$14&gt;=$L197),$D$10:$D$14)</f>
        <v>1.1000000000000001</v>
      </c>
      <c r="Q197" s="120" cm="1">
        <f t="array" ref="Q197">LOOKUP(2,1/($B$17:$B$21&lt;=$L197)/($C$17:$C$21&gt;=$L197),$D$17:$D$21)</f>
        <v>134.49039999999999</v>
      </c>
      <c r="R197" s="113" t="str">
        <f t="shared" si="165"/>
        <v/>
      </c>
      <c r="S197" s="113" t="str">
        <f t="shared" si="166"/>
        <v>1H21</v>
      </c>
      <c r="T197" s="113" t="str">
        <f t="shared" ca="1" si="167"/>
        <v/>
      </c>
      <c r="U197" s="113" t="str">
        <f t="shared" si="168"/>
        <v/>
      </c>
      <c r="V197" s="113" t="str">
        <f t="shared" si="169"/>
        <v>FY21</v>
      </c>
      <c r="W197" s="113" t="str">
        <f t="shared" ca="1" si="170"/>
        <v/>
      </c>
      <c r="X197" s="50"/>
      <c r="Y197" s="85">
        <f t="shared" si="213"/>
        <v>90</v>
      </c>
      <c r="Z197" s="227">
        <v>90000000</v>
      </c>
      <c r="AA197" s="167">
        <f t="shared" si="211"/>
        <v>101791079.34857933</v>
      </c>
      <c r="AC197" s="145">
        <v>67923200</v>
      </c>
      <c r="AD197" s="221">
        <f t="shared" si="212"/>
        <v>101.79107934857933</v>
      </c>
      <c r="AR197" s="50"/>
      <c r="AS197" s="208" t="s">
        <v>230</v>
      </c>
      <c r="AT197" s="209"/>
      <c r="AU197" s="209"/>
      <c r="AV197" s="209"/>
      <c r="AW197" s="209"/>
      <c r="AX197" s="209"/>
      <c r="AY197" s="209"/>
      <c r="AZ197" s="209"/>
      <c r="BA197" s="209"/>
      <c r="BB197" s="209"/>
      <c r="BC197" s="209"/>
      <c r="BD197" s="209"/>
      <c r="BE197" s="209"/>
      <c r="BF197" s="50"/>
      <c r="BY197" s="50"/>
      <c r="CO197" s="50"/>
      <c r="DE197" s="50"/>
      <c r="DF197" s="114" t="s">
        <v>159</v>
      </c>
      <c r="DG197" s="115" t="s">
        <v>54</v>
      </c>
      <c r="DH197" s="114" t="s">
        <v>161</v>
      </c>
      <c r="DI197" s="134" t="str" cm="1">
        <f t="array" ref="DI197">IF(OR(LOOKUP(2,1/($B$10:$B$14&lt;=DI196)/($C$10:$C$14&gt;=DI196),$D$10:$D$14)&lt;&gt;DG200,LOOKUP(2,1/($B$6:$B$7&lt;=DI196)/($C$6:$C$7&gt;=DI196),$D$6:$D$7)&lt;&gt;DI200),"FAIL","PASS")</f>
        <v>PASS</v>
      </c>
      <c r="DJ197" s="134" t="s">
        <v>162</v>
      </c>
      <c r="DK197" s="134" t="s">
        <v>162</v>
      </c>
      <c r="DL197" s="134"/>
      <c r="DM197" s="133"/>
      <c r="DN197" s="133"/>
      <c r="DO197" s="133"/>
      <c r="DP197" s="133"/>
      <c r="DQ197" s="133"/>
      <c r="DR197" s="133"/>
      <c r="DS197" s="133"/>
      <c r="DT197" s="133"/>
      <c r="DU197" s="133"/>
    </row>
    <row r="198" spans="10:125" x14ac:dyDescent="0.25">
      <c r="J198" s="86" t="str" cm="1">
        <f t="array" ref="J198">LOOKUP(2,1/($G$17:$G$33&lt;=$L198)/($H$17:$H$33&gt;=$L198),$F$17:$F$33)</f>
        <v>1H21</v>
      </c>
      <c r="K198" s="86" t="str" cm="1">
        <f t="array" ref="K198">LOOKUP(2,1/($G$6:$G$14&lt;=$L198)/($H$6:$H$14&gt;=$L198),$F$6:$F$14)</f>
        <v>FY21</v>
      </c>
      <c r="L198" s="118">
        <v>44117</v>
      </c>
      <c r="M198" s="49">
        <v>9216192.9695181921</v>
      </c>
      <c r="N198" s="49">
        <v>12198553.014454277</v>
      </c>
      <c r="O198" s="50">
        <v>2000000</v>
      </c>
      <c r="P198" s="119" cm="1">
        <f t="array" ref="P198">LOOKUP(2,1/($B$10:$B$14&lt;=$L198)/($C$10:$C$14&gt;=$L198),$D$10:$D$14)</f>
        <v>1.1000000000000001</v>
      </c>
      <c r="Q198" s="120" cm="1">
        <f t="array" ref="Q198">LOOKUP(2,1/($B$17:$B$21&lt;=$L198)/($C$17:$C$21&gt;=$L198),$D$17:$D$21)</f>
        <v>134.49039999999999</v>
      </c>
      <c r="R198" s="113" t="str">
        <f t="shared" si="165"/>
        <v/>
      </c>
      <c r="S198" s="113" t="str">
        <f t="shared" si="166"/>
        <v>1H21</v>
      </c>
      <c r="T198" s="113" t="str">
        <f t="shared" ca="1" si="167"/>
        <v/>
      </c>
      <c r="U198" s="113" t="str">
        <f t="shared" si="168"/>
        <v/>
      </c>
      <c r="V198" s="113" t="str">
        <f t="shared" si="169"/>
        <v>FY21</v>
      </c>
      <c r="W198" s="113" t="str">
        <f t="shared" ca="1" si="170"/>
        <v/>
      </c>
      <c r="X198" s="50"/>
      <c r="Y198" s="85">
        <f t="shared" si="213"/>
        <v>120</v>
      </c>
      <c r="Z198" s="227">
        <v>120000000</v>
      </c>
      <c r="AA198" s="167" t="e">
        <f t="shared" si="211"/>
        <v>#DIV/0!</v>
      </c>
      <c r="AC198" s="145">
        <v>88362200</v>
      </c>
      <c r="AD198" s="203">
        <f>AC198/1000000*1.3</f>
        <v>114.87086000000001</v>
      </c>
      <c r="AR198" s="50"/>
      <c r="AS198" s="114" t="s">
        <v>147</v>
      </c>
      <c r="AT198" s="115">
        <v>43282</v>
      </c>
      <c r="AU198" s="114" t="s">
        <v>148</v>
      </c>
      <c r="AV198" s="115">
        <v>43646</v>
      </c>
      <c r="AW198" s="132"/>
      <c r="AX198" s="133"/>
      <c r="AY198" s="133"/>
      <c r="AZ198" s="133"/>
      <c r="BA198" s="133"/>
      <c r="BB198" s="133"/>
      <c r="BC198" s="133"/>
      <c r="BD198" s="133"/>
      <c r="BE198" s="133"/>
      <c r="BF198" s="50"/>
      <c r="BY198" s="50"/>
      <c r="CO198" s="50"/>
      <c r="DE198" s="50"/>
      <c r="DF198" s="114" t="s">
        <v>165</v>
      </c>
      <c r="DG198" s="134">
        <f>INDEX($G:$G,MATCH(DG197,$F:$F,0))</f>
        <v>44562</v>
      </c>
      <c r="DH198" s="114" t="s">
        <v>166</v>
      </c>
      <c r="DI198" s="134">
        <f>INDEX($H:$H,MATCH(DG197,$F:$F,0))</f>
        <v>44742</v>
      </c>
      <c r="DJ198" s="135">
        <v>1.25</v>
      </c>
      <c r="DK198" s="135">
        <v>1</v>
      </c>
      <c r="DL198" s="134"/>
      <c r="DN198" s="136" t="s">
        <v>167</v>
      </c>
      <c r="DO198" s="137"/>
      <c r="DP198" s="137"/>
      <c r="DQ198" s="137"/>
      <c r="DR198" s="138"/>
      <c r="DS198" s="137"/>
      <c r="DT198" s="137"/>
      <c r="DU198" s="139"/>
    </row>
    <row r="199" spans="10:125" x14ac:dyDescent="0.25">
      <c r="J199" s="86" t="str" cm="1">
        <f t="array" ref="J199">LOOKUP(2,1/($G$17:$G$33&lt;=$L199)/($H$17:$H$33&gt;=$L199),$F$17:$F$33)</f>
        <v>1H21</v>
      </c>
      <c r="K199" s="86" t="str" cm="1">
        <f t="array" ref="K199">LOOKUP(2,1/($G$6:$G$14&lt;=$L199)/($H$6:$H$14&gt;=$L199),$F$6:$F$14)</f>
        <v>FY21</v>
      </c>
      <c r="L199" s="118">
        <v>44110</v>
      </c>
      <c r="M199" s="49">
        <v>18094398.230088498</v>
      </c>
      <c r="N199" s="49">
        <v>23949745.497345135</v>
      </c>
      <c r="O199" s="50">
        <v>10000000</v>
      </c>
      <c r="P199" s="119" cm="1">
        <f t="array" ref="P199">LOOKUP(2,1/($B$10:$B$14&lt;=$L199)/($C$10:$C$14&gt;=$L199),$D$10:$D$14)</f>
        <v>1.1000000000000001</v>
      </c>
      <c r="Q199" s="120" cm="1">
        <f t="array" ref="Q199">LOOKUP(2,1/($B$17:$B$21&lt;=$L199)/($C$17:$C$21&gt;=$L199),$D$17:$D$21)</f>
        <v>134.49039999999999</v>
      </c>
      <c r="R199" s="113" t="str">
        <f t="shared" si="165"/>
        <v/>
      </c>
      <c r="S199" s="113" t="str">
        <f t="shared" si="166"/>
        <v>1H21</v>
      </c>
      <c r="T199" s="113" t="str">
        <f t="shared" ca="1" si="167"/>
        <v/>
      </c>
      <c r="U199" s="113" t="str">
        <f t="shared" si="168"/>
        <v/>
      </c>
      <c r="V199" s="113" t="str">
        <f t="shared" si="169"/>
        <v>FY21</v>
      </c>
      <c r="W199" s="113" t="str">
        <f t="shared" ca="1" si="170"/>
        <v/>
      </c>
      <c r="X199" s="50"/>
      <c r="AR199" s="50"/>
      <c r="AS199" s="114" t="s">
        <v>159</v>
      </c>
      <c r="AT199" s="115" t="s">
        <v>22</v>
      </c>
      <c r="AU199" s="114" t="s">
        <v>161</v>
      </c>
      <c r="AV199" s="115" t="s">
        <v>163</v>
      </c>
      <c r="AW199" s="134"/>
      <c r="AX199" s="133"/>
      <c r="AY199" s="133"/>
      <c r="AZ199" s="133"/>
      <c r="BA199" s="133"/>
      <c r="BB199" s="133"/>
      <c r="BC199" s="133"/>
      <c r="BD199" s="133"/>
      <c r="BE199" s="133"/>
      <c r="BF199" s="50"/>
      <c r="BY199" s="50"/>
      <c r="CO199" s="50"/>
      <c r="DE199" s="50"/>
      <c r="DF199" s="114" t="s">
        <v>91</v>
      </c>
      <c r="DG199" s="140">
        <f>INDEX($O:$O,MATCH(DG197,$R:$R,0))</f>
        <v>10000000</v>
      </c>
      <c r="DH199" s="114" t="s">
        <v>76</v>
      </c>
      <c r="DI199" s="140">
        <f ca="1">INDEX($O:$O,MATCH(DG197,$T:$T,0))</f>
        <v>30000000</v>
      </c>
      <c r="DJ199" s="140"/>
      <c r="DK199" s="140"/>
      <c r="DL199" s="140"/>
      <c r="DN199" s="147" t="s">
        <v>165</v>
      </c>
      <c r="DO199" s="148">
        <f>DG198</f>
        <v>44562</v>
      </c>
      <c r="DP199" s="142"/>
      <c r="DQ199" s="142"/>
      <c r="DR199" s="143" t="s">
        <v>15</v>
      </c>
      <c r="DS199" s="142"/>
      <c r="DT199" s="142"/>
      <c r="DU199" s="144" t="s">
        <v>139</v>
      </c>
    </row>
    <row r="200" spans="10:125" x14ac:dyDescent="0.25">
      <c r="J200" s="86" t="str" cm="1">
        <f t="array" ref="J200">LOOKUP(2,1/($G$17:$G$33&lt;=$L200)/($H$17:$H$33&gt;=$L200),$F$17:$F$33)</f>
        <v>1H21</v>
      </c>
      <c r="K200" s="86" t="str" cm="1">
        <f t="array" ref="K200">LOOKUP(2,1/($G$6:$G$14&lt;=$L200)/($H$6:$H$14&gt;=$L200),$F$6:$F$14)</f>
        <v>FY21</v>
      </c>
      <c r="L200" s="118">
        <v>44103</v>
      </c>
      <c r="M200" s="49">
        <v>13311842.18289086</v>
      </c>
      <c r="N200" s="49">
        <v>17619554.313274343</v>
      </c>
      <c r="O200" s="50">
        <v>5000000</v>
      </c>
      <c r="P200" s="119" cm="1">
        <f t="array" ref="P200">LOOKUP(2,1/($B$10:$B$14&lt;=$L200)/($C$10:$C$14&gt;=$L200),$D$10:$D$14)</f>
        <v>1.1000000000000001</v>
      </c>
      <c r="Q200" s="120" cm="1">
        <f t="array" ref="Q200">LOOKUP(2,1/($B$17:$B$21&lt;=$L200)/($C$17:$C$21&gt;=$L200),$D$17:$D$21)</f>
        <v>134.49039999999999</v>
      </c>
      <c r="R200" s="113" t="str">
        <f t="shared" si="165"/>
        <v/>
      </c>
      <c r="S200" s="113" t="str">
        <f t="shared" si="166"/>
        <v>1H21</v>
      </c>
      <c r="T200" s="113" t="str">
        <f t="shared" ca="1" si="167"/>
        <v/>
      </c>
      <c r="U200" s="113" t="str">
        <f t="shared" si="168"/>
        <v/>
      </c>
      <c r="V200" s="113" t="str">
        <f t="shared" si="169"/>
        <v>FY21</v>
      </c>
      <c r="W200" s="113" t="str">
        <f t="shared" ca="1" si="170"/>
        <v/>
      </c>
      <c r="X200" s="50"/>
      <c r="AR200" s="50"/>
      <c r="AS200" s="114" t="s">
        <v>165</v>
      </c>
      <c r="AT200" s="134">
        <f>INDEX($G:$G,MATCH(AT199,$F:$F,0))</f>
        <v>44378</v>
      </c>
      <c r="AU200" s="114" t="s">
        <v>166</v>
      </c>
      <c r="AV200" s="134">
        <f>INDEX($H:$H,MATCH(AT199,$F:$F,0))</f>
        <v>44742</v>
      </c>
      <c r="AW200" s="134"/>
      <c r="AY200" s="136" t="s">
        <v>167</v>
      </c>
      <c r="AZ200" s="137"/>
      <c r="BA200" s="137"/>
      <c r="BB200" s="138"/>
      <c r="BC200" s="139"/>
      <c r="BF200" s="50"/>
      <c r="BY200" s="50"/>
      <c r="CO200" s="50"/>
      <c r="DE200" s="50"/>
      <c r="DF200" s="114" t="s">
        <v>169</v>
      </c>
      <c r="DG200" s="119" cm="1">
        <f t="array" ref="DG200">LOOKUP(2,1/($B$10:$B$14&lt;=DG196)/($C$10:$C$14&gt;=DG196),$D$10:$D$14)</f>
        <v>1.1000000000000001</v>
      </c>
      <c r="DH200" s="114" t="s">
        <v>149</v>
      </c>
      <c r="DI200" s="152" cm="1">
        <f t="array" ref="DI200">LOOKUP(2,1/($B$6:$B$7&lt;=DG196)/($C$6:$C$7&gt;=DG196),$D$6:$D$7)</f>
        <v>0.10299999999999999</v>
      </c>
      <c r="DJ200" s="152" t="s">
        <v>170</v>
      </c>
      <c r="DK200" s="152" t="s">
        <v>171</v>
      </c>
      <c r="DL200" s="152"/>
      <c r="DN200" s="153" t="s">
        <v>166</v>
      </c>
      <c r="DO200" s="158">
        <f>DI198</f>
        <v>44742</v>
      </c>
      <c r="DP200" s="154"/>
      <c r="DQ200" s="154"/>
      <c r="DR200" s="155">
        <f>DG203/1000000</f>
        <v>3</v>
      </c>
      <c r="DS200" s="154"/>
      <c r="DT200" s="154"/>
      <c r="DU200" s="156">
        <f>MAX(DH203:DI203)/1000000</f>
        <v>8.724753857499433</v>
      </c>
    </row>
    <row r="201" spans="10:125" x14ac:dyDescent="0.25">
      <c r="J201" s="86" t="str" cm="1">
        <f t="array" ref="J201">LOOKUP(2,1/($G$17:$G$33&lt;=$L201)/($H$17:$H$33&gt;=$L201),$F$17:$F$33)</f>
        <v>1H21</v>
      </c>
      <c r="K201" s="86" t="str" cm="1">
        <f t="array" ref="K201">LOOKUP(2,1/($G$6:$G$14&lt;=$L201)/($H$6:$H$14&gt;=$L201),$F$6:$F$14)</f>
        <v>FY21</v>
      </c>
      <c r="L201" s="118">
        <v>44096</v>
      </c>
      <c r="M201" s="49">
        <v>10243366.887905605</v>
      </c>
      <c r="N201" s="49">
        <v>13558120.412831858</v>
      </c>
      <c r="O201" s="50">
        <v>2000000</v>
      </c>
      <c r="P201" s="119" cm="1">
        <f t="array" ref="P201">LOOKUP(2,1/($B$10:$B$14&lt;=$L201)/($C$10:$C$14&gt;=$L201),$D$10:$D$14)</f>
        <v>1.1000000000000001</v>
      </c>
      <c r="Q201" s="120" cm="1">
        <f t="array" ref="Q201">LOOKUP(2,1/($B$17:$B$21&lt;=$L201)/($C$17:$C$21&gt;=$L201),$D$17:$D$21)</f>
        <v>134.49039999999999</v>
      </c>
      <c r="R201" s="113" t="str">
        <f t="shared" si="165"/>
        <v/>
      </c>
      <c r="S201" s="113" t="str">
        <f t="shared" si="166"/>
        <v>1H21</v>
      </c>
      <c r="T201" s="113" t="str">
        <f t="shared" ca="1" si="167"/>
        <v/>
      </c>
      <c r="U201" s="113" t="str">
        <f t="shared" si="168"/>
        <v/>
      </c>
      <c r="V201" s="113" t="str">
        <f t="shared" si="169"/>
        <v>FY21</v>
      </c>
      <c r="W201" s="113" t="str">
        <f t="shared" ca="1" si="170"/>
        <v/>
      </c>
      <c r="X201" s="50"/>
      <c r="Y201" s="85">
        <f t="shared" ref="Y201:Y210" si="214">Z201/1000000</f>
        <v>3</v>
      </c>
      <c r="Z201" s="226">
        <v>3000000</v>
      </c>
      <c r="AA201" s="167">
        <f t="shared" ref="AA201:AA210" si="215">AVERAGEIFS($M:$M,$L:$L,"&gt;="&amp;Z$159,$L:$L,"&lt;="&amp;AB$159,$O:$O,"="&amp;Z201)*AB$160</f>
        <v>8751321.2688212674</v>
      </c>
      <c r="AD201" s="221">
        <f t="shared" ref="AD201:AD209" si="216">AA201/1000000</f>
        <v>8.7513212688212683</v>
      </c>
      <c r="AR201" s="50"/>
      <c r="AS201" s="114" t="s">
        <v>91</v>
      </c>
      <c r="AT201" s="145">
        <v>40000000</v>
      </c>
      <c r="AU201" s="114" t="s">
        <v>76</v>
      </c>
      <c r="AV201" s="145">
        <v>40000000</v>
      </c>
      <c r="AW201" s="146"/>
      <c r="AY201" s="147" t="s">
        <v>165</v>
      </c>
      <c r="AZ201" s="148">
        <f>AT200</f>
        <v>44378</v>
      </c>
      <c r="BA201" s="142"/>
      <c r="BB201" s="143" t="s">
        <v>15</v>
      </c>
      <c r="BC201" s="144" t="s">
        <v>139</v>
      </c>
      <c r="BF201" s="50"/>
      <c r="BY201" s="50"/>
      <c r="CO201" s="50"/>
      <c r="DE201" s="50"/>
      <c r="DF201" s="114" t="s">
        <v>172</v>
      </c>
      <c r="DG201" s="119" cm="1">
        <f t="array" ref="DG201">LOOKUP(2,1/($B$17:$B$21&lt;=DG196)/($C$17:$C$21&gt;=DG196),$D$17:$D$21)</f>
        <v>134.49039999999999</v>
      </c>
      <c r="DH201" s="114" t="s">
        <v>173</v>
      </c>
      <c r="DI201" s="163">
        <f>INT((WEEKDAY(DG196-5)-DG196+DI196)/7)/INT((WEEKDAY(DG198-5)-DG198+DI198)/7)</f>
        <v>1</v>
      </c>
      <c r="DJ201" s="162">
        <v>1</v>
      </c>
      <c r="DK201" s="162">
        <f>1-DJ201</f>
        <v>0</v>
      </c>
      <c r="DL201" s="163"/>
      <c r="DN201" s="153" t="s">
        <v>91</v>
      </c>
      <c r="DO201" s="155">
        <f>DG199/1000000</f>
        <v>10</v>
      </c>
      <c r="DP201" s="154"/>
      <c r="DQ201" s="154"/>
      <c r="DR201" s="155">
        <f t="shared" ref="DR201:DR209" si="217">DG204/1000000</f>
        <v>8</v>
      </c>
      <c r="DS201" s="154"/>
      <c r="DT201" s="154"/>
      <c r="DU201" s="156" t="e">
        <f t="shared" ref="DU201:DU209" si="218">MAX(DH204:DI204)/1000000</f>
        <v>#DIV/0!</v>
      </c>
    </row>
    <row r="202" spans="10:125" x14ac:dyDescent="0.25">
      <c r="J202" s="86" t="str" cm="1">
        <f t="array" ref="J202">LOOKUP(2,1/($G$17:$G$33&lt;=$L202)/($H$17:$H$33&gt;=$L202),$F$17:$F$33)</f>
        <v>1H21</v>
      </c>
      <c r="K202" s="86" t="str" cm="1">
        <f t="array" ref="K202">LOOKUP(2,1/($G$6:$G$14&lt;=$L202)/($H$6:$H$14&gt;=$L202),$F$6:$F$14)</f>
        <v>FY21</v>
      </c>
      <c r="L202" s="118">
        <v>44089</v>
      </c>
      <c r="M202" s="49">
        <v>23236850.294985253</v>
      </c>
      <c r="N202" s="49">
        <v>30756295.05044248</v>
      </c>
      <c r="O202" s="50">
        <v>20000000</v>
      </c>
      <c r="P202" s="119" cm="1">
        <f t="array" ref="P202">LOOKUP(2,1/($B$10:$B$14&lt;=$L202)/($C$10:$C$14&gt;=$L202),$D$10:$D$14)</f>
        <v>1.1000000000000001</v>
      </c>
      <c r="Q202" s="120" cm="1">
        <f t="array" ref="Q202">LOOKUP(2,1/($B$17:$B$21&lt;=$L202)/($C$17:$C$21&gt;=$L202),$D$17:$D$21)</f>
        <v>134.49039999999999</v>
      </c>
      <c r="R202" s="113" t="str">
        <f t="shared" ref="R202:R265" si="219">IF($J202&lt;&gt;$J203,$J202,"")</f>
        <v/>
      </c>
      <c r="S202" s="113" t="str">
        <f t="shared" ref="S202:S265" si="220">IF($O201&lt;$O202,$J202,S201)</f>
        <v>1H21</v>
      </c>
      <c r="T202" s="113" t="str">
        <f t="shared" ref="T202:T265" ca="1" si="221">IF(AND(S202&lt;&gt;S201,ISNUMBER(MATCH($S201,$F$17:$F$33,0))),OFFSET($F$16,MATCH($J202,$F$17:$F$33,0)+1,0),"")</f>
        <v/>
      </c>
      <c r="U202" s="113" t="str">
        <f t="shared" ref="U202:U265" si="222">IF($K202&lt;&gt;$K203,$K202,"")</f>
        <v/>
      </c>
      <c r="V202" s="113" t="str">
        <f t="shared" si="169"/>
        <v>FY21</v>
      </c>
      <c r="W202" s="113" t="str">
        <f t="shared" ca="1" si="170"/>
        <v/>
      </c>
      <c r="X202" s="50"/>
      <c r="Y202" s="85">
        <f t="shared" si="214"/>
        <v>5</v>
      </c>
      <c r="Z202" s="226">
        <v>5000000</v>
      </c>
      <c r="AA202" s="167">
        <f t="shared" si="215"/>
        <v>9456567.2980672978</v>
      </c>
      <c r="AD202" s="221">
        <f t="shared" si="216"/>
        <v>9.4565672980672986</v>
      </c>
      <c r="AR202" s="50"/>
      <c r="AS202" s="114" t="s">
        <v>169</v>
      </c>
      <c r="AT202" s="159">
        <v>1.2</v>
      </c>
      <c r="AU202" s="114" t="s">
        <v>149</v>
      </c>
      <c r="AV202" s="152" cm="1">
        <f t="array" ref="AV202">LOOKUP(2,1/($B$6:$B$7&lt;=AT198)/($C$6:$C$7&gt;=AT198),$D$6:$D$7)</f>
        <v>9.2999999999999999E-2</v>
      </c>
      <c r="AW202" s="152"/>
      <c r="AY202" s="153" t="s">
        <v>166</v>
      </c>
      <c r="AZ202" s="158">
        <f>AV200</f>
        <v>44742</v>
      </c>
      <c r="BA202" s="154"/>
      <c r="BB202" s="155">
        <f>AT205/1000000</f>
        <v>4</v>
      </c>
      <c r="BC202" s="156" t="e">
        <f>MAX(AU205:AV205)/1000000</f>
        <v>#DIV/0!</v>
      </c>
      <c r="BF202" s="50"/>
      <c r="BY202" s="50"/>
      <c r="CO202" s="50"/>
      <c r="DE202" s="50"/>
      <c r="DF202" s="111" t="s">
        <v>174</v>
      </c>
      <c r="DG202" s="111" t="s">
        <v>175</v>
      </c>
      <c r="DH202" s="111" t="s">
        <v>176</v>
      </c>
      <c r="DI202" s="111" t="s">
        <v>177</v>
      </c>
      <c r="DJ202" s="111" t="s">
        <v>178</v>
      </c>
      <c r="DK202" s="111" t="s">
        <v>179</v>
      </c>
      <c r="DL202" s="111" t="s">
        <v>180</v>
      </c>
      <c r="DN202" s="153" t="s">
        <v>76</v>
      </c>
      <c r="DO202" s="155">
        <f ca="1">DI199/1000000</f>
        <v>30</v>
      </c>
      <c r="DP202" s="154"/>
      <c r="DQ202" s="154"/>
      <c r="DR202" s="155">
        <f t="shared" si="217"/>
        <v>20</v>
      </c>
      <c r="DS202" s="154"/>
      <c r="DT202" s="154"/>
      <c r="DU202" s="156">
        <f t="shared" si="218"/>
        <v>20.882495193883468</v>
      </c>
    </row>
    <row r="203" spans="10:125" x14ac:dyDescent="0.25">
      <c r="J203" s="86" t="str" cm="1">
        <f t="array" ref="J203">LOOKUP(2,1/($G$17:$G$33&lt;=$L203)/($H$17:$H$33&gt;=$L203),$F$17:$F$33)</f>
        <v>1H21</v>
      </c>
      <c r="K203" s="86" t="str" cm="1">
        <f t="array" ref="K203">LOOKUP(2,1/($G$6:$G$14&lt;=$L203)/($H$6:$H$14&gt;=$L203),$F$6:$F$14)</f>
        <v>FY21</v>
      </c>
      <c r="L203" s="118">
        <v>44082</v>
      </c>
      <c r="M203" s="49">
        <v>17498731.194690268</v>
      </c>
      <c r="N203" s="49">
        <v>23161320.609292038</v>
      </c>
      <c r="O203" s="50">
        <v>10000000</v>
      </c>
      <c r="P203" s="119" cm="1">
        <f t="array" ref="P203">LOOKUP(2,1/($B$10:$B$14&lt;=$L203)/($C$10:$C$14&gt;=$L203),$D$10:$D$14)</f>
        <v>1.1000000000000001</v>
      </c>
      <c r="Q203" s="120" cm="1">
        <f t="array" ref="Q203">LOOKUP(2,1/($B$17:$B$21&lt;=$L203)/($C$17:$C$21&gt;=$L203),$D$17:$D$21)</f>
        <v>134.49039999999999</v>
      </c>
      <c r="R203" s="113" t="str">
        <f t="shared" si="219"/>
        <v/>
      </c>
      <c r="S203" s="113" t="str">
        <f t="shared" si="220"/>
        <v>1H21</v>
      </c>
      <c r="T203" s="113" t="str">
        <f t="shared" ca="1" si="221"/>
        <v/>
      </c>
      <c r="U203" s="113" t="str">
        <f t="shared" si="222"/>
        <v/>
      </c>
      <c r="V203" s="113" t="str">
        <f t="shared" si="169"/>
        <v>FY21</v>
      </c>
      <c r="W203" s="113" t="str">
        <f t="shared" ca="1" si="170"/>
        <v/>
      </c>
      <c r="X203" s="50"/>
      <c r="Y203" s="85">
        <f t="shared" si="214"/>
        <v>10</v>
      </c>
      <c r="Z203" s="226">
        <v>10000000</v>
      </c>
      <c r="AA203" s="167">
        <f t="shared" si="215"/>
        <v>14403726.132726133</v>
      </c>
      <c r="AD203" s="221">
        <f t="shared" si="216"/>
        <v>14.403726132726133</v>
      </c>
      <c r="AR203" s="50"/>
      <c r="AS203" s="114" t="s">
        <v>172</v>
      </c>
      <c r="AT203" s="119" cm="1">
        <f t="array" ref="AT203">LOOKUP(2,1/($B$17:$B$21&lt;=AT198)/($C$17:$C$21&gt;=AT198),$D$17:$D$21)</f>
        <v>134.49039999999999</v>
      </c>
      <c r="AU203" s="114" t="s">
        <v>0</v>
      </c>
      <c r="AV203" s="135">
        <v>1</v>
      </c>
      <c r="AY203" s="153" t="s">
        <v>91</v>
      </c>
      <c r="AZ203" s="155">
        <f>AT201/1000000</f>
        <v>40</v>
      </c>
      <c r="BA203" s="154"/>
      <c r="BB203" s="155">
        <f t="shared" ref="BB203:BB211" si="223">AT206/1000000</f>
        <v>8</v>
      </c>
      <c r="BC203" s="156" t="e">
        <f t="shared" ref="BC203:BC211" si="224">MAX(AU206:AV206)/1000000</f>
        <v>#DIV/0!</v>
      </c>
      <c r="BF203" s="50"/>
      <c r="BY203" s="50"/>
      <c r="CO203" s="50"/>
      <c r="DE203" s="50"/>
      <c r="DF203" s="146">
        <v>1</v>
      </c>
      <c r="DG203" s="166">
        <v>3000000</v>
      </c>
      <c r="DH203" s="168">
        <f t="shared" ref="DH203:DH209" si="225">AVERAGEIFS($M:$M,$L:$L,"&gt;="&amp;DG$196,$L:$L,"&lt;="&amp;DI$196,$O:$O,"="&amp;DG203)</f>
        <v>8724753.8574994337</v>
      </c>
      <c r="DI203" s="168"/>
      <c r="DJ203" s="168"/>
      <c r="DK203" s="168"/>
      <c r="DL203" s="167">
        <f t="shared" ref="DL203:DL209" si="226">COUNTIFS($L:$L,"&gt;="&amp;DG$196,$L:$L,"&lt;="&amp;DI$196,$O:$O,"="&amp;DG203)</f>
        <v>2</v>
      </c>
      <c r="DN203" s="153" t="s">
        <v>169</v>
      </c>
      <c r="DO203" s="165">
        <f>DG200</f>
        <v>1.1000000000000001</v>
      </c>
      <c r="DP203" s="154"/>
      <c r="DQ203" s="154"/>
      <c r="DR203" s="155">
        <f t="shared" si="217"/>
        <v>40</v>
      </c>
      <c r="DS203" s="154"/>
      <c r="DT203" s="154"/>
      <c r="DU203" s="156" t="e">
        <f t="shared" si="218"/>
        <v>#DIV/0!</v>
      </c>
    </row>
    <row r="204" spans="10:125" x14ac:dyDescent="0.25">
      <c r="J204" s="86" t="str" cm="1">
        <f t="array" ref="J204">LOOKUP(2,1/($G$17:$G$33&lt;=$L204)/($H$17:$H$33&gt;=$L204),$F$17:$F$33)</f>
        <v>1H21</v>
      </c>
      <c r="K204" s="86" t="str" cm="1">
        <f t="array" ref="K204">LOOKUP(2,1/($G$6:$G$14&lt;=$L204)/($H$6:$H$14&gt;=$L204),$F$6:$F$14)</f>
        <v>FY21</v>
      </c>
      <c r="L204" s="118">
        <v>44075</v>
      </c>
      <c r="M204" s="49">
        <v>12143818.829891842</v>
      </c>
      <c r="N204" s="49">
        <v>16073558.603244841</v>
      </c>
      <c r="O204" s="50">
        <v>5000000</v>
      </c>
      <c r="P204" s="119" cm="1">
        <f t="array" ref="P204">LOOKUP(2,1/($B$10:$B$14&lt;=$L204)/($C$10:$C$14&gt;=$L204),$D$10:$D$14)</f>
        <v>1.1000000000000001</v>
      </c>
      <c r="Q204" s="120" cm="1">
        <f t="array" ref="Q204">LOOKUP(2,1/($B$17:$B$21&lt;=$L204)/($C$17:$C$21&gt;=$L204),$D$17:$D$21)</f>
        <v>134.49039999999999</v>
      </c>
      <c r="R204" s="113" t="str">
        <f t="shared" si="219"/>
        <v/>
      </c>
      <c r="S204" s="113" t="str">
        <f t="shared" si="220"/>
        <v>1H21</v>
      </c>
      <c r="T204" s="113" t="str">
        <f t="shared" ca="1" si="221"/>
        <v/>
      </c>
      <c r="U204" s="113" t="str">
        <f t="shared" si="222"/>
        <v/>
      </c>
      <c r="V204" s="113" t="str">
        <f t="shared" si="169"/>
        <v>FY21</v>
      </c>
      <c r="W204" s="113" t="str">
        <f t="shared" ca="1" si="170"/>
        <v/>
      </c>
      <c r="X204" s="50"/>
      <c r="Y204" s="85">
        <f t="shared" si="214"/>
        <v>15</v>
      </c>
      <c r="Z204" s="226">
        <v>15000000</v>
      </c>
      <c r="AA204" s="167">
        <f t="shared" si="215"/>
        <v>15579448.995148992</v>
      </c>
      <c r="AD204" s="221">
        <f t="shared" si="216"/>
        <v>15.579448995148992</v>
      </c>
      <c r="AR204" s="50"/>
      <c r="AS204" s="111" t="s">
        <v>174</v>
      </c>
      <c r="AT204" s="111" t="s">
        <v>175</v>
      </c>
      <c r="AU204" s="111" t="s">
        <v>176</v>
      </c>
      <c r="AV204" s="111" t="s">
        <v>177</v>
      </c>
      <c r="AW204" s="111" t="s">
        <v>180</v>
      </c>
      <c r="AY204" s="153" t="s">
        <v>76</v>
      </c>
      <c r="AZ204" s="155">
        <f>AV201/1000000</f>
        <v>40</v>
      </c>
      <c r="BA204" s="154"/>
      <c r="BB204" s="155">
        <f t="shared" si="223"/>
        <v>20</v>
      </c>
      <c r="BC204" s="156">
        <f t="shared" si="224"/>
        <v>23.609991027531958</v>
      </c>
      <c r="BF204" s="50"/>
      <c r="BY204" s="50"/>
      <c r="CO204" s="50"/>
      <c r="DE204" s="50"/>
      <c r="DF204" s="146">
        <v>2</v>
      </c>
      <c r="DG204" s="166">
        <v>8000000</v>
      </c>
      <c r="DH204" s="168" t="e">
        <f t="shared" si="225"/>
        <v>#DIV/0!</v>
      </c>
      <c r="DL204" s="167">
        <f t="shared" si="226"/>
        <v>0</v>
      </c>
      <c r="DN204" s="153" t="s">
        <v>149</v>
      </c>
      <c r="DO204" s="169">
        <f>DI200</f>
        <v>0.10299999999999999</v>
      </c>
      <c r="DP204" s="154"/>
      <c r="DQ204" s="154"/>
      <c r="DR204" s="155">
        <f t="shared" si="217"/>
        <v>60</v>
      </c>
      <c r="DS204" s="154"/>
      <c r="DT204" s="154"/>
      <c r="DU204" s="156" t="e">
        <f t="shared" si="218"/>
        <v>#DIV/0!</v>
      </c>
    </row>
    <row r="205" spans="10:125" x14ac:dyDescent="0.25">
      <c r="J205" s="86" t="str" cm="1">
        <f t="array" ref="J205">LOOKUP(2,1/($G$17:$G$33&lt;=$L205)/($H$17:$H$33&gt;=$L205),$F$17:$F$33)</f>
        <v>1H21</v>
      </c>
      <c r="K205" s="86" t="str" cm="1">
        <f t="array" ref="K205">LOOKUP(2,1/($G$6:$G$14&lt;=$L205)/($H$6:$H$14&gt;=$L205),$F$6:$F$14)</f>
        <v>FY21</v>
      </c>
      <c r="L205" s="118">
        <v>44068</v>
      </c>
      <c r="M205" s="49">
        <v>9989077.0648967549</v>
      </c>
      <c r="N205" s="49">
        <v>13221542.403097345</v>
      </c>
      <c r="O205" s="50">
        <v>2000000</v>
      </c>
      <c r="P205" s="119" cm="1">
        <f t="array" ref="P205">LOOKUP(2,1/($B$10:$B$14&lt;=$L205)/($C$10:$C$14&gt;=$L205),$D$10:$D$14)</f>
        <v>1.1000000000000001</v>
      </c>
      <c r="Q205" s="120" cm="1">
        <f t="array" ref="Q205">LOOKUP(2,1/($B$17:$B$21&lt;=$L205)/($C$17:$C$21&gt;=$L205),$D$17:$D$21)</f>
        <v>134.49039999999999</v>
      </c>
      <c r="R205" s="113" t="str">
        <f t="shared" si="219"/>
        <v/>
      </c>
      <c r="S205" s="113" t="str">
        <f t="shared" si="220"/>
        <v>1H21</v>
      </c>
      <c r="T205" s="113" t="str">
        <f t="shared" ca="1" si="221"/>
        <v/>
      </c>
      <c r="U205" s="113" t="str">
        <f t="shared" si="222"/>
        <v/>
      </c>
      <c r="V205" s="113" t="str">
        <f t="shared" si="169"/>
        <v>FY21</v>
      </c>
      <c r="W205" s="113" t="str">
        <f t="shared" ca="1" si="170"/>
        <v/>
      </c>
      <c r="X205" s="50"/>
      <c r="Y205" s="85">
        <f t="shared" si="214"/>
        <v>20</v>
      </c>
      <c r="Z205" s="226">
        <v>20000000</v>
      </c>
      <c r="AA205" s="167">
        <f t="shared" si="215"/>
        <v>20891056.842556842</v>
      </c>
      <c r="AD205" s="221">
        <f t="shared" si="216"/>
        <v>20.891056842556843</v>
      </c>
      <c r="AR205" s="50"/>
      <c r="AS205" s="146">
        <v>1</v>
      </c>
      <c r="AT205" s="166">
        <v>4000000</v>
      </c>
      <c r="AU205" s="167" t="e">
        <f t="shared" ref="AU205:AU214" si="227">AVERAGEIFS($M:$M,$L:$L,"&gt;="&amp;AT$198,$L:$L,"&lt;="&amp;AV$198,$O:$O,"="&amp;AT205)*AV$203</f>
        <v>#DIV/0!</v>
      </c>
      <c r="AV205" s="168"/>
      <c r="AW205" s="167">
        <f t="shared" ref="AW205:AW212" si="228">COUNTIFS($L:$L,"&gt;="&amp;AT$64,$L:$L,"&lt;="&amp;AV$64,$O:$O,"="&amp;$AT205)</f>
        <v>0</v>
      </c>
      <c r="AY205" s="153" t="s">
        <v>169</v>
      </c>
      <c r="AZ205" s="165">
        <f>AT202</f>
        <v>1.2</v>
      </c>
      <c r="BA205" s="154"/>
      <c r="BB205" s="155">
        <f t="shared" si="223"/>
        <v>40</v>
      </c>
      <c r="BC205" s="156">
        <f t="shared" si="224"/>
        <v>31.951974106850219</v>
      </c>
      <c r="BF205" s="50"/>
      <c r="BY205" s="50"/>
      <c r="CO205" s="50"/>
      <c r="DE205" s="50"/>
      <c r="DF205" s="146">
        <v>3</v>
      </c>
      <c r="DG205" s="166">
        <v>20000000</v>
      </c>
      <c r="DH205" s="168">
        <f t="shared" si="225"/>
        <v>20882495.193883467</v>
      </c>
      <c r="DL205" s="167">
        <f t="shared" si="226"/>
        <v>3</v>
      </c>
      <c r="DN205" s="153" t="s">
        <v>172</v>
      </c>
      <c r="DO205" s="170">
        <f>DG201</f>
        <v>134.49039999999999</v>
      </c>
      <c r="DP205" s="154"/>
      <c r="DQ205" s="154"/>
      <c r="DR205" s="155">
        <f t="shared" si="217"/>
        <v>80</v>
      </c>
      <c r="DS205" s="154"/>
      <c r="DT205" s="154"/>
      <c r="DU205" s="156" t="e">
        <f t="shared" si="218"/>
        <v>#DIV/0!</v>
      </c>
    </row>
    <row r="206" spans="10:125" x14ac:dyDescent="0.25">
      <c r="J206" s="86" t="str" cm="1">
        <f t="array" ref="J206">LOOKUP(2,1/($G$17:$G$33&lt;=$L206)/($H$17:$H$33&gt;=$L206),$F$17:$F$33)</f>
        <v>1H21</v>
      </c>
      <c r="K206" s="86" t="str" cm="1">
        <f t="array" ref="K206">LOOKUP(2,1/($G$6:$G$14&lt;=$L206)/($H$6:$H$14&gt;=$L206),$F$6:$F$14)</f>
        <v>FY21</v>
      </c>
      <c r="L206" s="118">
        <v>44061</v>
      </c>
      <c r="M206" s="49">
        <v>22205153.146509346</v>
      </c>
      <c r="N206" s="49">
        <v>29390740.704719767</v>
      </c>
      <c r="O206" s="50">
        <v>10000000</v>
      </c>
      <c r="P206" s="119" cm="1">
        <f t="array" ref="P206">LOOKUP(2,1/($B$10:$B$14&lt;=$L206)/($C$10:$C$14&gt;=$L206),$D$10:$D$14)</f>
        <v>1.1000000000000001</v>
      </c>
      <c r="Q206" s="120" cm="1">
        <f t="array" ref="Q206">LOOKUP(2,1/($B$17:$B$21&lt;=$L206)/($C$17:$C$21&gt;=$L206),$D$17:$D$21)</f>
        <v>134.49039999999999</v>
      </c>
      <c r="R206" s="113" t="str">
        <f t="shared" si="219"/>
        <v/>
      </c>
      <c r="S206" s="113" t="str">
        <f t="shared" si="220"/>
        <v>1H21</v>
      </c>
      <c r="T206" s="113" t="str">
        <f t="shared" ca="1" si="221"/>
        <v/>
      </c>
      <c r="U206" s="113" t="str">
        <f t="shared" si="222"/>
        <v/>
      </c>
      <c r="V206" s="113" t="str">
        <f t="shared" ref="V206:V269" si="229">IF($O205&lt;$O206,$K206,V205)</f>
        <v>FY21</v>
      </c>
      <c r="W206" s="113" t="str">
        <f t="shared" ref="W206:W269" ca="1" si="230">IF(AND(V206&lt;&gt;V205,ISNUMBER(MATCH($V205,$F$6:$F$14,0))),OFFSET($F$5,MATCH($K206,$F$6:$F$14,0)+1,0),"")</f>
        <v/>
      </c>
      <c r="X206" s="50"/>
      <c r="Y206" s="85">
        <f t="shared" si="214"/>
        <v>30</v>
      </c>
      <c r="Z206" s="226">
        <v>30000000</v>
      </c>
      <c r="AA206" s="167">
        <f t="shared" si="215"/>
        <v>26900926.907676905</v>
      </c>
      <c r="AD206" s="221">
        <f t="shared" si="216"/>
        <v>26.900926907676904</v>
      </c>
      <c r="AR206" s="50"/>
      <c r="AS206" s="146">
        <v>2</v>
      </c>
      <c r="AT206" s="166">
        <v>8000000</v>
      </c>
      <c r="AU206" s="167" t="e">
        <f t="shared" si="227"/>
        <v>#DIV/0!</v>
      </c>
      <c r="AW206" s="167">
        <f t="shared" si="228"/>
        <v>0</v>
      </c>
      <c r="AY206" s="153" t="s">
        <v>149</v>
      </c>
      <c r="AZ206" s="169">
        <f>AV202</f>
        <v>9.2999999999999999E-2</v>
      </c>
      <c r="BA206" s="154"/>
      <c r="BB206" s="155">
        <f t="shared" si="223"/>
        <v>60</v>
      </c>
      <c r="BC206" s="156" t="e">
        <f t="shared" si="224"/>
        <v>#DIV/0!</v>
      </c>
      <c r="BF206" s="50"/>
      <c r="BY206" s="50"/>
      <c r="CO206" s="50"/>
      <c r="DE206" s="50"/>
      <c r="DF206" s="146">
        <v>4</v>
      </c>
      <c r="DG206" s="166">
        <v>40000000</v>
      </c>
      <c r="DH206" s="168" t="e">
        <f t="shared" si="225"/>
        <v>#DIV/0!</v>
      </c>
      <c r="DL206" s="167">
        <f t="shared" si="226"/>
        <v>0</v>
      </c>
      <c r="DN206" s="172"/>
      <c r="DO206" s="2"/>
      <c r="DP206" s="154"/>
      <c r="DQ206" s="154"/>
      <c r="DR206" s="155">
        <f t="shared" si="217"/>
        <v>120</v>
      </c>
      <c r="DS206" s="154"/>
      <c r="DT206" s="154"/>
      <c r="DU206" s="156" t="e">
        <f t="shared" si="218"/>
        <v>#DIV/0!</v>
      </c>
    </row>
    <row r="207" spans="10:125" x14ac:dyDescent="0.25">
      <c r="J207" s="86" t="str" cm="1">
        <f t="array" ref="J207">LOOKUP(2,1/($G$17:$G$33&lt;=$L207)/($H$17:$H$33&gt;=$L207),$F$17:$F$33)</f>
        <v>1H21</v>
      </c>
      <c r="K207" s="86" t="str" cm="1">
        <f t="array" ref="K207">LOOKUP(2,1/($G$6:$G$14&lt;=$L207)/($H$6:$H$14&gt;=$L207),$F$6:$F$14)</f>
        <v>FY21</v>
      </c>
      <c r="L207" s="118">
        <v>44054</v>
      </c>
      <c r="M207" s="49">
        <v>13638125.368731566</v>
      </c>
      <c r="N207" s="49">
        <v>18051422.738053098</v>
      </c>
      <c r="O207" s="50">
        <v>5000000</v>
      </c>
      <c r="P207" s="119" cm="1">
        <f t="array" ref="P207">LOOKUP(2,1/($B$10:$B$14&lt;=$L207)/($C$10:$C$14&gt;=$L207),$D$10:$D$14)</f>
        <v>1.1000000000000001</v>
      </c>
      <c r="Q207" s="120" cm="1">
        <f t="array" ref="Q207">LOOKUP(2,1/($B$17:$B$21&lt;=$L207)/($C$17:$C$21&gt;=$L207),$D$17:$D$21)</f>
        <v>134.49039999999999</v>
      </c>
      <c r="R207" s="113" t="str">
        <f t="shared" si="219"/>
        <v/>
      </c>
      <c r="S207" s="113" t="str">
        <f t="shared" si="220"/>
        <v>1H21</v>
      </c>
      <c r="T207" s="113" t="str">
        <f t="shared" ca="1" si="221"/>
        <v/>
      </c>
      <c r="U207" s="113" t="str">
        <f t="shared" si="222"/>
        <v/>
      </c>
      <c r="V207" s="113" t="str">
        <f t="shared" si="229"/>
        <v>FY21</v>
      </c>
      <c r="W207" s="113" t="str">
        <f t="shared" ca="1" si="230"/>
        <v/>
      </c>
      <c r="X207" s="50"/>
      <c r="Y207" s="85">
        <f t="shared" si="214"/>
        <v>40</v>
      </c>
      <c r="Z207" s="226">
        <v>40000000</v>
      </c>
      <c r="AA207" s="167">
        <f t="shared" si="215"/>
        <v>32340324.863324862</v>
      </c>
      <c r="AD207" s="221">
        <f t="shared" si="216"/>
        <v>32.340324863324859</v>
      </c>
      <c r="AR207" s="50"/>
      <c r="AS207" s="146">
        <v>3</v>
      </c>
      <c r="AT207" s="166">
        <v>20000000</v>
      </c>
      <c r="AU207" s="167">
        <f t="shared" si="227"/>
        <v>23609991.027531959</v>
      </c>
      <c r="AW207" s="167">
        <f t="shared" si="228"/>
        <v>5</v>
      </c>
      <c r="AY207" s="153" t="s">
        <v>172</v>
      </c>
      <c r="AZ207" s="170">
        <f>AT203</f>
        <v>134.49039999999999</v>
      </c>
      <c r="BA207" s="154"/>
      <c r="BB207" s="155">
        <f t="shared" si="223"/>
        <v>80</v>
      </c>
      <c r="BC207" s="156">
        <f t="shared" si="224"/>
        <v>80.928666175024588</v>
      </c>
      <c r="BF207" s="50"/>
      <c r="BY207" s="50"/>
      <c r="CO207" s="50"/>
      <c r="DE207" s="50"/>
      <c r="DF207" s="146">
        <v>5</v>
      </c>
      <c r="DG207" s="166">
        <v>60000000</v>
      </c>
      <c r="DH207" s="168" t="e">
        <f t="shared" si="225"/>
        <v>#DIV/0!</v>
      </c>
      <c r="DJ207" s="145">
        <v>94830000</v>
      </c>
      <c r="DK207" s="145">
        <v>86029000</v>
      </c>
      <c r="DL207" s="167">
        <f t="shared" si="226"/>
        <v>0</v>
      </c>
      <c r="DN207" s="172" t="s">
        <v>147</v>
      </c>
      <c r="DO207" s="174">
        <f>DG196</f>
        <v>44562</v>
      </c>
      <c r="DP207" s="154"/>
      <c r="DQ207" s="154"/>
      <c r="DR207" s="155">
        <f t="shared" si="217"/>
        <v>160</v>
      </c>
      <c r="DS207" s="154"/>
      <c r="DT207" s="154"/>
      <c r="DU207" s="156">
        <f t="shared" si="218"/>
        <v>291.38749999999999</v>
      </c>
    </row>
    <row r="208" spans="10:125" x14ac:dyDescent="0.25">
      <c r="J208" s="86" t="str" cm="1">
        <f t="array" ref="J208">LOOKUP(2,1/($G$17:$G$33&lt;=$L208)/($H$17:$H$33&gt;=$L208),$F$17:$F$33)</f>
        <v>1H21</v>
      </c>
      <c r="K208" s="86" t="str" cm="1">
        <f t="array" ref="K208">LOOKUP(2,1/($G$6:$G$14&lt;=$L208)/($H$6:$H$14&gt;=$L208),$F$6:$F$14)</f>
        <v>FY21</v>
      </c>
      <c r="L208" s="118">
        <v>44047</v>
      </c>
      <c r="M208" s="49">
        <v>10415211.897738447</v>
      </c>
      <c r="N208" s="49">
        <v>13785574.467846608</v>
      </c>
      <c r="O208" s="50">
        <v>2000000</v>
      </c>
      <c r="P208" s="119" cm="1">
        <f t="array" ref="P208">LOOKUP(2,1/($B$10:$B$14&lt;=$L208)/($C$10:$C$14&gt;=$L208),$D$10:$D$14)</f>
        <v>1.1000000000000001</v>
      </c>
      <c r="Q208" s="120" cm="1">
        <f t="array" ref="Q208">LOOKUP(2,1/($B$17:$B$21&lt;=$L208)/($C$17:$C$21&gt;=$L208),$D$17:$D$21)</f>
        <v>134.49039999999999</v>
      </c>
      <c r="R208" s="113" t="str">
        <f t="shared" si="219"/>
        <v/>
      </c>
      <c r="S208" s="113" t="str">
        <f t="shared" si="220"/>
        <v>1H21</v>
      </c>
      <c r="T208" s="113" t="str">
        <f t="shared" ca="1" si="221"/>
        <v/>
      </c>
      <c r="U208" s="113" t="str">
        <f t="shared" si="222"/>
        <v/>
      </c>
      <c r="V208" s="113" t="str">
        <f t="shared" si="229"/>
        <v>FY21</v>
      </c>
      <c r="W208" s="113" t="str">
        <f t="shared" ca="1" si="230"/>
        <v/>
      </c>
      <c r="X208" s="50"/>
      <c r="Y208" s="85">
        <f t="shared" si="214"/>
        <v>50</v>
      </c>
      <c r="Z208" s="226">
        <v>50000000</v>
      </c>
      <c r="AA208" s="167">
        <f t="shared" si="215"/>
        <v>42276012.012012005</v>
      </c>
      <c r="AD208" s="221">
        <f t="shared" si="216"/>
        <v>42.276012012012004</v>
      </c>
      <c r="AR208" s="50"/>
      <c r="AS208" s="146">
        <v>4</v>
      </c>
      <c r="AT208" s="166">
        <v>40000000</v>
      </c>
      <c r="AU208" s="167">
        <f t="shared" si="227"/>
        <v>31951974.106850218</v>
      </c>
      <c r="AW208" s="167">
        <f t="shared" si="228"/>
        <v>0</v>
      </c>
      <c r="AY208" s="172"/>
      <c r="AZ208" s="2"/>
      <c r="BA208" s="154"/>
      <c r="BB208" s="155">
        <f t="shared" si="223"/>
        <v>120</v>
      </c>
      <c r="BC208" s="156" t="e">
        <f t="shared" si="224"/>
        <v>#DIV/0!</v>
      </c>
      <c r="BF208" s="50"/>
      <c r="BY208" s="50"/>
      <c r="CO208" s="50"/>
      <c r="DE208" s="50"/>
      <c r="DF208" s="146">
        <v>6</v>
      </c>
      <c r="DG208" s="166">
        <v>80000000</v>
      </c>
      <c r="DH208" s="168" t="e">
        <f t="shared" si="225"/>
        <v>#DIV/0!</v>
      </c>
      <c r="DJ208" s="145">
        <v>122485999.99999999</v>
      </c>
      <c r="DK208" s="145">
        <v>126083000</v>
      </c>
      <c r="DL208" s="167">
        <f t="shared" si="226"/>
        <v>0</v>
      </c>
      <c r="DN208" s="172" t="s">
        <v>148</v>
      </c>
      <c r="DO208" s="174">
        <f>DI196</f>
        <v>44742</v>
      </c>
      <c r="DP208" s="154"/>
      <c r="DQ208" s="154"/>
      <c r="DR208" s="155">
        <f t="shared" si="217"/>
        <v>200</v>
      </c>
      <c r="DS208" s="154"/>
      <c r="DT208" s="154"/>
      <c r="DU208" s="156">
        <f t="shared" si="218"/>
        <v>360.52749999999997</v>
      </c>
    </row>
    <row r="209" spans="10:125" x14ac:dyDescent="0.25">
      <c r="J209" s="86" t="str" cm="1">
        <f t="array" ref="J209">LOOKUP(2,1/($G$17:$G$33&lt;=$L209)/($H$17:$H$33&gt;=$L209),$F$17:$F$33)</f>
        <v>1H21</v>
      </c>
      <c r="K209" s="86" t="str" cm="1">
        <f t="array" ref="K209">LOOKUP(2,1/($G$6:$G$14&lt;=$L209)/($H$6:$H$14&gt;=$L209),$F$6:$F$14)</f>
        <v>FY21</v>
      </c>
      <c r="L209" s="118">
        <v>44040</v>
      </c>
      <c r="M209" s="49">
        <v>19466334.316617507</v>
      </c>
      <c r="N209" s="49">
        <v>25765640.10147493</v>
      </c>
      <c r="O209" s="50">
        <v>10000000</v>
      </c>
      <c r="P209" s="119" cm="1">
        <f t="array" ref="P209">LOOKUP(2,1/($B$10:$B$14&lt;=$L209)/($C$10:$C$14&gt;=$L209),$D$10:$D$14)</f>
        <v>1.1000000000000001</v>
      </c>
      <c r="Q209" s="120" cm="1">
        <f t="array" ref="Q209">LOOKUP(2,1/($B$17:$B$21&lt;=$L209)/($C$17:$C$21&gt;=$L209),$D$17:$D$21)</f>
        <v>134.49039999999999</v>
      </c>
      <c r="R209" s="113" t="str">
        <f t="shared" si="219"/>
        <v/>
      </c>
      <c r="S209" s="113" t="str">
        <f t="shared" si="220"/>
        <v>1H21</v>
      </c>
      <c r="T209" s="113" t="str">
        <f t="shared" ca="1" si="221"/>
        <v/>
      </c>
      <c r="U209" s="113" t="str">
        <f t="shared" si="222"/>
        <v/>
      </c>
      <c r="V209" s="113" t="str">
        <f t="shared" si="229"/>
        <v>FY21</v>
      </c>
      <c r="W209" s="113" t="str">
        <f t="shared" ca="1" si="230"/>
        <v/>
      </c>
      <c r="X209" s="50"/>
      <c r="Y209" s="85">
        <f t="shared" si="214"/>
        <v>70</v>
      </c>
      <c r="Z209" s="226">
        <v>70000000</v>
      </c>
      <c r="AA209" s="167">
        <f t="shared" si="215"/>
        <v>68443644.721644714</v>
      </c>
      <c r="AD209" s="221">
        <f t="shared" si="216"/>
        <v>68.443644721644716</v>
      </c>
      <c r="AR209" s="50"/>
      <c r="AS209" s="146">
        <v>5</v>
      </c>
      <c r="AT209" s="166">
        <v>60000000</v>
      </c>
      <c r="AU209" s="167" t="e">
        <f t="shared" si="227"/>
        <v>#DIV/0!</v>
      </c>
      <c r="AW209" s="167">
        <f t="shared" si="228"/>
        <v>0</v>
      </c>
      <c r="AY209" s="172" t="s">
        <v>147</v>
      </c>
      <c r="AZ209" s="174">
        <f>AT198</f>
        <v>43282</v>
      </c>
      <c r="BA209" s="154"/>
      <c r="BB209" s="155">
        <f t="shared" si="223"/>
        <v>150</v>
      </c>
      <c r="BC209" s="156" t="e">
        <f t="shared" si="224"/>
        <v>#DIV/0!</v>
      </c>
      <c r="BF209" s="50"/>
      <c r="BY209" s="50"/>
      <c r="CO209" s="50"/>
      <c r="DE209" s="50"/>
      <c r="DF209" s="146">
        <v>7</v>
      </c>
      <c r="DG209" s="166">
        <v>120000000</v>
      </c>
      <c r="DH209" s="168" t="e">
        <f t="shared" si="225"/>
        <v>#DIV/0!</v>
      </c>
      <c r="DJ209" s="145">
        <v>177798000</v>
      </c>
      <c r="DK209" s="145">
        <v>234751000</v>
      </c>
      <c r="DL209" s="167">
        <f t="shared" si="226"/>
        <v>0</v>
      </c>
      <c r="DN209" s="172" t="s">
        <v>173</v>
      </c>
      <c r="DO209" s="177">
        <f>DI201</f>
        <v>1</v>
      </c>
      <c r="DP209" s="154"/>
      <c r="DQ209" s="154"/>
      <c r="DR209" s="155">
        <f t="shared" si="217"/>
        <v>250</v>
      </c>
      <c r="DS209" s="154"/>
      <c r="DT209" s="154"/>
      <c r="DU209" s="156">
        <f t="shared" si="218"/>
        <v>446.95249999999999</v>
      </c>
    </row>
    <row r="210" spans="10:125" x14ac:dyDescent="0.25">
      <c r="J210" s="86" t="str" cm="1">
        <f t="array" ref="J210">LOOKUP(2,1/($G$17:$G$33&lt;=$L210)/($H$17:$H$33&gt;=$L210),$F$17:$F$33)</f>
        <v>1H21</v>
      </c>
      <c r="K210" s="86" t="str" cm="1">
        <f t="array" ref="K210">LOOKUP(2,1/($G$6:$G$14&lt;=$L210)/($H$6:$H$14&gt;=$L210),$F$6:$F$14)</f>
        <v>FY21</v>
      </c>
      <c r="L210" s="118">
        <v>44033</v>
      </c>
      <c r="M210" s="49">
        <v>13272160.766961655</v>
      </c>
      <c r="N210" s="49">
        <v>17567031.991150446</v>
      </c>
      <c r="O210" s="50">
        <v>5000000</v>
      </c>
      <c r="P210" s="119" cm="1">
        <f t="array" ref="P210">LOOKUP(2,1/($B$10:$B$14&lt;=$L210)/($C$10:$C$14&gt;=$L210),$D$10:$D$14)</f>
        <v>1.1000000000000001</v>
      </c>
      <c r="Q210" s="120" cm="1">
        <f t="array" ref="Q210">LOOKUP(2,1/($B$17:$B$21&lt;=$L210)/($C$17:$C$21&gt;=$L210),$D$17:$D$21)</f>
        <v>134.49039999999999</v>
      </c>
      <c r="R210" s="113" t="str">
        <f t="shared" si="219"/>
        <v/>
      </c>
      <c r="S210" s="113" t="str">
        <f t="shared" si="220"/>
        <v>1H21</v>
      </c>
      <c r="T210" s="113" t="str">
        <f t="shared" ca="1" si="221"/>
        <v/>
      </c>
      <c r="U210" s="113" t="str">
        <f t="shared" si="222"/>
        <v/>
      </c>
      <c r="V210" s="113" t="str">
        <f t="shared" si="229"/>
        <v>FY21</v>
      </c>
      <c r="W210" s="113" t="str">
        <f t="shared" ca="1" si="230"/>
        <v/>
      </c>
      <c r="X210" s="50"/>
      <c r="Y210" s="85">
        <f t="shared" si="214"/>
        <v>90</v>
      </c>
      <c r="Z210" s="226">
        <v>90000000</v>
      </c>
      <c r="AA210" s="167">
        <f t="shared" si="215"/>
        <v>101791079.34857933</v>
      </c>
      <c r="AC210" s="145">
        <v>67923200</v>
      </c>
      <c r="AD210" s="203">
        <f>AC210/1000000*1.3</f>
        <v>88.300159999999991</v>
      </c>
      <c r="AR210" s="50"/>
      <c r="AS210" s="146">
        <v>6</v>
      </c>
      <c r="AT210" s="166">
        <v>80000000</v>
      </c>
      <c r="AU210" s="167">
        <f t="shared" si="227"/>
        <v>80928666.175024584</v>
      </c>
      <c r="AW210" s="167">
        <f t="shared" si="228"/>
        <v>0</v>
      </c>
      <c r="AY210" s="172" t="s">
        <v>148</v>
      </c>
      <c r="AZ210" s="174">
        <f>AV198</f>
        <v>43646</v>
      </c>
      <c r="BA210" s="154"/>
      <c r="BB210" s="155">
        <f t="shared" si="223"/>
        <v>200</v>
      </c>
      <c r="BC210" s="156" t="e">
        <f t="shared" si="224"/>
        <v>#DIV/0!</v>
      </c>
      <c r="BF210" s="50"/>
      <c r="BY210" s="50"/>
      <c r="CO210" s="50"/>
      <c r="DE210" s="50"/>
      <c r="DF210" s="146">
        <v>8</v>
      </c>
      <c r="DG210" s="145">
        <v>160000000</v>
      </c>
      <c r="DH210" s="145"/>
      <c r="DI210" s="173">
        <f>IF($DG210&gt;=100000000,$DJ$198*DJ$201*DJ210+$DK$198*DK$201*DK210,DJ$201*DJ210+DK$201*DK210)</f>
        <v>291387500</v>
      </c>
      <c r="DJ210" s="145">
        <v>233110000</v>
      </c>
      <c r="DK210" s="145">
        <v>381499000.00000006</v>
      </c>
      <c r="DL210" s="146"/>
      <c r="DN210" s="176"/>
      <c r="DO210" s="32"/>
      <c r="DP210" s="32"/>
      <c r="DQ210" s="32"/>
      <c r="DR210" s="32"/>
      <c r="DS210" s="32"/>
      <c r="DT210" s="32"/>
      <c r="DU210" s="183"/>
    </row>
    <row r="211" spans="10:125" x14ac:dyDescent="0.25">
      <c r="J211" s="86" t="str" cm="1">
        <f t="array" ref="J211">LOOKUP(2,1/($G$17:$G$33&lt;=$L211)/($H$17:$H$33&gt;=$L211),$F$17:$F$33)</f>
        <v>1H21</v>
      </c>
      <c r="K211" s="86" t="str" cm="1">
        <f t="array" ref="K211">LOOKUP(2,1/($G$6:$G$14&lt;=$L211)/($H$6:$H$14&gt;=$L211),$F$6:$F$14)</f>
        <v>FY21</v>
      </c>
      <c r="L211" s="118">
        <v>44026</v>
      </c>
      <c r="M211" s="49">
        <v>10573301.62241888</v>
      </c>
      <c r="N211" s="49">
        <v>13994822.027433628</v>
      </c>
      <c r="O211" s="50">
        <v>2000000</v>
      </c>
      <c r="P211" s="119" cm="1">
        <f t="array" ref="P211">LOOKUP(2,1/($B$10:$B$14&lt;=$L211)/($C$10:$C$14&gt;=$L211),$D$10:$D$14)</f>
        <v>1.1000000000000001</v>
      </c>
      <c r="Q211" s="120" cm="1">
        <f t="array" ref="Q211">LOOKUP(2,1/($B$17:$B$21&lt;=$L211)/($C$17:$C$21&gt;=$L211),$D$17:$D$21)</f>
        <v>134.49039999999999</v>
      </c>
      <c r="R211" s="113" t="str">
        <f t="shared" si="219"/>
        <v/>
      </c>
      <c r="S211" s="113" t="str">
        <f t="shared" si="220"/>
        <v>1H21</v>
      </c>
      <c r="T211" s="113" t="str">
        <f t="shared" ca="1" si="221"/>
        <v/>
      </c>
      <c r="U211" s="113" t="str">
        <f t="shared" si="222"/>
        <v/>
      </c>
      <c r="V211" s="113" t="str">
        <f t="shared" si="229"/>
        <v>FY21</v>
      </c>
      <c r="W211" s="113" t="str">
        <f t="shared" ca="1" si="230"/>
        <v/>
      </c>
      <c r="X211" s="50"/>
      <c r="AR211" s="50"/>
      <c r="AS211" s="146">
        <v>7</v>
      </c>
      <c r="AT211" s="166">
        <v>120000000</v>
      </c>
      <c r="AU211" s="167" t="e">
        <f t="shared" si="227"/>
        <v>#DIV/0!</v>
      </c>
      <c r="AW211" s="167">
        <f t="shared" si="228"/>
        <v>0</v>
      </c>
      <c r="AY211" s="176"/>
      <c r="AZ211" s="85"/>
      <c r="BA211" s="154"/>
      <c r="BB211" s="155">
        <f t="shared" si="223"/>
        <v>250</v>
      </c>
      <c r="BC211" s="156" t="e">
        <f t="shared" si="224"/>
        <v>#DIV/0!</v>
      </c>
      <c r="BF211" s="50"/>
      <c r="BY211" s="50"/>
      <c r="CO211" s="50"/>
      <c r="DE211" s="50"/>
      <c r="DF211" s="146">
        <v>9</v>
      </c>
      <c r="DG211" s="145">
        <v>200000000</v>
      </c>
      <c r="DH211" s="145"/>
      <c r="DI211" s="173">
        <f>IF($DG211&gt;=100000000,$DJ$198*DJ$201*DJ211+$DK$198*DK$201*DK211,DJ$201*DJ211+DK$201*DK211)</f>
        <v>360527500</v>
      </c>
      <c r="DJ211" s="145">
        <v>288422000</v>
      </c>
      <c r="DK211" s="145">
        <v>566327000</v>
      </c>
      <c r="DL211" s="146"/>
      <c r="DN211" s="186"/>
      <c r="DO211" s="2"/>
      <c r="DP211" s="2"/>
      <c r="DQ211" s="2"/>
      <c r="DR211" s="2"/>
      <c r="DS211" s="2"/>
      <c r="DT211" s="2"/>
      <c r="DU211" s="187"/>
    </row>
    <row r="212" spans="10:125" x14ac:dyDescent="0.25">
      <c r="J212" s="86" t="str" cm="1">
        <f t="array" ref="J212">LOOKUP(2,1/($G$17:$G$33&lt;=$L212)/($H$17:$H$33&gt;=$L212),$F$17:$F$33)</f>
        <v>1H21</v>
      </c>
      <c r="K212" s="86" t="str" cm="1">
        <f t="array" ref="K212">LOOKUP(2,1/($G$6:$G$14&lt;=$L212)/($H$6:$H$14&gt;=$L212),$F$6:$F$14)</f>
        <v>FY21</v>
      </c>
      <c r="L212" s="118">
        <v>44019</v>
      </c>
      <c r="M212" s="49">
        <v>45746976.155358903</v>
      </c>
      <c r="N212" s="49">
        <v>60550697.639233038</v>
      </c>
      <c r="O212" s="50">
        <v>50000000</v>
      </c>
      <c r="P212" s="119" cm="1">
        <f t="array" ref="P212">LOOKUP(2,1/($B$10:$B$14&lt;=$L212)/($C$10:$C$14&gt;=$L212),$D$10:$D$14)</f>
        <v>1.1000000000000001</v>
      </c>
      <c r="Q212" s="120" cm="1">
        <f t="array" ref="Q212">LOOKUP(2,1/($B$17:$B$21&lt;=$L212)/($C$17:$C$21&gt;=$L212),$D$17:$D$21)</f>
        <v>134.49039999999999</v>
      </c>
      <c r="R212" s="113" t="str">
        <f t="shared" si="219"/>
        <v>1H21</v>
      </c>
      <c r="S212" s="113" t="str">
        <f t="shared" si="220"/>
        <v>1H21</v>
      </c>
      <c r="T212" s="113" t="str">
        <f t="shared" ca="1" si="221"/>
        <v/>
      </c>
      <c r="U212" s="113" t="str">
        <f t="shared" si="222"/>
        <v>FY21</v>
      </c>
      <c r="V212" s="113" t="str">
        <f t="shared" si="229"/>
        <v>FY21</v>
      </c>
      <c r="W212" s="113" t="str">
        <f t="shared" ca="1" si="230"/>
        <v/>
      </c>
      <c r="X212" s="50"/>
      <c r="AR212" s="50"/>
      <c r="AS212" s="146">
        <v>8</v>
      </c>
      <c r="AT212" s="145">
        <v>150000000</v>
      </c>
      <c r="AU212" s="167" t="e">
        <f t="shared" si="227"/>
        <v>#DIV/0!</v>
      </c>
      <c r="AW212" s="167">
        <f t="shared" si="228"/>
        <v>0</v>
      </c>
      <c r="AY212" s="176"/>
      <c r="AZ212" s="32"/>
      <c r="BA212" s="32"/>
      <c r="BB212" s="32"/>
      <c r="BC212" s="183"/>
      <c r="BF212" s="50"/>
      <c r="BY212" s="50"/>
      <c r="CO212" s="50"/>
      <c r="DE212" s="50"/>
      <c r="DF212" s="146">
        <v>10</v>
      </c>
      <c r="DG212" s="145">
        <v>250000000</v>
      </c>
      <c r="DH212" s="145"/>
      <c r="DI212" s="173">
        <f>IF($DG212&gt;=100000000,$DJ$198*DJ$201*DJ212+$DK$198*DK$201*DK212,DJ$201*DJ212+DK$201*DK212)</f>
        <v>446952500</v>
      </c>
      <c r="DJ212" s="145">
        <v>357562000</v>
      </c>
      <c r="DK212" s="145">
        <v>850911999.99999988</v>
      </c>
      <c r="DL212" s="146"/>
      <c r="DN212" s="189"/>
      <c r="DO212" s="190"/>
      <c r="DP212" s="190"/>
      <c r="DQ212" s="190"/>
      <c r="DR212" s="190"/>
      <c r="DS212" s="190"/>
      <c r="DT212" s="190"/>
      <c r="DU212" s="191"/>
    </row>
    <row r="213" spans="10:125" x14ac:dyDescent="0.25">
      <c r="J213" s="86" t="str" cm="1">
        <f t="array" ref="J213">LOOKUP(2,1/($G$17:$G$33&lt;=$L213)/($H$17:$H$33&gt;=$L213),$F$17:$F$33)</f>
        <v>2H20</v>
      </c>
      <c r="K213" s="86" t="str" cm="1">
        <f t="array" ref="K213">LOOKUP(2,1/($G$6:$G$14&lt;=$L213)/($H$6:$H$14&gt;=$L213),$F$6:$F$14)</f>
        <v>FY20</v>
      </c>
      <c r="L213" s="118">
        <v>44012</v>
      </c>
      <c r="M213" s="49">
        <v>31333097.83677483</v>
      </c>
      <c r="N213" s="49">
        <v>41472488.296755165</v>
      </c>
      <c r="O213" s="50">
        <v>30000000</v>
      </c>
      <c r="P213" s="119" cm="1">
        <f t="array" ref="P213">LOOKUP(2,1/($B$10:$B$14&lt;=$L213)/($C$10:$C$14&gt;=$L213),$D$10:$D$14)</f>
        <v>1.1000000000000001</v>
      </c>
      <c r="Q213" s="120" cm="1">
        <f t="array" ref="Q213">LOOKUP(2,1/($B$17:$B$21&lt;=$L213)/($C$17:$C$21&gt;=$L213),$D$17:$D$21)</f>
        <v>134.49039999999999</v>
      </c>
      <c r="R213" s="113" t="str">
        <f t="shared" si="219"/>
        <v/>
      </c>
      <c r="S213" s="113" t="str">
        <f t="shared" si="220"/>
        <v>1H21</v>
      </c>
      <c r="T213" s="113" t="str">
        <f t="shared" ca="1" si="221"/>
        <v/>
      </c>
      <c r="U213" s="113" t="str">
        <f t="shared" si="222"/>
        <v/>
      </c>
      <c r="V213" s="113" t="str">
        <f t="shared" si="229"/>
        <v>FY21</v>
      </c>
      <c r="W213" s="113" t="str">
        <f t="shared" ca="1" si="230"/>
        <v/>
      </c>
      <c r="X213" s="50"/>
      <c r="Y213" s="85">
        <f t="shared" ref="Y213:Y222" si="231">Z213/1000000</f>
        <v>3</v>
      </c>
      <c r="Z213" s="226">
        <v>3000000</v>
      </c>
      <c r="AA213" s="167">
        <f t="shared" ref="AA213:AA222" si="232">AVERAGEIFS($M:$M,$L:$L,"&gt;="&amp;Z$159,$L:$L,"&lt;="&amp;AB$159,$O:$O,"="&amp;Z213)*AB$160</f>
        <v>8751321.2688212674</v>
      </c>
      <c r="AD213" s="221">
        <f t="shared" ref="AD213:AD221" si="233">AA213/1000000</f>
        <v>8.7513212688212683</v>
      </c>
      <c r="AR213" s="50"/>
      <c r="AS213" s="146">
        <v>9</v>
      </c>
      <c r="AT213" s="145">
        <v>200000000</v>
      </c>
      <c r="AU213" s="167" t="e">
        <f t="shared" si="227"/>
        <v>#DIV/0!</v>
      </c>
      <c r="AW213" s="146"/>
      <c r="AY213" s="186"/>
      <c r="AZ213" s="2"/>
      <c r="BA213" s="2"/>
      <c r="BB213" s="2"/>
      <c r="BC213" s="187"/>
      <c r="BF213" s="50"/>
      <c r="BY213" s="50"/>
      <c r="CO213" s="50"/>
      <c r="DE213" s="50"/>
    </row>
    <row r="214" spans="10:125" x14ac:dyDescent="0.25">
      <c r="J214" s="86" t="str" cm="1">
        <f t="array" ref="J214">LOOKUP(2,1/($G$17:$G$33&lt;=$L214)/($H$17:$H$33&gt;=$L214),$F$17:$F$33)</f>
        <v>2H20</v>
      </c>
      <c r="K214" s="86" t="str" cm="1">
        <f t="array" ref="K214">LOOKUP(2,1/($G$6:$G$14&lt;=$L214)/($H$6:$H$14&gt;=$L214),$F$6:$F$14)</f>
        <v>FY20</v>
      </c>
      <c r="L214" s="118">
        <v>44005</v>
      </c>
      <c r="M214" s="49">
        <v>24465498.525073752</v>
      </c>
      <c r="N214" s="49">
        <v>32382533.847787615</v>
      </c>
      <c r="O214" s="50">
        <v>20000000</v>
      </c>
      <c r="P214" s="119" cm="1">
        <f t="array" ref="P214">LOOKUP(2,1/($B$10:$B$14&lt;=$L214)/($C$10:$C$14&gt;=$L214),$D$10:$D$14)</f>
        <v>1.1000000000000001</v>
      </c>
      <c r="Q214" s="120" cm="1">
        <f t="array" ref="Q214">LOOKUP(2,1/($B$17:$B$21&lt;=$L214)/($C$17:$C$21&gt;=$L214),$D$17:$D$21)</f>
        <v>134.49039999999999</v>
      </c>
      <c r="R214" s="113" t="str">
        <f t="shared" si="219"/>
        <v/>
      </c>
      <c r="S214" s="113" t="str">
        <f t="shared" si="220"/>
        <v>1H21</v>
      </c>
      <c r="T214" s="113" t="str">
        <f t="shared" ca="1" si="221"/>
        <v/>
      </c>
      <c r="U214" s="113" t="str">
        <f t="shared" si="222"/>
        <v/>
      </c>
      <c r="V214" s="113" t="str">
        <f t="shared" si="229"/>
        <v>FY21</v>
      </c>
      <c r="W214" s="113" t="str">
        <f t="shared" ca="1" si="230"/>
        <v/>
      </c>
      <c r="Y214" s="85">
        <f t="shared" si="231"/>
        <v>8</v>
      </c>
      <c r="Z214" s="226">
        <v>8000000</v>
      </c>
      <c r="AA214" s="167">
        <f t="shared" si="232"/>
        <v>11777123.777623778</v>
      </c>
      <c r="AD214" s="221">
        <f t="shared" si="233"/>
        <v>11.777123777623778</v>
      </c>
      <c r="AS214" s="146">
        <v>10</v>
      </c>
      <c r="AT214" s="145">
        <v>250000000</v>
      </c>
      <c r="AU214" s="167" t="e">
        <f t="shared" si="227"/>
        <v>#DIV/0!</v>
      </c>
      <c r="AW214" s="146"/>
      <c r="AY214" s="189"/>
      <c r="AZ214" s="190"/>
      <c r="BA214" s="190"/>
      <c r="BB214" s="190"/>
      <c r="BC214" s="191"/>
      <c r="DF214" s="125" t="s">
        <v>231</v>
      </c>
      <c r="DG214" s="126"/>
      <c r="DH214" s="126"/>
      <c r="DI214" s="126"/>
      <c r="DJ214" s="126"/>
      <c r="DK214" s="126"/>
      <c r="DL214" s="126"/>
      <c r="DM214" s="126"/>
      <c r="DN214" s="126"/>
      <c r="DO214" s="126"/>
      <c r="DP214" s="126"/>
      <c r="DQ214" s="126"/>
      <c r="DR214" s="126"/>
      <c r="DS214" s="126"/>
      <c r="DT214" s="126"/>
      <c r="DU214" s="126"/>
    </row>
    <row r="215" spans="10:125" x14ac:dyDescent="0.25">
      <c r="J215" s="86" t="str" cm="1">
        <f t="array" ref="J215">LOOKUP(2,1/($G$17:$G$33&lt;=$L215)/($H$17:$H$33&gt;=$L215),$F$17:$F$33)</f>
        <v>2H20</v>
      </c>
      <c r="K215" s="86" t="str" cm="1">
        <f t="array" ref="K215">LOOKUP(2,1/($G$6:$G$14&lt;=$L215)/($H$6:$H$14&gt;=$L215),$F$6:$F$14)</f>
        <v>FY20</v>
      </c>
      <c r="L215" s="118">
        <v>43998</v>
      </c>
      <c r="M215" s="49">
        <v>17685267.944936089</v>
      </c>
      <c r="N215" s="49">
        <v>23408220.651917405</v>
      </c>
      <c r="O215" s="50">
        <v>10000000</v>
      </c>
      <c r="P215" s="119" cm="1">
        <f t="array" ref="P215">LOOKUP(2,1/($B$10:$B$14&lt;=$L215)/($C$10:$C$14&gt;=$L215),$D$10:$D$14)</f>
        <v>1.1000000000000001</v>
      </c>
      <c r="Q215" s="120" cm="1">
        <f t="array" ref="Q215">LOOKUP(2,1/($B$17:$B$21&lt;=$L215)/($C$17:$C$21&gt;=$L215),$D$17:$D$21)</f>
        <v>134.49039999999999</v>
      </c>
      <c r="R215" s="113" t="str">
        <f t="shared" si="219"/>
        <v/>
      </c>
      <c r="S215" s="113" t="str">
        <f t="shared" si="220"/>
        <v>1H21</v>
      </c>
      <c r="T215" s="113" t="str">
        <f t="shared" ca="1" si="221"/>
        <v/>
      </c>
      <c r="U215" s="113" t="str">
        <f t="shared" si="222"/>
        <v/>
      </c>
      <c r="V215" s="113" t="str">
        <f t="shared" si="229"/>
        <v>FY21</v>
      </c>
      <c r="W215" s="113" t="str">
        <f t="shared" ca="1" si="230"/>
        <v/>
      </c>
      <c r="Y215" s="85">
        <f t="shared" si="231"/>
        <v>15</v>
      </c>
      <c r="Z215" s="226">
        <v>15000000</v>
      </c>
      <c r="AA215" s="167">
        <f t="shared" si="232"/>
        <v>15579448.995148992</v>
      </c>
      <c r="AD215" s="221">
        <f t="shared" si="233"/>
        <v>15.579448995148992</v>
      </c>
      <c r="DF215" s="114" t="s">
        <v>147</v>
      </c>
      <c r="DG215" s="115">
        <v>44562</v>
      </c>
      <c r="DH215" s="114" t="s">
        <v>148</v>
      </c>
      <c r="DI215" s="115">
        <v>44742</v>
      </c>
      <c r="DJ215" s="132"/>
      <c r="DK215" s="132"/>
      <c r="DL215" s="132"/>
      <c r="DM215" s="133"/>
      <c r="DN215" s="133"/>
      <c r="DO215" s="133"/>
      <c r="DP215" s="133"/>
      <c r="DQ215" s="133"/>
      <c r="DR215" s="133"/>
      <c r="DS215" s="133"/>
      <c r="DT215" s="133"/>
      <c r="DU215" s="133"/>
    </row>
    <row r="216" spans="10:125" x14ac:dyDescent="0.25">
      <c r="J216" s="86" t="str" cm="1">
        <f t="array" ref="J216">LOOKUP(2,1/($G$17:$G$33&lt;=$L216)/($H$17:$H$33&gt;=$L216),$F$17:$F$33)</f>
        <v>2H20</v>
      </c>
      <c r="K216" s="86" t="str" cm="1">
        <f t="array" ref="K216">LOOKUP(2,1/($G$6:$G$14&lt;=$L216)/($H$6:$H$14&gt;=$L216),$F$6:$F$14)</f>
        <v>FY20</v>
      </c>
      <c r="L216" s="118">
        <v>43991</v>
      </c>
      <c r="M216" s="49">
        <v>12050755.653883975</v>
      </c>
      <c r="N216" s="49">
        <v>15950380.183480827</v>
      </c>
      <c r="O216" s="50">
        <v>5000000</v>
      </c>
      <c r="P216" s="119" cm="1">
        <f t="array" ref="P216">LOOKUP(2,1/($B$10:$B$14&lt;=$L216)/($C$10:$C$14&gt;=$L216),$D$10:$D$14)</f>
        <v>1.1000000000000001</v>
      </c>
      <c r="Q216" s="120" cm="1">
        <f t="array" ref="Q216">LOOKUP(2,1/($B$17:$B$21&lt;=$L216)/($C$17:$C$21&gt;=$L216),$D$17:$D$21)</f>
        <v>134.49039999999999</v>
      </c>
      <c r="R216" s="113" t="str">
        <f t="shared" si="219"/>
        <v/>
      </c>
      <c r="S216" s="113" t="str">
        <f t="shared" si="220"/>
        <v>1H21</v>
      </c>
      <c r="T216" s="113" t="str">
        <f t="shared" ca="1" si="221"/>
        <v/>
      </c>
      <c r="U216" s="113" t="str">
        <f t="shared" si="222"/>
        <v/>
      </c>
      <c r="V216" s="113" t="str">
        <f t="shared" si="229"/>
        <v>FY21</v>
      </c>
      <c r="W216" s="113" t="str">
        <f t="shared" ca="1" si="230"/>
        <v/>
      </c>
      <c r="X216" s="50"/>
      <c r="Y216" s="85">
        <f t="shared" si="231"/>
        <v>20</v>
      </c>
      <c r="Z216" s="226">
        <v>20000000</v>
      </c>
      <c r="AA216" s="167">
        <f t="shared" si="232"/>
        <v>20891056.842556842</v>
      </c>
      <c r="AD216" s="221">
        <f t="shared" si="233"/>
        <v>20.891056842556843</v>
      </c>
      <c r="AR216" s="50"/>
      <c r="AS216" s="208" t="s">
        <v>232</v>
      </c>
      <c r="AT216" s="209"/>
      <c r="AU216" s="209"/>
      <c r="AV216" s="209"/>
      <c r="AW216" s="209"/>
      <c r="AX216" s="209"/>
      <c r="AY216" s="209"/>
      <c r="AZ216" s="209"/>
      <c r="BA216" s="209"/>
      <c r="BB216" s="209"/>
      <c r="BC216" s="209"/>
      <c r="BD216" s="209"/>
      <c r="BE216" s="209"/>
      <c r="BF216" s="50"/>
      <c r="BY216" s="50"/>
      <c r="CO216" s="50"/>
      <c r="DE216" s="50"/>
      <c r="DF216" s="114" t="s">
        <v>159</v>
      </c>
      <c r="DG216" s="115" t="s">
        <v>54</v>
      </c>
      <c r="DH216" s="114" t="s">
        <v>161</v>
      </c>
      <c r="DI216" s="134" t="str" cm="1">
        <f t="array" ref="DI216">IF(OR(LOOKUP(2,1/($B$10:$B$14&lt;=DI215)/($C$10:$C$14&gt;=DI215),$D$10:$D$14)&lt;&gt;DG219,LOOKUP(2,1/($B$6:$B$7&lt;=DI215)/($C$6:$C$7&gt;=DI215),$D$6:$D$7)&lt;&gt;DI219),"FAIL","PASS")</f>
        <v>PASS</v>
      </c>
      <c r="DJ216" s="134" t="s">
        <v>162</v>
      </c>
      <c r="DK216" s="134" t="s">
        <v>162</v>
      </c>
      <c r="DL216" s="134"/>
      <c r="DM216" s="133"/>
      <c r="DN216" s="133"/>
      <c r="DO216" s="133"/>
      <c r="DP216" s="133"/>
      <c r="DQ216" s="133"/>
      <c r="DR216" s="133"/>
      <c r="DS216" s="133"/>
      <c r="DT216" s="133"/>
      <c r="DU216" s="133"/>
    </row>
    <row r="217" spans="10:125" x14ac:dyDescent="0.25">
      <c r="J217" s="86" t="str" cm="1">
        <f t="array" ref="J217">LOOKUP(2,1/($G$17:$G$33&lt;=$L217)/($H$17:$H$33&gt;=$L217),$F$17:$F$33)</f>
        <v>2H20</v>
      </c>
      <c r="K217" s="86" t="str" cm="1">
        <f t="array" ref="K217">LOOKUP(2,1/($G$6:$G$14&lt;=$L217)/($H$6:$H$14&gt;=$L217),$F$6:$F$14)</f>
        <v>FY20</v>
      </c>
      <c r="L217" s="118">
        <v>43984</v>
      </c>
      <c r="M217" s="49">
        <v>9383140.3638151456</v>
      </c>
      <c r="N217" s="49">
        <v>12419524.585545726</v>
      </c>
      <c r="O217" s="50">
        <v>2000000</v>
      </c>
      <c r="P217" s="119" cm="1">
        <f t="array" ref="P217">LOOKUP(2,1/($B$10:$B$14&lt;=$L217)/($C$10:$C$14&gt;=$L217),$D$10:$D$14)</f>
        <v>1.1000000000000001</v>
      </c>
      <c r="Q217" s="120" cm="1">
        <f t="array" ref="Q217">LOOKUP(2,1/($B$17:$B$21&lt;=$L217)/($C$17:$C$21&gt;=$L217),$D$17:$D$21)</f>
        <v>134.49039999999999</v>
      </c>
      <c r="R217" s="113" t="str">
        <f t="shared" si="219"/>
        <v/>
      </c>
      <c r="S217" s="113" t="str">
        <f t="shared" si="220"/>
        <v>1H21</v>
      </c>
      <c r="T217" s="113" t="str">
        <f t="shared" ca="1" si="221"/>
        <v/>
      </c>
      <c r="U217" s="113" t="str">
        <f t="shared" si="222"/>
        <v/>
      </c>
      <c r="V217" s="113" t="str">
        <f t="shared" si="229"/>
        <v>FY21</v>
      </c>
      <c r="W217" s="113" t="str">
        <f t="shared" ca="1" si="230"/>
        <v/>
      </c>
      <c r="X217" s="50"/>
      <c r="Y217" s="85">
        <f t="shared" si="231"/>
        <v>30</v>
      </c>
      <c r="Z217" s="226">
        <v>30000000</v>
      </c>
      <c r="AA217" s="167">
        <f t="shared" si="232"/>
        <v>26900926.907676905</v>
      </c>
      <c r="AD217" s="221">
        <f t="shared" si="233"/>
        <v>26.900926907676904</v>
      </c>
      <c r="AR217" s="50"/>
      <c r="AS217" s="114" t="s">
        <v>147</v>
      </c>
      <c r="AT217" s="115">
        <v>44652</v>
      </c>
      <c r="AU217" s="114" t="s">
        <v>148</v>
      </c>
      <c r="AV217" s="115">
        <v>44868</v>
      </c>
      <c r="AW217" s="132"/>
      <c r="AX217" s="133"/>
      <c r="AY217" s="133"/>
      <c r="AZ217" s="133"/>
      <c r="BA217" s="133"/>
      <c r="BB217" s="133"/>
      <c r="BC217" s="133"/>
      <c r="BD217" s="133"/>
      <c r="BE217" s="133"/>
      <c r="BF217" s="50"/>
      <c r="BY217" s="50"/>
      <c r="CO217" s="50"/>
      <c r="DE217" s="50"/>
      <c r="DF217" s="114" t="s">
        <v>165</v>
      </c>
      <c r="DG217" s="134">
        <f>INDEX($G:$G,MATCH(DG216,$F:$F,0))</f>
        <v>44562</v>
      </c>
      <c r="DH217" s="114" t="s">
        <v>166</v>
      </c>
      <c r="DI217" s="134">
        <f>INDEX($H:$H,MATCH(DG216,$F:$F,0))</f>
        <v>44742</v>
      </c>
      <c r="DJ217" s="135">
        <v>1.25</v>
      </c>
      <c r="DK217" s="135">
        <v>1</v>
      </c>
      <c r="DL217" s="134"/>
      <c r="DN217" s="136" t="s">
        <v>167</v>
      </c>
      <c r="DO217" s="137"/>
      <c r="DP217" s="137"/>
      <c r="DQ217" s="137"/>
      <c r="DR217" s="138"/>
      <c r="DS217" s="137"/>
      <c r="DT217" s="137"/>
      <c r="DU217" s="139"/>
    </row>
    <row r="218" spans="10:125" x14ac:dyDescent="0.25">
      <c r="J218" s="86" t="str" cm="1">
        <f t="array" ref="J218">LOOKUP(2,1/($G$17:$G$33&lt;=$L218)/($H$17:$H$33&gt;=$L218),$F$17:$F$33)</f>
        <v>2H20</v>
      </c>
      <c r="K218" s="86" t="str" cm="1">
        <f t="array" ref="K218">LOOKUP(2,1/($G$6:$G$14&lt;=$L218)/($H$6:$H$14&gt;=$L218),$F$6:$F$14)</f>
        <v>FY20</v>
      </c>
      <c r="L218" s="118">
        <v>43977</v>
      </c>
      <c r="M218" s="49">
        <v>9225829.8918387443</v>
      </c>
      <c r="N218" s="49">
        <v>12211308.44483776</v>
      </c>
      <c r="O218" s="50">
        <v>2000000</v>
      </c>
      <c r="P218" s="119" cm="1">
        <f t="array" ref="P218">LOOKUP(2,1/($B$10:$B$14&lt;=$L218)/($C$10:$C$14&gt;=$L218),$D$10:$D$14)</f>
        <v>1.1000000000000001</v>
      </c>
      <c r="Q218" s="120" cm="1">
        <f t="array" ref="Q218">LOOKUP(2,1/($B$17:$B$21&lt;=$L218)/($C$17:$C$21&gt;=$L218),$D$17:$D$21)</f>
        <v>134.49039999999999</v>
      </c>
      <c r="R218" s="113" t="str">
        <f t="shared" si="219"/>
        <v/>
      </c>
      <c r="S218" s="113" t="str">
        <f t="shared" si="220"/>
        <v>1H21</v>
      </c>
      <c r="T218" s="113" t="str">
        <f t="shared" ca="1" si="221"/>
        <v/>
      </c>
      <c r="U218" s="113" t="str">
        <f t="shared" si="222"/>
        <v/>
      </c>
      <c r="V218" s="113" t="str">
        <f t="shared" si="229"/>
        <v>FY21</v>
      </c>
      <c r="W218" s="113" t="str">
        <f t="shared" ca="1" si="230"/>
        <v/>
      </c>
      <c r="X218" s="50"/>
      <c r="Y218" s="85">
        <f t="shared" si="231"/>
        <v>40</v>
      </c>
      <c r="Z218" s="226">
        <v>40000000</v>
      </c>
      <c r="AA218" s="167">
        <f t="shared" si="232"/>
        <v>32340324.863324862</v>
      </c>
      <c r="AD218" s="221">
        <f t="shared" si="233"/>
        <v>32.340324863324859</v>
      </c>
      <c r="AR218" s="50"/>
      <c r="AS218" s="114" t="s">
        <v>159</v>
      </c>
      <c r="AT218" s="115" t="s">
        <v>22</v>
      </c>
      <c r="AU218" s="114" t="s">
        <v>161</v>
      </c>
      <c r="AV218" s="115" t="s">
        <v>163</v>
      </c>
      <c r="AW218" s="134"/>
      <c r="AX218" s="133"/>
      <c r="AY218" s="133"/>
      <c r="AZ218" s="133"/>
      <c r="BA218" s="133"/>
      <c r="BB218" s="133"/>
      <c r="BC218" s="133"/>
      <c r="BD218" s="133"/>
      <c r="BE218" s="133"/>
      <c r="BF218" s="50"/>
      <c r="BY218" s="50"/>
      <c r="CO218" s="50"/>
      <c r="DE218" s="50"/>
      <c r="DF218" s="114" t="s">
        <v>91</v>
      </c>
      <c r="DG218" s="140">
        <f>INDEX($O:$O,MATCH(DG216,$R:$R,0))</f>
        <v>10000000</v>
      </c>
      <c r="DH218" s="114" t="s">
        <v>76</v>
      </c>
      <c r="DI218" s="140">
        <f ca="1">INDEX($O:$O,MATCH(DG216,$T:$T,0))</f>
        <v>30000000</v>
      </c>
      <c r="DJ218" s="140"/>
      <c r="DK218" s="140"/>
      <c r="DL218" s="140"/>
      <c r="DN218" s="147" t="s">
        <v>165</v>
      </c>
      <c r="DO218" s="148">
        <f>DG217</f>
        <v>44562</v>
      </c>
      <c r="DP218" s="142"/>
      <c r="DQ218" s="142"/>
      <c r="DR218" s="143" t="s">
        <v>15</v>
      </c>
      <c r="DS218" s="142"/>
      <c r="DT218" s="142"/>
      <c r="DU218" s="144" t="s">
        <v>139</v>
      </c>
    </row>
    <row r="219" spans="10:125" x14ac:dyDescent="0.25">
      <c r="J219" s="86" t="str" cm="1">
        <f t="array" ref="J219">LOOKUP(2,1/($G$17:$G$33&lt;=$L219)/($H$17:$H$33&gt;=$L219),$F$17:$F$33)</f>
        <v>2H20</v>
      </c>
      <c r="K219" s="86" t="str" cm="1">
        <f t="array" ref="K219">LOOKUP(2,1/($G$6:$G$14&lt;=$L219)/($H$6:$H$14&gt;=$L219),$F$6:$F$14)</f>
        <v>FY20</v>
      </c>
      <c r="L219" s="118">
        <v>43970</v>
      </c>
      <c r="M219" s="49">
        <v>23689684.365781713</v>
      </c>
      <c r="N219" s="49">
        <v>31355666.226548672</v>
      </c>
      <c r="O219" s="50">
        <v>15000000</v>
      </c>
      <c r="P219" s="119" cm="1">
        <f t="array" ref="P219">LOOKUP(2,1/($B$10:$B$14&lt;=$L219)/($C$10:$C$14&gt;=$L219),$D$10:$D$14)</f>
        <v>1.1000000000000001</v>
      </c>
      <c r="Q219" s="120" cm="1">
        <f t="array" ref="Q219">LOOKUP(2,1/($B$17:$B$21&lt;=$L219)/($C$17:$C$21&gt;=$L219),$D$17:$D$21)</f>
        <v>134.49039999999999</v>
      </c>
      <c r="R219" s="113" t="str">
        <f t="shared" si="219"/>
        <v/>
      </c>
      <c r="S219" s="113" t="str">
        <f t="shared" si="220"/>
        <v>2H20</v>
      </c>
      <c r="T219" s="113" t="str">
        <f t="shared" ca="1" si="221"/>
        <v>1H21</v>
      </c>
      <c r="U219" s="113" t="str">
        <f t="shared" si="222"/>
        <v/>
      </c>
      <c r="V219" s="113" t="str">
        <f t="shared" si="229"/>
        <v>FY20</v>
      </c>
      <c r="W219" s="113" t="str">
        <f t="shared" ca="1" si="230"/>
        <v>FY21</v>
      </c>
      <c r="X219" s="50"/>
      <c r="Y219" s="85">
        <f t="shared" si="231"/>
        <v>50</v>
      </c>
      <c r="Z219" s="226">
        <v>50000000</v>
      </c>
      <c r="AA219" s="167">
        <f t="shared" si="232"/>
        <v>42276012.012012005</v>
      </c>
      <c r="AD219" s="221">
        <f t="shared" si="233"/>
        <v>42.276012012012004</v>
      </c>
      <c r="AR219" s="50"/>
      <c r="AS219" s="114" t="s">
        <v>165</v>
      </c>
      <c r="AT219" s="134">
        <f>INDEX($G:$G,MATCH(AT218,$F:$F,0))</f>
        <v>44378</v>
      </c>
      <c r="AU219" s="114" t="s">
        <v>166</v>
      </c>
      <c r="AV219" s="134">
        <f>INDEX($H:$H,MATCH(AT218,$F:$F,0))</f>
        <v>44742</v>
      </c>
      <c r="AW219" s="134"/>
      <c r="AY219" s="136" t="s">
        <v>167</v>
      </c>
      <c r="AZ219" s="137"/>
      <c r="BA219" s="137"/>
      <c r="BB219" s="138"/>
      <c r="BC219" s="139"/>
      <c r="BF219" s="50"/>
      <c r="BY219" s="50"/>
      <c r="CO219" s="50"/>
      <c r="DE219" s="50"/>
      <c r="DF219" s="114" t="s">
        <v>169</v>
      </c>
      <c r="DG219" s="119" cm="1">
        <f t="array" ref="DG219">LOOKUP(2,1/($B$10:$B$14&lt;=DG215)/($C$10:$C$14&gt;=DG215),$D$10:$D$14)</f>
        <v>1.1000000000000001</v>
      </c>
      <c r="DH219" s="114" t="s">
        <v>149</v>
      </c>
      <c r="DI219" s="152" cm="1">
        <f t="array" ref="DI219">LOOKUP(2,1/($B$6:$B$7&lt;=DG215)/($C$6:$C$7&gt;=DG215),$D$6:$D$7)</f>
        <v>0.10299999999999999</v>
      </c>
      <c r="DJ219" s="152" t="s">
        <v>170</v>
      </c>
      <c r="DK219" s="152" t="s">
        <v>171</v>
      </c>
      <c r="DL219" s="152"/>
      <c r="DN219" s="153" t="s">
        <v>166</v>
      </c>
      <c r="DO219" s="158">
        <f>DI217</f>
        <v>44742</v>
      </c>
      <c r="DP219" s="154"/>
      <c r="DQ219" s="154"/>
      <c r="DR219" s="155">
        <f>DG222/1000000</f>
        <v>4</v>
      </c>
      <c r="DS219" s="154"/>
      <c r="DT219" s="154"/>
      <c r="DU219" s="156" t="e">
        <f>MAX(DH222:DI222)/1000000</f>
        <v>#DIV/0!</v>
      </c>
    </row>
    <row r="220" spans="10:125" x14ac:dyDescent="0.25">
      <c r="J220" s="86" t="str" cm="1">
        <f t="array" ref="J220">LOOKUP(2,1/($G$17:$G$33&lt;=$L220)/($H$17:$H$33&gt;=$L220),$F$17:$F$33)</f>
        <v>2H20</v>
      </c>
      <c r="K220" s="86" t="str" cm="1">
        <f t="array" ref="K220">LOOKUP(2,1/($G$6:$G$14&lt;=$L220)/($H$6:$H$14&gt;=$L220),$F$6:$F$14)</f>
        <v>FY20</v>
      </c>
      <c r="L220" s="118">
        <v>43963</v>
      </c>
      <c r="M220" s="49">
        <v>18684113.692232061</v>
      </c>
      <c r="N220" s="49">
        <v>24730292.883038353</v>
      </c>
      <c r="O220" s="50">
        <v>10000000</v>
      </c>
      <c r="P220" s="119" cm="1">
        <f t="array" ref="P220">LOOKUP(2,1/($B$10:$B$14&lt;=$L220)/($C$10:$C$14&gt;=$L220),$D$10:$D$14)</f>
        <v>1.1000000000000001</v>
      </c>
      <c r="Q220" s="120" cm="1">
        <f t="array" ref="Q220">LOOKUP(2,1/($B$17:$B$21&lt;=$L220)/($C$17:$C$21&gt;=$L220),$D$17:$D$21)</f>
        <v>134.49039999999999</v>
      </c>
      <c r="R220" s="113" t="str">
        <f t="shared" si="219"/>
        <v/>
      </c>
      <c r="S220" s="113" t="str">
        <f t="shared" si="220"/>
        <v>2H20</v>
      </c>
      <c r="T220" s="113" t="str">
        <f t="shared" ca="1" si="221"/>
        <v/>
      </c>
      <c r="U220" s="113" t="str">
        <f t="shared" si="222"/>
        <v/>
      </c>
      <c r="V220" s="113" t="str">
        <f t="shared" si="229"/>
        <v>FY20</v>
      </c>
      <c r="W220" s="113" t="str">
        <f t="shared" ca="1" si="230"/>
        <v/>
      </c>
      <c r="X220" s="50"/>
      <c r="Y220" s="85">
        <f t="shared" si="231"/>
        <v>70</v>
      </c>
      <c r="Z220" s="227">
        <v>70000000</v>
      </c>
      <c r="AA220" s="167">
        <f t="shared" si="232"/>
        <v>68443644.721644714</v>
      </c>
      <c r="AD220" s="221">
        <f t="shared" si="233"/>
        <v>68.443644721644716</v>
      </c>
      <c r="AR220" s="50"/>
      <c r="AS220" s="114" t="s">
        <v>91</v>
      </c>
      <c r="AT220" s="145">
        <v>40000000</v>
      </c>
      <c r="AU220" s="114" t="s">
        <v>76</v>
      </c>
      <c r="AV220" s="145">
        <v>40000000</v>
      </c>
      <c r="AW220" s="146"/>
      <c r="AY220" s="147" t="s">
        <v>165</v>
      </c>
      <c r="AZ220" s="148">
        <f>AT219</f>
        <v>44378</v>
      </c>
      <c r="BA220" s="142"/>
      <c r="BB220" s="143" t="s">
        <v>15</v>
      </c>
      <c r="BC220" s="144" t="s">
        <v>139</v>
      </c>
      <c r="BF220" s="50"/>
      <c r="BY220" s="50"/>
      <c r="CO220" s="50"/>
      <c r="DE220" s="50"/>
      <c r="DF220" s="114" t="s">
        <v>172</v>
      </c>
      <c r="DG220" s="119" cm="1">
        <f t="array" ref="DG220">LOOKUP(2,1/($B$17:$B$21&lt;=DG215)/($C$17:$C$21&gt;=DG215),$D$17:$D$21)</f>
        <v>134.49039999999999</v>
      </c>
      <c r="DH220" s="114" t="s">
        <v>173</v>
      </c>
      <c r="DI220" s="163">
        <f>INT((WEEKDAY(DG215-5)-DG215+DI215)/7)/INT((WEEKDAY(DG217-5)-DG217+DI217)/7)</f>
        <v>1</v>
      </c>
      <c r="DJ220" s="162">
        <v>1</v>
      </c>
      <c r="DK220" s="162">
        <f>1-DJ220</f>
        <v>0</v>
      </c>
      <c r="DL220" s="163"/>
      <c r="DN220" s="153" t="s">
        <v>91</v>
      </c>
      <c r="DO220" s="155">
        <f>DG218/1000000</f>
        <v>10</v>
      </c>
      <c r="DP220" s="154"/>
      <c r="DQ220" s="154"/>
      <c r="DR220" s="155">
        <f t="shared" ref="DR220:DR228" si="234">DG223/1000000</f>
        <v>8</v>
      </c>
      <c r="DS220" s="154"/>
      <c r="DT220" s="154"/>
      <c r="DU220" s="156" t="e">
        <f t="shared" ref="DU220:DU228" si="235">MAX(DH223:DI223)/1000000</f>
        <v>#DIV/0!</v>
      </c>
    </row>
    <row r="221" spans="10:125" x14ac:dyDescent="0.25">
      <c r="J221" s="86" t="str" cm="1">
        <f t="array" ref="J221">LOOKUP(2,1/($G$17:$G$33&lt;=$L221)/($H$17:$H$33&gt;=$L221),$F$17:$F$33)</f>
        <v>2H20</v>
      </c>
      <c r="K221" s="86" t="str" cm="1">
        <f t="array" ref="K221">LOOKUP(2,1/($G$6:$G$14&lt;=$L221)/($H$6:$H$14&gt;=$L221),$F$6:$F$14)</f>
        <v>FY20</v>
      </c>
      <c r="L221" s="118">
        <v>43956</v>
      </c>
      <c r="M221" s="49">
        <v>11116368.731563423</v>
      </c>
      <c r="N221" s="49">
        <v>14713625.653097345</v>
      </c>
      <c r="O221" s="50">
        <v>5000000</v>
      </c>
      <c r="P221" s="119" cm="1">
        <f t="array" ref="P221">LOOKUP(2,1/($B$10:$B$14&lt;=$L221)/($C$10:$C$14&gt;=$L221),$D$10:$D$14)</f>
        <v>1.1000000000000001</v>
      </c>
      <c r="Q221" s="120" cm="1">
        <f t="array" ref="Q221">LOOKUP(2,1/($B$17:$B$21&lt;=$L221)/($C$17:$C$21&gt;=$L221),$D$17:$D$21)</f>
        <v>134.49039999999999</v>
      </c>
      <c r="R221" s="113" t="str">
        <f t="shared" si="219"/>
        <v/>
      </c>
      <c r="S221" s="113" t="str">
        <f t="shared" si="220"/>
        <v>2H20</v>
      </c>
      <c r="T221" s="113" t="str">
        <f t="shared" ca="1" si="221"/>
        <v/>
      </c>
      <c r="U221" s="113" t="str">
        <f t="shared" si="222"/>
        <v/>
      </c>
      <c r="V221" s="113" t="str">
        <f t="shared" si="229"/>
        <v>FY20</v>
      </c>
      <c r="W221" s="113" t="str">
        <f t="shared" ca="1" si="230"/>
        <v/>
      </c>
      <c r="X221" s="50"/>
      <c r="Y221" s="85">
        <f t="shared" si="231"/>
        <v>90</v>
      </c>
      <c r="Z221" s="227">
        <v>90000000</v>
      </c>
      <c r="AA221" s="167">
        <f t="shared" si="232"/>
        <v>101791079.34857933</v>
      </c>
      <c r="AC221" s="145">
        <v>67923200</v>
      </c>
      <c r="AD221" s="221">
        <f t="shared" si="233"/>
        <v>101.79107934857933</v>
      </c>
      <c r="AR221" s="50"/>
      <c r="AS221" s="114" t="s">
        <v>169</v>
      </c>
      <c r="AT221" s="159">
        <v>1.2</v>
      </c>
      <c r="AU221" s="114" t="s">
        <v>149</v>
      </c>
      <c r="AV221" s="152" cm="1">
        <f t="array" ref="AV221">LOOKUP(2,1/($B$6:$B$7&lt;=AT217)/($C$6:$C$7&gt;=AT217),$D$6:$D$7)</f>
        <v>0.10299999999999999</v>
      </c>
      <c r="AW221" s="152"/>
      <c r="AY221" s="153" t="s">
        <v>166</v>
      </c>
      <c r="AZ221" s="158">
        <f>AV219</f>
        <v>44742</v>
      </c>
      <c r="BA221" s="154"/>
      <c r="BB221" s="155">
        <f>AT224/1000000</f>
        <v>3</v>
      </c>
      <c r="BC221" s="156">
        <f>MAX(AU224:AV224)/1000000</f>
        <v>8.5935503744043569</v>
      </c>
      <c r="BF221" s="50"/>
      <c r="BY221" s="50"/>
      <c r="CO221" s="50"/>
      <c r="DE221" s="50"/>
      <c r="DF221" s="111" t="s">
        <v>174</v>
      </c>
      <c r="DG221" s="111" t="s">
        <v>175</v>
      </c>
      <c r="DH221" s="111" t="s">
        <v>176</v>
      </c>
      <c r="DI221" s="111" t="s">
        <v>177</v>
      </c>
      <c r="DJ221" s="111" t="s">
        <v>178</v>
      </c>
      <c r="DK221" s="111" t="s">
        <v>179</v>
      </c>
      <c r="DL221" s="111" t="s">
        <v>180</v>
      </c>
      <c r="DN221" s="153" t="s">
        <v>76</v>
      </c>
      <c r="DO221" s="155">
        <f ca="1">DI218/1000000</f>
        <v>30</v>
      </c>
      <c r="DP221" s="154"/>
      <c r="DQ221" s="154"/>
      <c r="DR221" s="155">
        <f t="shared" si="234"/>
        <v>20</v>
      </c>
      <c r="DS221" s="154"/>
      <c r="DT221" s="154"/>
      <c r="DU221" s="156">
        <f t="shared" si="235"/>
        <v>20.882495193883468</v>
      </c>
    </row>
    <row r="222" spans="10:125" x14ac:dyDescent="0.25">
      <c r="J222" s="86" t="str" cm="1">
        <f t="array" ref="J222">LOOKUP(2,1/($G$17:$G$33&lt;=$L222)/($H$17:$H$33&gt;=$L222),$F$17:$F$33)</f>
        <v>2H20</v>
      </c>
      <c r="K222" s="86" t="str" cm="1">
        <f t="array" ref="K222">LOOKUP(2,1/($G$6:$G$14&lt;=$L222)/($H$6:$H$14&gt;=$L222),$F$6:$F$14)</f>
        <v>FY20</v>
      </c>
      <c r="L222" s="118">
        <v>43949</v>
      </c>
      <c r="M222" s="49">
        <v>8829529.4985250756</v>
      </c>
      <c r="N222" s="49">
        <v>11686765.244247789</v>
      </c>
      <c r="O222" s="50">
        <v>2000000</v>
      </c>
      <c r="P222" s="119" cm="1">
        <f t="array" ref="P222">LOOKUP(2,1/($B$10:$B$14&lt;=$L222)/($C$10:$C$14&gt;=$L222),$D$10:$D$14)</f>
        <v>1.1000000000000001</v>
      </c>
      <c r="Q222" s="120" cm="1">
        <f t="array" ref="Q222">LOOKUP(2,1/($B$17:$B$21&lt;=$L222)/($C$17:$C$21&gt;=$L222),$D$17:$D$21)</f>
        <v>134.49039999999999</v>
      </c>
      <c r="R222" s="113" t="str">
        <f t="shared" si="219"/>
        <v/>
      </c>
      <c r="S222" s="113" t="str">
        <f t="shared" si="220"/>
        <v>2H20</v>
      </c>
      <c r="T222" s="113" t="str">
        <f t="shared" ca="1" si="221"/>
        <v/>
      </c>
      <c r="U222" s="113" t="str">
        <f t="shared" si="222"/>
        <v/>
      </c>
      <c r="V222" s="113" t="str">
        <f t="shared" si="229"/>
        <v>FY20</v>
      </c>
      <c r="W222" s="113" t="str">
        <f t="shared" ca="1" si="230"/>
        <v/>
      </c>
      <c r="X222" s="50"/>
      <c r="Y222" s="85">
        <f t="shared" si="231"/>
        <v>120</v>
      </c>
      <c r="Z222" s="227">
        <v>120000000</v>
      </c>
      <c r="AA222" s="167" t="e">
        <f t="shared" si="232"/>
        <v>#DIV/0!</v>
      </c>
      <c r="AC222" s="145">
        <v>88362200</v>
      </c>
      <c r="AD222" s="203">
        <f>AC222/1000000*1.3</f>
        <v>114.87086000000001</v>
      </c>
      <c r="AR222" s="50"/>
      <c r="AS222" s="114" t="s">
        <v>172</v>
      </c>
      <c r="AT222" s="119" cm="1">
        <f t="array" ref="AT222">LOOKUP(2,1/($B$17:$B$21&lt;=AT217)/($C$17:$C$21&gt;=AT217),$D$17:$D$21)</f>
        <v>134.49039999999999</v>
      </c>
      <c r="AU222" s="114" t="s">
        <v>0</v>
      </c>
      <c r="AV222" s="135">
        <v>1</v>
      </c>
      <c r="AY222" s="153" t="s">
        <v>91</v>
      </c>
      <c r="AZ222" s="155">
        <f>AT220/1000000</f>
        <v>40</v>
      </c>
      <c r="BA222" s="154"/>
      <c r="BB222" s="155">
        <f t="shared" ref="BB222:BB230" si="236">AT225/1000000</f>
        <v>8</v>
      </c>
      <c r="BC222" s="156" t="e">
        <f t="shared" ref="BC222:BC230" si="237">MAX(AU225:AV225)/1000000</f>
        <v>#DIV/0!</v>
      </c>
      <c r="BF222" s="50"/>
      <c r="BY222" s="50"/>
      <c r="CO222" s="50"/>
      <c r="DE222" s="50"/>
      <c r="DF222" s="146">
        <v>1</v>
      </c>
      <c r="DG222" s="166">
        <v>4000000</v>
      </c>
      <c r="DH222" s="168" t="e">
        <f t="shared" ref="DH222:DH228" si="238">AVERAGEIFS($M:$M,$L:$L,"&gt;="&amp;DG$215,$L:$L,"&lt;="&amp;DI$215,$O:$O,"="&amp;DG222)</f>
        <v>#DIV/0!</v>
      </c>
      <c r="DI222" s="168"/>
      <c r="DJ222" s="168"/>
      <c r="DK222" s="168"/>
      <c r="DL222" s="167">
        <f t="shared" ref="DL222:DL228" si="239">COUNTIFS($L:$L,"&gt;="&amp;DG$215,$L:$L,"&lt;="&amp;DI$215,$O:$O,"="&amp;DG222)</f>
        <v>0</v>
      </c>
      <c r="DN222" s="153" t="s">
        <v>169</v>
      </c>
      <c r="DO222" s="165">
        <f>DG219</f>
        <v>1.1000000000000001</v>
      </c>
      <c r="DP222" s="154"/>
      <c r="DQ222" s="154"/>
      <c r="DR222" s="155">
        <f t="shared" si="234"/>
        <v>40</v>
      </c>
      <c r="DS222" s="154"/>
      <c r="DT222" s="154"/>
      <c r="DU222" s="156" t="e">
        <f t="shared" si="235"/>
        <v>#DIV/0!</v>
      </c>
    </row>
    <row r="223" spans="10:125" x14ac:dyDescent="0.25">
      <c r="J223" s="86" t="str" cm="1">
        <f t="array" ref="J223">LOOKUP(2,1/($G$17:$G$33&lt;=$L223)/($H$17:$H$33&gt;=$L223),$F$17:$F$33)</f>
        <v>2H20</v>
      </c>
      <c r="K223" s="86" t="str" cm="1">
        <f t="array" ref="K223">LOOKUP(2,1/($G$6:$G$14&lt;=$L223)/($H$6:$H$14&gt;=$L223),$F$6:$F$14)</f>
        <v>FY20</v>
      </c>
      <c r="L223" s="118">
        <v>43942</v>
      </c>
      <c r="M223" s="49">
        <v>8448518.9282202572</v>
      </c>
      <c r="N223" s="49">
        <v>11182459.653392332</v>
      </c>
      <c r="O223" s="50">
        <v>2000000</v>
      </c>
      <c r="P223" s="119" cm="1">
        <f t="array" ref="P223">LOOKUP(2,1/($B$10:$B$14&lt;=$L223)/($C$10:$C$14&gt;=$L223),$D$10:$D$14)</f>
        <v>1.1000000000000001</v>
      </c>
      <c r="Q223" s="120" cm="1">
        <f t="array" ref="Q223">LOOKUP(2,1/($B$17:$B$21&lt;=$L223)/($C$17:$C$21&gt;=$L223),$D$17:$D$21)</f>
        <v>134.49039999999999</v>
      </c>
      <c r="R223" s="113" t="str">
        <f t="shared" si="219"/>
        <v/>
      </c>
      <c r="S223" s="113" t="str">
        <f t="shared" si="220"/>
        <v>2H20</v>
      </c>
      <c r="T223" s="113" t="str">
        <f t="shared" ca="1" si="221"/>
        <v/>
      </c>
      <c r="U223" s="113" t="str">
        <f t="shared" si="222"/>
        <v/>
      </c>
      <c r="V223" s="113" t="str">
        <f t="shared" si="229"/>
        <v>FY20</v>
      </c>
      <c r="W223" s="113" t="str">
        <f t="shared" ca="1" si="230"/>
        <v/>
      </c>
      <c r="X223" s="50"/>
      <c r="AR223" s="50"/>
      <c r="AS223" s="111" t="s">
        <v>174</v>
      </c>
      <c r="AT223" s="111" t="s">
        <v>175</v>
      </c>
      <c r="AU223" s="111" t="s">
        <v>176</v>
      </c>
      <c r="AV223" s="111" t="s">
        <v>177</v>
      </c>
      <c r="AW223" s="111" t="s">
        <v>180</v>
      </c>
      <c r="AY223" s="153" t="s">
        <v>76</v>
      </c>
      <c r="AZ223" s="155">
        <f>AV220/1000000</f>
        <v>40</v>
      </c>
      <c r="BA223" s="154"/>
      <c r="BB223" s="155">
        <f t="shared" si="236"/>
        <v>12</v>
      </c>
      <c r="BC223" s="156" t="e">
        <f t="shared" si="237"/>
        <v>#DIV/0!</v>
      </c>
      <c r="BF223" s="50"/>
      <c r="BY223" s="50"/>
      <c r="CO223" s="50"/>
      <c r="DE223" s="50"/>
      <c r="DF223" s="146">
        <v>2</v>
      </c>
      <c r="DG223" s="166">
        <v>8000000</v>
      </c>
      <c r="DH223" s="168" t="e">
        <f t="shared" si="238"/>
        <v>#DIV/0!</v>
      </c>
      <c r="DL223" s="167">
        <f t="shared" si="239"/>
        <v>0</v>
      </c>
      <c r="DN223" s="153" t="s">
        <v>149</v>
      </c>
      <c r="DO223" s="169">
        <f>DI219</f>
        <v>0.10299999999999999</v>
      </c>
      <c r="DP223" s="154"/>
      <c r="DQ223" s="154"/>
      <c r="DR223" s="155">
        <f t="shared" si="234"/>
        <v>60</v>
      </c>
      <c r="DS223" s="154"/>
      <c r="DT223" s="154"/>
      <c r="DU223" s="156" t="e">
        <f t="shared" si="235"/>
        <v>#DIV/0!</v>
      </c>
    </row>
    <row r="224" spans="10:125" x14ac:dyDescent="0.25">
      <c r="J224" s="86" t="str" cm="1">
        <f t="array" ref="J224">LOOKUP(2,1/($G$17:$G$33&lt;=$L224)/($H$17:$H$33&gt;=$L224),$F$17:$F$33)</f>
        <v>2H20</v>
      </c>
      <c r="K224" s="86" t="str" cm="1">
        <f t="array" ref="K224">LOOKUP(2,1/($G$6:$G$14&lt;=$L224)/($H$6:$H$14&gt;=$L224),$F$6:$F$14)</f>
        <v>FY20</v>
      </c>
      <c r="L224" s="118">
        <v>43935</v>
      </c>
      <c r="M224" s="49">
        <v>19239208.702064898</v>
      </c>
      <c r="N224" s="49">
        <v>25465016.638053097</v>
      </c>
      <c r="O224" s="50">
        <v>15000000</v>
      </c>
      <c r="P224" s="119" cm="1">
        <f t="array" ref="P224">LOOKUP(2,1/($B$10:$B$14&lt;=$L224)/($C$10:$C$14&gt;=$L224),$D$10:$D$14)</f>
        <v>1.1000000000000001</v>
      </c>
      <c r="Q224" s="120" cm="1">
        <f t="array" ref="Q224">LOOKUP(2,1/($B$17:$B$21&lt;=$L224)/($C$17:$C$21&gt;=$L224),$D$17:$D$21)</f>
        <v>134.49039999999999</v>
      </c>
      <c r="R224" s="113" t="str">
        <f t="shared" si="219"/>
        <v/>
      </c>
      <c r="S224" s="113" t="str">
        <f t="shared" si="220"/>
        <v>2H20</v>
      </c>
      <c r="T224" s="113" t="str">
        <f t="shared" ca="1" si="221"/>
        <v/>
      </c>
      <c r="U224" s="113" t="str">
        <f t="shared" si="222"/>
        <v/>
      </c>
      <c r="V224" s="113" t="str">
        <f t="shared" si="229"/>
        <v>FY20</v>
      </c>
      <c r="W224" s="113" t="str">
        <f t="shared" ca="1" si="230"/>
        <v/>
      </c>
      <c r="X224" s="50"/>
      <c r="AR224" s="50"/>
      <c r="AS224" s="146">
        <v>1</v>
      </c>
      <c r="AT224" s="166">
        <v>3000000</v>
      </c>
      <c r="AU224" s="167">
        <f t="shared" ref="AU224:AU233" si="240">AVERAGEIFS($M:$M,$L:$L,"&gt;="&amp;AT$217,$L:$L,"&lt;="&amp;AV$217,$O:$O,"="&amp;AT224)*AV$222</f>
        <v>8593550.3744043577</v>
      </c>
      <c r="AV224" s="168"/>
      <c r="AW224" s="167">
        <f t="shared" ref="AW224:AW233" si="241">COUNTIFS($L:$L,"&gt;="&amp;AT$64,$L:$L,"&lt;="&amp;AV$64,$O:$O,"="&amp;$AT224)</f>
        <v>6</v>
      </c>
      <c r="AY224" s="153" t="s">
        <v>169</v>
      </c>
      <c r="AZ224" s="165">
        <f>AT221</f>
        <v>1.2</v>
      </c>
      <c r="BA224" s="154"/>
      <c r="BB224" s="155">
        <f t="shared" si="236"/>
        <v>20</v>
      </c>
      <c r="BC224" s="156">
        <f t="shared" si="237"/>
        <v>21.177352518720216</v>
      </c>
      <c r="BF224" s="50"/>
      <c r="BY224" s="50"/>
      <c r="CO224" s="50"/>
      <c r="DE224" s="50"/>
      <c r="DF224" s="146">
        <v>3</v>
      </c>
      <c r="DG224" s="166">
        <v>20000000</v>
      </c>
      <c r="DH224" s="168">
        <f t="shared" si="238"/>
        <v>20882495.193883467</v>
      </c>
      <c r="DL224" s="167">
        <f t="shared" si="239"/>
        <v>3</v>
      </c>
      <c r="DN224" s="153" t="s">
        <v>172</v>
      </c>
      <c r="DO224" s="170">
        <f>DG220</f>
        <v>134.49039999999999</v>
      </c>
      <c r="DP224" s="154"/>
      <c r="DQ224" s="154"/>
      <c r="DR224" s="155">
        <f t="shared" si="234"/>
        <v>80</v>
      </c>
      <c r="DS224" s="154"/>
      <c r="DT224" s="154"/>
      <c r="DU224" s="156" t="e">
        <f t="shared" si="235"/>
        <v>#DIV/0!</v>
      </c>
    </row>
    <row r="225" spans="10:125" x14ac:dyDescent="0.25">
      <c r="J225" s="86" t="str" cm="1">
        <f t="array" ref="J225">LOOKUP(2,1/($G$17:$G$33&lt;=$L225)/($H$17:$H$33&gt;=$L225),$F$17:$F$33)</f>
        <v>2H20</v>
      </c>
      <c r="K225" s="86" t="str" cm="1">
        <f t="array" ref="K225">LOOKUP(2,1/($G$6:$G$14&lt;=$L225)/($H$6:$H$14&gt;=$L225),$F$6:$F$14)</f>
        <v>FY20</v>
      </c>
      <c r="L225" s="118">
        <v>43928</v>
      </c>
      <c r="M225" s="49">
        <v>16704283.923303839</v>
      </c>
      <c r="N225" s="49">
        <v>22109790.200884961</v>
      </c>
      <c r="O225" s="50">
        <v>10000000</v>
      </c>
      <c r="P225" s="119" cm="1">
        <f t="array" ref="P225">LOOKUP(2,1/($B$10:$B$14&lt;=$L225)/($C$10:$C$14&gt;=$L225),$D$10:$D$14)</f>
        <v>1.1000000000000001</v>
      </c>
      <c r="Q225" s="120" cm="1">
        <f t="array" ref="Q225">LOOKUP(2,1/($B$17:$B$21&lt;=$L225)/($C$17:$C$21&gt;=$L225),$D$17:$D$21)</f>
        <v>134.49039999999999</v>
      </c>
      <c r="R225" s="113" t="str">
        <f t="shared" si="219"/>
        <v/>
      </c>
      <c r="S225" s="113" t="str">
        <f t="shared" si="220"/>
        <v>2H20</v>
      </c>
      <c r="T225" s="113" t="str">
        <f t="shared" ca="1" si="221"/>
        <v/>
      </c>
      <c r="U225" s="113" t="str">
        <f t="shared" si="222"/>
        <v/>
      </c>
      <c r="V225" s="113" t="str">
        <f t="shared" si="229"/>
        <v>FY20</v>
      </c>
      <c r="W225" s="113" t="str">
        <f t="shared" ca="1" si="230"/>
        <v/>
      </c>
      <c r="X225" s="50"/>
      <c r="AR225" s="50"/>
      <c r="AS225" s="146">
        <v>2</v>
      </c>
      <c r="AT225" s="166">
        <v>8000000</v>
      </c>
      <c r="AU225" s="167" t="e">
        <f t="shared" si="240"/>
        <v>#DIV/0!</v>
      </c>
      <c r="AW225" s="167">
        <f t="shared" si="241"/>
        <v>0</v>
      </c>
      <c r="AY225" s="153" t="s">
        <v>149</v>
      </c>
      <c r="AZ225" s="169">
        <f>AV221</f>
        <v>0.10299999999999999</v>
      </c>
      <c r="BA225" s="154"/>
      <c r="BB225" s="155">
        <f t="shared" si="236"/>
        <v>40</v>
      </c>
      <c r="BC225" s="156" t="e">
        <f t="shared" si="237"/>
        <v>#DIV/0!</v>
      </c>
      <c r="BF225" s="50"/>
      <c r="BY225" s="50"/>
      <c r="CO225" s="50"/>
      <c r="DE225" s="50"/>
      <c r="DF225" s="146">
        <v>4</v>
      </c>
      <c r="DG225" s="166">
        <v>40000000</v>
      </c>
      <c r="DH225" s="168" t="e">
        <f t="shared" si="238"/>
        <v>#DIV/0!</v>
      </c>
      <c r="DL225" s="167">
        <f t="shared" si="239"/>
        <v>0</v>
      </c>
      <c r="DN225" s="172"/>
      <c r="DO225" s="2"/>
      <c r="DP225" s="154"/>
      <c r="DQ225" s="154"/>
      <c r="DR225" s="155">
        <f t="shared" si="234"/>
        <v>120</v>
      </c>
      <c r="DS225" s="154"/>
      <c r="DT225" s="154"/>
      <c r="DU225" s="156" t="e">
        <f t="shared" si="235"/>
        <v>#DIV/0!</v>
      </c>
    </row>
    <row r="226" spans="10:125" x14ac:dyDescent="0.25">
      <c r="J226" s="86" t="str" cm="1">
        <f t="array" ref="J226">LOOKUP(2,1/($G$17:$G$33&lt;=$L226)/($H$17:$H$33&gt;=$L226),$F$17:$F$33)</f>
        <v>2H20</v>
      </c>
      <c r="K226" s="86" t="str" cm="1">
        <f t="array" ref="K226">LOOKUP(2,1/($G$6:$G$14&lt;=$L226)/($H$6:$H$14&gt;=$L226),$F$6:$F$14)</f>
        <v>FY20</v>
      </c>
      <c r="L226" s="118">
        <v>43921</v>
      </c>
      <c r="M226" s="49">
        <v>10565742.994100297</v>
      </c>
      <c r="N226" s="49">
        <v>13984817.426991152</v>
      </c>
      <c r="O226" s="50">
        <v>5000000</v>
      </c>
      <c r="P226" s="119" cm="1">
        <f t="array" ref="P226">LOOKUP(2,1/($B$10:$B$14&lt;=$L226)/($C$10:$C$14&gt;=$L226),$D$10:$D$14)</f>
        <v>1.1000000000000001</v>
      </c>
      <c r="Q226" s="120" cm="1">
        <f t="array" ref="Q226">LOOKUP(2,1/($B$17:$B$21&lt;=$L226)/($C$17:$C$21&gt;=$L226),$D$17:$D$21)</f>
        <v>134.49039999999999</v>
      </c>
      <c r="R226" s="113" t="str">
        <f t="shared" si="219"/>
        <v/>
      </c>
      <c r="S226" s="113" t="str">
        <f t="shared" si="220"/>
        <v>2H20</v>
      </c>
      <c r="T226" s="113" t="str">
        <f t="shared" ca="1" si="221"/>
        <v/>
      </c>
      <c r="U226" s="113" t="str">
        <f t="shared" si="222"/>
        <v/>
      </c>
      <c r="V226" s="113" t="str">
        <f t="shared" si="229"/>
        <v>FY20</v>
      </c>
      <c r="W226" s="113" t="str">
        <f t="shared" ca="1" si="230"/>
        <v/>
      </c>
      <c r="X226" s="50"/>
      <c r="AR226" s="50"/>
      <c r="AS226" s="146">
        <v>3</v>
      </c>
      <c r="AT226" s="166">
        <v>12000000</v>
      </c>
      <c r="AU226" s="167" t="e">
        <f t="shared" si="240"/>
        <v>#DIV/0!</v>
      </c>
      <c r="AW226" s="167">
        <f t="shared" si="241"/>
        <v>0</v>
      </c>
      <c r="AY226" s="153" t="s">
        <v>172</v>
      </c>
      <c r="AZ226" s="170">
        <f>AT222</f>
        <v>134.49039999999999</v>
      </c>
      <c r="BA226" s="154"/>
      <c r="BB226" s="155">
        <f t="shared" si="236"/>
        <v>60</v>
      </c>
      <c r="BC226" s="156" t="e">
        <f t="shared" si="237"/>
        <v>#DIV/0!</v>
      </c>
      <c r="BF226" s="50"/>
      <c r="BY226" s="50"/>
      <c r="CO226" s="50"/>
      <c r="DE226" s="50"/>
      <c r="DF226" s="146">
        <v>5</v>
      </c>
      <c r="DG226" s="166">
        <v>60000000</v>
      </c>
      <c r="DH226" s="168" t="e">
        <f t="shared" si="238"/>
        <v>#DIV/0!</v>
      </c>
      <c r="DJ226" s="145">
        <v>94830000</v>
      </c>
      <c r="DK226" s="145">
        <v>86029000</v>
      </c>
      <c r="DL226" s="167">
        <f t="shared" si="239"/>
        <v>0</v>
      </c>
      <c r="DN226" s="172" t="s">
        <v>147</v>
      </c>
      <c r="DO226" s="174">
        <f>DG215</f>
        <v>44562</v>
      </c>
      <c r="DP226" s="154"/>
      <c r="DQ226" s="154"/>
      <c r="DR226" s="155">
        <f t="shared" si="234"/>
        <v>160</v>
      </c>
      <c r="DS226" s="154"/>
      <c r="DT226" s="154"/>
      <c r="DU226" s="156">
        <f t="shared" si="235"/>
        <v>291.38749999999999</v>
      </c>
    </row>
    <row r="227" spans="10:125" x14ac:dyDescent="0.25">
      <c r="J227" s="86" t="str" cm="1">
        <f t="array" ref="J227">LOOKUP(2,1/($G$17:$G$33&lt;=$L227)/($H$17:$H$33&gt;=$L227),$F$17:$F$33)</f>
        <v>2H20</v>
      </c>
      <c r="K227" s="86" t="str" cm="1">
        <f t="array" ref="K227">LOOKUP(2,1/($G$6:$G$14&lt;=$L227)/($H$6:$H$14&gt;=$L227),$F$6:$F$14)</f>
        <v>FY20</v>
      </c>
      <c r="L227" s="118">
        <v>43914</v>
      </c>
      <c r="M227" s="49">
        <v>7215313.2989183897</v>
      </c>
      <c r="N227" s="49">
        <v>9550188.6824483797</v>
      </c>
      <c r="O227" s="50">
        <v>2000000</v>
      </c>
      <c r="P227" s="119" cm="1">
        <f t="array" ref="P227">LOOKUP(2,1/($B$10:$B$14&lt;=$L227)/($C$10:$C$14&gt;=$L227),$D$10:$D$14)</f>
        <v>1.1000000000000001</v>
      </c>
      <c r="Q227" s="120" cm="1">
        <f t="array" ref="Q227">LOOKUP(2,1/($B$17:$B$21&lt;=$L227)/($C$17:$C$21&gt;=$L227),$D$17:$D$21)</f>
        <v>134.49039999999999</v>
      </c>
      <c r="R227" s="113" t="str">
        <f t="shared" si="219"/>
        <v/>
      </c>
      <c r="S227" s="113" t="str">
        <f t="shared" si="220"/>
        <v>2H20</v>
      </c>
      <c r="T227" s="113" t="str">
        <f t="shared" ca="1" si="221"/>
        <v/>
      </c>
      <c r="U227" s="113" t="str">
        <f t="shared" si="222"/>
        <v/>
      </c>
      <c r="V227" s="113" t="str">
        <f t="shared" si="229"/>
        <v>FY20</v>
      </c>
      <c r="W227" s="113" t="str">
        <f t="shared" ca="1" si="230"/>
        <v/>
      </c>
      <c r="X227" s="50"/>
      <c r="AR227" s="50"/>
      <c r="AS227" s="146">
        <v>4</v>
      </c>
      <c r="AT227" s="166">
        <v>20000000</v>
      </c>
      <c r="AU227" s="167">
        <f t="shared" si="240"/>
        <v>21177352.518720217</v>
      </c>
      <c r="AW227" s="167">
        <f t="shared" si="241"/>
        <v>5</v>
      </c>
      <c r="AY227" s="172"/>
      <c r="AZ227" s="2"/>
      <c r="BA227" s="154"/>
      <c r="BB227" s="155">
        <f t="shared" si="236"/>
        <v>80</v>
      </c>
      <c r="BC227" s="156" t="e">
        <f t="shared" si="237"/>
        <v>#DIV/0!</v>
      </c>
      <c r="BF227" s="50"/>
      <c r="BY227" s="50"/>
      <c r="CO227" s="50"/>
      <c r="DE227" s="50"/>
      <c r="DF227" s="146">
        <v>6</v>
      </c>
      <c r="DG227" s="166">
        <v>80000000</v>
      </c>
      <c r="DH227" s="168" t="e">
        <f t="shared" si="238"/>
        <v>#DIV/0!</v>
      </c>
      <c r="DJ227" s="145">
        <v>122485999.99999999</v>
      </c>
      <c r="DK227" s="145">
        <v>126083000</v>
      </c>
      <c r="DL227" s="167">
        <f t="shared" si="239"/>
        <v>0</v>
      </c>
      <c r="DN227" s="172" t="s">
        <v>148</v>
      </c>
      <c r="DO227" s="174">
        <f>DI215</f>
        <v>44742</v>
      </c>
      <c r="DP227" s="154"/>
      <c r="DQ227" s="154"/>
      <c r="DR227" s="155">
        <f t="shared" si="234"/>
        <v>200</v>
      </c>
      <c r="DS227" s="154"/>
      <c r="DT227" s="154"/>
      <c r="DU227" s="156">
        <f t="shared" si="235"/>
        <v>360.52749999999997</v>
      </c>
    </row>
    <row r="228" spans="10:125" x14ac:dyDescent="0.25">
      <c r="J228" s="86" t="str" cm="1">
        <f t="array" ref="J228">LOOKUP(2,1/($G$17:$G$33&lt;=$L228)/($H$17:$H$33&gt;=$L228),$F$17:$F$33)</f>
        <v>2H20</v>
      </c>
      <c r="K228" s="86" t="str" cm="1">
        <f t="array" ref="K228">LOOKUP(2,1/($G$6:$G$14&lt;=$L228)/($H$6:$H$14&gt;=$L228),$F$6:$F$14)</f>
        <v>FY20</v>
      </c>
      <c r="L228" s="118">
        <v>43907</v>
      </c>
      <c r="M228" s="49">
        <v>14721239.306784663</v>
      </c>
      <c r="N228" s="49">
        <v>19485032.346460178</v>
      </c>
      <c r="O228" s="50">
        <v>15000000</v>
      </c>
      <c r="P228" s="119" cm="1">
        <f t="array" ref="P228">LOOKUP(2,1/($B$10:$B$14&lt;=$L228)/($C$10:$C$14&gt;=$L228),$D$10:$D$14)</f>
        <v>1.1000000000000001</v>
      </c>
      <c r="Q228" s="120" cm="1">
        <f t="array" ref="Q228">LOOKUP(2,1/($B$17:$B$21&lt;=$L228)/($C$17:$C$21&gt;=$L228),$D$17:$D$21)</f>
        <v>134.49039999999999</v>
      </c>
      <c r="R228" s="113" t="str">
        <f t="shared" si="219"/>
        <v/>
      </c>
      <c r="S228" s="113" t="str">
        <f t="shared" si="220"/>
        <v>2H20</v>
      </c>
      <c r="T228" s="113" t="str">
        <f t="shared" ca="1" si="221"/>
        <v/>
      </c>
      <c r="U228" s="113" t="str">
        <f t="shared" si="222"/>
        <v/>
      </c>
      <c r="V228" s="113" t="str">
        <f t="shared" si="229"/>
        <v>FY20</v>
      </c>
      <c r="W228" s="113" t="str">
        <f t="shared" ca="1" si="230"/>
        <v/>
      </c>
      <c r="X228" s="50"/>
      <c r="AR228" s="50"/>
      <c r="AS228" s="146">
        <v>5</v>
      </c>
      <c r="AT228" s="166">
        <v>40000000</v>
      </c>
      <c r="AU228" s="167" t="e">
        <f t="shared" si="240"/>
        <v>#DIV/0!</v>
      </c>
      <c r="AW228" s="167">
        <f t="shared" si="241"/>
        <v>0</v>
      </c>
      <c r="AY228" s="172" t="s">
        <v>147</v>
      </c>
      <c r="AZ228" s="174">
        <f>AT217</f>
        <v>44652</v>
      </c>
      <c r="BA228" s="154"/>
      <c r="BB228" s="155">
        <f t="shared" si="236"/>
        <v>100</v>
      </c>
      <c r="BC228" s="156" t="e">
        <f t="shared" si="237"/>
        <v>#DIV/0!</v>
      </c>
      <c r="BF228" s="50"/>
      <c r="BY228" s="50"/>
      <c r="CO228" s="50"/>
      <c r="DE228" s="50"/>
      <c r="DF228" s="146">
        <v>7</v>
      </c>
      <c r="DG228" s="166">
        <v>120000000</v>
      </c>
      <c r="DH228" s="168" t="e">
        <f t="shared" si="238"/>
        <v>#DIV/0!</v>
      </c>
      <c r="DJ228" s="145">
        <v>177798000</v>
      </c>
      <c r="DK228" s="145">
        <v>234751000</v>
      </c>
      <c r="DL228" s="167">
        <f t="shared" si="239"/>
        <v>0</v>
      </c>
      <c r="DN228" s="172" t="s">
        <v>173</v>
      </c>
      <c r="DO228" s="177">
        <f>DI220</f>
        <v>1</v>
      </c>
      <c r="DP228" s="154"/>
      <c r="DQ228" s="154"/>
      <c r="DR228" s="155">
        <f t="shared" si="234"/>
        <v>250</v>
      </c>
      <c r="DS228" s="154"/>
      <c r="DT228" s="154"/>
      <c r="DU228" s="156">
        <f t="shared" si="235"/>
        <v>446.95249999999999</v>
      </c>
    </row>
    <row r="229" spans="10:125" x14ac:dyDescent="0.25">
      <c r="J229" s="86" t="str" cm="1">
        <f t="array" ref="J229">LOOKUP(2,1/($G$17:$G$33&lt;=$L229)/($H$17:$H$33&gt;=$L229),$F$17:$F$33)</f>
        <v>2H20</v>
      </c>
      <c r="K229" s="86" t="str" cm="1">
        <f t="array" ref="K229">LOOKUP(2,1/($G$6:$G$14&lt;=$L229)/($H$6:$H$14&gt;=$L229),$F$6:$F$14)</f>
        <v>FY20</v>
      </c>
      <c r="L229" s="118">
        <v>43900</v>
      </c>
      <c r="M229" s="49">
        <v>12892954.891838742</v>
      </c>
      <c r="N229" s="49">
        <v>17065115.094837759</v>
      </c>
      <c r="O229" s="50">
        <v>10000000</v>
      </c>
      <c r="P229" s="119" cm="1">
        <f t="array" ref="P229">LOOKUP(2,1/($B$10:$B$14&lt;=$L229)/($C$10:$C$14&gt;=$L229),$D$10:$D$14)</f>
        <v>1.1000000000000001</v>
      </c>
      <c r="Q229" s="120" cm="1">
        <f t="array" ref="Q229">LOOKUP(2,1/($B$17:$B$21&lt;=$L229)/($C$17:$C$21&gt;=$L229),$D$17:$D$21)</f>
        <v>134.49039999999999</v>
      </c>
      <c r="R229" s="113" t="str">
        <f t="shared" si="219"/>
        <v/>
      </c>
      <c r="S229" s="113" t="str">
        <f t="shared" si="220"/>
        <v>2H20</v>
      </c>
      <c r="T229" s="113" t="str">
        <f t="shared" ca="1" si="221"/>
        <v/>
      </c>
      <c r="U229" s="113" t="str">
        <f t="shared" si="222"/>
        <v/>
      </c>
      <c r="V229" s="113" t="str">
        <f t="shared" si="229"/>
        <v>FY20</v>
      </c>
      <c r="W229" s="113" t="str">
        <f t="shared" ca="1" si="230"/>
        <v/>
      </c>
      <c r="X229" s="50"/>
      <c r="AR229" s="50"/>
      <c r="AS229" s="146">
        <v>6</v>
      </c>
      <c r="AT229" s="166">
        <v>60000000</v>
      </c>
      <c r="AU229" s="167" t="e">
        <f t="shared" si="240"/>
        <v>#DIV/0!</v>
      </c>
      <c r="AW229" s="167">
        <f t="shared" si="241"/>
        <v>0</v>
      </c>
      <c r="AY229" s="172" t="s">
        <v>148</v>
      </c>
      <c r="AZ229" s="174">
        <f>AV217</f>
        <v>44868</v>
      </c>
      <c r="BA229" s="154"/>
      <c r="BB229" s="155">
        <f t="shared" si="236"/>
        <v>150</v>
      </c>
      <c r="BC229" s="156" t="e">
        <f t="shared" si="237"/>
        <v>#DIV/0!</v>
      </c>
      <c r="BF229" s="50"/>
      <c r="BY229" s="50"/>
      <c r="CO229" s="50"/>
      <c r="DE229" s="50"/>
      <c r="DF229" s="146">
        <v>8</v>
      </c>
      <c r="DG229" s="145">
        <v>160000000</v>
      </c>
      <c r="DH229" s="145"/>
      <c r="DI229" s="173">
        <f>IF($DG229&gt;=100000000,$DJ$217*DJ$220*DJ229+$DK$217*DK$220*DK229,DJ$220*DJ229+DK$220*DK229)</f>
        <v>291387500</v>
      </c>
      <c r="DJ229" s="145">
        <v>233110000</v>
      </c>
      <c r="DK229" s="145">
        <v>381499000.00000006</v>
      </c>
      <c r="DL229" s="146"/>
      <c r="DN229" s="176"/>
      <c r="DO229" s="32"/>
      <c r="DP229" s="32"/>
      <c r="DQ229" s="32"/>
      <c r="DR229" s="32"/>
      <c r="DS229" s="32"/>
      <c r="DT229" s="32"/>
      <c r="DU229" s="183"/>
    </row>
    <row r="230" spans="10:125" x14ac:dyDescent="0.25">
      <c r="J230" s="86" t="str" cm="1">
        <f t="array" ref="J230">LOOKUP(2,1/($G$17:$G$33&lt;=$L230)/($H$17:$H$33&gt;=$L230),$F$17:$F$33)</f>
        <v>2H20</v>
      </c>
      <c r="K230" s="86" t="str" cm="1">
        <f t="array" ref="K230">LOOKUP(2,1/($G$6:$G$14&lt;=$L230)/($H$6:$H$14&gt;=$L230),$F$6:$F$14)</f>
        <v>FY20</v>
      </c>
      <c r="L230" s="118">
        <v>43893</v>
      </c>
      <c r="M230" s="49">
        <v>9793786.2586037386</v>
      </c>
      <c r="N230" s="49">
        <v>12963055.491887907</v>
      </c>
      <c r="O230" s="50">
        <v>5000000</v>
      </c>
      <c r="P230" s="119" cm="1">
        <f t="array" ref="P230">LOOKUP(2,1/($B$10:$B$14&lt;=$L230)/($C$10:$C$14&gt;=$L230),$D$10:$D$14)</f>
        <v>1.1000000000000001</v>
      </c>
      <c r="Q230" s="120" cm="1">
        <f t="array" ref="Q230">LOOKUP(2,1/($B$17:$B$21&lt;=$L230)/($C$17:$C$21&gt;=$L230),$D$17:$D$21)</f>
        <v>134.49039999999999</v>
      </c>
      <c r="R230" s="113" t="str">
        <f t="shared" si="219"/>
        <v/>
      </c>
      <c r="S230" s="113" t="str">
        <f t="shared" si="220"/>
        <v>2H20</v>
      </c>
      <c r="T230" s="113" t="str">
        <f t="shared" ca="1" si="221"/>
        <v/>
      </c>
      <c r="U230" s="113" t="str">
        <f t="shared" si="222"/>
        <v/>
      </c>
      <c r="V230" s="113" t="str">
        <f t="shared" si="229"/>
        <v>FY20</v>
      </c>
      <c r="W230" s="113" t="str">
        <f t="shared" ca="1" si="230"/>
        <v/>
      </c>
      <c r="X230" s="50"/>
      <c r="AR230" s="50"/>
      <c r="AS230" s="146">
        <v>7</v>
      </c>
      <c r="AT230" s="166">
        <v>80000000</v>
      </c>
      <c r="AU230" s="167" t="e">
        <f t="shared" si="240"/>
        <v>#DIV/0!</v>
      </c>
      <c r="AW230" s="167">
        <f t="shared" si="241"/>
        <v>0</v>
      </c>
      <c r="AY230" s="176"/>
      <c r="AZ230" s="85"/>
      <c r="BA230" s="154"/>
      <c r="BB230" s="155">
        <f t="shared" si="236"/>
        <v>200</v>
      </c>
      <c r="BC230" s="156" t="e">
        <f t="shared" si="237"/>
        <v>#DIV/0!</v>
      </c>
      <c r="BF230" s="50"/>
      <c r="BY230" s="50"/>
      <c r="CO230" s="50"/>
      <c r="DE230" s="50"/>
      <c r="DF230" s="146">
        <v>9</v>
      </c>
      <c r="DG230" s="145">
        <v>200000000</v>
      </c>
      <c r="DH230" s="145"/>
      <c r="DI230" s="173">
        <f>IF($DG230&gt;=100000000,$DJ$217*DJ$220*DJ230+$DK$217*DK$220*DK230,DJ$220*DJ230+DK$220*DK230)</f>
        <v>360527500</v>
      </c>
      <c r="DJ230" s="145">
        <v>288422000</v>
      </c>
      <c r="DK230" s="145">
        <v>566327000</v>
      </c>
      <c r="DL230" s="146"/>
      <c r="DN230" s="186"/>
      <c r="DO230" s="2"/>
      <c r="DP230" s="2"/>
      <c r="DQ230" s="2"/>
      <c r="DR230" s="2"/>
      <c r="DS230" s="2"/>
      <c r="DT230" s="2"/>
      <c r="DU230" s="187"/>
    </row>
    <row r="231" spans="10:125" x14ac:dyDescent="0.25">
      <c r="J231" s="86" t="str" cm="1">
        <f t="array" ref="J231">LOOKUP(2,1/($G$17:$G$33&lt;=$L231)/($H$17:$H$33&gt;=$L231),$F$17:$F$33)</f>
        <v>2H20</v>
      </c>
      <c r="K231" s="86" t="str" cm="1">
        <f t="array" ref="K231">LOOKUP(2,1/($G$6:$G$14&lt;=$L231)/($H$6:$H$14&gt;=$L231),$F$6:$F$14)</f>
        <v>FY20</v>
      </c>
      <c r="L231" s="118">
        <v>43886</v>
      </c>
      <c r="M231" s="49">
        <v>7884330.2605703054</v>
      </c>
      <c r="N231" s="49">
        <v>10435699.532890856</v>
      </c>
      <c r="O231" s="50">
        <v>2000000</v>
      </c>
      <c r="P231" s="119" cm="1">
        <f t="array" ref="P231">LOOKUP(2,1/($B$10:$B$14&lt;=$L231)/($C$10:$C$14&gt;=$L231),$D$10:$D$14)</f>
        <v>1.1000000000000001</v>
      </c>
      <c r="Q231" s="120" cm="1">
        <f t="array" ref="Q231">LOOKUP(2,1/($B$17:$B$21&lt;=$L231)/($C$17:$C$21&gt;=$L231),$D$17:$D$21)</f>
        <v>134.49039999999999</v>
      </c>
      <c r="R231" s="113" t="str">
        <f t="shared" si="219"/>
        <v/>
      </c>
      <c r="S231" s="113" t="str">
        <f t="shared" si="220"/>
        <v>2H20</v>
      </c>
      <c r="T231" s="113" t="str">
        <f t="shared" ca="1" si="221"/>
        <v/>
      </c>
      <c r="U231" s="113" t="str">
        <f t="shared" si="222"/>
        <v/>
      </c>
      <c r="V231" s="113" t="str">
        <f t="shared" si="229"/>
        <v>FY20</v>
      </c>
      <c r="W231" s="113" t="str">
        <f t="shared" ca="1" si="230"/>
        <v/>
      </c>
      <c r="X231" s="50"/>
      <c r="AR231" s="50"/>
      <c r="AS231" s="146">
        <v>8</v>
      </c>
      <c r="AT231" s="166">
        <v>100000000</v>
      </c>
      <c r="AU231" s="167" t="e">
        <f t="shared" si="240"/>
        <v>#DIV/0!</v>
      </c>
      <c r="AW231" s="167">
        <f t="shared" si="241"/>
        <v>0</v>
      </c>
      <c r="AY231" s="176"/>
      <c r="AZ231" s="32"/>
      <c r="BA231" s="32"/>
      <c r="BB231" s="32"/>
      <c r="BC231" s="183"/>
      <c r="BF231" s="50"/>
      <c r="BY231" s="50"/>
      <c r="CO231" s="50"/>
      <c r="DE231" s="50"/>
      <c r="DF231" s="146">
        <v>10</v>
      </c>
      <c r="DG231" s="145">
        <v>250000000</v>
      </c>
      <c r="DH231" s="145"/>
      <c r="DI231" s="173">
        <f>IF($DG231&gt;=100000000,$DJ$217*DJ$220*DJ231+$DK$217*DK$220*DK231,DJ$220*DJ231+DK$220*DK231)</f>
        <v>446952500</v>
      </c>
      <c r="DJ231" s="145">
        <v>357562000</v>
      </c>
      <c r="DK231" s="145">
        <v>850911999.99999988</v>
      </c>
      <c r="DL231" s="146"/>
      <c r="DN231" s="189"/>
      <c r="DO231" s="190"/>
      <c r="DP231" s="190"/>
      <c r="DQ231" s="190"/>
      <c r="DR231" s="190"/>
      <c r="DS231" s="190"/>
      <c r="DT231" s="190"/>
      <c r="DU231" s="191"/>
    </row>
    <row r="232" spans="10:125" x14ac:dyDescent="0.25">
      <c r="J232" s="86" t="str" cm="1">
        <f t="array" ref="J232">LOOKUP(2,1/($G$17:$G$33&lt;=$L232)/($H$17:$H$33&gt;=$L232),$F$17:$F$33)</f>
        <v>2H20</v>
      </c>
      <c r="K232" s="86" t="str" cm="1">
        <f t="array" ref="K232">LOOKUP(2,1/($G$6:$G$14&lt;=$L232)/($H$6:$H$14&gt;=$L232),$F$6:$F$14)</f>
        <v>FY20</v>
      </c>
      <c r="L232" s="118">
        <v>43879</v>
      </c>
      <c r="M232" s="49">
        <v>10477271.509341201</v>
      </c>
      <c r="N232" s="49">
        <v>13867716.569764012</v>
      </c>
      <c r="O232" s="50">
        <v>5000000</v>
      </c>
      <c r="P232" s="119" cm="1">
        <f t="array" ref="P232">LOOKUP(2,1/($B$10:$B$14&lt;=$L232)/($C$10:$C$14&gt;=$L232),$D$10:$D$14)</f>
        <v>1.1000000000000001</v>
      </c>
      <c r="Q232" s="120" cm="1">
        <f t="array" ref="Q232">LOOKUP(2,1/($B$17:$B$21&lt;=$L232)/($C$17:$C$21&gt;=$L232),$D$17:$D$21)</f>
        <v>134.49039999999999</v>
      </c>
      <c r="R232" s="113" t="str">
        <f t="shared" si="219"/>
        <v/>
      </c>
      <c r="S232" s="113" t="str">
        <f t="shared" si="220"/>
        <v>2H20</v>
      </c>
      <c r="T232" s="113" t="str">
        <f t="shared" ca="1" si="221"/>
        <v/>
      </c>
      <c r="U232" s="113" t="str">
        <f t="shared" si="222"/>
        <v/>
      </c>
      <c r="V232" s="113" t="str">
        <f t="shared" si="229"/>
        <v>FY20</v>
      </c>
      <c r="W232" s="113" t="str">
        <f t="shared" ca="1" si="230"/>
        <v/>
      </c>
      <c r="X232" s="50"/>
      <c r="AR232" s="50"/>
      <c r="AS232" s="146">
        <v>9</v>
      </c>
      <c r="AT232" s="145">
        <v>150000000</v>
      </c>
      <c r="AU232" s="167" t="e">
        <f t="shared" si="240"/>
        <v>#DIV/0!</v>
      </c>
      <c r="AW232" s="167">
        <f t="shared" si="241"/>
        <v>0</v>
      </c>
      <c r="AY232" s="186"/>
      <c r="AZ232" s="2"/>
      <c r="BA232" s="2"/>
      <c r="BB232" s="2"/>
      <c r="BC232" s="187"/>
      <c r="BF232" s="50"/>
      <c r="BY232" s="50"/>
      <c r="CO232" s="50"/>
      <c r="DE232" s="50"/>
    </row>
    <row r="233" spans="10:125" x14ac:dyDescent="0.25">
      <c r="J233" s="86" t="str" cm="1">
        <f t="array" ref="J233">LOOKUP(2,1/($G$17:$G$33&lt;=$L233)/($H$17:$H$33&gt;=$L233),$F$17:$F$33)</f>
        <v>2H20</v>
      </c>
      <c r="K233" s="86" t="str" cm="1">
        <f t="array" ref="K233">LOOKUP(2,1/($G$6:$G$14&lt;=$L233)/($H$6:$H$14&gt;=$L233),$F$6:$F$14)</f>
        <v>FY20</v>
      </c>
      <c r="L233" s="118">
        <v>43872</v>
      </c>
      <c r="M233" s="49">
        <v>7998191.0029498534</v>
      </c>
      <c r="N233" s="49">
        <v>10586405.611504424</v>
      </c>
      <c r="O233" s="50">
        <v>2000000</v>
      </c>
      <c r="P233" s="119" cm="1">
        <f t="array" ref="P233">LOOKUP(2,1/($B$10:$B$14&lt;=$L233)/($C$10:$C$14&gt;=$L233),$D$10:$D$14)</f>
        <v>1.1000000000000001</v>
      </c>
      <c r="Q233" s="120" cm="1">
        <f t="array" ref="Q233">LOOKUP(2,1/($B$17:$B$21&lt;=$L233)/($C$17:$C$21&gt;=$L233),$D$17:$D$21)</f>
        <v>134.49039999999999</v>
      </c>
      <c r="R233" s="113" t="str">
        <f t="shared" si="219"/>
        <v/>
      </c>
      <c r="S233" s="113" t="str">
        <f t="shared" si="220"/>
        <v>2H20</v>
      </c>
      <c r="T233" s="113" t="str">
        <f t="shared" ca="1" si="221"/>
        <v/>
      </c>
      <c r="U233" s="113" t="str">
        <f t="shared" si="222"/>
        <v/>
      </c>
      <c r="V233" s="113" t="str">
        <f t="shared" si="229"/>
        <v>FY20</v>
      </c>
      <c r="W233" s="113" t="str">
        <f t="shared" ca="1" si="230"/>
        <v/>
      </c>
      <c r="X233" s="50"/>
      <c r="AR233" s="50"/>
      <c r="AS233" s="146">
        <v>10</v>
      </c>
      <c r="AT233" s="145">
        <v>200000000</v>
      </c>
      <c r="AU233" s="167" t="e">
        <f t="shared" si="240"/>
        <v>#DIV/0!</v>
      </c>
      <c r="AW233" s="167">
        <f t="shared" si="241"/>
        <v>0</v>
      </c>
      <c r="AY233" s="189"/>
      <c r="AZ233" s="190"/>
      <c r="BA233" s="190"/>
      <c r="BB233" s="190"/>
      <c r="BC233" s="191"/>
      <c r="BF233" s="50"/>
      <c r="BY233" s="50"/>
      <c r="CO233" s="50"/>
      <c r="DE233" s="50"/>
      <c r="DF233" s="125" t="s">
        <v>233</v>
      </c>
      <c r="DG233" s="126"/>
      <c r="DH233" s="126"/>
      <c r="DI233" s="126"/>
      <c r="DJ233" s="126"/>
      <c r="DK233" s="126"/>
      <c r="DL233" s="126"/>
      <c r="DM233" s="126"/>
      <c r="DN233" s="126"/>
      <c r="DO233" s="126"/>
      <c r="DP233" s="126"/>
      <c r="DQ233" s="126"/>
      <c r="DR233" s="126"/>
      <c r="DS233" s="126"/>
      <c r="DT233" s="126"/>
      <c r="DU233" s="126"/>
    </row>
    <row r="234" spans="10:125" x14ac:dyDescent="0.25">
      <c r="J234" s="86" t="str" cm="1">
        <f t="array" ref="J234">LOOKUP(2,1/($G$17:$G$33&lt;=$L234)/($H$17:$H$33&gt;=$L234),$F$17:$F$33)</f>
        <v>2H20</v>
      </c>
      <c r="K234" s="86" t="str" cm="1">
        <f t="array" ref="K234">LOOKUP(2,1/($G$6:$G$14&lt;=$L234)/($H$6:$H$14&gt;=$L234),$F$6:$F$14)</f>
        <v>FY20</v>
      </c>
      <c r="L234" s="118">
        <v>43865</v>
      </c>
      <c r="M234" s="49">
        <v>13666496.68141593</v>
      </c>
      <c r="N234" s="49">
        <v>18088975.007522125</v>
      </c>
      <c r="O234" s="50">
        <v>10000000</v>
      </c>
      <c r="P234" s="119" cm="1">
        <f t="array" ref="P234">LOOKUP(2,1/($B$10:$B$14&lt;=$L234)/($C$10:$C$14&gt;=$L234),$D$10:$D$14)</f>
        <v>1.1000000000000001</v>
      </c>
      <c r="Q234" s="120" cm="1">
        <f t="array" ref="Q234">LOOKUP(2,1/($B$17:$B$21&lt;=$L234)/($C$17:$C$21&gt;=$L234),$D$17:$D$21)</f>
        <v>134.49039999999999</v>
      </c>
      <c r="R234" s="113" t="str">
        <f t="shared" si="219"/>
        <v/>
      </c>
      <c r="S234" s="113" t="str">
        <f t="shared" si="220"/>
        <v>2H20</v>
      </c>
      <c r="T234" s="113" t="str">
        <f t="shared" ca="1" si="221"/>
        <v/>
      </c>
      <c r="U234" s="113" t="str">
        <f t="shared" si="222"/>
        <v/>
      </c>
      <c r="V234" s="113" t="str">
        <f t="shared" si="229"/>
        <v>FY20</v>
      </c>
      <c r="W234" s="113" t="str">
        <f t="shared" ca="1" si="230"/>
        <v/>
      </c>
      <c r="X234" s="50"/>
      <c r="AR234" s="50"/>
      <c r="BF234" s="50"/>
      <c r="BY234" s="50"/>
      <c r="CO234" s="50"/>
      <c r="DE234" s="50"/>
      <c r="DF234" s="114" t="s">
        <v>147</v>
      </c>
      <c r="DG234" s="115">
        <v>44562</v>
      </c>
      <c r="DH234" s="114" t="s">
        <v>148</v>
      </c>
      <c r="DI234" s="115">
        <v>44926</v>
      </c>
      <c r="DJ234" s="132"/>
      <c r="DK234" s="132"/>
      <c r="DL234" s="132"/>
      <c r="DM234" s="133"/>
      <c r="DN234" s="133"/>
      <c r="DO234" s="133"/>
      <c r="DP234" s="133"/>
      <c r="DQ234" s="133"/>
      <c r="DR234" s="133"/>
      <c r="DS234" s="133"/>
      <c r="DT234" s="133"/>
      <c r="DU234" s="133"/>
    </row>
    <row r="235" spans="10:125" x14ac:dyDescent="0.25">
      <c r="J235" s="86" t="str" cm="1">
        <f t="array" ref="J235">LOOKUP(2,1/($G$17:$G$33&lt;=$L235)/($H$17:$H$33&gt;=$L235),$F$17:$F$33)</f>
        <v>2H20</v>
      </c>
      <c r="K235" s="86" t="str" cm="1">
        <f t="array" ref="K235">LOOKUP(2,1/($G$6:$G$14&lt;=$L235)/($H$6:$H$14&gt;=$L235),$F$6:$F$14)</f>
        <v>FY20</v>
      </c>
      <c r="L235" s="118">
        <v>43858</v>
      </c>
      <c r="M235" s="49">
        <v>9453245.0835791565</v>
      </c>
      <c r="N235" s="49">
        <v>12512315.19262537</v>
      </c>
      <c r="O235" s="50">
        <v>5000000</v>
      </c>
      <c r="P235" s="119" cm="1">
        <f t="array" ref="P235">LOOKUP(2,1/($B$10:$B$14&lt;=$L235)/($C$10:$C$14&gt;=$L235),$D$10:$D$14)</f>
        <v>1.1000000000000001</v>
      </c>
      <c r="Q235" s="120" cm="1">
        <f t="array" ref="Q235">LOOKUP(2,1/($B$17:$B$21&lt;=$L235)/($C$17:$C$21&gt;=$L235),$D$17:$D$21)</f>
        <v>134.49039999999999</v>
      </c>
      <c r="R235" s="113" t="str">
        <f t="shared" si="219"/>
        <v/>
      </c>
      <c r="S235" s="113" t="str">
        <f t="shared" si="220"/>
        <v>2H20</v>
      </c>
      <c r="T235" s="113" t="str">
        <f t="shared" ca="1" si="221"/>
        <v/>
      </c>
      <c r="U235" s="113" t="str">
        <f t="shared" si="222"/>
        <v/>
      </c>
      <c r="V235" s="113" t="str">
        <f t="shared" si="229"/>
        <v>FY20</v>
      </c>
      <c r="W235" s="113" t="str">
        <f t="shared" ca="1" si="230"/>
        <v/>
      </c>
      <c r="X235" s="50"/>
      <c r="AR235" s="50"/>
      <c r="BF235" s="50"/>
      <c r="BY235" s="50"/>
      <c r="CO235" s="50"/>
      <c r="DE235" s="50"/>
      <c r="DF235" s="114" t="s">
        <v>159</v>
      </c>
      <c r="DG235" s="115" t="s">
        <v>164</v>
      </c>
      <c r="DH235" s="114" t="s">
        <v>161</v>
      </c>
      <c r="DI235" s="134" t="str" cm="1">
        <f t="array" ref="DI235">IF(OR(LOOKUP(2,1/($B$10:$B$14&lt;=DI234)/($C$10:$C$14&gt;=DI234),$D$10:$D$14)&lt;&gt;DG238,LOOKUP(2,1/($B$6:$B$7&lt;=DI234)/($C$6:$C$7&gt;=DI234),$D$6:$D$7)&lt;&gt;DI238),"FAIL","PASS")</f>
        <v>PASS</v>
      </c>
      <c r="DJ235" s="134" t="s">
        <v>162</v>
      </c>
      <c r="DK235" s="134" t="s">
        <v>162</v>
      </c>
      <c r="DL235" s="134"/>
      <c r="DM235" s="133"/>
      <c r="DN235" s="133"/>
      <c r="DO235" s="133"/>
      <c r="DP235" s="133"/>
      <c r="DQ235" s="133"/>
      <c r="DR235" s="133"/>
      <c r="DS235" s="133"/>
      <c r="DT235" s="133"/>
      <c r="DU235" s="133"/>
    </row>
    <row r="236" spans="10:125" x14ac:dyDescent="0.25">
      <c r="J236" s="86" t="str" cm="1">
        <f t="array" ref="J236">LOOKUP(2,1/($G$17:$G$33&lt;=$L236)/($H$17:$H$33&gt;=$L236),$F$17:$F$33)</f>
        <v>2H20</v>
      </c>
      <c r="K236" s="86" t="str" cm="1">
        <f t="array" ref="K236">LOOKUP(2,1/($G$6:$G$14&lt;=$L236)/($H$6:$H$14&gt;=$L236),$F$6:$F$14)</f>
        <v>FY20</v>
      </c>
      <c r="L236" s="118">
        <v>43851</v>
      </c>
      <c r="M236" s="49">
        <v>7949446.4110127836</v>
      </c>
      <c r="N236" s="49">
        <v>10521887.26961652</v>
      </c>
      <c r="O236" s="50">
        <v>2000000</v>
      </c>
      <c r="P236" s="119" cm="1">
        <f t="array" ref="P236">LOOKUP(2,1/($B$10:$B$14&lt;=$L236)/($C$10:$C$14&gt;=$L236),$D$10:$D$14)</f>
        <v>1.1000000000000001</v>
      </c>
      <c r="Q236" s="120" cm="1">
        <f t="array" ref="Q236">LOOKUP(2,1/($B$17:$B$21&lt;=$L236)/($C$17:$C$21&gt;=$L236),$D$17:$D$21)</f>
        <v>134.49039999999999</v>
      </c>
      <c r="R236" s="113" t="str">
        <f t="shared" si="219"/>
        <v/>
      </c>
      <c r="S236" s="113" t="str">
        <f t="shared" si="220"/>
        <v>2H20</v>
      </c>
      <c r="T236" s="113" t="str">
        <f t="shared" ca="1" si="221"/>
        <v/>
      </c>
      <c r="U236" s="113" t="str">
        <f t="shared" si="222"/>
        <v/>
      </c>
      <c r="V236" s="113" t="str">
        <f t="shared" si="229"/>
        <v>FY20</v>
      </c>
      <c r="W236" s="113" t="str">
        <f t="shared" ca="1" si="230"/>
        <v/>
      </c>
      <c r="X236" s="50"/>
      <c r="AR236" s="50"/>
      <c r="BF236" s="50"/>
      <c r="BY236" s="50"/>
      <c r="CO236" s="50"/>
      <c r="DE236" s="50"/>
      <c r="DF236" s="114" t="s">
        <v>165</v>
      </c>
      <c r="DG236" s="115">
        <v>44743</v>
      </c>
      <c r="DH236" s="114" t="s">
        <v>166</v>
      </c>
      <c r="DI236" s="115">
        <v>44818</v>
      </c>
      <c r="DJ236" s="135">
        <v>1.35</v>
      </c>
      <c r="DK236" s="135">
        <v>1.3</v>
      </c>
      <c r="DL236" s="134"/>
      <c r="DN236" s="136" t="s">
        <v>167</v>
      </c>
      <c r="DO236" s="137"/>
      <c r="DP236" s="137"/>
      <c r="DQ236" s="137"/>
      <c r="DR236" s="138"/>
      <c r="DS236" s="137"/>
      <c r="DT236" s="137"/>
      <c r="DU236" s="139"/>
    </row>
    <row r="237" spans="10:125" x14ac:dyDescent="0.25">
      <c r="J237" s="86" t="str" cm="1">
        <f t="array" ref="J237">LOOKUP(2,1/($G$17:$G$33&lt;=$L237)/($H$17:$H$33&gt;=$L237),$F$17:$F$33)</f>
        <v>2H20</v>
      </c>
      <c r="K237" s="86" t="str" cm="1">
        <f t="array" ref="K237">LOOKUP(2,1/($G$6:$G$14&lt;=$L237)/($H$6:$H$14&gt;=$L237),$F$6:$F$14)</f>
        <v>FY20</v>
      </c>
      <c r="L237" s="118">
        <v>43844</v>
      </c>
      <c r="M237" s="49">
        <v>16341286.873156345</v>
      </c>
      <c r="N237" s="49">
        <v>21629327.305309735</v>
      </c>
      <c r="O237" s="50">
        <v>10000000</v>
      </c>
      <c r="P237" s="119" cm="1">
        <f t="array" ref="P237">LOOKUP(2,1/($B$10:$B$14&lt;=$L237)/($C$10:$C$14&gt;=$L237),$D$10:$D$14)</f>
        <v>1.1000000000000001</v>
      </c>
      <c r="Q237" s="120" cm="1">
        <f t="array" ref="Q237">LOOKUP(2,1/($B$17:$B$21&lt;=$L237)/($C$17:$C$21&gt;=$L237),$D$17:$D$21)</f>
        <v>134.49039999999999</v>
      </c>
      <c r="R237" s="113" t="str">
        <f t="shared" si="219"/>
        <v/>
      </c>
      <c r="S237" s="113" t="str">
        <f t="shared" si="220"/>
        <v>2H20</v>
      </c>
      <c r="T237" s="113" t="str">
        <f t="shared" ca="1" si="221"/>
        <v/>
      </c>
      <c r="U237" s="113" t="str">
        <f t="shared" si="222"/>
        <v/>
      </c>
      <c r="V237" s="113" t="str">
        <f t="shared" si="229"/>
        <v>FY20</v>
      </c>
      <c r="W237" s="113" t="str">
        <f t="shared" ca="1" si="230"/>
        <v/>
      </c>
      <c r="X237" s="50"/>
      <c r="AR237" s="50"/>
      <c r="BF237" s="50"/>
      <c r="BY237" s="50"/>
      <c r="CO237" s="50"/>
      <c r="DE237" s="50"/>
      <c r="DF237" s="114" t="s">
        <v>91</v>
      </c>
      <c r="DG237" s="140">
        <f>INDEX($O:$O,MATCH(DG235,$R:$R,0))</f>
        <v>30000000</v>
      </c>
      <c r="DH237" s="114" t="s">
        <v>76</v>
      </c>
      <c r="DI237" s="140">
        <f ca="1">INDEX($O:$O,MATCH(DG235,$T:$T,0))</f>
        <v>5000000</v>
      </c>
      <c r="DJ237" s="140"/>
      <c r="DK237" s="140"/>
      <c r="DL237" s="140"/>
      <c r="DN237" s="141" t="s">
        <v>168</v>
      </c>
      <c r="DO237" s="141"/>
      <c r="DP237" s="142"/>
      <c r="DQ237" s="142"/>
      <c r="DR237" s="143" t="s">
        <v>15</v>
      </c>
      <c r="DS237" s="142"/>
      <c r="DT237" s="142"/>
      <c r="DU237" s="144" t="s">
        <v>139</v>
      </c>
    </row>
    <row r="238" spans="10:125" x14ac:dyDescent="0.25">
      <c r="J238" s="86" t="str" cm="1">
        <f t="array" ref="J238">LOOKUP(2,1/($G$17:$G$33&lt;=$L238)/($H$17:$H$33&gt;=$L238),$F$17:$F$33)</f>
        <v>2H20</v>
      </c>
      <c r="K238" s="86" t="str" cm="1">
        <f t="array" ref="K238">LOOKUP(2,1/($G$6:$G$14&lt;=$L238)/($H$6:$H$14&gt;=$L238),$F$6:$F$14)</f>
        <v>FY20</v>
      </c>
      <c r="L238" s="118">
        <v>43837</v>
      </c>
      <c r="M238" s="49">
        <v>11340723.574237956</v>
      </c>
      <c r="N238" s="49">
        <v>15010581.722861357</v>
      </c>
      <c r="O238" s="50">
        <v>5000000</v>
      </c>
      <c r="P238" s="119" cm="1">
        <f t="array" ref="P238">LOOKUP(2,1/($B$10:$B$14&lt;=$L238)/($C$10:$C$14&gt;=$L238),$D$10:$D$14)</f>
        <v>1.1000000000000001</v>
      </c>
      <c r="Q238" s="120" cm="1">
        <f t="array" ref="Q238">LOOKUP(2,1/($B$17:$B$21&lt;=$L238)/($C$17:$C$21&gt;=$L238),$D$17:$D$21)</f>
        <v>134.49039999999999</v>
      </c>
      <c r="R238" s="113" t="str">
        <f t="shared" si="219"/>
        <v>2H20</v>
      </c>
      <c r="S238" s="113" t="str">
        <f t="shared" si="220"/>
        <v>2H20</v>
      </c>
      <c r="T238" s="113" t="str">
        <f t="shared" ca="1" si="221"/>
        <v/>
      </c>
      <c r="U238" s="113" t="str">
        <f t="shared" si="222"/>
        <v/>
      </c>
      <c r="V238" s="113" t="str">
        <f t="shared" si="229"/>
        <v>FY20</v>
      </c>
      <c r="W238" s="113" t="str">
        <f t="shared" ca="1" si="230"/>
        <v/>
      </c>
      <c r="X238" s="210"/>
      <c r="AR238" s="210"/>
      <c r="BF238" s="210"/>
      <c r="BY238" s="210"/>
      <c r="CO238" s="210"/>
      <c r="DE238" s="210"/>
      <c r="DF238" s="114" t="s">
        <v>169</v>
      </c>
      <c r="DG238" s="119" cm="1">
        <f t="array" ref="DG238">LOOKUP(2,1/($B$10:$B$14&lt;=DG234)/($C$10:$C$14&gt;=DG234),$D$10:$D$14)</f>
        <v>1.1000000000000001</v>
      </c>
      <c r="DH238" s="114" t="s">
        <v>149</v>
      </c>
      <c r="DI238" s="152" cm="1">
        <f t="array" ref="DI238">LOOKUP(2,1/($B$6:$B$7&lt;=DG234)/($C$6:$C$7&gt;=DG234),$D$6:$D$7)</f>
        <v>0.10299999999999999</v>
      </c>
      <c r="DJ238" s="152" t="s">
        <v>170</v>
      </c>
      <c r="DK238" s="152" t="s">
        <v>171</v>
      </c>
      <c r="DL238" s="152"/>
      <c r="DN238" s="153" t="s">
        <v>165</v>
      </c>
      <c r="DO238" s="148">
        <f>DG236</f>
        <v>44743</v>
      </c>
      <c r="DP238" s="154"/>
      <c r="DQ238" s="154"/>
      <c r="DR238" s="155">
        <f t="shared" ref="DR238:DR247" si="242">DG241/1000000</f>
        <v>4</v>
      </c>
      <c r="DS238" s="154"/>
      <c r="DT238" s="154"/>
      <c r="DU238" s="156" t="e">
        <f t="shared" ref="DU238:DU247" si="243">MAX(DH241:DI241)/1000000</f>
        <v>#DIV/0!</v>
      </c>
    </row>
    <row r="239" spans="10:125" x14ac:dyDescent="0.25">
      <c r="J239" s="86" t="str" cm="1">
        <f t="array" ref="J239">LOOKUP(2,1/($G$17:$G$33&lt;=$L239)/($H$17:$H$33&gt;=$L239),$F$17:$F$33)</f>
        <v>1H20</v>
      </c>
      <c r="K239" s="86" t="str" cm="1">
        <f t="array" ref="K239">LOOKUP(2,1/($G$6:$G$14&lt;=$L239)/($H$6:$H$14&gt;=$L239),$F$6:$F$14)</f>
        <v>FY20</v>
      </c>
      <c r="L239" s="118">
        <v>43830</v>
      </c>
      <c r="M239" s="49">
        <v>10706460.545722717</v>
      </c>
      <c r="N239" s="49">
        <v>14171071.178318588</v>
      </c>
      <c r="O239" s="50">
        <v>2000000</v>
      </c>
      <c r="P239" s="119" cm="1">
        <f t="array" ref="P239">LOOKUP(2,1/($B$10:$B$14&lt;=$L239)/($C$10:$C$14&gt;=$L239),$D$10:$D$14)</f>
        <v>1.1000000000000001</v>
      </c>
      <c r="Q239" s="120" cm="1">
        <f t="array" ref="Q239">LOOKUP(2,1/($B$17:$B$21&lt;=$L239)/($C$17:$C$21&gt;=$L239),$D$17:$D$21)</f>
        <v>134.49039999999999</v>
      </c>
      <c r="R239" s="113" t="str">
        <f t="shared" si="219"/>
        <v/>
      </c>
      <c r="S239" s="113" t="str">
        <f t="shared" si="220"/>
        <v>2H20</v>
      </c>
      <c r="T239" s="113" t="str">
        <f t="shared" ca="1" si="221"/>
        <v/>
      </c>
      <c r="U239" s="113" t="str">
        <f t="shared" si="222"/>
        <v/>
      </c>
      <c r="V239" s="113" t="str">
        <f t="shared" si="229"/>
        <v>FY20</v>
      </c>
      <c r="W239" s="113" t="str">
        <f t="shared" ca="1" si="230"/>
        <v/>
      </c>
      <c r="X239" s="50"/>
      <c r="AR239" s="50"/>
      <c r="BF239" s="50"/>
      <c r="BY239" s="50"/>
      <c r="CO239" s="50"/>
      <c r="DE239" s="50"/>
      <c r="DF239" s="114" t="s">
        <v>172</v>
      </c>
      <c r="DG239" s="119" cm="1">
        <f t="array" ref="DG239">LOOKUP(2,1/($B$17:$B$21&lt;=DG234)/($C$17:$C$21&gt;=DG234),$D$17:$D$21)</f>
        <v>134.49039999999999</v>
      </c>
      <c r="DH239" s="114" t="s">
        <v>0</v>
      </c>
      <c r="DI239" s="135">
        <v>1</v>
      </c>
      <c r="DJ239" s="162">
        <v>1</v>
      </c>
      <c r="DK239" s="162">
        <f>1-DJ239</f>
        <v>0</v>
      </c>
      <c r="DL239" s="163"/>
      <c r="DN239" s="153" t="s">
        <v>166</v>
      </c>
      <c r="DO239" s="158">
        <f>DI236</f>
        <v>44818</v>
      </c>
      <c r="DP239" s="154"/>
      <c r="DQ239" s="154"/>
      <c r="DR239" s="155">
        <f t="shared" si="242"/>
        <v>8</v>
      </c>
      <c r="DS239" s="154"/>
      <c r="DT239" s="154"/>
      <c r="DU239" s="156" t="e">
        <f t="shared" si="243"/>
        <v>#DIV/0!</v>
      </c>
    </row>
    <row r="240" spans="10:125" x14ac:dyDescent="0.25">
      <c r="J240" s="86" t="str" cm="1">
        <f t="array" ref="J240">LOOKUP(2,1/($G$17:$G$33&lt;=$L240)/($H$17:$H$33&gt;=$L240),$F$17:$F$33)</f>
        <v>1H20</v>
      </c>
      <c r="K240" s="86" t="str" cm="1">
        <f t="array" ref="K240">LOOKUP(2,1/($G$6:$G$14&lt;=$L240)/($H$6:$H$14&gt;=$L240),$F$6:$F$14)</f>
        <v>FY20</v>
      </c>
      <c r="L240" s="118">
        <v>43823</v>
      </c>
      <c r="M240" s="49">
        <v>21870114.798426747</v>
      </c>
      <c r="N240" s="49">
        <v>28947283.947197638</v>
      </c>
      <c r="O240" s="50">
        <v>20000000</v>
      </c>
      <c r="P240" s="119" cm="1">
        <f t="array" ref="P240">LOOKUP(2,1/($B$10:$B$14&lt;=$L240)/($C$10:$C$14&gt;=$L240),$D$10:$D$14)</f>
        <v>1.1000000000000001</v>
      </c>
      <c r="Q240" s="120" cm="1">
        <f t="array" ref="Q240">LOOKUP(2,1/($B$17:$B$21&lt;=$L240)/($C$17:$C$21&gt;=$L240),$D$17:$D$21)</f>
        <v>134.49039999999999</v>
      </c>
      <c r="R240" s="113" t="str">
        <f t="shared" si="219"/>
        <v/>
      </c>
      <c r="S240" s="113" t="str">
        <f t="shared" si="220"/>
        <v>1H20</v>
      </c>
      <c r="T240" s="113" t="str">
        <f t="shared" ca="1" si="221"/>
        <v>2H20</v>
      </c>
      <c r="U240" s="113" t="str">
        <f t="shared" si="222"/>
        <v/>
      </c>
      <c r="V240" s="113" t="str">
        <f t="shared" si="229"/>
        <v>FY20</v>
      </c>
      <c r="W240" s="113" t="str">
        <f t="shared" ca="1" si="230"/>
        <v/>
      </c>
      <c r="DF240" s="111" t="s">
        <v>174</v>
      </c>
      <c r="DG240" s="111" t="s">
        <v>175</v>
      </c>
      <c r="DH240" s="111" t="s">
        <v>176</v>
      </c>
      <c r="DI240" s="111" t="s">
        <v>177</v>
      </c>
      <c r="DJ240" s="111" t="s">
        <v>178</v>
      </c>
      <c r="DK240" s="111" t="s">
        <v>179</v>
      </c>
      <c r="DL240" s="111" t="s">
        <v>180</v>
      </c>
      <c r="DN240" s="153" t="s">
        <v>169</v>
      </c>
      <c r="DO240" s="165">
        <f>DG238</f>
        <v>1.1000000000000001</v>
      </c>
      <c r="DP240" s="154"/>
      <c r="DQ240" s="154"/>
      <c r="DR240" s="155">
        <f t="shared" si="242"/>
        <v>20</v>
      </c>
      <c r="DS240" s="154"/>
      <c r="DT240" s="154"/>
      <c r="DU240" s="156">
        <f t="shared" si="243"/>
        <v>21.417439040433514</v>
      </c>
    </row>
    <row r="241" spans="10:125" x14ac:dyDescent="0.25">
      <c r="J241" s="86" t="str" cm="1">
        <f t="array" ref="J241">LOOKUP(2,1/($G$17:$G$33&lt;=$L241)/($H$17:$H$33&gt;=$L241),$F$17:$F$33)</f>
        <v>1H20</v>
      </c>
      <c r="K241" s="86" t="str" cm="1">
        <f t="array" ref="K241">LOOKUP(2,1/($G$6:$G$14&lt;=$L241)/($H$6:$H$14&gt;=$L241),$F$6:$F$14)</f>
        <v>FY20</v>
      </c>
      <c r="L241" s="118">
        <v>43816</v>
      </c>
      <c r="M241" s="49">
        <v>17512230.211406101</v>
      </c>
      <c r="N241" s="49">
        <v>23179187.907817114</v>
      </c>
      <c r="O241" s="50">
        <v>15000000</v>
      </c>
      <c r="P241" s="119" cm="1">
        <f t="array" ref="P241">LOOKUP(2,1/($B$10:$B$14&lt;=$L241)/($C$10:$C$14&gt;=$L241),$D$10:$D$14)</f>
        <v>1.1000000000000001</v>
      </c>
      <c r="Q241" s="120" cm="1">
        <f t="array" ref="Q241">LOOKUP(2,1/($B$17:$B$21&lt;=$L241)/($C$17:$C$21&gt;=$L241),$D$17:$D$21)</f>
        <v>134.49039999999999</v>
      </c>
      <c r="R241" s="113" t="str">
        <f t="shared" si="219"/>
        <v/>
      </c>
      <c r="S241" s="113" t="str">
        <f t="shared" si="220"/>
        <v>1H20</v>
      </c>
      <c r="T241" s="113" t="str">
        <f t="shared" ca="1" si="221"/>
        <v/>
      </c>
      <c r="U241" s="113" t="str">
        <f t="shared" si="222"/>
        <v/>
      </c>
      <c r="V241" s="113" t="str">
        <f t="shared" si="229"/>
        <v>FY20</v>
      </c>
      <c r="W241" s="113" t="str">
        <f t="shared" ca="1" si="230"/>
        <v/>
      </c>
      <c r="DF241" s="146">
        <v>1</v>
      </c>
      <c r="DG241" s="166">
        <v>4000000</v>
      </c>
      <c r="DH241" s="168" t="e">
        <f t="shared" ref="DH241:DH247" si="244">AVERAGEIFS($M:$M,$L:$L,"&gt;="&amp;DG$234,$L:$L,"&lt;="&amp;DI$234,$O:$O,"="&amp;DG241)*DI$239</f>
        <v>#DIV/0!</v>
      </c>
      <c r="DI241" s="168"/>
      <c r="DJ241" s="168"/>
      <c r="DK241" s="168"/>
      <c r="DL241" s="167">
        <f t="shared" ref="DL241:DL247" si="245">COUNTIFS($L:$L,"&gt;="&amp;DG$234,$L:$L,"&lt;="&amp;DI$234,$O:$O,"="&amp;DG241)</f>
        <v>0</v>
      </c>
      <c r="DN241" s="153" t="s">
        <v>149</v>
      </c>
      <c r="DO241" s="169">
        <f>DI238</f>
        <v>0.10299999999999999</v>
      </c>
      <c r="DP241" s="154"/>
      <c r="DQ241" s="154"/>
      <c r="DR241" s="155">
        <f t="shared" si="242"/>
        <v>40</v>
      </c>
      <c r="DS241" s="154"/>
      <c r="DT241" s="154"/>
      <c r="DU241" s="156" t="e">
        <f t="shared" si="243"/>
        <v>#DIV/0!</v>
      </c>
    </row>
    <row r="242" spans="10:125" x14ac:dyDescent="0.25">
      <c r="J242" s="86" t="str" cm="1">
        <f t="array" ref="J242">LOOKUP(2,1/($G$17:$G$33&lt;=$L242)/($H$17:$H$33&gt;=$L242),$F$17:$F$33)</f>
        <v>1H20</v>
      </c>
      <c r="K242" s="86" t="str" cm="1">
        <f t="array" ref="K242">LOOKUP(2,1/($G$6:$G$14&lt;=$L242)/($H$6:$H$14&gt;=$L242),$F$6:$F$14)</f>
        <v>FY20</v>
      </c>
      <c r="L242" s="118">
        <v>43809</v>
      </c>
      <c r="M242" s="49">
        <v>14885551.007866273</v>
      </c>
      <c r="N242" s="49">
        <v>19702515.314011797</v>
      </c>
      <c r="O242" s="50">
        <v>10000000</v>
      </c>
      <c r="P242" s="119" cm="1">
        <f t="array" ref="P242">LOOKUP(2,1/($B$10:$B$14&lt;=$L242)/($C$10:$C$14&gt;=$L242),$D$10:$D$14)</f>
        <v>1.1000000000000001</v>
      </c>
      <c r="Q242" s="120" cm="1">
        <f t="array" ref="Q242">LOOKUP(2,1/($B$17:$B$21&lt;=$L242)/($C$17:$C$21&gt;=$L242),$D$17:$D$21)</f>
        <v>134.49039999999999</v>
      </c>
      <c r="R242" s="113" t="str">
        <f t="shared" si="219"/>
        <v/>
      </c>
      <c r="S242" s="113" t="str">
        <f t="shared" si="220"/>
        <v>1H20</v>
      </c>
      <c r="T242" s="113" t="str">
        <f t="shared" ca="1" si="221"/>
        <v/>
      </c>
      <c r="U242" s="113" t="str">
        <f t="shared" si="222"/>
        <v/>
      </c>
      <c r="V242" s="113" t="str">
        <f t="shared" si="229"/>
        <v>FY20</v>
      </c>
      <c r="W242" s="113" t="str">
        <f t="shared" ca="1" si="230"/>
        <v/>
      </c>
      <c r="X242" s="50"/>
      <c r="AR242" s="50"/>
      <c r="BF242" s="50"/>
      <c r="BY242" s="50"/>
      <c r="CO242" s="50"/>
      <c r="DE242" s="50"/>
      <c r="DF242" s="146">
        <v>2</v>
      </c>
      <c r="DG242" s="166">
        <v>8000000</v>
      </c>
      <c r="DH242" s="168" t="e">
        <f t="shared" si="244"/>
        <v>#DIV/0!</v>
      </c>
      <c r="DL242" s="167">
        <f t="shared" si="245"/>
        <v>0</v>
      </c>
      <c r="DN242" s="153" t="s">
        <v>172</v>
      </c>
      <c r="DO242" s="170">
        <f>DG239</f>
        <v>134.49039999999999</v>
      </c>
      <c r="DP242" s="154"/>
      <c r="DQ242" s="154"/>
      <c r="DR242" s="155">
        <f t="shared" si="242"/>
        <v>60</v>
      </c>
      <c r="DS242" s="154"/>
      <c r="DT242" s="154"/>
      <c r="DU242" s="156" t="e">
        <f t="shared" si="243"/>
        <v>#DIV/0!</v>
      </c>
    </row>
    <row r="243" spans="10:125" x14ac:dyDescent="0.25">
      <c r="J243" s="86" t="str" cm="1">
        <f t="array" ref="J243">LOOKUP(2,1/($G$17:$G$33&lt;=$L243)/($H$17:$H$33&gt;=$L243),$F$17:$F$33)</f>
        <v>1H20</v>
      </c>
      <c r="K243" s="86" t="str" cm="1">
        <f t="array" ref="K243">LOOKUP(2,1/($G$6:$G$14&lt;=$L243)/($H$6:$H$14&gt;=$L243),$F$6:$F$14)</f>
        <v>FY20</v>
      </c>
      <c r="L243" s="118">
        <v>43802</v>
      </c>
      <c r="M243" s="49">
        <v>10858241.887905609</v>
      </c>
      <c r="N243" s="49">
        <v>14371968.962831862</v>
      </c>
      <c r="O243" s="50">
        <v>5000000</v>
      </c>
      <c r="P243" s="119" cm="1">
        <f t="array" ref="P243">LOOKUP(2,1/($B$10:$B$14&lt;=$L243)/($C$10:$C$14&gt;=$L243),$D$10:$D$14)</f>
        <v>1.1000000000000001</v>
      </c>
      <c r="Q243" s="120" cm="1">
        <f t="array" ref="Q243">LOOKUP(2,1/($B$17:$B$21&lt;=$L243)/($C$17:$C$21&gt;=$L243),$D$17:$D$21)</f>
        <v>134.49039999999999</v>
      </c>
      <c r="R243" s="113" t="str">
        <f t="shared" si="219"/>
        <v/>
      </c>
      <c r="S243" s="113" t="str">
        <f t="shared" si="220"/>
        <v>1H20</v>
      </c>
      <c r="T243" s="113" t="str">
        <f t="shared" ca="1" si="221"/>
        <v/>
      </c>
      <c r="U243" s="113" t="str">
        <f t="shared" si="222"/>
        <v/>
      </c>
      <c r="V243" s="113" t="str">
        <f t="shared" si="229"/>
        <v>FY20</v>
      </c>
      <c r="W243" s="113" t="str">
        <f t="shared" ca="1" si="230"/>
        <v/>
      </c>
      <c r="X243" s="50"/>
      <c r="AR243" s="50"/>
      <c r="BF243" s="50"/>
      <c r="BY243" s="50"/>
      <c r="CO243" s="50"/>
      <c r="DE243" s="50"/>
      <c r="DF243" s="146">
        <v>3</v>
      </c>
      <c r="DG243" s="166">
        <v>20000000</v>
      </c>
      <c r="DH243" s="168">
        <f t="shared" si="244"/>
        <v>21417439.040433515</v>
      </c>
      <c r="DL243" s="167">
        <f t="shared" si="245"/>
        <v>7</v>
      </c>
      <c r="DN243" s="171"/>
      <c r="DP243" s="154"/>
      <c r="DQ243" s="154"/>
      <c r="DR243" s="155">
        <f t="shared" si="242"/>
        <v>80</v>
      </c>
      <c r="DS243" s="154"/>
      <c r="DT243" s="154"/>
      <c r="DU243" s="156" t="e">
        <f t="shared" si="243"/>
        <v>#DIV/0!</v>
      </c>
    </row>
    <row r="244" spans="10:125" x14ac:dyDescent="0.25">
      <c r="J244" s="86" t="str" cm="1">
        <f t="array" ref="J244">LOOKUP(2,1/($G$17:$G$33&lt;=$L244)/($H$17:$H$33&gt;=$L244),$F$17:$F$33)</f>
        <v>1H20</v>
      </c>
      <c r="K244" s="86" t="str" cm="1">
        <f t="array" ref="K244">LOOKUP(2,1/($G$6:$G$14&lt;=$L244)/($H$6:$H$14&gt;=$L244),$F$6:$F$14)</f>
        <v>FY20</v>
      </c>
      <c r="L244" s="118">
        <v>43795</v>
      </c>
      <c r="M244" s="49">
        <v>8461010.6932153422</v>
      </c>
      <c r="N244" s="49">
        <v>11198993.753539827</v>
      </c>
      <c r="O244" s="50">
        <v>2000000</v>
      </c>
      <c r="P244" s="119" cm="1">
        <f t="array" ref="P244">LOOKUP(2,1/($B$10:$B$14&lt;=$L244)/($C$10:$C$14&gt;=$L244),$D$10:$D$14)</f>
        <v>1.1000000000000001</v>
      </c>
      <c r="Q244" s="120" cm="1">
        <f t="array" ref="Q244">LOOKUP(2,1/($B$17:$B$21&lt;=$L244)/($C$17:$C$21&gt;=$L244),$D$17:$D$21)</f>
        <v>134.49039999999999</v>
      </c>
      <c r="R244" s="113" t="str">
        <f t="shared" si="219"/>
        <v/>
      </c>
      <c r="S244" s="113" t="str">
        <f t="shared" si="220"/>
        <v>1H20</v>
      </c>
      <c r="T244" s="113" t="str">
        <f t="shared" ca="1" si="221"/>
        <v/>
      </c>
      <c r="U244" s="113" t="str">
        <f t="shared" si="222"/>
        <v/>
      </c>
      <c r="V244" s="113" t="str">
        <f t="shared" si="229"/>
        <v>FY20</v>
      </c>
      <c r="W244" s="113" t="str">
        <f t="shared" ca="1" si="230"/>
        <v/>
      </c>
      <c r="DF244" s="146">
        <v>4</v>
      </c>
      <c r="DG244" s="166">
        <v>40000000</v>
      </c>
      <c r="DH244" s="168" t="e">
        <f t="shared" si="244"/>
        <v>#DIV/0!</v>
      </c>
      <c r="DL244" s="167">
        <f t="shared" si="245"/>
        <v>0</v>
      </c>
      <c r="DN244" s="153" t="s">
        <v>91</v>
      </c>
      <c r="DO244" s="155">
        <f>DG237/1000000</f>
        <v>30</v>
      </c>
      <c r="DP244" s="154"/>
      <c r="DQ244" s="154"/>
      <c r="DR244" s="155">
        <f t="shared" si="242"/>
        <v>120</v>
      </c>
      <c r="DS244" s="154"/>
      <c r="DT244" s="154"/>
      <c r="DU244" s="156" t="e">
        <f t="shared" si="243"/>
        <v>#DIV/0!</v>
      </c>
    </row>
    <row r="245" spans="10:125" x14ac:dyDescent="0.25">
      <c r="J245" s="86" t="str" cm="1">
        <f t="array" ref="J245">LOOKUP(2,1/($G$17:$G$33&lt;=$L245)/($H$17:$H$33&gt;=$L245),$F$17:$F$33)</f>
        <v>1H20</v>
      </c>
      <c r="K245" s="86" t="str" cm="1">
        <f t="array" ref="K245">LOOKUP(2,1/($G$6:$G$14&lt;=$L245)/($H$6:$H$14&gt;=$L245),$F$6:$F$14)</f>
        <v>FY20</v>
      </c>
      <c r="L245" s="118">
        <v>43788</v>
      </c>
      <c r="M245" s="49">
        <v>9943722.5909537878</v>
      </c>
      <c r="N245" s="49">
        <v>13161511.221386433</v>
      </c>
      <c r="O245" s="50">
        <v>5000000</v>
      </c>
      <c r="P245" s="119" cm="1">
        <f t="array" ref="P245">LOOKUP(2,1/($B$10:$B$14&lt;=$L245)/($C$10:$C$14&gt;=$L245),$D$10:$D$14)</f>
        <v>1.1000000000000001</v>
      </c>
      <c r="Q245" s="120" cm="1">
        <f t="array" ref="Q245">LOOKUP(2,1/($B$17:$B$21&lt;=$L245)/($C$17:$C$21&gt;=$L245),$D$17:$D$21)</f>
        <v>134.49039999999999</v>
      </c>
      <c r="R245" s="113" t="str">
        <f t="shared" si="219"/>
        <v/>
      </c>
      <c r="S245" s="113" t="str">
        <f t="shared" si="220"/>
        <v>1H20</v>
      </c>
      <c r="T245" s="113" t="str">
        <f t="shared" ca="1" si="221"/>
        <v/>
      </c>
      <c r="U245" s="113" t="str">
        <f t="shared" si="222"/>
        <v/>
      </c>
      <c r="V245" s="113" t="str">
        <f t="shared" si="229"/>
        <v>FY20</v>
      </c>
      <c r="W245" s="113" t="str">
        <f t="shared" ca="1" si="230"/>
        <v/>
      </c>
      <c r="X245" s="50"/>
      <c r="AR245" s="50"/>
      <c r="BF245" s="50"/>
      <c r="BY245" s="50"/>
      <c r="CO245" s="50"/>
      <c r="DE245" s="50"/>
      <c r="DF245" s="146">
        <v>5</v>
      </c>
      <c r="DG245" s="166">
        <v>60000000</v>
      </c>
      <c r="DH245" s="168" t="e">
        <f t="shared" si="244"/>
        <v>#DIV/0!</v>
      </c>
      <c r="DJ245" s="145">
        <v>85455000.000000015</v>
      </c>
      <c r="DK245" s="145"/>
      <c r="DL245" s="167">
        <f t="shared" si="245"/>
        <v>0</v>
      </c>
      <c r="DN245" s="172"/>
      <c r="DO245" s="2"/>
      <c r="DP245" s="154"/>
      <c r="DQ245" s="154"/>
      <c r="DR245" s="155">
        <f t="shared" si="242"/>
        <v>160</v>
      </c>
      <c r="DS245" s="154"/>
      <c r="DT245" s="154"/>
      <c r="DU245" s="156">
        <f t="shared" si="243"/>
        <v>271.01925000000006</v>
      </c>
    </row>
    <row r="246" spans="10:125" x14ac:dyDescent="0.25">
      <c r="J246" s="86" t="str" cm="1">
        <f t="array" ref="J246">LOOKUP(2,1/($G$17:$G$33&lt;=$L246)/($H$17:$H$33&gt;=$L246),$F$17:$F$33)</f>
        <v>1H20</v>
      </c>
      <c r="K246" s="86" t="str" cm="1">
        <f t="array" ref="K246">LOOKUP(2,1/($G$6:$G$14&lt;=$L246)/($H$6:$H$14&gt;=$L246),$F$6:$F$14)</f>
        <v>FY20</v>
      </c>
      <c r="L246" s="118">
        <v>43781</v>
      </c>
      <c r="M246" s="49">
        <v>7936859.1445427751</v>
      </c>
      <c r="N246" s="49">
        <v>10505226.763716817</v>
      </c>
      <c r="O246" s="50">
        <v>2000000</v>
      </c>
      <c r="P246" s="119" cm="1">
        <f t="array" ref="P246">LOOKUP(2,1/($B$10:$B$14&lt;=$L246)/($C$10:$C$14&gt;=$L246),$D$10:$D$14)</f>
        <v>1.1000000000000001</v>
      </c>
      <c r="Q246" s="120" cm="1">
        <f t="array" ref="Q246">LOOKUP(2,1/($B$17:$B$21&lt;=$L246)/($C$17:$C$21&gt;=$L246),$D$17:$D$21)</f>
        <v>134.49039999999999</v>
      </c>
      <c r="R246" s="113" t="str">
        <f t="shared" si="219"/>
        <v/>
      </c>
      <c r="S246" s="113" t="str">
        <f t="shared" si="220"/>
        <v>1H20</v>
      </c>
      <c r="T246" s="113" t="str">
        <f t="shared" ca="1" si="221"/>
        <v/>
      </c>
      <c r="U246" s="113" t="str">
        <f t="shared" si="222"/>
        <v/>
      </c>
      <c r="V246" s="113" t="str">
        <f t="shared" si="229"/>
        <v>FY20</v>
      </c>
      <c r="W246" s="113" t="str">
        <f t="shared" ca="1" si="230"/>
        <v/>
      </c>
      <c r="X246" s="50"/>
      <c r="AR246" s="50"/>
      <c r="BF246" s="50"/>
      <c r="BY246" s="50"/>
      <c r="CO246" s="50"/>
      <c r="DE246" s="50"/>
      <c r="DF246" s="146">
        <v>6</v>
      </c>
      <c r="DG246" s="166">
        <v>80000000</v>
      </c>
      <c r="DH246" s="168" t="e">
        <f t="shared" si="244"/>
        <v>#DIV/0!</v>
      </c>
      <c r="DJ246" s="145">
        <v>108515000.00000001</v>
      </c>
      <c r="DK246" s="145"/>
      <c r="DL246" s="167">
        <f t="shared" si="245"/>
        <v>0</v>
      </c>
      <c r="DN246" s="172" t="s">
        <v>147</v>
      </c>
      <c r="DO246" s="174">
        <f>DG234</f>
        <v>44562</v>
      </c>
      <c r="DP246" s="154"/>
      <c r="DQ246" s="154"/>
      <c r="DR246" s="155">
        <f t="shared" si="242"/>
        <v>200</v>
      </c>
      <c r="DS246" s="154"/>
      <c r="DT246" s="154"/>
      <c r="DU246" s="156">
        <f t="shared" si="243"/>
        <v>333.28125</v>
      </c>
    </row>
    <row r="247" spans="10:125" x14ac:dyDescent="0.25">
      <c r="J247" s="86" t="str" cm="1">
        <f t="array" ref="J247">LOOKUP(2,1/($G$17:$G$33&lt;=$L247)/($H$17:$H$33&gt;=$L247),$F$17:$F$33)</f>
        <v>1H20</v>
      </c>
      <c r="K247" s="86" t="str" cm="1">
        <f t="array" ref="K247">LOOKUP(2,1/($G$6:$G$14&lt;=$L247)/($H$6:$H$14&gt;=$L247),$F$6:$F$14)</f>
        <v>FY20</v>
      </c>
      <c r="L247" s="118">
        <v>43774</v>
      </c>
      <c r="M247" s="49">
        <v>13989049.901671585</v>
      </c>
      <c r="N247" s="49">
        <v>18515906.449852508</v>
      </c>
      <c r="O247" s="50">
        <v>10000000</v>
      </c>
      <c r="P247" s="119" cm="1">
        <f t="array" ref="P247">LOOKUP(2,1/($B$10:$B$14&lt;=$L247)/($C$10:$C$14&gt;=$L247),$D$10:$D$14)</f>
        <v>1.1000000000000001</v>
      </c>
      <c r="Q247" s="120" cm="1">
        <f t="array" ref="Q247">LOOKUP(2,1/($B$17:$B$21&lt;=$L247)/($C$17:$C$21&gt;=$L247),$D$17:$D$21)</f>
        <v>134.49039999999999</v>
      </c>
      <c r="R247" s="113" t="str">
        <f t="shared" si="219"/>
        <v/>
      </c>
      <c r="S247" s="113" t="str">
        <f t="shared" si="220"/>
        <v>1H20</v>
      </c>
      <c r="T247" s="113" t="str">
        <f t="shared" ca="1" si="221"/>
        <v/>
      </c>
      <c r="U247" s="113" t="str">
        <f t="shared" si="222"/>
        <v/>
      </c>
      <c r="V247" s="113" t="str">
        <f t="shared" si="229"/>
        <v>FY20</v>
      </c>
      <c r="W247" s="113" t="str">
        <f t="shared" ca="1" si="230"/>
        <v/>
      </c>
      <c r="X247" s="50"/>
      <c r="AR247" s="50"/>
      <c r="BF247" s="50"/>
      <c r="BY247" s="50"/>
      <c r="CO247" s="50"/>
      <c r="DE247" s="50"/>
      <c r="DF247" s="146">
        <v>7</v>
      </c>
      <c r="DG247" s="166">
        <v>120000000</v>
      </c>
      <c r="DH247" s="168" t="e">
        <f t="shared" si="244"/>
        <v>#DIV/0!</v>
      </c>
      <c r="DI247" s="173">
        <f>IF($DG247&gt;=100000000,$DJ$236*DJ$239*DJ247+$DK$236*DK$239*DK247,DJ$239*DJ247+DK$239*DK247)*DI$239</f>
        <v>208757250.00000006</v>
      </c>
      <c r="DJ247" s="145">
        <v>154635000.00000003</v>
      </c>
      <c r="DK247" s="145"/>
      <c r="DL247" s="167">
        <f t="shared" si="245"/>
        <v>0</v>
      </c>
      <c r="DN247" s="172" t="s">
        <v>148</v>
      </c>
      <c r="DO247" s="174">
        <f>DI234</f>
        <v>44926</v>
      </c>
      <c r="DP247" s="154"/>
      <c r="DQ247" s="154"/>
      <c r="DR247" s="155">
        <f t="shared" si="242"/>
        <v>250</v>
      </c>
      <c r="DS247" s="154"/>
      <c r="DT247" s="154"/>
      <c r="DU247" s="156">
        <f t="shared" si="243"/>
        <v>411.10874999999999</v>
      </c>
    </row>
    <row r="248" spans="10:125" x14ac:dyDescent="0.25">
      <c r="J248" s="86" t="str" cm="1">
        <f t="array" ref="J248">LOOKUP(2,1/($G$17:$G$33&lt;=$L248)/($H$17:$H$33&gt;=$L248),$F$17:$F$33)</f>
        <v>1H20</v>
      </c>
      <c r="K248" s="86" t="str" cm="1">
        <f t="array" ref="K248">LOOKUP(2,1/($G$6:$G$14&lt;=$L248)/($H$6:$H$14&gt;=$L248),$F$6:$F$14)</f>
        <v>FY20</v>
      </c>
      <c r="L248" s="118">
        <v>43767</v>
      </c>
      <c r="M248" s="49">
        <v>10454127.826941989</v>
      </c>
      <c r="N248" s="49">
        <v>13837083.591740416</v>
      </c>
      <c r="O248" s="50">
        <v>5000000</v>
      </c>
      <c r="P248" s="119" cm="1">
        <f t="array" ref="P248">LOOKUP(2,1/($B$10:$B$14&lt;=$L248)/($C$10:$C$14&gt;=$L248),$D$10:$D$14)</f>
        <v>1.1000000000000001</v>
      </c>
      <c r="Q248" s="120" cm="1">
        <f t="array" ref="Q248">LOOKUP(2,1/($B$17:$B$21&lt;=$L248)/($C$17:$C$21&gt;=$L248),$D$17:$D$21)</f>
        <v>134.49039999999999</v>
      </c>
      <c r="R248" s="113" t="str">
        <f t="shared" si="219"/>
        <v/>
      </c>
      <c r="S248" s="113" t="str">
        <f t="shared" si="220"/>
        <v>1H20</v>
      </c>
      <c r="T248" s="113" t="str">
        <f t="shared" ca="1" si="221"/>
        <v/>
      </c>
      <c r="U248" s="113" t="str">
        <f t="shared" si="222"/>
        <v/>
      </c>
      <c r="V248" s="113" t="str">
        <f t="shared" si="229"/>
        <v>FY20</v>
      </c>
      <c r="W248" s="113" t="str">
        <f t="shared" ca="1" si="230"/>
        <v/>
      </c>
      <c r="X248" s="50"/>
      <c r="AR248" s="50"/>
      <c r="BF248" s="50"/>
      <c r="BY248" s="50"/>
      <c r="CO248" s="50"/>
      <c r="DE248" s="50"/>
      <c r="DF248" s="146">
        <v>8</v>
      </c>
      <c r="DG248" s="145">
        <v>160000000</v>
      </c>
      <c r="DH248" s="145"/>
      <c r="DI248" s="173">
        <f>IF($DG248&gt;=100000000,$DJ$236*DJ$239*DJ248+$DK$236*DK$239*DK248,DJ$239*DJ248+DK$239*DK248)*DI$239</f>
        <v>271019250.00000006</v>
      </c>
      <c r="DJ248" s="145">
        <v>200755000.00000003</v>
      </c>
      <c r="DK248" s="145"/>
      <c r="DL248" s="146"/>
      <c r="DN248" s="179" t="s">
        <v>0</v>
      </c>
      <c r="DO248" s="185">
        <f>DI239</f>
        <v>1</v>
      </c>
      <c r="DP248" s="181"/>
      <c r="DQ248" s="181"/>
      <c r="DR248" s="181"/>
      <c r="DS248" s="181"/>
      <c r="DT248" s="181"/>
      <c r="DU248" s="182"/>
    </row>
    <row r="249" spans="10:125" x14ac:dyDescent="0.25">
      <c r="J249" s="86" t="str" cm="1">
        <f t="array" ref="J249">LOOKUP(2,1/($G$17:$G$33&lt;=$L249)/($H$17:$H$33&gt;=$L249),$F$17:$F$33)</f>
        <v>1H20</v>
      </c>
      <c r="K249" s="86" t="str" cm="1">
        <f t="array" ref="K249">LOOKUP(2,1/($G$6:$G$14&lt;=$L249)/($H$6:$H$14&gt;=$L249),$F$6:$F$14)</f>
        <v>FY20</v>
      </c>
      <c r="L249" s="118">
        <v>43760</v>
      </c>
      <c r="M249" s="49">
        <v>8878678.5889872182</v>
      </c>
      <c r="N249" s="49">
        <v>11751818.980383482</v>
      </c>
      <c r="O249" s="50">
        <v>2000000</v>
      </c>
      <c r="P249" s="119" cm="1">
        <f t="array" ref="P249">LOOKUP(2,1/($B$10:$B$14&lt;=$L249)/($C$10:$C$14&gt;=$L249),$D$10:$D$14)</f>
        <v>1.1000000000000001</v>
      </c>
      <c r="Q249" s="120" cm="1">
        <f t="array" ref="Q249">LOOKUP(2,1/($B$17:$B$21&lt;=$L249)/($C$17:$C$21&gt;=$L249),$D$17:$D$21)</f>
        <v>134.49039999999999</v>
      </c>
      <c r="R249" s="113" t="str">
        <f t="shared" si="219"/>
        <v/>
      </c>
      <c r="S249" s="113" t="str">
        <f t="shared" si="220"/>
        <v>1H20</v>
      </c>
      <c r="T249" s="113" t="str">
        <f t="shared" ca="1" si="221"/>
        <v/>
      </c>
      <c r="U249" s="113" t="str">
        <f t="shared" si="222"/>
        <v/>
      </c>
      <c r="V249" s="113" t="str">
        <f t="shared" si="229"/>
        <v>FY20</v>
      </c>
      <c r="W249" s="113" t="str">
        <f t="shared" ca="1" si="230"/>
        <v/>
      </c>
      <c r="X249" s="50"/>
      <c r="AR249" s="50"/>
      <c r="BF249" s="50"/>
      <c r="BY249" s="50"/>
      <c r="CO249" s="50"/>
      <c r="DE249" s="50"/>
      <c r="DF249" s="146">
        <v>9</v>
      </c>
      <c r="DG249" s="145">
        <v>200000000</v>
      </c>
      <c r="DH249" s="145"/>
      <c r="DI249" s="173">
        <f>IF($DG249&gt;=100000000,$DJ$236*DJ$239*DJ249+$DK$236*DK$239*DK249,DJ$239*DJ249+DK$239*DK249)*DI$239</f>
        <v>333281250</v>
      </c>
      <c r="DJ249" s="145">
        <v>246875000</v>
      </c>
      <c r="DK249" s="145"/>
      <c r="DL249" s="146"/>
      <c r="DN249" s="2"/>
      <c r="DO249" s="2"/>
      <c r="DP249" s="2"/>
      <c r="DQ249" s="2"/>
      <c r="DR249" s="2"/>
      <c r="DS249" s="2"/>
      <c r="DT249" s="2"/>
      <c r="DU249" s="2"/>
    </row>
    <row r="250" spans="10:125" x14ac:dyDescent="0.25">
      <c r="J250" s="86" t="str" cm="1">
        <f t="array" ref="J250">LOOKUP(2,1/($G$17:$G$33&lt;=$L250)/($H$17:$H$33&gt;=$L250),$F$17:$F$33)</f>
        <v>1H20</v>
      </c>
      <c r="K250" s="86" t="str" cm="1">
        <f t="array" ref="K250">LOOKUP(2,1/($G$6:$G$14&lt;=$L250)/($H$6:$H$14&gt;=$L250),$F$6:$F$14)</f>
        <v>FY20</v>
      </c>
      <c r="L250" s="118">
        <v>43753</v>
      </c>
      <c r="M250" s="49">
        <v>43907561.578171097</v>
      </c>
      <c r="N250" s="49">
        <v>58116048.504867256</v>
      </c>
      <c r="O250" s="50">
        <v>50000000</v>
      </c>
      <c r="P250" s="119" cm="1">
        <f t="array" ref="P250">LOOKUP(2,1/($B$10:$B$14&lt;=$L250)/($C$10:$C$14&gt;=$L250),$D$10:$D$14)</f>
        <v>1.1000000000000001</v>
      </c>
      <c r="Q250" s="120" cm="1">
        <f t="array" ref="Q250">LOOKUP(2,1/($B$17:$B$21&lt;=$L250)/($C$17:$C$21&gt;=$L250),$D$17:$D$21)</f>
        <v>134.49039999999999</v>
      </c>
      <c r="R250" s="113" t="str">
        <f t="shared" si="219"/>
        <v/>
      </c>
      <c r="S250" s="113" t="str">
        <f t="shared" si="220"/>
        <v>1H20</v>
      </c>
      <c r="T250" s="113" t="str">
        <f t="shared" ca="1" si="221"/>
        <v/>
      </c>
      <c r="U250" s="113" t="str">
        <f t="shared" si="222"/>
        <v/>
      </c>
      <c r="V250" s="113" t="str">
        <f t="shared" si="229"/>
        <v>FY20</v>
      </c>
      <c r="W250" s="113" t="str">
        <f t="shared" ca="1" si="230"/>
        <v/>
      </c>
      <c r="X250" s="50"/>
      <c r="AR250" s="50"/>
      <c r="BF250" s="50"/>
      <c r="BY250" s="50"/>
      <c r="CO250" s="50"/>
      <c r="DE250" s="50"/>
      <c r="DF250" s="146">
        <v>10</v>
      </c>
      <c r="DG250" s="145">
        <v>250000000</v>
      </c>
      <c r="DH250" s="145"/>
      <c r="DI250" s="173">
        <f>IF($DG250&gt;=100000000,$DJ$236*DJ$239*DJ250+$DK$236*DK$239*DK250,DJ$239*DJ250+DK$239*DK250)*DI$239</f>
        <v>411108750</v>
      </c>
      <c r="DJ250" s="145">
        <v>304525000</v>
      </c>
      <c r="DK250" s="145"/>
      <c r="DL250" s="146"/>
      <c r="DN250" s="188"/>
      <c r="DO250" s="188"/>
      <c r="DP250" s="188"/>
      <c r="DQ250" s="188"/>
      <c r="DR250" s="188"/>
      <c r="DS250" s="188"/>
      <c r="DT250" s="188"/>
      <c r="DU250" s="188"/>
    </row>
    <row r="251" spans="10:125" x14ac:dyDescent="0.25">
      <c r="J251" s="86" t="str" cm="1">
        <f t="array" ref="J251">LOOKUP(2,1/($G$17:$G$33&lt;=$L251)/($H$17:$H$33&gt;=$L251),$F$17:$F$33)</f>
        <v>1H20</v>
      </c>
      <c r="K251" s="86" t="str" cm="1">
        <f t="array" ref="K251">LOOKUP(2,1/($G$6:$G$14&lt;=$L251)/($H$6:$H$14&gt;=$L251),$F$6:$F$14)</f>
        <v>FY20</v>
      </c>
      <c r="L251" s="118">
        <v>43746</v>
      </c>
      <c r="M251" s="49">
        <v>33615880.530973457</v>
      </c>
      <c r="N251" s="49">
        <v>44493979.470796466</v>
      </c>
      <c r="O251" s="50">
        <v>40000000</v>
      </c>
      <c r="P251" s="119" cm="1">
        <f t="array" ref="P251">LOOKUP(2,1/($B$10:$B$14&lt;=$L251)/($C$10:$C$14&gt;=$L251),$D$10:$D$14)</f>
        <v>1.1000000000000001</v>
      </c>
      <c r="Q251" s="120" cm="1">
        <f t="array" ref="Q251">LOOKUP(2,1/($B$17:$B$21&lt;=$L251)/($C$17:$C$21&gt;=$L251),$D$17:$D$21)</f>
        <v>134.49039999999999</v>
      </c>
      <c r="R251" s="113" t="str">
        <f t="shared" si="219"/>
        <v/>
      </c>
      <c r="S251" s="113" t="str">
        <f t="shared" si="220"/>
        <v>1H20</v>
      </c>
      <c r="T251" s="113" t="str">
        <f t="shared" ca="1" si="221"/>
        <v/>
      </c>
      <c r="U251" s="113" t="str">
        <f t="shared" si="222"/>
        <v/>
      </c>
      <c r="V251" s="113" t="str">
        <f t="shared" si="229"/>
        <v>FY20</v>
      </c>
      <c r="W251" s="113" t="str">
        <f t="shared" ca="1" si="230"/>
        <v/>
      </c>
      <c r="X251" s="50"/>
      <c r="AR251" s="50"/>
      <c r="BF251" s="50"/>
      <c r="BY251" s="50"/>
      <c r="CO251" s="50"/>
      <c r="DE251" s="50"/>
      <c r="DN251" s="106"/>
      <c r="DO251" s="107"/>
      <c r="DP251" s="107"/>
      <c r="DQ251" s="107"/>
      <c r="DR251" s="108"/>
      <c r="DS251" s="107"/>
      <c r="DT251" s="107"/>
      <c r="DU251" s="108"/>
    </row>
    <row r="252" spans="10:125" x14ac:dyDescent="0.25">
      <c r="J252" s="86" t="str" cm="1">
        <f t="array" ref="J252">LOOKUP(2,1/($G$17:$G$33&lt;=$L252)/($H$17:$H$33&gt;=$L252),$F$17:$F$33)</f>
        <v>1H20</v>
      </c>
      <c r="K252" s="86" t="str" cm="1">
        <f t="array" ref="K252">LOOKUP(2,1/($G$6:$G$14&lt;=$L252)/($H$6:$H$14&gt;=$L252),$F$6:$F$14)</f>
        <v>FY20</v>
      </c>
      <c r="L252" s="118">
        <v>43739</v>
      </c>
      <c r="M252" s="49">
        <v>27879556.170108166</v>
      </c>
      <c r="N252" s="49">
        <v>36901380.546755165</v>
      </c>
      <c r="O252" s="50">
        <v>25000000</v>
      </c>
      <c r="P252" s="119" cm="1">
        <f t="array" ref="P252">LOOKUP(2,1/($B$10:$B$14&lt;=$L252)/($C$10:$C$14&gt;=$L252),$D$10:$D$14)</f>
        <v>1.1000000000000001</v>
      </c>
      <c r="Q252" s="120" cm="1">
        <f t="array" ref="Q252">LOOKUP(2,1/($B$17:$B$21&lt;=$L252)/($C$17:$C$21&gt;=$L252),$D$17:$D$21)</f>
        <v>134.49039999999999</v>
      </c>
      <c r="R252" s="113" t="str">
        <f t="shared" si="219"/>
        <v/>
      </c>
      <c r="S252" s="113" t="str">
        <f t="shared" si="220"/>
        <v>1H20</v>
      </c>
      <c r="T252" s="113" t="str">
        <f t="shared" ca="1" si="221"/>
        <v/>
      </c>
      <c r="U252" s="113" t="str">
        <f t="shared" si="222"/>
        <v/>
      </c>
      <c r="V252" s="113" t="str">
        <f t="shared" si="229"/>
        <v>FY20</v>
      </c>
      <c r="W252" s="113" t="str">
        <f t="shared" ca="1" si="230"/>
        <v/>
      </c>
      <c r="X252" s="50"/>
      <c r="AR252" s="50"/>
      <c r="BF252" s="50"/>
      <c r="BY252" s="50"/>
      <c r="CO252" s="50"/>
      <c r="DE252" s="50"/>
      <c r="DF252" s="125" t="s">
        <v>234</v>
      </c>
      <c r="DG252" s="126"/>
      <c r="DH252" s="126"/>
      <c r="DI252" s="126"/>
      <c r="DJ252" s="126"/>
      <c r="DK252" s="126"/>
      <c r="DL252" s="126"/>
      <c r="DM252" s="126"/>
      <c r="DN252" s="126"/>
      <c r="DO252" s="126"/>
      <c r="DP252" s="126"/>
      <c r="DQ252" s="126"/>
      <c r="DR252" s="126"/>
      <c r="DS252" s="126"/>
      <c r="DT252" s="126"/>
      <c r="DU252" s="126"/>
    </row>
    <row r="253" spans="10:125" x14ac:dyDescent="0.25">
      <c r="J253" s="86" t="str" cm="1">
        <f t="array" ref="J253">LOOKUP(2,1/($G$17:$G$33&lt;=$L253)/($H$17:$H$33&gt;=$L253),$F$17:$F$33)</f>
        <v>1H20</v>
      </c>
      <c r="K253" s="86" t="str" cm="1">
        <f t="array" ref="K253">LOOKUP(2,1/($G$6:$G$14&lt;=$L253)/($H$6:$H$14&gt;=$L253),$F$6:$F$14)</f>
        <v>FY20</v>
      </c>
      <c r="L253" s="118">
        <v>43732</v>
      </c>
      <c r="M253" s="49">
        <v>22871940.511307772</v>
      </c>
      <c r="N253" s="49">
        <v>29998837.174631272</v>
      </c>
      <c r="O253" s="50">
        <v>15000000</v>
      </c>
      <c r="P253" s="119" cm="1">
        <f t="array" ref="P253">LOOKUP(2,1/($B$10:$B$14&lt;=$L253)/($C$10:$C$14&gt;=$L253),$D$10:$D$14)</f>
        <v>1.1000000000000001</v>
      </c>
      <c r="Q253" s="120" cm="1">
        <f t="array" ref="Q253">LOOKUP(2,1/($B$17:$B$21&lt;=$L253)/($C$17:$C$21&gt;=$L253),$D$17:$D$21)</f>
        <v>134.49039999999999</v>
      </c>
      <c r="R253" s="113" t="str">
        <f t="shared" si="219"/>
        <v/>
      </c>
      <c r="S253" s="113" t="str">
        <f t="shared" si="220"/>
        <v>1H20</v>
      </c>
      <c r="T253" s="113" t="str">
        <f t="shared" ca="1" si="221"/>
        <v/>
      </c>
      <c r="U253" s="113" t="str">
        <f t="shared" si="222"/>
        <v/>
      </c>
      <c r="V253" s="113" t="str">
        <f t="shared" si="229"/>
        <v>FY20</v>
      </c>
      <c r="W253" s="113" t="str">
        <f t="shared" ca="1" si="230"/>
        <v/>
      </c>
      <c r="X253" s="50"/>
      <c r="AR253" s="50"/>
      <c r="BF253" s="50"/>
      <c r="BY253" s="50"/>
      <c r="CO253" s="50"/>
      <c r="DE253" s="50"/>
      <c r="DF253" s="114" t="s">
        <v>147</v>
      </c>
      <c r="DG253" s="115">
        <v>44562</v>
      </c>
      <c r="DH253" s="114" t="s">
        <v>148</v>
      </c>
      <c r="DI253" s="115">
        <v>44926</v>
      </c>
      <c r="DJ253" s="132"/>
      <c r="DK253" s="132"/>
      <c r="DL253" s="132"/>
      <c r="DM253" s="133"/>
      <c r="DN253" s="133"/>
      <c r="DO253" s="133"/>
      <c r="DP253" s="133"/>
      <c r="DQ253" s="133"/>
      <c r="DR253" s="133"/>
      <c r="DS253" s="133"/>
      <c r="DT253" s="133"/>
      <c r="DU253" s="133"/>
    </row>
    <row r="254" spans="10:125" x14ac:dyDescent="0.25">
      <c r="J254" s="86" t="str" cm="1">
        <f t="array" ref="J254">LOOKUP(2,1/($G$17:$G$33&lt;=$L254)/($H$17:$H$33&gt;=$L254),$F$17:$F$33)</f>
        <v>1H20</v>
      </c>
      <c r="K254" s="86" t="str" cm="1">
        <f t="array" ref="K254">LOOKUP(2,1/($G$6:$G$14&lt;=$L254)/($H$6:$H$14&gt;=$L254),$F$6:$F$14)</f>
        <v>FY20</v>
      </c>
      <c r="L254" s="118">
        <v>43725</v>
      </c>
      <c r="M254" s="49">
        <v>13198568.706981318</v>
      </c>
      <c r="N254" s="49">
        <v>17311242.716076694</v>
      </c>
      <c r="O254" s="50">
        <v>10000000</v>
      </c>
      <c r="P254" s="119" cm="1">
        <f t="array" ref="P254">LOOKUP(2,1/($B$10:$B$14&lt;=$L254)/($C$10:$C$14&gt;=$L254),$D$10:$D$14)</f>
        <v>1.1000000000000001</v>
      </c>
      <c r="Q254" s="120" cm="1">
        <f t="array" ref="Q254">LOOKUP(2,1/($B$17:$B$21&lt;=$L254)/($C$17:$C$21&gt;=$L254),$D$17:$D$21)</f>
        <v>134.49039999999999</v>
      </c>
      <c r="R254" s="113" t="str">
        <f t="shared" si="219"/>
        <v/>
      </c>
      <c r="S254" s="113" t="str">
        <f t="shared" si="220"/>
        <v>1H20</v>
      </c>
      <c r="T254" s="113" t="str">
        <f t="shared" ca="1" si="221"/>
        <v/>
      </c>
      <c r="U254" s="113" t="str">
        <f t="shared" si="222"/>
        <v/>
      </c>
      <c r="V254" s="113" t="str">
        <f t="shared" si="229"/>
        <v>FY20</v>
      </c>
      <c r="W254" s="113" t="str">
        <f t="shared" ca="1" si="230"/>
        <v/>
      </c>
      <c r="X254" s="50"/>
      <c r="AR254" s="50"/>
      <c r="BF254" s="50"/>
      <c r="BY254" s="50"/>
      <c r="CO254" s="50"/>
      <c r="DE254" s="50"/>
      <c r="DF254" s="114" t="s">
        <v>159</v>
      </c>
      <c r="DG254" s="115" t="s">
        <v>164</v>
      </c>
      <c r="DH254" s="114" t="s">
        <v>161</v>
      </c>
      <c r="DI254" s="134" t="str" cm="1">
        <f t="array" ref="DI254">IF(OR(LOOKUP(2,1/($B$10:$B$14&lt;=DI253)/($C$10:$C$14&gt;=DI253),$D$10:$D$14)&lt;&gt;DG257,LOOKUP(2,1/($B$6:$B$7&lt;=DI253)/($C$6:$C$7&gt;=DI253),$D$6:$D$7)&lt;&gt;DI257),"FAIL","PASS")</f>
        <v>PASS</v>
      </c>
      <c r="DJ254" s="134" t="s">
        <v>162</v>
      </c>
      <c r="DK254" s="134" t="s">
        <v>162</v>
      </c>
      <c r="DL254" s="134"/>
      <c r="DM254" s="133"/>
      <c r="DN254" s="133"/>
      <c r="DO254" s="133"/>
      <c r="DP254" s="133"/>
      <c r="DQ254" s="133"/>
      <c r="DR254" s="133"/>
      <c r="DS254" s="133"/>
      <c r="DT254" s="133"/>
      <c r="DU254" s="133"/>
    </row>
    <row r="255" spans="10:125" x14ac:dyDescent="0.25">
      <c r="J255" s="86" t="str" cm="1">
        <f t="array" ref="J255">LOOKUP(2,1/($G$17:$G$33&lt;=$L255)/($H$17:$H$33&gt;=$L255),$F$17:$F$33)</f>
        <v>1H20</v>
      </c>
      <c r="K255" s="86" t="str" cm="1">
        <f t="array" ref="K255">LOOKUP(2,1/($G$6:$G$14&lt;=$L255)/($H$6:$H$14&gt;=$L255),$F$6:$F$14)</f>
        <v>FY20</v>
      </c>
      <c r="L255" s="118">
        <v>43718</v>
      </c>
      <c r="M255" s="49">
        <v>9533047.9351032469</v>
      </c>
      <c r="N255" s="49">
        <v>12503545.671681417</v>
      </c>
      <c r="O255" s="50">
        <v>5000000</v>
      </c>
      <c r="P255" s="119" cm="1">
        <f t="array" ref="P255">LOOKUP(2,1/($B$10:$B$14&lt;=$L255)/($C$10:$C$14&gt;=$L255),$D$10:$D$14)</f>
        <v>1.1000000000000001</v>
      </c>
      <c r="Q255" s="120" cm="1">
        <f t="array" ref="Q255">LOOKUP(2,1/($B$17:$B$21&lt;=$L255)/($C$17:$C$21&gt;=$L255),$D$17:$D$21)</f>
        <v>134.49039999999999</v>
      </c>
      <c r="R255" s="113" t="str">
        <f t="shared" si="219"/>
        <v/>
      </c>
      <c r="S255" s="113" t="str">
        <f t="shared" si="220"/>
        <v>1H20</v>
      </c>
      <c r="T255" s="113" t="str">
        <f t="shared" ca="1" si="221"/>
        <v/>
      </c>
      <c r="U255" s="113" t="str">
        <f t="shared" si="222"/>
        <v/>
      </c>
      <c r="V255" s="113" t="str">
        <f t="shared" si="229"/>
        <v>FY20</v>
      </c>
      <c r="W255" s="113" t="str">
        <f t="shared" ca="1" si="230"/>
        <v/>
      </c>
      <c r="X255" s="50"/>
      <c r="AR255" s="50"/>
      <c r="BF255" s="50"/>
      <c r="BY255" s="50"/>
      <c r="CO255" s="50"/>
      <c r="DE255" s="50"/>
      <c r="DF255" s="114" t="s">
        <v>165</v>
      </c>
      <c r="DG255" s="115">
        <v>44819</v>
      </c>
      <c r="DH255" s="114" t="s">
        <v>166</v>
      </c>
      <c r="DI255" s="115">
        <v>44926</v>
      </c>
      <c r="DJ255" s="135">
        <v>1.35</v>
      </c>
      <c r="DK255" s="135">
        <v>1.3</v>
      </c>
      <c r="DL255" s="134"/>
      <c r="DN255" s="136" t="s">
        <v>167</v>
      </c>
      <c r="DO255" s="137"/>
      <c r="DP255" s="137"/>
      <c r="DQ255" s="137"/>
      <c r="DR255" s="138"/>
      <c r="DS255" s="137"/>
      <c r="DT255" s="137"/>
      <c r="DU255" s="139"/>
    </row>
    <row r="256" spans="10:125" x14ac:dyDescent="0.25">
      <c r="J256" s="86" t="str" cm="1">
        <f t="array" ref="J256">LOOKUP(2,1/($G$17:$G$33&lt;=$L256)/($H$17:$H$33&gt;=$L256),$F$17:$F$33)</f>
        <v>1H20</v>
      </c>
      <c r="K256" s="86" t="str" cm="1">
        <f t="array" ref="K256">LOOKUP(2,1/($G$6:$G$14&lt;=$L256)/($H$6:$H$14&gt;=$L256),$F$6:$F$14)</f>
        <v>FY20</v>
      </c>
      <c r="L256" s="118">
        <v>43711</v>
      </c>
      <c r="M256" s="49">
        <v>8038448.9921337292</v>
      </c>
      <c r="N256" s="49">
        <v>10543229.698082598</v>
      </c>
      <c r="O256" s="50">
        <v>2000000</v>
      </c>
      <c r="P256" s="119" cm="1">
        <f t="array" ref="P256">LOOKUP(2,1/($B$10:$B$14&lt;=$L256)/($C$10:$C$14&gt;=$L256),$D$10:$D$14)</f>
        <v>1.1000000000000001</v>
      </c>
      <c r="Q256" s="120" cm="1">
        <f t="array" ref="Q256">LOOKUP(2,1/($B$17:$B$21&lt;=$L256)/($C$17:$C$21&gt;=$L256),$D$17:$D$21)</f>
        <v>134.49039999999999</v>
      </c>
      <c r="R256" s="113" t="str">
        <f t="shared" si="219"/>
        <v/>
      </c>
      <c r="S256" s="113" t="str">
        <f t="shared" si="220"/>
        <v>1H20</v>
      </c>
      <c r="T256" s="113" t="str">
        <f t="shared" ca="1" si="221"/>
        <v/>
      </c>
      <c r="U256" s="113" t="str">
        <f t="shared" si="222"/>
        <v/>
      </c>
      <c r="V256" s="113" t="str">
        <f t="shared" si="229"/>
        <v>FY20</v>
      </c>
      <c r="W256" s="113" t="str">
        <f t="shared" ca="1" si="230"/>
        <v/>
      </c>
      <c r="X256" s="50"/>
      <c r="AR256" s="50"/>
      <c r="BF256" s="50"/>
      <c r="BY256" s="50"/>
      <c r="CO256" s="50"/>
      <c r="DE256" s="50"/>
      <c r="DF256" s="114" t="s">
        <v>91</v>
      </c>
      <c r="DG256" s="135" t="s">
        <v>235</v>
      </c>
      <c r="DH256" s="114" t="s">
        <v>76</v>
      </c>
      <c r="DI256" s="135" t="s">
        <v>235</v>
      </c>
      <c r="DJ256" s="140"/>
      <c r="DK256" s="140"/>
      <c r="DL256" s="140"/>
      <c r="DN256" s="141" t="s">
        <v>168</v>
      </c>
      <c r="DO256" s="141"/>
      <c r="DP256" s="142"/>
      <c r="DQ256" s="142"/>
      <c r="DR256" s="143" t="s">
        <v>15</v>
      </c>
      <c r="DS256" s="142"/>
      <c r="DT256" s="142"/>
      <c r="DU256" s="144" t="s">
        <v>139</v>
      </c>
    </row>
    <row r="257" spans="10:125" x14ac:dyDescent="0.25">
      <c r="J257" s="86" t="str" cm="1">
        <f t="array" ref="J257">LOOKUP(2,1/($G$17:$G$33&lt;=$L257)/($H$17:$H$33&gt;=$L257),$F$17:$F$33)</f>
        <v>1H20</v>
      </c>
      <c r="K257" s="86" t="str" cm="1">
        <f t="array" ref="K257">LOOKUP(2,1/($G$6:$G$14&lt;=$L257)/($H$6:$H$14&gt;=$L257),$F$6:$F$14)</f>
        <v>FY20</v>
      </c>
      <c r="L257" s="118">
        <v>43704</v>
      </c>
      <c r="M257" s="49">
        <v>13351775.319567358</v>
      </c>
      <c r="N257" s="49">
        <v>17512188.509144545</v>
      </c>
      <c r="O257" s="50">
        <v>10000000</v>
      </c>
      <c r="P257" s="119" cm="1">
        <f t="array" ref="P257">LOOKUP(2,1/($B$10:$B$14&lt;=$L257)/($C$10:$C$14&gt;=$L257),$D$10:$D$14)</f>
        <v>1.1000000000000001</v>
      </c>
      <c r="Q257" s="120" cm="1">
        <f t="array" ref="Q257">LOOKUP(2,1/($B$17:$B$21&lt;=$L257)/($C$17:$C$21&gt;=$L257),$D$17:$D$21)</f>
        <v>134.49039999999999</v>
      </c>
      <c r="R257" s="113" t="str">
        <f t="shared" si="219"/>
        <v/>
      </c>
      <c r="S257" s="113" t="str">
        <f t="shared" si="220"/>
        <v>1H20</v>
      </c>
      <c r="T257" s="113" t="str">
        <f t="shared" ca="1" si="221"/>
        <v/>
      </c>
      <c r="U257" s="113" t="str">
        <f t="shared" si="222"/>
        <v/>
      </c>
      <c r="V257" s="113" t="str">
        <f t="shared" si="229"/>
        <v>FY20</v>
      </c>
      <c r="W257" s="113" t="str">
        <f t="shared" ca="1" si="230"/>
        <v/>
      </c>
      <c r="X257" s="50"/>
      <c r="AR257" s="50"/>
      <c r="BF257" s="50"/>
      <c r="BY257" s="50"/>
      <c r="CO257" s="50"/>
      <c r="DE257" s="50"/>
      <c r="DF257" s="114" t="s">
        <v>169</v>
      </c>
      <c r="DG257" s="119" cm="1">
        <f t="array" ref="DG257">LOOKUP(2,1/($B$10:$B$14&lt;=DG253)/($C$10:$C$14&gt;=DG253),$D$10:$D$14)</f>
        <v>1.1000000000000001</v>
      </c>
      <c r="DH257" s="114" t="s">
        <v>149</v>
      </c>
      <c r="DI257" s="152" cm="1">
        <f t="array" ref="DI257">LOOKUP(2,1/($B$6:$B$7&lt;=DG253)/($C$6:$C$7&gt;=DG253),$D$6:$D$7)</f>
        <v>0.10299999999999999</v>
      </c>
      <c r="DJ257" s="152" t="s">
        <v>170</v>
      </c>
      <c r="DK257" s="152" t="s">
        <v>171</v>
      </c>
      <c r="DL257" s="152"/>
      <c r="DN257" s="153" t="s">
        <v>165</v>
      </c>
      <c r="DO257" s="148">
        <f>DG255</f>
        <v>44819</v>
      </c>
      <c r="DP257" s="154"/>
      <c r="DQ257" s="154"/>
      <c r="DR257" s="155">
        <f t="shared" ref="DR257:DR266" si="246">DG260/1000000</f>
        <v>8</v>
      </c>
      <c r="DS257" s="154"/>
      <c r="DT257" s="154"/>
      <c r="DU257" s="156" t="e">
        <f t="shared" ref="DU257:DU266" si="247">MAX(DH260:DI260)/1000000</f>
        <v>#DIV/0!</v>
      </c>
    </row>
    <row r="258" spans="10:125" x14ac:dyDescent="0.25">
      <c r="J258" s="86" t="str" cm="1">
        <f t="array" ref="J258">LOOKUP(2,1/($G$17:$G$33&lt;=$L258)/($H$17:$H$33&gt;=$L258),$F$17:$F$33)</f>
        <v>1H20</v>
      </c>
      <c r="K258" s="86" t="str" cm="1">
        <f t="array" ref="K258">LOOKUP(2,1/($G$6:$G$14&lt;=$L258)/($H$6:$H$14&gt;=$L258),$F$6:$F$14)</f>
        <v>FY20</v>
      </c>
      <c r="L258" s="118">
        <v>43697</v>
      </c>
      <c r="M258" s="49">
        <v>10238481.071779745</v>
      </c>
      <c r="N258" s="49">
        <v>13428791.773746312</v>
      </c>
      <c r="O258" s="50">
        <v>5000000</v>
      </c>
      <c r="P258" s="119" cm="1">
        <f t="array" ref="P258">LOOKUP(2,1/($B$10:$B$14&lt;=$L258)/($C$10:$C$14&gt;=$L258),$D$10:$D$14)</f>
        <v>1.1000000000000001</v>
      </c>
      <c r="Q258" s="120" cm="1">
        <f t="array" ref="Q258">LOOKUP(2,1/($B$17:$B$21&lt;=$L258)/($C$17:$C$21&gt;=$L258),$D$17:$D$21)</f>
        <v>134.49039999999999</v>
      </c>
      <c r="R258" s="113" t="str">
        <f t="shared" si="219"/>
        <v/>
      </c>
      <c r="S258" s="113" t="str">
        <f t="shared" si="220"/>
        <v>1H20</v>
      </c>
      <c r="T258" s="113" t="str">
        <f t="shared" ca="1" si="221"/>
        <v/>
      </c>
      <c r="U258" s="113" t="str">
        <f t="shared" si="222"/>
        <v/>
      </c>
      <c r="V258" s="113" t="str">
        <f t="shared" si="229"/>
        <v>FY20</v>
      </c>
      <c r="W258" s="113" t="str">
        <f t="shared" ca="1" si="230"/>
        <v/>
      </c>
      <c r="X258" s="50"/>
      <c r="AR258" s="50"/>
      <c r="BF258" s="50"/>
      <c r="BY258" s="50"/>
      <c r="CO258" s="50"/>
      <c r="DE258" s="50"/>
      <c r="DF258" s="114" t="s">
        <v>172</v>
      </c>
      <c r="DG258" s="119" cm="1">
        <f t="array" ref="DG258">LOOKUP(2,1/($B$17:$B$21&lt;=DG253)/($C$17:$C$21&gt;=DG253),$D$17:$D$21)</f>
        <v>134.49039999999999</v>
      </c>
      <c r="DH258" s="114" t="s">
        <v>0</v>
      </c>
      <c r="DI258" s="135">
        <v>1</v>
      </c>
      <c r="DJ258" s="162">
        <v>1</v>
      </c>
      <c r="DK258" s="162">
        <f>1-DJ258</f>
        <v>0</v>
      </c>
      <c r="DL258" s="163"/>
      <c r="DN258" s="153" t="s">
        <v>166</v>
      </c>
      <c r="DO258" s="158">
        <f>DI255</f>
        <v>44926</v>
      </c>
      <c r="DP258" s="154"/>
      <c r="DQ258" s="154"/>
      <c r="DR258" s="155">
        <f t="shared" si="246"/>
        <v>20</v>
      </c>
      <c r="DS258" s="154"/>
      <c r="DT258" s="154"/>
      <c r="DU258" s="156">
        <f t="shared" si="247"/>
        <v>21.417439040433514</v>
      </c>
    </row>
    <row r="259" spans="10:125" x14ac:dyDescent="0.25">
      <c r="J259" s="86" t="str" cm="1">
        <f t="array" ref="J259">LOOKUP(2,1/($G$17:$G$33&lt;=$L259)/($H$17:$H$33&gt;=$L259),$F$17:$F$33)</f>
        <v>1H20</v>
      </c>
      <c r="K259" s="86" t="str" cm="1">
        <f t="array" ref="K259">LOOKUP(2,1/($G$6:$G$14&lt;=$L259)/($H$6:$H$14&gt;=$L259),$F$6:$F$14)</f>
        <v>FY20</v>
      </c>
      <c r="L259" s="118">
        <v>43690</v>
      </c>
      <c r="M259" s="49">
        <v>8733127.0894788597</v>
      </c>
      <c r="N259" s="49">
        <v>11454369.490560472</v>
      </c>
      <c r="O259" s="50">
        <v>2000000</v>
      </c>
      <c r="P259" s="119" cm="1">
        <f t="array" ref="P259">LOOKUP(2,1/($B$10:$B$14&lt;=$L259)/($C$10:$C$14&gt;=$L259),$D$10:$D$14)</f>
        <v>1.1000000000000001</v>
      </c>
      <c r="Q259" s="120" cm="1">
        <f t="array" ref="Q259">LOOKUP(2,1/($B$17:$B$21&lt;=$L259)/($C$17:$C$21&gt;=$L259),$D$17:$D$21)</f>
        <v>134.49039999999999</v>
      </c>
      <c r="R259" s="113" t="str">
        <f t="shared" si="219"/>
        <v/>
      </c>
      <c r="S259" s="113" t="str">
        <f t="shared" si="220"/>
        <v>1H20</v>
      </c>
      <c r="T259" s="113" t="str">
        <f t="shared" ca="1" si="221"/>
        <v/>
      </c>
      <c r="U259" s="113" t="str">
        <f t="shared" si="222"/>
        <v/>
      </c>
      <c r="V259" s="113" t="str">
        <f t="shared" si="229"/>
        <v>FY20</v>
      </c>
      <c r="W259" s="113" t="str">
        <f t="shared" ca="1" si="230"/>
        <v/>
      </c>
      <c r="X259" s="50"/>
      <c r="AR259" s="50"/>
      <c r="BF259" s="50"/>
      <c r="BY259" s="50"/>
      <c r="CO259" s="50"/>
      <c r="DE259" s="50"/>
      <c r="DF259" s="111" t="s">
        <v>174</v>
      </c>
      <c r="DG259" s="111" t="s">
        <v>175</v>
      </c>
      <c r="DH259" s="111" t="s">
        <v>176</v>
      </c>
      <c r="DI259" s="111" t="s">
        <v>177</v>
      </c>
      <c r="DJ259" s="111" t="s">
        <v>178</v>
      </c>
      <c r="DK259" s="111" t="s">
        <v>179</v>
      </c>
      <c r="DL259" s="111" t="s">
        <v>180</v>
      </c>
      <c r="DN259" s="153" t="s">
        <v>169</v>
      </c>
      <c r="DO259" s="165">
        <f>DG257</f>
        <v>1.1000000000000001</v>
      </c>
      <c r="DP259" s="154"/>
      <c r="DQ259" s="154"/>
      <c r="DR259" s="155">
        <f t="shared" si="246"/>
        <v>30</v>
      </c>
      <c r="DS259" s="154"/>
      <c r="DT259" s="154"/>
      <c r="DU259" s="156">
        <f t="shared" si="247"/>
        <v>27.318797278004691</v>
      </c>
    </row>
    <row r="260" spans="10:125" x14ac:dyDescent="0.25">
      <c r="J260" s="86" t="str" cm="1">
        <f t="array" ref="J260">LOOKUP(2,1/($G$17:$G$33&lt;=$L260)/($H$17:$H$33&gt;=$L260),$F$17:$F$33)</f>
        <v>1H20</v>
      </c>
      <c r="K260" s="86" t="str" cm="1">
        <f t="array" ref="K260">LOOKUP(2,1/($G$6:$G$14&lt;=$L260)/($H$6:$H$14&gt;=$L260),$F$6:$F$14)</f>
        <v>FY20</v>
      </c>
      <c r="L260" s="118">
        <v>43683</v>
      </c>
      <c r="M260" s="49">
        <v>35846270.157325476</v>
      </c>
      <c r="N260" s="49">
        <v>47015967.938348092</v>
      </c>
      <c r="O260" s="50">
        <v>40000000</v>
      </c>
      <c r="P260" s="119" cm="1">
        <f t="array" ref="P260">LOOKUP(2,1/($B$10:$B$14&lt;=$L260)/($C$10:$C$14&gt;=$L260),$D$10:$D$14)</f>
        <v>1.1000000000000001</v>
      </c>
      <c r="Q260" s="120" cm="1">
        <f t="array" ref="Q260">LOOKUP(2,1/($B$17:$B$21&lt;=$L260)/($C$17:$C$21&gt;=$L260),$D$17:$D$21)</f>
        <v>134.49039999999999</v>
      </c>
      <c r="R260" s="113" t="str">
        <f t="shared" si="219"/>
        <v/>
      </c>
      <c r="S260" s="113" t="str">
        <f t="shared" si="220"/>
        <v>1H20</v>
      </c>
      <c r="T260" s="113" t="str">
        <f t="shared" ca="1" si="221"/>
        <v/>
      </c>
      <c r="U260" s="113" t="str">
        <f t="shared" si="222"/>
        <v/>
      </c>
      <c r="V260" s="113" t="str">
        <f t="shared" si="229"/>
        <v>FY20</v>
      </c>
      <c r="W260" s="113" t="str">
        <f t="shared" ca="1" si="230"/>
        <v/>
      </c>
      <c r="X260" s="50"/>
      <c r="AR260" s="50"/>
      <c r="BF260" s="50"/>
      <c r="BY260" s="50"/>
      <c r="CO260" s="50"/>
      <c r="DE260" s="50"/>
      <c r="DF260" s="146">
        <v>1</v>
      </c>
      <c r="DG260" s="166">
        <v>8000000</v>
      </c>
      <c r="DH260" s="168" t="e">
        <f t="shared" ref="DH260:DH265" si="248">AVERAGEIFS($M:$M,$L:$L,"&gt;="&amp;DG$253,$L:$L,"&lt;="&amp;DI$253,$O:$O,"="&amp;DG260)*DI$258</f>
        <v>#DIV/0!</v>
      </c>
      <c r="DI260" s="168"/>
      <c r="DJ260" s="168"/>
      <c r="DK260" s="168"/>
      <c r="DL260" s="167">
        <f t="shared" ref="DL260:DL265" si="249">COUNTIFS($L:$L,"&gt;="&amp;DG$253,$L:$L,"&lt;="&amp;DI$253,$O:$O,"="&amp;DG260)</f>
        <v>0</v>
      </c>
      <c r="DN260" s="153" t="s">
        <v>149</v>
      </c>
      <c r="DO260" s="169">
        <f>DI257</f>
        <v>0.10299999999999999</v>
      </c>
      <c r="DP260" s="154"/>
      <c r="DQ260" s="154"/>
      <c r="DR260" s="155">
        <f t="shared" si="246"/>
        <v>50</v>
      </c>
      <c r="DS260" s="154"/>
      <c r="DT260" s="154"/>
      <c r="DU260" s="156">
        <f t="shared" si="247"/>
        <v>43.907848205506397</v>
      </c>
    </row>
    <row r="261" spans="10:125" x14ac:dyDescent="0.25">
      <c r="J261" s="86" t="str" cm="1">
        <f t="array" ref="J261">LOOKUP(2,1/($G$17:$G$33&lt;=$L261)/($H$17:$H$33&gt;=$L261),$F$17:$F$33)</f>
        <v>1H20</v>
      </c>
      <c r="K261" s="86" t="str" cm="1">
        <f t="array" ref="K261">LOOKUP(2,1/($G$6:$G$14&lt;=$L261)/($H$6:$H$14&gt;=$L261),$F$6:$F$14)</f>
        <v>FY20</v>
      </c>
      <c r="L261" s="118">
        <v>43676</v>
      </c>
      <c r="M261" s="49">
        <v>28630879.424778771</v>
      </c>
      <c r="N261" s="49">
        <v>37552261.453539833</v>
      </c>
      <c r="O261" s="50">
        <v>25000000</v>
      </c>
      <c r="P261" s="119" cm="1">
        <f t="array" ref="P261">LOOKUP(2,1/($B$10:$B$14&lt;=$L261)/($C$10:$C$14&gt;=$L261),$D$10:$D$14)</f>
        <v>1.1000000000000001</v>
      </c>
      <c r="Q261" s="120" cm="1">
        <f t="array" ref="Q261">LOOKUP(2,1/($B$17:$B$21&lt;=$L261)/($C$17:$C$21&gt;=$L261),$D$17:$D$21)</f>
        <v>134.49039999999999</v>
      </c>
      <c r="R261" s="113" t="str">
        <f t="shared" si="219"/>
        <v/>
      </c>
      <c r="S261" s="113" t="str">
        <f t="shared" si="220"/>
        <v>1H20</v>
      </c>
      <c r="T261" s="113" t="str">
        <f t="shared" ca="1" si="221"/>
        <v/>
      </c>
      <c r="U261" s="113" t="str">
        <f t="shared" si="222"/>
        <v/>
      </c>
      <c r="V261" s="113" t="str">
        <f t="shared" si="229"/>
        <v>FY20</v>
      </c>
      <c r="W261" s="113" t="str">
        <f t="shared" ca="1" si="230"/>
        <v/>
      </c>
      <c r="X261" s="50"/>
      <c r="AR261" s="50"/>
      <c r="BF261" s="50"/>
      <c r="BY261" s="50"/>
      <c r="CO261" s="50"/>
      <c r="DE261" s="50"/>
      <c r="DF261" s="146">
        <v>2</v>
      </c>
      <c r="DG261" s="166">
        <v>20000000</v>
      </c>
      <c r="DH261" s="168">
        <f t="shared" si="248"/>
        <v>21417439.040433515</v>
      </c>
      <c r="DL261" s="167">
        <f t="shared" si="249"/>
        <v>7</v>
      </c>
      <c r="DN261" s="153" t="s">
        <v>172</v>
      </c>
      <c r="DO261" s="170">
        <f>DG258</f>
        <v>134.49039999999999</v>
      </c>
      <c r="DP261" s="154"/>
      <c r="DQ261" s="154"/>
      <c r="DR261" s="155">
        <f t="shared" si="246"/>
        <v>100</v>
      </c>
      <c r="DS261" s="154"/>
      <c r="DT261" s="154"/>
      <c r="DU261" s="156" t="e">
        <f t="shared" si="247"/>
        <v>#DIV/0!</v>
      </c>
    </row>
    <row r="262" spans="10:125" x14ac:dyDescent="0.25">
      <c r="J262" s="86" t="str" cm="1">
        <f t="array" ref="J262">LOOKUP(2,1/($G$17:$G$33&lt;=$L262)/($H$17:$H$33&gt;=$L262),$F$17:$F$33)</f>
        <v>1H20</v>
      </c>
      <c r="K262" s="86" t="str" cm="1">
        <f t="array" ref="K262">LOOKUP(2,1/($G$6:$G$14&lt;=$L262)/($H$6:$H$14&gt;=$L262),$F$6:$F$14)</f>
        <v>FY20</v>
      </c>
      <c r="L262" s="118">
        <v>43669</v>
      </c>
      <c r="M262" s="49">
        <v>21902785.398230091</v>
      </c>
      <c r="N262" s="49">
        <v>28727693.328318585</v>
      </c>
      <c r="O262" s="50">
        <v>15000000</v>
      </c>
      <c r="P262" s="119" cm="1">
        <f t="array" ref="P262">LOOKUP(2,1/($B$10:$B$14&lt;=$L262)/($C$10:$C$14&gt;=$L262),$D$10:$D$14)</f>
        <v>1.1000000000000001</v>
      </c>
      <c r="Q262" s="120" cm="1">
        <f t="array" ref="Q262">LOOKUP(2,1/($B$17:$B$21&lt;=$L262)/($C$17:$C$21&gt;=$L262),$D$17:$D$21)</f>
        <v>134.49039999999999</v>
      </c>
      <c r="R262" s="113" t="str">
        <f t="shared" si="219"/>
        <v/>
      </c>
      <c r="S262" s="113" t="str">
        <f t="shared" si="220"/>
        <v>1H20</v>
      </c>
      <c r="T262" s="113" t="str">
        <f t="shared" ca="1" si="221"/>
        <v/>
      </c>
      <c r="U262" s="113" t="str">
        <f t="shared" si="222"/>
        <v/>
      </c>
      <c r="V262" s="113" t="str">
        <f t="shared" si="229"/>
        <v>FY20</v>
      </c>
      <c r="W262" s="113" t="str">
        <f t="shared" ca="1" si="230"/>
        <v/>
      </c>
      <c r="X262" s="50"/>
      <c r="AR262" s="50"/>
      <c r="BF262" s="50"/>
      <c r="BY262" s="50"/>
      <c r="CO262" s="50"/>
      <c r="DE262" s="50"/>
      <c r="DF262" s="146">
        <v>3</v>
      </c>
      <c r="DG262" s="166">
        <v>30000000</v>
      </c>
      <c r="DH262" s="168">
        <f t="shared" si="248"/>
        <v>27318797.278004691</v>
      </c>
      <c r="DL262" s="167">
        <f t="shared" si="249"/>
        <v>4</v>
      </c>
      <c r="DN262" s="171"/>
      <c r="DP262" s="154"/>
      <c r="DQ262" s="154"/>
      <c r="DR262" s="155">
        <f t="shared" si="246"/>
        <v>160</v>
      </c>
      <c r="DS262" s="154"/>
      <c r="DT262" s="154"/>
      <c r="DU262" s="156" t="e">
        <f t="shared" si="247"/>
        <v>#DIV/0!</v>
      </c>
    </row>
    <row r="263" spans="10:125" x14ac:dyDescent="0.25">
      <c r="J263" s="86" t="str" cm="1">
        <f t="array" ref="J263">LOOKUP(2,1/($G$17:$G$33&lt;=$L263)/($H$17:$H$33&gt;=$L263),$F$17:$F$33)</f>
        <v>1H20</v>
      </c>
      <c r="K263" s="86" t="str" cm="1">
        <f t="array" ref="K263">LOOKUP(2,1/($G$6:$G$14&lt;=$L263)/($H$6:$H$14&gt;=$L263),$F$6:$F$14)</f>
        <v>FY20</v>
      </c>
      <c r="L263" s="118">
        <v>43662</v>
      </c>
      <c r="M263" s="49">
        <v>13883266.470009834</v>
      </c>
      <c r="N263" s="49">
        <v>18209292.302064896</v>
      </c>
      <c r="O263" s="50">
        <v>10000000</v>
      </c>
      <c r="P263" s="119" cm="1">
        <f t="array" ref="P263">LOOKUP(2,1/($B$10:$B$14&lt;=$L263)/($C$10:$C$14&gt;=$L263),$D$10:$D$14)</f>
        <v>1.1000000000000001</v>
      </c>
      <c r="Q263" s="120" cm="1">
        <f t="array" ref="Q263">LOOKUP(2,1/($B$17:$B$21&lt;=$L263)/($C$17:$C$21&gt;=$L263),$D$17:$D$21)</f>
        <v>134.49039999999999</v>
      </c>
      <c r="R263" s="113" t="str">
        <f t="shared" si="219"/>
        <v/>
      </c>
      <c r="S263" s="113" t="str">
        <f t="shared" si="220"/>
        <v>1H20</v>
      </c>
      <c r="T263" s="113" t="str">
        <f t="shared" ca="1" si="221"/>
        <v/>
      </c>
      <c r="U263" s="113" t="str">
        <f t="shared" si="222"/>
        <v/>
      </c>
      <c r="V263" s="113" t="str">
        <f t="shared" si="229"/>
        <v>FY20</v>
      </c>
      <c r="W263" s="113" t="str">
        <f t="shared" ca="1" si="230"/>
        <v/>
      </c>
      <c r="X263" s="50"/>
      <c r="AR263" s="50"/>
      <c r="BF263" s="50"/>
      <c r="BY263" s="50"/>
      <c r="CO263" s="50"/>
      <c r="DE263" s="50"/>
      <c r="DF263" s="146">
        <v>4</v>
      </c>
      <c r="DG263" s="166">
        <v>50000000</v>
      </c>
      <c r="DH263" s="168">
        <f t="shared" si="248"/>
        <v>43907848.205506399</v>
      </c>
      <c r="DL263" s="167">
        <f t="shared" si="249"/>
        <v>2</v>
      </c>
      <c r="DN263" s="153" t="s">
        <v>91</v>
      </c>
      <c r="DO263" s="155" t="e">
        <f>DG256/1000000</f>
        <v>#VALUE!</v>
      </c>
      <c r="DP263" s="154"/>
      <c r="DQ263" s="154"/>
      <c r="DR263" s="155">
        <f t="shared" si="246"/>
        <v>200</v>
      </c>
      <c r="DS263" s="154"/>
      <c r="DT263" s="154"/>
      <c r="DU263" s="156">
        <f t="shared" si="247"/>
        <v>333.28125</v>
      </c>
    </row>
    <row r="264" spans="10:125" x14ac:dyDescent="0.25">
      <c r="J264" s="86" t="str" cm="1">
        <f t="array" ref="J264">LOOKUP(2,1/($G$17:$G$33&lt;=$L264)/($H$17:$H$33&gt;=$L264),$F$17:$F$33)</f>
        <v>1H20</v>
      </c>
      <c r="K264" s="86" t="str" cm="1">
        <f t="array" ref="K264">LOOKUP(2,1/($G$6:$G$14&lt;=$L264)/($H$6:$H$14&gt;=$L264),$F$6:$F$14)</f>
        <v>FY20</v>
      </c>
      <c r="L264" s="118">
        <v>43655</v>
      </c>
      <c r="M264" s="49">
        <v>9676387.4139626361</v>
      </c>
      <c r="N264" s="49">
        <v>12691549.732153391</v>
      </c>
      <c r="O264" s="50">
        <v>5000000</v>
      </c>
      <c r="P264" s="119" cm="1">
        <f t="array" ref="P264">LOOKUP(2,1/($B$10:$B$14&lt;=$L264)/($C$10:$C$14&gt;=$L264),$D$10:$D$14)</f>
        <v>1.1000000000000001</v>
      </c>
      <c r="Q264" s="120" cm="1">
        <f t="array" ref="Q264">LOOKUP(2,1/($B$17:$B$21&lt;=$L264)/($C$17:$C$21&gt;=$L264),$D$17:$D$21)</f>
        <v>134.49039999999999</v>
      </c>
      <c r="R264" s="113" t="str">
        <f t="shared" si="219"/>
        <v/>
      </c>
      <c r="S264" s="113" t="str">
        <f t="shared" si="220"/>
        <v>1H20</v>
      </c>
      <c r="T264" s="113" t="str">
        <f t="shared" ca="1" si="221"/>
        <v/>
      </c>
      <c r="U264" s="113" t="str">
        <f t="shared" si="222"/>
        <v/>
      </c>
      <c r="V264" s="113" t="str">
        <f t="shared" si="229"/>
        <v>FY20</v>
      </c>
      <c r="W264" s="113" t="str">
        <f t="shared" ca="1" si="230"/>
        <v/>
      </c>
      <c r="X264" s="50"/>
      <c r="AR264" s="50"/>
      <c r="BF264" s="50"/>
      <c r="BY264" s="50"/>
      <c r="CO264" s="50"/>
      <c r="DE264" s="50"/>
      <c r="DF264" s="146">
        <v>5</v>
      </c>
      <c r="DG264" s="166">
        <v>100000000</v>
      </c>
      <c r="DH264" s="168" t="e">
        <f t="shared" si="248"/>
        <v>#DIV/0!</v>
      </c>
      <c r="DI264" s="173">
        <f t="shared" ref="DI264:DI269" si="250">IF($DG264&gt;=100000000,$DJ$255*DJ$258*DJ264+$DK$255*DK$258*DK264,DJ$258*DJ264+DK$258*DK264)*DI$258</f>
        <v>177626250</v>
      </c>
      <c r="DJ264" s="145">
        <v>131574999.99999999</v>
      </c>
      <c r="DK264" s="145"/>
      <c r="DL264" s="167">
        <f t="shared" si="249"/>
        <v>0</v>
      </c>
      <c r="DN264" s="172"/>
      <c r="DO264" s="2"/>
      <c r="DP264" s="154"/>
      <c r="DQ264" s="154"/>
      <c r="DR264" s="155">
        <f t="shared" si="246"/>
        <v>250</v>
      </c>
      <c r="DS264" s="154"/>
      <c r="DT264" s="154"/>
      <c r="DU264" s="156">
        <f t="shared" si="247"/>
        <v>411.10874999999999</v>
      </c>
    </row>
    <row r="265" spans="10:125" x14ac:dyDescent="0.25">
      <c r="J265" s="86" t="str" cm="1">
        <f t="array" ref="J265">LOOKUP(2,1/($G$17:$G$33&lt;=$L265)/($H$17:$H$33&gt;=$L265),$F$17:$F$33)</f>
        <v>1H20</v>
      </c>
      <c r="K265" s="86" t="str" cm="1">
        <f t="array" ref="K265">LOOKUP(2,1/($G$6:$G$14&lt;=$L265)/($H$6:$H$14&gt;=$L265),$F$6:$F$14)</f>
        <v>FY20</v>
      </c>
      <c r="L265" s="118">
        <v>43648</v>
      </c>
      <c r="M265" s="49">
        <v>8430652.777777778</v>
      </c>
      <c r="N265" s="49">
        <v>11057644.183333332</v>
      </c>
      <c r="O265" s="50">
        <v>2000000</v>
      </c>
      <c r="P265" s="119" cm="1">
        <f t="array" ref="P265">LOOKUP(2,1/($B$10:$B$14&lt;=$L265)/($C$10:$C$14&gt;=$L265),$D$10:$D$14)</f>
        <v>1.1000000000000001</v>
      </c>
      <c r="Q265" s="120" cm="1">
        <f t="array" ref="Q265">LOOKUP(2,1/($B$17:$B$21&lt;=$L265)/($C$17:$C$21&gt;=$L265),$D$17:$D$21)</f>
        <v>134.49039999999999</v>
      </c>
      <c r="R265" s="113" t="str">
        <f t="shared" si="219"/>
        <v>1H20</v>
      </c>
      <c r="S265" s="113" t="str">
        <f t="shared" si="220"/>
        <v>1H20</v>
      </c>
      <c r="T265" s="113" t="str">
        <f t="shared" ca="1" si="221"/>
        <v/>
      </c>
      <c r="U265" s="113" t="str">
        <f t="shared" si="222"/>
        <v>FY20</v>
      </c>
      <c r="V265" s="113" t="str">
        <f t="shared" si="229"/>
        <v>FY20</v>
      </c>
      <c r="W265" s="113" t="str">
        <f t="shared" ca="1" si="230"/>
        <v/>
      </c>
      <c r="X265" s="50"/>
      <c r="AR265" s="50"/>
      <c r="BF265" s="50"/>
      <c r="BY265" s="50"/>
      <c r="CO265" s="50"/>
      <c r="DE265" s="50"/>
      <c r="DF265" s="146">
        <v>6</v>
      </c>
      <c r="DG265" s="166">
        <v>160000000</v>
      </c>
      <c r="DH265" s="168" t="e">
        <f t="shared" si="248"/>
        <v>#DIV/0!</v>
      </c>
      <c r="DI265" s="173">
        <f t="shared" si="250"/>
        <v>271019250.00000006</v>
      </c>
      <c r="DJ265" s="145">
        <v>200755000.00000003</v>
      </c>
      <c r="DK265" s="145"/>
      <c r="DL265" s="167">
        <f t="shared" si="249"/>
        <v>0</v>
      </c>
      <c r="DN265" s="172" t="s">
        <v>147</v>
      </c>
      <c r="DO265" s="174">
        <f>DG253</f>
        <v>44562</v>
      </c>
      <c r="DP265" s="154"/>
      <c r="DQ265" s="154"/>
      <c r="DR265" s="155">
        <f t="shared" si="246"/>
        <v>300</v>
      </c>
      <c r="DS265" s="154"/>
      <c r="DT265" s="154"/>
      <c r="DU265" s="156">
        <f t="shared" si="247"/>
        <v>488.93625000000009</v>
      </c>
    </row>
    <row r="266" spans="10:125" x14ac:dyDescent="0.25">
      <c r="J266" s="86" t="str" cm="1">
        <f t="array" ref="J266">LOOKUP(2,1/($G$17:$G$33&lt;=$L266)/($H$17:$H$33&gt;=$L266),$F$17:$F$33)</f>
        <v>2H19</v>
      </c>
      <c r="K266" s="86" t="str" cm="1">
        <f t="array" ref="K266">LOOKUP(2,1/($G$6:$G$14&lt;=$L266)/($H$6:$H$14&gt;=$L266),$F$6:$F$14)</f>
        <v>FY19</v>
      </c>
      <c r="L266" s="118">
        <v>43641</v>
      </c>
      <c r="M266" s="49">
        <v>80928666.175024584</v>
      </c>
      <c r="N266" s="49">
        <v>106146038.55516224</v>
      </c>
      <c r="O266" s="50">
        <v>80000000</v>
      </c>
      <c r="P266" s="119" cm="1">
        <f t="array" ref="P266">LOOKUP(2,1/($B$10:$B$14&lt;=$L266)/($C$10:$C$14&gt;=$L266),$D$10:$D$14)</f>
        <v>1.1000000000000001</v>
      </c>
      <c r="Q266" s="120" cm="1">
        <f t="array" ref="Q266">LOOKUP(2,1/($B$17:$B$21&lt;=$L266)/($C$17:$C$21&gt;=$L266),$D$17:$D$21)</f>
        <v>134.49039999999999</v>
      </c>
      <c r="R266" s="113" t="str">
        <f t="shared" ref="R266:R329" si="251">IF($J266&lt;&gt;$J267,$J266,"")</f>
        <v/>
      </c>
      <c r="S266" s="113" t="str">
        <f t="shared" ref="S266:S329" si="252">IF($O265&lt;$O266,$J266,S265)</f>
        <v>2H19</v>
      </c>
      <c r="T266" s="113" t="str">
        <f t="shared" ref="T266:T329" ca="1" si="253">IF(AND(S266&lt;&gt;S265,ISNUMBER(MATCH($S265,$F$17:$F$33,0))),OFFSET($F$16,MATCH($J266,$F$17:$F$33,0)+1,0),"")</f>
        <v>1H20</v>
      </c>
      <c r="U266" s="113" t="str">
        <f t="shared" ref="U266:U329" si="254">IF($K266&lt;&gt;$K267,$K266,"")</f>
        <v/>
      </c>
      <c r="V266" s="113" t="str">
        <f t="shared" si="229"/>
        <v>FY19</v>
      </c>
      <c r="W266" s="113" t="str">
        <f t="shared" ca="1" si="230"/>
        <v>FY20</v>
      </c>
      <c r="X266" s="50"/>
      <c r="AR266" s="50"/>
      <c r="BF266" s="50"/>
      <c r="BY266" s="50"/>
      <c r="CO266" s="50"/>
      <c r="DE266" s="50"/>
      <c r="DF266" s="146">
        <v>7</v>
      </c>
      <c r="DG266" s="166">
        <v>200000000</v>
      </c>
      <c r="DH266" s="168"/>
      <c r="DI266" s="173">
        <f t="shared" si="250"/>
        <v>333281250</v>
      </c>
      <c r="DJ266" s="145">
        <v>246875000</v>
      </c>
      <c r="DK266" s="145"/>
      <c r="DL266" s="167"/>
      <c r="DN266" s="172" t="s">
        <v>148</v>
      </c>
      <c r="DO266" s="174">
        <f>DI253</f>
        <v>44926</v>
      </c>
      <c r="DP266" s="154"/>
      <c r="DQ266" s="154"/>
      <c r="DR266" s="155">
        <f t="shared" si="246"/>
        <v>350</v>
      </c>
      <c r="DS266" s="154"/>
      <c r="DT266" s="154"/>
      <c r="DU266" s="156">
        <f t="shared" si="247"/>
        <v>566.76374999999996</v>
      </c>
    </row>
    <row r="267" spans="10:125" x14ac:dyDescent="0.25">
      <c r="J267" s="86" t="str" cm="1">
        <f t="array" ref="J267">LOOKUP(2,1/($G$17:$G$33&lt;=$L267)/($H$17:$H$33&gt;=$L267),$F$17:$F$33)</f>
        <v>2H19</v>
      </c>
      <c r="K267" s="86" t="str" cm="1">
        <f t="array" ref="K267">LOOKUP(2,1/($G$6:$G$14&lt;=$L267)/($H$6:$H$14&gt;=$L267),$F$6:$F$14)</f>
        <v>FY19</v>
      </c>
      <c r="L267" s="118">
        <v>43634</v>
      </c>
      <c r="M267" s="49">
        <v>61295996.435594909</v>
      </c>
      <c r="N267" s="49">
        <v>80395828.924926281</v>
      </c>
      <c r="O267" s="50">
        <v>70000000</v>
      </c>
      <c r="P267" s="119" cm="1">
        <f t="array" ref="P267">LOOKUP(2,1/($B$10:$B$14&lt;=$L267)/($C$10:$C$14&gt;=$L267),$D$10:$D$14)</f>
        <v>1.1000000000000001</v>
      </c>
      <c r="Q267" s="120" cm="1">
        <f t="array" ref="Q267">LOOKUP(2,1/($B$17:$B$21&lt;=$L267)/($C$17:$C$21&gt;=$L267),$D$17:$D$21)</f>
        <v>134.49039999999999</v>
      </c>
      <c r="R267" s="113" t="str">
        <f t="shared" si="251"/>
        <v/>
      </c>
      <c r="S267" s="113" t="str">
        <f t="shared" si="252"/>
        <v>2H19</v>
      </c>
      <c r="T267" s="113" t="str">
        <f t="shared" ca="1" si="253"/>
        <v/>
      </c>
      <c r="U267" s="113" t="str">
        <f t="shared" si="254"/>
        <v/>
      </c>
      <c r="V267" s="113" t="str">
        <f t="shared" si="229"/>
        <v>FY19</v>
      </c>
      <c r="W267" s="113" t="str">
        <f t="shared" ca="1" si="230"/>
        <v/>
      </c>
      <c r="X267" s="50"/>
      <c r="AR267" s="50"/>
      <c r="BF267" s="50"/>
      <c r="BY267" s="50"/>
      <c r="CO267" s="50"/>
      <c r="DE267" s="50"/>
      <c r="DF267" s="146">
        <v>8</v>
      </c>
      <c r="DG267" s="145">
        <v>250000000</v>
      </c>
      <c r="DH267" s="145"/>
      <c r="DI267" s="173">
        <f t="shared" si="250"/>
        <v>411108750</v>
      </c>
      <c r="DJ267" s="145">
        <v>304525000</v>
      </c>
      <c r="DK267" s="145"/>
      <c r="DL267" s="146"/>
      <c r="DN267" s="179" t="s">
        <v>0</v>
      </c>
      <c r="DO267" s="185">
        <f>DI258</f>
        <v>1</v>
      </c>
      <c r="DP267" s="181"/>
      <c r="DQ267" s="181"/>
      <c r="DR267" s="181"/>
      <c r="DS267" s="181"/>
      <c r="DT267" s="181"/>
      <c r="DU267" s="182"/>
    </row>
    <row r="268" spans="10:125" x14ac:dyDescent="0.25">
      <c r="J268" s="86" t="str" cm="1">
        <f t="array" ref="J268">LOOKUP(2,1/($G$17:$G$33&lt;=$L268)/($H$17:$H$33&gt;=$L268),$F$17:$F$33)</f>
        <v>2H19</v>
      </c>
      <c r="K268" s="86" t="str" cm="1">
        <f t="array" ref="K268">LOOKUP(2,1/($G$6:$G$14&lt;=$L268)/($H$6:$H$14&gt;=$L268),$F$6:$F$14)</f>
        <v>FY19</v>
      </c>
      <c r="L268" s="118">
        <v>43627</v>
      </c>
      <c r="M268" s="49">
        <v>40267214.355948873</v>
      </c>
      <c r="N268" s="49">
        <v>52814478.349262536</v>
      </c>
      <c r="O268" s="50">
        <v>50000000</v>
      </c>
      <c r="P268" s="119" cm="1">
        <f t="array" ref="P268">LOOKUP(2,1/($B$10:$B$14&lt;=$L268)/($C$10:$C$14&gt;=$L268),$D$10:$D$14)</f>
        <v>1.1000000000000001</v>
      </c>
      <c r="Q268" s="120" cm="1">
        <f t="array" ref="Q268">LOOKUP(2,1/($B$17:$B$21&lt;=$L268)/($C$17:$C$21&gt;=$L268),$D$17:$D$21)</f>
        <v>134.49039999999999</v>
      </c>
      <c r="R268" s="113" t="str">
        <f t="shared" si="251"/>
        <v/>
      </c>
      <c r="S268" s="113" t="str">
        <f t="shared" si="252"/>
        <v>2H19</v>
      </c>
      <c r="T268" s="113" t="str">
        <f t="shared" ca="1" si="253"/>
        <v/>
      </c>
      <c r="U268" s="113" t="str">
        <f t="shared" si="254"/>
        <v/>
      </c>
      <c r="V268" s="113" t="str">
        <f t="shared" si="229"/>
        <v>FY19</v>
      </c>
      <c r="W268" s="113" t="str">
        <f t="shared" ca="1" si="230"/>
        <v/>
      </c>
      <c r="X268" s="50"/>
      <c r="AR268" s="50"/>
      <c r="BF268" s="50"/>
      <c r="BY268" s="50"/>
      <c r="CO268" s="50"/>
      <c r="DE268" s="50"/>
      <c r="DF268" s="146">
        <v>9</v>
      </c>
      <c r="DG268" s="145">
        <v>300000000</v>
      </c>
      <c r="DH268" s="145"/>
      <c r="DI268" s="173">
        <f t="shared" si="250"/>
        <v>488936250.00000006</v>
      </c>
      <c r="DJ268" s="145">
        <v>362175000</v>
      </c>
      <c r="DK268" s="145"/>
      <c r="DL268" s="146"/>
      <c r="DN268" s="2"/>
      <c r="DO268" s="2"/>
      <c r="DP268" s="2"/>
      <c r="DQ268" s="2"/>
      <c r="DR268" s="2"/>
      <c r="DS268" s="2"/>
      <c r="DT268" s="2"/>
      <c r="DU268" s="2"/>
    </row>
    <row r="269" spans="10:125" x14ac:dyDescent="0.25">
      <c r="J269" s="86" t="str" cm="1">
        <f t="array" ref="J269">LOOKUP(2,1/($G$17:$G$33&lt;=$L269)/($H$17:$H$33&gt;=$L269),$F$17:$F$33)</f>
        <v>2H19</v>
      </c>
      <c r="K269" s="86" t="str" cm="1">
        <f t="array" ref="K269">LOOKUP(2,1/($G$6:$G$14&lt;=$L269)/($H$6:$H$14&gt;=$L269),$F$6:$F$14)</f>
        <v>FY19</v>
      </c>
      <c r="L269" s="118">
        <v>43620</v>
      </c>
      <c r="M269" s="49">
        <v>33138245.329400204</v>
      </c>
      <c r="N269" s="49">
        <v>43464122.574041307</v>
      </c>
      <c r="O269" s="50">
        <v>40000000</v>
      </c>
      <c r="P269" s="119" cm="1">
        <f t="array" ref="P269">LOOKUP(2,1/($B$10:$B$14&lt;=$L269)/($C$10:$C$14&gt;=$L269),$D$10:$D$14)</f>
        <v>1.1000000000000001</v>
      </c>
      <c r="Q269" s="120" cm="1">
        <f t="array" ref="Q269">LOOKUP(2,1/($B$17:$B$21&lt;=$L269)/($C$17:$C$21&gt;=$L269),$D$17:$D$21)</f>
        <v>134.49039999999999</v>
      </c>
      <c r="R269" s="113" t="str">
        <f t="shared" si="251"/>
        <v/>
      </c>
      <c r="S269" s="113" t="str">
        <f t="shared" si="252"/>
        <v>2H19</v>
      </c>
      <c r="T269" s="113" t="str">
        <f t="shared" ca="1" si="253"/>
        <v/>
      </c>
      <c r="U269" s="113" t="str">
        <f t="shared" si="254"/>
        <v/>
      </c>
      <c r="V269" s="113" t="str">
        <f t="shared" si="229"/>
        <v>FY19</v>
      </c>
      <c r="W269" s="113" t="str">
        <f t="shared" ca="1" si="230"/>
        <v/>
      </c>
      <c r="X269" s="50"/>
      <c r="AR269" s="50"/>
      <c r="BF269" s="50"/>
      <c r="BY269" s="50"/>
      <c r="CO269" s="50"/>
      <c r="DE269" s="50"/>
      <c r="DF269" s="146">
        <v>10</v>
      </c>
      <c r="DG269" s="145">
        <v>350000000</v>
      </c>
      <c r="DH269" s="145"/>
      <c r="DI269" s="173">
        <f t="shared" si="250"/>
        <v>566763750</v>
      </c>
      <c r="DJ269" s="145">
        <v>419825000</v>
      </c>
      <c r="DK269" s="145"/>
      <c r="DL269" s="146"/>
      <c r="DN269" s="188"/>
      <c r="DO269" s="188"/>
      <c r="DP269" s="188"/>
      <c r="DQ269" s="188"/>
      <c r="DR269" s="188"/>
      <c r="DS269" s="188"/>
      <c r="DT269" s="188"/>
      <c r="DU269" s="188"/>
    </row>
    <row r="270" spans="10:125" x14ac:dyDescent="0.25">
      <c r="J270" s="86" t="str" cm="1">
        <f t="array" ref="J270">LOOKUP(2,1/($G$17:$G$33&lt;=$L270)/($H$17:$H$33&gt;=$L270),$F$17:$F$33)</f>
        <v>2H19</v>
      </c>
      <c r="K270" s="86" t="str" cm="1">
        <f t="array" ref="K270">LOOKUP(2,1/($G$6:$G$14&lt;=$L270)/($H$6:$H$14&gt;=$L270),$F$6:$F$14)</f>
        <v>FY19</v>
      </c>
      <c r="L270" s="118">
        <v>43613</v>
      </c>
      <c r="M270" s="49">
        <v>27160876.106194694</v>
      </c>
      <c r="N270" s="49">
        <v>35624205.100884959</v>
      </c>
      <c r="O270" s="50">
        <v>30000000</v>
      </c>
      <c r="P270" s="119" cm="1">
        <f t="array" ref="P270">LOOKUP(2,1/($B$10:$B$14&lt;=$L270)/($C$10:$C$14&gt;=$L270),$D$10:$D$14)</f>
        <v>1.1000000000000001</v>
      </c>
      <c r="Q270" s="120" cm="1">
        <f t="array" ref="Q270">LOOKUP(2,1/($B$17:$B$21&lt;=$L270)/($C$17:$C$21&gt;=$L270),$D$17:$D$21)</f>
        <v>134.49039999999999</v>
      </c>
      <c r="R270" s="113" t="str">
        <f t="shared" si="251"/>
        <v/>
      </c>
      <c r="S270" s="113" t="str">
        <f t="shared" si="252"/>
        <v>2H19</v>
      </c>
      <c r="T270" s="113" t="str">
        <f t="shared" ca="1" si="253"/>
        <v/>
      </c>
      <c r="U270" s="113" t="str">
        <f t="shared" si="254"/>
        <v/>
      </c>
      <c r="V270" s="113" t="str">
        <f t="shared" ref="V270:V333" si="255">IF($O269&lt;$O270,$K270,V269)</f>
        <v>FY19</v>
      </c>
      <c r="W270" s="113" t="str">
        <f t="shared" ref="W270:W333" ca="1" si="256">IF(AND(V270&lt;&gt;V269,ISNUMBER(MATCH($V269,$F$6:$F$14,0))),OFFSET($F$5,MATCH($K270,$F$6:$F$14,0)+1,0),"")</f>
        <v/>
      </c>
      <c r="X270" s="50"/>
      <c r="AR270" s="50"/>
      <c r="BF270" s="50"/>
      <c r="BY270" s="50"/>
      <c r="CO270" s="50"/>
      <c r="DE270" s="50"/>
      <c r="DN270" s="106"/>
      <c r="DO270" s="107"/>
      <c r="DP270" s="107"/>
      <c r="DQ270" s="107"/>
      <c r="DR270" s="108"/>
      <c r="DS270" s="107"/>
      <c r="DT270" s="107"/>
      <c r="DU270" s="108"/>
    </row>
    <row r="271" spans="10:125" x14ac:dyDescent="0.25">
      <c r="J271" s="86" t="str" cm="1">
        <f t="array" ref="J271">LOOKUP(2,1/($G$17:$G$33&lt;=$L271)/($H$17:$H$33&gt;=$L271),$F$17:$F$33)</f>
        <v>2H19</v>
      </c>
      <c r="K271" s="86" t="str" cm="1">
        <f t="array" ref="K271">LOOKUP(2,1/($G$6:$G$14&lt;=$L271)/($H$6:$H$14&gt;=$L271),$F$6:$F$14)</f>
        <v>FY19</v>
      </c>
      <c r="L271" s="118">
        <v>43606</v>
      </c>
      <c r="M271" s="49">
        <v>18252359.636184864</v>
      </c>
      <c r="N271" s="49">
        <v>23939794.898820065</v>
      </c>
      <c r="O271" s="50">
        <v>15000000</v>
      </c>
      <c r="P271" s="119" cm="1">
        <f t="array" ref="P271">LOOKUP(2,1/($B$10:$B$14&lt;=$L271)/($C$10:$C$14&gt;=$L271),$D$10:$D$14)</f>
        <v>1.1000000000000001</v>
      </c>
      <c r="Q271" s="120" cm="1">
        <f t="array" ref="Q271">LOOKUP(2,1/($B$17:$B$21&lt;=$L271)/($C$17:$C$21&gt;=$L271),$D$17:$D$21)</f>
        <v>134.49039999999999</v>
      </c>
      <c r="R271" s="113" t="str">
        <f t="shared" si="251"/>
        <v/>
      </c>
      <c r="S271" s="113" t="str">
        <f t="shared" si="252"/>
        <v>2H19</v>
      </c>
      <c r="T271" s="113" t="str">
        <f t="shared" ca="1" si="253"/>
        <v/>
      </c>
      <c r="U271" s="113" t="str">
        <f t="shared" si="254"/>
        <v/>
      </c>
      <c r="V271" s="113" t="str">
        <f t="shared" si="255"/>
        <v>FY19</v>
      </c>
      <c r="W271" s="113" t="str">
        <f t="shared" ca="1" si="256"/>
        <v/>
      </c>
      <c r="X271" s="50"/>
      <c r="AR271" s="50"/>
      <c r="BF271" s="50"/>
      <c r="BY271" s="50"/>
      <c r="CO271" s="50"/>
      <c r="DE271" s="50"/>
    </row>
    <row r="272" spans="10:125" x14ac:dyDescent="0.25">
      <c r="J272" s="86" t="str" cm="1">
        <f t="array" ref="J272">LOOKUP(2,1/($G$17:$G$33&lt;=$L272)/($H$17:$H$33&gt;=$L272),$F$17:$F$33)</f>
        <v>2H19</v>
      </c>
      <c r="K272" s="86" t="str" cm="1">
        <f t="array" ref="K272">LOOKUP(2,1/($G$6:$G$14&lt;=$L272)/($H$6:$H$14&gt;=$L272),$F$6:$F$14)</f>
        <v>FY19</v>
      </c>
      <c r="L272" s="118">
        <v>43599</v>
      </c>
      <c r="M272" s="49">
        <v>14241673.672566375</v>
      </c>
      <c r="N272" s="49">
        <v>18679379.188938055</v>
      </c>
      <c r="O272" s="50">
        <v>10000000</v>
      </c>
      <c r="P272" s="119" cm="1">
        <f t="array" ref="P272">LOOKUP(2,1/($B$10:$B$14&lt;=$L272)/($C$10:$C$14&gt;=$L272),$D$10:$D$14)</f>
        <v>1.1000000000000001</v>
      </c>
      <c r="Q272" s="120" cm="1">
        <f t="array" ref="Q272">LOOKUP(2,1/($B$17:$B$21&lt;=$L272)/($C$17:$C$21&gt;=$L272),$D$17:$D$21)</f>
        <v>134.49039999999999</v>
      </c>
      <c r="R272" s="113" t="str">
        <f t="shared" si="251"/>
        <v/>
      </c>
      <c r="S272" s="113" t="str">
        <f t="shared" si="252"/>
        <v>2H19</v>
      </c>
      <c r="T272" s="113" t="str">
        <f t="shared" ca="1" si="253"/>
        <v/>
      </c>
      <c r="U272" s="113" t="str">
        <f t="shared" si="254"/>
        <v/>
      </c>
      <c r="V272" s="113" t="str">
        <f t="shared" si="255"/>
        <v>FY19</v>
      </c>
      <c r="W272" s="113" t="str">
        <f t="shared" ca="1" si="256"/>
        <v/>
      </c>
      <c r="X272" s="50"/>
      <c r="AR272" s="50"/>
      <c r="BF272" s="50"/>
      <c r="BY272" s="50"/>
      <c r="CO272" s="50"/>
      <c r="DE272" s="50"/>
    </row>
    <row r="273" spans="10:23" x14ac:dyDescent="0.25">
      <c r="J273" s="86" t="str" cm="1">
        <f t="array" ref="J273">LOOKUP(2,1/($G$17:$G$33&lt;=$L273)/($H$17:$H$33&gt;=$L273),$F$17:$F$33)</f>
        <v>2H19</v>
      </c>
      <c r="K273" s="86" t="str" cm="1">
        <f t="array" ref="K273">LOOKUP(2,1/($G$6:$G$14&lt;=$L273)/($H$6:$H$14&gt;=$L273),$F$6:$F$14)</f>
        <v>FY19</v>
      </c>
      <c r="L273" s="118">
        <v>43592</v>
      </c>
      <c r="M273" s="49">
        <v>9504586.4060963653</v>
      </c>
      <c r="N273" s="49">
        <v>12466215.530235991</v>
      </c>
      <c r="O273" s="50">
        <v>5000000</v>
      </c>
      <c r="P273" s="119" cm="1">
        <f t="array" ref="P273">LOOKUP(2,1/($B$10:$B$14&lt;=$L273)/($C$10:$C$14&gt;=$L273),$D$10:$D$14)</f>
        <v>1.1000000000000001</v>
      </c>
      <c r="Q273" s="120" cm="1">
        <f t="array" ref="Q273">LOOKUP(2,1/($B$17:$B$21&lt;=$L273)/($C$17:$C$21&gt;=$L273),$D$17:$D$21)</f>
        <v>134.49039999999999</v>
      </c>
      <c r="R273" s="113" t="str">
        <f t="shared" si="251"/>
        <v/>
      </c>
      <c r="S273" s="113" t="str">
        <f t="shared" si="252"/>
        <v>2H19</v>
      </c>
      <c r="T273" s="113" t="str">
        <f t="shared" ca="1" si="253"/>
        <v/>
      </c>
      <c r="U273" s="113" t="str">
        <f t="shared" si="254"/>
        <v/>
      </c>
      <c r="V273" s="113" t="str">
        <f t="shared" si="255"/>
        <v>FY19</v>
      </c>
      <c r="W273" s="113" t="str">
        <f t="shared" ca="1" si="256"/>
        <v/>
      </c>
    </row>
    <row r="274" spans="10:23" x14ac:dyDescent="0.25">
      <c r="J274" s="86" t="str" cm="1">
        <f t="array" ref="J274">LOOKUP(2,1/($G$17:$G$33&lt;=$L274)/($H$17:$H$33&gt;=$L274),$F$17:$F$33)</f>
        <v>2H19</v>
      </c>
      <c r="K274" s="86" t="str" cm="1">
        <f t="array" ref="K274">LOOKUP(2,1/($G$6:$G$14&lt;=$L274)/($H$6:$H$14&gt;=$L274),$F$6:$F$14)</f>
        <v>FY19</v>
      </c>
      <c r="L274" s="118">
        <v>43585</v>
      </c>
      <c r="M274" s="49">
        <v>7781780.9734513285</v>
      </c>
      <c r="N274" s="49">
        <v>10206583.924778761</v>
      </c>
      <c r="O274" s="50">
        <v>2000000</v>
      </c>
      <c r="P274" s="119" cm="1">
        <f t="array" ref="P274">LOOKUP(2,1/($B$10:$B$14&lt;=$L274)/($C$10:$C$14&gt;=$L274),$D$10:$D$14)</f>
        <v>1.1000000000000001</v>
      </c>
      <c r="Q274" s="120" cm="1">
        <f t="array" ref="Q274">LOOKUP(2,1/($B$17:$B$21&lt;=$L274)/($C$17:$C$21&gt;=$L274),$D$17:$D$21)</f>
        <v>134.49039999999999</v>
      </c>
      <c r="R274" s="113" t="str">
        <f t="shared" si="251"/>
        <v/>
      </c>
      <c r="S274" s="113" t="str">
        <f t="shared" si="252"/>
        <v>2H19</v>
      </c>
      <c r="T274" s="113" t="str">
        <f t="shared" ca="1" si="253"/>
        <v/>
      </c>
      <c r="U274" s="113" t="str">
        <f t="shared" si="254"/>
        <v/>
      </c>
      <c r="V274" s="113" t="str">
        <f t="shared" si="255"/>
        <v>FY19</v>
      </c>
      <c r="W274" s="113" t="str">
        <f t="shared" ca="1" si="256"/>
        <v/>
      </c>
    </row>
    <row r="275" spans="10:23" x14ac:dyDescent="0.25">
      <c r="J275" s="86" t="str" cm="1">
        <f t="array" ref="J275">LOOKUP(2,1/($G$17:$G$33&lt;=$L275)/($H$17:$H$33&gt;=$L275),$F$17:$F$33)</f>
        <v>2H19</v>
      </c>
      <c r="K275" s="86" t="str" cm="1">
        <f t="array" ref="K275">LOOKUP(2,1/($G$6:$G$14&lt;=$L275)/($H$6:$H$14&gt;=$L275),$F$6:$F$14)</f>
        <v>FY19</v>
      </c>
      <c r="L275" s="118">
        <v>43578</v>
      </c>
      <c r="M275" s="49">
        <v>16349433.997050151</v>
      </c>
      <c r="N275" s="49">
        <v>21443917.630530976</v>
      </c>
      <c r="O275" s="50">
        <v>15000000</v>
      </c>
      <c r="P275" s="119" cm="1">
        <f t="array" ref="P275">LOOKUP(2,1/($B$10:$B$14&lt;=$L275)/($C$10:$C$14&gt;=$L275),$D$10:$D$14)</f>
        <v>1.1000000000000001</v>
      </c>
      <c r="Q275" s="120" cm="1">
        <f t="array" ref="Q275">LOOKUP(2,1/($B$17:$B$21&lt;=$L275)/($C$17:$C$21&gt;=$L275),$D$17:$D$21)</f>
        <v>134.49039999999999</v>
      </c>
      <c r="R275" s="113" t="str">
        <f t="shared" si="251"/>
        <v/>
      </c>
      <c r="S275" s="113" t="str">
        <f t="shared" si="252"/>
        <v>2H19</v>
      </c>
      <c r="T275" s="113" t="str">
        <f t="shared" ca="1" si="253"/>
        <v/>
      </c>
      <c r="U275" s="113" t="str">
        <f t="shared" si="254"/>
        <v/>
      </c>
      <c r="V275" s="113" t="str">
        <f t="shared" si="255"/>
        <v>FY19</v>
      </c>
      <c r="W275" s="113" t="str">
        <f t="shared" ca="1" si="256"/>
        <v/>
      </c>
    </row>
    <row r="276" spans="10:23" x14ac:dyDescent="0.25">
      <c r="J276" s="86" t="str" cm="1">
        <f t="array" ref="J276">LOOKUP(2,1/($G$17:$G$33&lt;=$L276)/($H$17:$H$33&gt;=$L276),$F$17:$F$33)</f>
        <v>2H19</v>
      </c>
      <c r="K276" s="86" t="str" cm="1">
        <f t="array" ref="K276">LOOKUP(2,1/($G$6:$G$14&lt;=$L276)/($H$6:$H$14&gt;=$L276),$F$6:$F$14)</f>
        <v>FY19</v>
      </c>
      <c r="L276" s="118">
        <v>43571</v>
      </c>
      <c r="M276" s="49">
        <v>15318182.645034416</v>
      </c>
      <c r="N276" s="49">
        <v>20091328.357227139</v>
      </c>
      <c r="O276" s="50">
        <v>10000000</v>
      </c>
      <c r="P276" s="119" cm="1">
        <f t="array" ref="P276">LOOKUP(2,1/($B$10:$B$14&lt;=$L276)/($C$10:$C$14&gt;=$L276),$D$10:$D$14)</f>
        <v>1.1000000000000001</v>
      </c>
      <c r="Q276" s="120" cm="1">
        <f t="array" ref="Q276">LOOKUP(2,1/($B$17:$B$21&lt;=$L276)/($C$17:$C$21&gt;=$L276),$D$17:$D$21)</f>
        <v>134.49039999999999</v>
      </c>
      <c r="R276" s="113" t="str">
        <f t="shared" si="251"/>
        <v/>
      </c>
      <c r="S276" s="113" t="str">
        <f t="shared" si="252"/>
        <v>2H19</v>
      </c>
      <c r="T276" s="113" t="str">
        <f t="shared" ca="1" si="253"/>
        <v/>
      </c>
      <c r="U276" s="113" t="str">
        <f t="shared" si="254"/>
        <v/>
      </c>
      <c r="V276" s="113" t="str">
        <f t="shared" si="255"/>
        <v>FY19</v>
      </c>
      <c r="W276" s="113" t="str">
        <f t="shared" ca="1" si="256"/>
        <v/>
      </c>
    </row>
    <row r="277" spans="10:23" x14ac:dyDescent="0.25">
      <c r="J277" s="86" t="str" cm="1">
        <f t="array" ref="J277">LOOKUP(2,1/($G$17:$G$33&lt;=$L277)/($H$17:$H$33&gt;=$L277),$F$17:$F$33)</f>
        <v>2H19</v>
      </c>
      <c r="K277" s="86" t="str" cm="1">
        <f t="array" ref="K277">LOOKUP(2,1/($G$6:$G$14&lt;=$L277)/($H$6:$H$14&gt;=$L277),$F$6:$F$14)</f>
        <v>FY19</v>
      </c>
      <c r="L277" s="118">
        <v>43564</v>
      </c>
      <c r="M277" s="49">
        <v>10928040.437561458</v>
      </c>
      <c r="N277" s="49">
        <v>14333217.837905606</v>
      </c>
      <c r="O277" s="50">
        <v>5000000</v>
      </c>
      <c r="P277" s="119" cm="1">
        <f t="array" ref="P277">LOOKUP(2,1/($B$10:$B$14&lt;=$L277)/($C$10:$C$14&gt;=$L277),$D$10:$D$14)</f>
        <v>1.1000000000000001</v>
      </c>
      <c r="Q277" s="120" cm="1">
        <f t="array" ref="Q277">LOOKUP(2,1/($B$17:$B$21&lt;=$L277)/($C$17:$C$21&gt;=$L277),$D$17:$D$21)</f>
        <v>134.49039999999999</v>
      </c>
      <c r="R277" s="113" t="str">
        <f t="shared" si="251"/>
        <v/>
      </c>
      <c r="S277" s="113" t="str">
        <f t="shared" si="252"/>
        <v>2H19</v>
      </c>
      <c r="T277" s="113" t="str">
        <f t="shared" ca="1" si="253"/>
        <v/>
      </c>
      <c r="U277" s="113" t="str">
        <f t="shared" si="254"/>
        <v/>
      </c>
      <c r="V277" s="113" t="str">
        <f t="shared" si="255"/>
        <v>FY19</v>
      </c>
      <c r="W277" s="113" t="str">
        <f t="shared" ca="1" si="256"/>
        <v/>
      </c>
    </row>
    <row r="278" spans="10:23" x14ac:dyDescent="0.25">
      <c r="J278" s="86" t="str" cm="1">
        <f t="array" ref="J278">LOOKUP(2,1/($G$17:$G$33&lt;=$L278)/($H$17:$H$33&gt;=$L278),$F$17:$F$33)</f>
        <v>2H19</v>
      </c>
      <c r="K278" s="86" t="str" cm="1">
        <f t="array" ref="K278">LOOKUP(2,1/($G$6:$G$14&lt;=$L278)/($H$6:$H$14&gt;=$L278),$F$6:$F$14)</f>
        <v>FY19</v>
      </c>
      <c r="L278" s="118">
        <v>43557</v>
      </c>
      <c r="M278" s="49">
        <v>8602430.8013765998</v>
      </c>
      <c r="N278" s="49">
        <v>11282948.239085548</v>
      </c>
      <c r="O278" s="50">
        <v>2000000</v>
      </c>
      <c r="P278" s="119" cm="1">
        <f t="array" ref="P278">LOOKUP(2,1/($B$10:$B$14&lt;=$L278)/($C$10:$C$14&gt;=$L278),$D$10:$D$14)</f>
        <v>1.1000000000000001</v>
      </c>
      <c r="Q278" s="120" cm="1">
        <f t="array" ref="Q278">LOOKUP(2,1/($B$17:$B$21&lt;=$L278)/($C$17:$C$21&gt;=$L278),$D$17:$D$21)</f>
        <v>134.49039999999999</v>
      </c>
      <c r="R278" s="113" t="str">
        <f t="shared" si="251"/>
        <v/>
      </c>
      <c r="S278" s="113" t="str">
        <f t="shared" si="252"/>
        <v>2H19</v>
      </c>
      <c r="T278" s="113" t="str">
        <f t="shared" ca="1" si="253"/>
        <v/>
      </c>
      <c r="U278" s="113" t="str">
        <f t="shared" si="254"/>
        <v/>
      </c>
      <c r="V278" s="113" t="str">
        <f t="shared" si="255"/>
        <v>FY19</v>
      </c>
      <c r="W278" s="113" t="str">
        <f t="shared" ca="1" si="256"/>
        <v/>
      </c>
    </row>
    <row r="279" spans="10:23" x14ac:dyDescent="0.25">
      <c r="J279" s="86" t="str" cm="1">
        <f t="array" ref="J279">LOOKUP(2,1/($G$17:$G$33&lt;=$L279)/($H$17:$H$33&gt;=$L279),$F$17:$F$33)</f>
        <v>2H19</v>
      </c>
      <c r="K279" s="86" t="str" cm="1">
        <f t="array" ref="K279">LOOKUP(2,1/($G$6:$G$14&lt;=$L279)/($H$6:$H$14&gt;=$L279),$F$6:$F$14)</f>
        <v>FY19</v>
      </c>
      <c r="L279" s="118">
        <v>43550</v>
      </c>
      <c r="M279" s="49">
        <v>60594309.611602761</v>
      </c>
      <c r="N279" s="49">
        <v>79475496.486578166</v>
      </c>
      <c r="O279" s="50">
        <v>70000000</v>
      </c>
      <c r="P279" s="119" cm="1">
        <f t="array" ref="P279">LOOKUP(2,1/($B$10:$B$14&lt;=$L279)/($C$10:$C$14&gt;=$L279),$D$10:$D$14)</f>
        <v>1.1000000000000001</v>
      </c>
      <c r="Q279" s="120" cm="1">
        <f t="array" ref="Q279">LOOKUP(2,1/($B$17:$B$21&lt;=$L279)/($C$17:$C$21&gt;=$L279),$D$17:$D$21)</f>
        <v>134.49039999999999</v>
      </c>
      <c r="R279" s="113" t="str">
        <f t="shared" si="251"/>
        <v/>
      </c>
      <c r="S279" s="113" t="str">
        <f t="shared" si="252"/>
        <v>2H19</v>
      </c>
      <c r="T279" s="113" t="str">
        <f t="shared" ca="1" si="253"/>
        <v/>
      </c>
      <c r="U279" s="113" t="str">
        <f t="shared" si="254"/>
        <v/>
      </c>
      <c r="V279" s="113" t="str">
        <f t="shared" si="255"/>
        <v>FY19</v>
      </c>
      <c r="W279" s="113" t="str">
        <f t="shared" ca="1" si="256"/>
        <v/>
      </c>
    </row>
    <row r="280" spans="10:23" x14ac:dyDescent="0.25">
      <c r="J280" s="86" t="str" cm="1">
        <f t="array" ref="J280">LOOKUP(2,1/($G$17:$G$33&lt;=$L280)/($H$17:$H$33&gt;=$L280),$F$17:$F$33)</f>
        <v>2H19</v>
      </c>
      <c r="K280" s="86" t="str" cm="1">
        <f t="array" ref="K280">LOOKUP(2,1/($G$6:$G$14&lt;=$L280)/($H$6:$H$14&gt;=$L280),$F$6:$F$14)</f>
        <v>FY19</v>
      </c>
      <c r="L280" s="118">
        <v>43543</v>
      </c>
      <c r="M280" s="49">
        <v>43833553.34316618</v>
      </c>
      <c r="N280" s="49">
        <v>57492088.564896755</v>
      </c>
      <c r="O280" s="50">
        <v>50000000</v>
      </c>
      <c r="P280" s="119" cm="1">
        <f t="array" ref="P280">LOOKUP(2,1/($B$10:$B$14&lt;=$L280)/($C$10:$C$14&gt;=$L280),$D$10:$D$14)</f>
        <v>1.1000000000000001</v>
      </c>
      <c r="Q280" s="120" cm="1">
        <f t="array" ref="Q280">LOOKUP(2,1/($B$17:$B$21&lt;=$L280)/($C$17:$C$21&gt;=$L280),$D$17:$D$21)</f>
        <v>134.49039999999999</v>
      </c>
      <c r="R280" s="113" t="str">
        <f t="shared" si="251"/>
        <v/>
      </c>
      <c r="S280" s="113" t="str">
        <f t="shared" si="252"/>
        <v>2H19</v>
      </c>
      <c r="T280" s="113" t="str">
        <f t="shared" ca="1" si="253"/>
        <v/>
      </c>
      <c r="U280" s="113" t="str">
        <f t="shared" si="254"/>
        <v/>
      </c>
      <c r="V280" s="113" t="str">
        <f t="shared" si="255"/>
        <v>FY19</v>
      </c>
      <c r="W280" s="113" t="str">
        <f t="shared" ca="1" si="256"/>
        <v/>
      </c>
    </row>
    <row r="281" spans="10:23" x14ac:dyDescent="0.25">
      <c r="J281" s="86" t="str" cm="1">
        <f t="array" ref="J281">LOOKUP(2,1/($G$17:$G$33&lt;=$L281)/($H$17:$H$33&gt;=$L281),$F$17:$F$33)</f>
        <v>2H19</v>
      </c>
      <c r="K281" s="86" t="str" cm="1">
        <f t="array" ref="K281">LOOKUP(2,1/($G$6:$G$14&lt;=$L281)/($H$6:$H$14&gt;=$L281),$F$6:$F$14)</f>
        <v>FY19</v>
      </c>
      <c r="L281" s="118">
        <v>43536</v>
      </c>
      <c r="M281" s="49">
        <v>31614050.884955756</v>
      </c>
      <c r="N281" s="49">
        <v>41464989.14070797</v>
      </c>
      <c r="O281" s="50">
        <v>40000000</v>
      </c>
      <c r="P281" s="119" cm="1">
        <f t="array" ref="P281">LOOKUP(2,1/($B$10:$B$14&lt;=$L281)/($C$10:$C$14&gt;=$L281),$D$10:$D$14)</f>
        <v>1.1000000000000001</v>
      </c>
      <c r="Q281" s="120" cm="1">
        <f t="array" ref="Q281">LOOKUP(2,1/($B$17:$B$21&lt;=$L281)/($C$17:$C$21&gt;=$L281),$D$17:$D$21)</f>
        <v>134.49039999999999</v>
      </c>
      <c r="R281" s="113" t="str">
        <f t="shared" si="251"/>
        <v/>
      </c>
      <c r="S281" s="113" t="str">
        <f t="shared" si="252"/>
        <v>2H19</v>
      </c>
      <c r="T281" s="113" t="str">
        <f t="shared" ca="1" si="253"/>
        <v/>
      </c>
      <c r="U281" s="113" t="str">
        <f t="shared" si="254"/>
        <v/>
      </c>
      <c r="V281" s="113" t="str">
        <f t="shared" si="255"/>
        <v>FY19</v>
      </c>
      <c r="W281" s="113" t="str">
        <f t="shared" ca="1" si="256"/>
        <v/>
      </c>
    </row>
    <row r="282" spans="10:23" x14ac:dyDescent="0.25">
      <c r="J282" s="86" t="str" cm="1">
        <f t="array" ref="J282">LOOKUP(2,1/($G$17:$G$33&lt;=$L282)/($H$17:$H$33&gt;=$L282),$F$17:$F$33)</f>
        <v>2H19</v>
      </c>
      <c r="K282" s="86" t="str" cm="1">
        <f t="array" ref="K282">LOOKUP(2,1/($G$6:$G$14&lt;=$L282)/($H$6:$H$14&gt;=$L282),$F$6:$F$14)</f>
        <v>FY19</v>
      </c>
      <c r="L282" s="118">
        <v>43529</v>
      </c>
      <c r="M282" s="49">
        <v>24266503.441494595</v>
      </c>
      <c r="N282" s="49">
        <v>31827945.913864307</v>
      </c>
      <c r="O282" s="50">
        <v>30000000</v>
      </c>
      <c r="P282" s="119" cm="1">
        <f t="array" ref="P282">LOOKUP(2,1/($B$10:$B$14&lt;=$L282)/($C$10:$C$14&gt;=$L282),$D$10:$D$14)</f>
        <v>1.1000000000000001</v>
      </c>
      <c r="Q282" s="120" cm="1">
        <f t="array" ref="Q282">LOOKUP(2,1/($B$17:$B$21&lt;=$L282)/($C$17:$C$21&gt;=$L282),$D$17:$D$21)</f>
        <v>134.49039999999999</v>
      </c>
      <c r="R282" s="113" t="str">
        <f t="shared" si="251"/>
        <v/>
      </c>
      <c r="S282" s="113" t="str">
        <f t="shared" si="252"/>
        <v>2H19</v>
      </c>
      <c r="T282" s="113" t="str">
        <f t="shared" ca="1" si="253"/>
        <v/>
      </c>
      <c r="U282" s="113" t="str">
        <f t="shared" si="254"/>
        <v/>
      </c>
      <c r="V282" s="113" t="str">
        <f t="shared" si="255"/>
        <v>FY19</v>
      </c>
      <c r="W282" s="113" t="str">
        <f t="shared" ca="1" si="256"/>
        <v/>
      </c>
    </row>
    <row r="283" spans="10:23" x14ac:dyDescent="0.25">
      <c r="J283" s="86" t="str" cm="1">
        <f t="array" ref="J283">LOOKUP(2,1/($G$17:$G$33&lt;=$L283)/($H$17:$H$33&gt;=$L283),$F$17:$F$33)</f>
        <v>2H19</v>
      </c>
      <c r="K283" s="86" t="str" cm="1">
        <f t="array" ref="K283">LOOKUP(2,1/($G$6:$G$14&lt;=$L283)/($H$6:$H$14&gt;=$L283),$F$6:$F$14)</f>
        <v>FY19</v>
      </c>
      <c r="L283" s="118">
        <v>43522</v>
      </c>
      <c r="M283" s="49">
        <v>14410134.709931174</v>
      </c>
      <c r="N283" s="49">
        <v>18900332.685545728</v>
      </c>
      <c r="O283" s="50">
        <v>15000000</v>
      </c>
      <c r="P283" s="119" cm="1">
        <f t="array" ref="P283">LOOKUP(2,1/($B$10:$B$14&lt;=$L283)/($C$10:$C$14&gt;=$L283),$D$10:$D$14)</f>
        <v>1.1000000000000001</v>
      </c>
      <c r="Q283" s="120" cm="1">
        <f t="array" ref="Q283">LOOKUP(2,1/($B$17:$B$21&lt;=$L283)/($C$17:$C$21&gt;=$L283),$D$17:$D$21)</f>
        <v>134.49039999999999</v>
      </c>
      <c r="R283" s="113" t="str">
        <f t="shared" si="251"/>
        <v/>
      </c>
      <c r="S283" s="113" t="str">
        <f t="shared" si="252"/>
        <v>2H19</v>
      </c>
      <c r="T283" s="113" t="str">
        <f t="shared" ca="1" si="253"/>
        <v/>
      </c>
      <c r="U283" s="113" t="str">
        <f t="shared" si="254"/>
        <v/>
      </c>
      <c r="V283" s="113" t="str">
        <f t="shared" si="255"/>
        <v>FY19</v>
      </c>
      <c r="W283" s="113" t="str">
        <f t="shared" ca="1" si="256"/>
        <v/>
      </c>
    </row>
    <row r="284" spans="10:23" x14ac:dyDescent="0.25">
      <c r="J284" s="86" t="str" cm="1">
        <f t="array" ref="J284">LOOKUP(2,1/($G$17:$G$33&lt;=$L284)/($H$17:$H$33&gt;=$L284),$F$17:$F$33)</f>
        <v>2H19</v>
      </c>
      <c r="K284" s="86" t="str" cm="1">
        <f t="array" ref="K284">LOOKUP(2,1/($G$6:$G$14&lt;=$L284)/($H$6:$H$14&gt;=$L284),$F$6:$F$14)</f>
        <v>FY19</v>
      </c>
      <c r="L284" s="118">
        <v>43515</v>
      </c>
      <c r="M284" s="49">
        <v>12443073.623402163</v>
      </c>
      <c r="N284" s="49">
        <v>16320335.364454277</v>
      </c>
      <c r="O284" s="50">
        <v>10000000</v>
      </c>
      <c r="P284" s="119" cm="1">
        <f t="array" ref="P284">LOOKUP(2,1/($B$10:$B$14&lt;=$L284)/($C$10:$C$14&gt;=$L284),$D$10:$D$14)</f>
        <v>1.1000000000000001</v>
      </c>
      <c r="Q284" s="120" cm="1">
        <f t="array" ref="Q284">LOOKUP(2,1/($B$17:$B$21&lt;=$L284)/($C$17:$C$21&gt;=$L284),$D$17:$D$21)</f>
        <v>134.49039999999999</v>
      </c>
      <c r="R284" s="113" t="str">
        <f t="shared" si="251"/>
        <v/>
      </c>
      <c r="S284" s="113" t="str">
        <f t="shared" si="252"/>
        <v>2H19</v>
      </c>
      <c r="T284" s="113" t="str">
        <f t="shared" ca="1" si="253"/>
        <v/>
      </c>
      <c r="U284" s="113" t="str">
        <f t="shared" si="254"/>
        <v/>
      </c>
      <c r="V284" s="113" t="str">
        <f t="shared" si="255"/>
        <v>FY19</v>
      </c>
      <c r="W284" s="113" t="str">
        <f t="shared" ca="1" si="256"/>
        <v/>
      </c>
    </row>
    <row r="285" spans="10:23" x14ac:dyDescent="0.25">
      <c r="J285" s="86" t="str" cm="1">
        <f t="array" ref="J285">LOOKUP(2,1/($G$17:$G$33&lt;=$L285)/($H$17:$H$33&gt;=$L285),$F$17:$F$33)</f>
        <v>2H19</v>
      </c>
      <c r="K285" s="86" t="str" cm="1">
        <f t="array" ref="K285">LOOKUP(2,1/($G$6:$G$14&lt;=$L285)/($H$6:$H$14&gt;=$L285),$F$6:$F$14)</f>
        <v>FY19</v>
      </c>
      <c r="L285" s="118">
        <v>43508</v>
      </c>
      <c r="M285" s="49">
        <v>9004759.5870206505</v>
      </c>
      <c r="N285" s="49">
        <v>11810642.674336284</v>
      </c>
      <c r="O285" s="50">
        <v>5000000</v>
      </c>
      <c r="P285" s="119" cm="1">
        <f t="array" ref="P285">LOOKUP(2,1/($B$10:$B$14&lt;=$L285)/($C$10:$C$14&gt;=$L285),$D$10:$D$14)</f>
        <v>1.1000000000000001</v>
      </c>
      <c r="Q285" s="120" cm="1">
        <f t="array" ref="Q285">LOOKUP(2,1/($B$17:$B$21&lt;=$L285)/($C$17:$C$21&gt;=$L285),$D$17:$D$21)</f>
        <v>134.49039999999999</v>
      </c>
      <c r="R285" s="113" t="str">
        <f t="shared" si="251"/>
        <v/>
      </c>
      <c r="S285" s="113" t="str">
        <f t="shared" si="252"/>
        <v>2H19</v>
      </c>
      <c r="T285" s="113" t="str">
        <f t="shared" ca="1" si="253"/>
        <v/>
      </c>
      <c r="U285" s="113" t="str">
        <f t="shared" si="254"/>
        <v/>
      </c>
      <c r="V285" s="113" t="str">
        <f t="shared" si="255"/>
        <v>FY19</v>
      </c>
      <c r="W285" s="113" t="str">
        <f t="shared" ca="1" si="256"/>
        <v/>
      </c>
    </row>
    <row r="286" spans="10:23" x14ac:dyDescent="0.25">
      <c r="J286" s="86" t="str" cm="1">
        <f t="array" ref="J286">LOOKUP(2,1/($G$17:$G$33&lt;=$L286)/($H$17:$H$33&gt;=$L286),$F$17:$F$33)</f>
        <v>2H19</v>
      </c>
      <c r="K286" s="86" t="str" cm="1">
        <f t="array" ref="K286">LOOKUP(2,1/($G$6:$G$14&lt;=$L286)/($H$6:$H$14&gt;=$L286),$F$6:$F$14)</f>
        <v>FY19</v>
      </c>
      <c r="L286" s="118">
        <v>43501</v>
      </c>
      <c r="M286" s="49">
        <v>8052857.0550639154</v>
      </c>
      <c r="N286" s="49">
        <v>10562127.313421831</v>
      </c>
      <c r="O286" s="50">
        <v>2000000</v>
      </c>
      <c r="P286" s="119" cm="1">
        <f t="array" ref="P286">LOOKUP(2,1/($B$10:$B$14&lt;=$L286)/($C$10:$C$14&gt;=$L286),$D$10:$D$14)</f>
        <v>1.1000000000000001</v>
      </c>
      <c r="Q286" s="120" cm="1">
        <f t="array" ref="Q286">LOOKUP(2,1/($B$17:$B$21&lt;=$L286)/($C$17:$C$21&gt;=$L286),$D$17:$D$21)</f>
        <v>134.49039999999999</v>
      </c>
      <c r="R286" s="113" t="str">
        <f t="shared" si="251"/>
        <v/>
      </c>
      <c r="S286" s="113" t="str">
        <f t="shared" si="252"/>
        <v>2H19</v>
      </c>
      <c r="T286" s="113" t="str">
        <f t="shared" ca="1" si="253"/>
        <v/>
      </c>
      <c r="U286" s="113" t="str">
        <f t="shared" si="254"/>
        <v/>
      </c>
      <c r="V286" s="113" t="str">
        <f t="shared" si="255"/>
        <v>FY19</v>
      </c>
      <c r="W286" s="113" t="str">
        <f t="shared" ca="1" si="256"/>
        <v/>
      </c>
    </row>
    <row r="287" spans="10:23" x14ac:dyDescent="0.25">
      <c r="J287" s="86" t="str" cm="1">
        <f t="array" ref="J287">LOOKUP(2,1/($G$17:$G$33&lt;=$L287)/($H$17:$H$33&gt;=$L287),$F$17:$F$33)</f>
        <v>2H19</v>
      </c>
      <c r="K287" s="86" t="str" cm="1">
        <f t="array" ref="K287">LOOKUP(2,1/($G$6:$G$14&lt;=$L287)/($H$6:$H$14&gt;=$L287),$F$6:$F$14)</f>
        <v>FY19</v>
      </c>
      <c r="L287" s="118">
        <v>43494</v>
      </c>
      <c r="M287" s="49">
        <v>23609991.027531959</v>
      </c>
      <c r="N287" s="49">
        <v>30966864.231710915</v>
      </c>
      <c r="O287" s="50">
        <v>20000000</v>
      </c>
      <c r="P287" s="119" cm="1">
        <f t="array" ref="P287">LOOKUP(2,1/($B$10:$B$14&lt;=$L287)/($C$10:$C$14&gt;=$L287),$D$10:$D$14)</f>
        <v>1.1000000000000001</v>
      </c>
      <c r="Q287" s="120" cm="1">
        <f t="array" ref="Q287">LOOKUP(2,1/($B$17:$B$21&lt;=$L287)/($C$17:$C$21&gt;=$L287),$D$17:$D$21)</f>
        <v>134.49039999999999</v>
      </c>
      <c r="R287" s="113" t="str">
        <f t="shared" si="251"/>
        <v/>
      </c>
      <c r="S287" s="113" t="str">
        <f t="shared" si="252"/>
        <v>2H19</v>
      </c>
      <c r="T287" s="113" t="str">
        <f t="shared" ca="1" si="253"/>
        <v/>
      </c>
      <c r="U287" s="113" t="str">
        <f t="shared" si="254"/>
        <v/>
      </c>
      <c r="V287" s="113" t="str">
        <f t="shared" si="255"/>
        <v>FY19</v>
      </c>
      <c r="W287" s="113" t="str">
        <f t="shared" ca="1" si="256"/>
        <v/>
      </c>
    </row>
    <row r="288" spans="10:23" x14ac:dyDescent="0.25">
      <c r="J288" s="86" t="str" cm="1">
        <f t="array" ref="J288">LOOKUP(2,1/($G$17:$G$33&lt;=$L288)/($H$17:$H$33&gt;=$L288),$F$17:$F$33)</f>
        <v>2H19</v>
      </c>
      <c r="K288" s="86" t="str" cm="1">
        <f t="array" ref="K288">LOOKUP(2,1/($G$6:$G$14&lt;=$L288)/($H$6:$H$14&gt;=$L288),$F$6:$F$14)</f>
        <v>FY19</v>
      </c>
      <c r="L288" s="118">
        <v>43487</v>
      </c>
      <c r="M288" s="49">
        <v>21724946.165191751</v>
      </c>
      <c r="N288" s="49">
        <v>28494439.390265498</v>
      </c>
      <c r="O288" s="50">
        <v>15000000</v>
      </c>
      <c r="P288" s="119" cm="1">
        <f t="array" ref="P288">LOOKUP(2,1/($B$10:$B$14&lt;=$L288)/($C$10:$C$14&gt;=$L288),$D$10:$D$14)</f>
        <v>1.1000000000000001</v>
      </c>
      <c r="Q288" s="120" cm="1">
        <f t="array" ref="Q288">LOOKUP(2,1/($B$17:$B$21&lt;=$L288)/($C$17:$C$21&gt;=$L288),$D$17:$D$21)</f>
        <v>134.49039999999999</v>
      </c>
      <c r="R288" s="113" t="str">
        <f t="shared" si="251"/>
        <v/>
      </c>
      <c r="S288" s="113" t="str">
        <f t="shared" si="252"/>
        <v>2H19</v>
      </c>
      <c r="T288" s="113" t="str">
        <f t="shared" ca="1" si="253"/>
        <v/>
      </c>
      <c r="U288" s="113" t="str">
        <f t="shared" si="254"/>
        <v/>
      </c>
      <c r="V288" s="113" t="str">
        <f t="shared" si="255"/>
        <v>FY19</v>
      </c>
      <c r="W288" s="113" t="str">
        <f t="shared" ca="1" si="256"/>
        <v/>
      </c>
    </row>
    <row r="289" spans="10:23" x14ac:dyDescent="0.25">
      <c r="J289" s="86" t="str" cm="1">
        <f t="array" ref="J289">LOOKUP(2,1/($G$17:$G$33&lt;=$L289)/($H$17:$H$33&gt;=$L289),$F$17:$F$33)</f>
        <v>2H19</v>
      </c>
      <c r="K289" s="86" t="str" cm="1">
        <f t="array" ref="K289">LOOKUP(2,1/($G$6:$G$14&lt;=$L289)/($H$6:$H$14&gt;=$L289),$F$6:$F$14)</f>
        <v>FY19</v>
      </c>
      <c r="L289" s="118">
        <v>43480</v>
      </c>
      <c r="M289" s="49">
        <v>12843387.659783678</v>
      </c>
      <c r="N289" s="49">
        <v>16845387.254572272</v>
      </c>
      <c r="O289" s="50">
        <v>10000000</v>
      </c>
      <c r="P289" s="119" cm="1">
        <f t="array" ref="P289">LOOKUP(2,1/($B$10:$B$14&lt;=$L289)/($C$10:$C$14&gt;=$L289),$D$10:$D$14)</f>
        <v>1.1000000000000001</v>
      </c>
      <c r="Q289" s="120" cm="1">
        <f t="array" ref="Q289">LOOKUP(2,1/($B$17:$B$21&lt;=$L289)/($C$17:$C$21&gt;=$L289),$D$17:$D$21)</f>
        <v>134.49039999999999</v>
      </c>
      <c r="R289" s="113" t="str">
        <f t="shared" si="251"/>
        <v/>
      </c>
      <c r="S289" s="113" t="str">
        <f t="shared" si="252"/>
        <v>2H19</v>
      </c>
      <c r="T289" s="113" t="str">
        <f t="shared" ca="1" si="253"/>
        <v/>
      </c>
      <c r="U289" s="113" t="str">
        <f t="shared" si="254"/>
        <v/>
      </c>
      <c r="V289" s="113" t="str">
        <f t="shared" si="255"/>
        <v>FY19</v>
      </c>
      <c r="W289" s="113" t="str">
        <f t="shared" ca="1" si="256"/>
        <v/>
      </c>
    </row>
    <row r="290" spans="10:23" x14ac:dyDescent="0.25">
      <c r="J290" s="86" t="str" cm="1">
        <f t="array" ref="J290">LOOKUP(2,1/($G$17:$G$33&lt;=$L290)/($H$17:$H$33&gt;=$L290),$F$17:$F$33)</f>
        <v>2H19</v>
      </c>
      <c r="K290" s="86" t="str" cm="1">
        <f t="array" ref="K290">LOOKUP(2,1/($G$6:$G$14&lt;=$L290)/($H$6:$H$14&gt;=$L290),$F$6:$F$14)</f>
        <v>FY19</v>
      </c>
      <c r="L290" s="118">
        <v>43473</v>
      </c>
      <c r="M290" s="49">
        <v>8769204.2772861365</v>
      </c>
      <c r="N290" s="49">
        <v>11501688.330088496</v>
      </c>
      <c r="O290" s="50">
        <v>5000000</v>
      </c>
      <c r="P290" s="119" cm="1">
        <f t="array" ref="P290">LOOKUP(2,1/($B$10:$B$14&lt;=$L290)/($C$10:$C$14&gt;=$L290),$D$10:$D$14)</f>
        <v>1.1000000000000001</v>
      </c>
      <c r="Q290" s="120" cm="1">
        <f t="array" ref="Q290">LOOKUP(2,1/($B$17:$B$21&lt;=$L290)/($C$17:$C$21&gt;=$L290),$D$17:$D$21)</f>
        <v>134.49039999999999</v>
      </c>
      <c r="R290" s="113" t="str">
        <f t="shared" si="251"/>
        <v/>
      </c>
      <c r="S290" s="113" t="str">
        <f t="shared" si="252"/>
        <v>2H19</v>
      </c>
      <c r="T290" s="113" t="str">
        <f t="shared" ca="1" si="253"/>
        <v/>
      </c>
      <c r="U290" s="113" t="str">
        <f t="shared" si="254"/>
        <v/>
      </c>
      <c r="V290" s="113" t="str">
        <f t="shared" si="255"/>
        <v>FY19</v>
      </c>
      <c r="W290" s="113" t="str">
        <f t="shared" ca="1" si="256"/>
        <v/>
      </c>
    </row>
    <row r="291" spans="10:23" x14ac:dyDescent="0.25">
      <c r="J291" s="86" t="str" cm="1">
        <f t="array" ref="J291">LOOKUP(2,1/($G$17:$G$33&lt;=$L291)/($H$17:$H$33&gt;=$L291),$F$17:$F$33)</f>
        <v>2H19</v>
      </c>
      <c r="K291" s="86" t="str" cm="1">
        <f t="array" ref="K291">LOOKUP(2,1/($G$6:$G$14&lt;=$L291)/($H$6:$H$14&gt;=$L291),$F$6:$F$14)</f>
        <v>FY19</v>
      </c>
      <c r="L291" s="118">
        <v>43466</v>
      </c>
      <c r="M291" s="49">
        <v>6368111.9714847608</v>
      </c>
      <c r="N291" s="49">
        <v>8352415.6617994113</v>
      </c>
      <c r="O291" s="50">
        <v>2000000</v>
      </c>
      <c r="P291" s="119" cm="1">
        <f t="array" ref="P291">LOOKUP(2,1/($B$10:$B$14&lt;=$L291)/($C$10:$C$14&gt;=$L291),$D$10:$D$14)</f>
        <v>1.1000000000000001</v>
      </c>
      <c r="Q291" s="120" cm="1">
        <f t="array" ref="Q291">LOOKUP(2,1/($B$17:$B$21&lt;=$L291)/($C$17:$C$21&gt;=$L291),$D$17:$D$21)</f>
        <v>134.49039999999999</v>
      </c>
      <c r="R291" s="113" t="str">
        <f t="shared" si="251"/>
        <v>2H19</v>
      </c>
      <c r="S291" s="113" t="str">
        <f t="shared" si="252"/>
        <v>2H19</v>
      </c>
      <c r="T291" s="113" t="str">
        <f t="shared" ca="1" si="253"/>
        <v/>
      </c>
      <c r="U291" s="113" t="str">
        <f t="shared" si="254"/>
        <v/>
      </c>
      <c r="V291" s="113" t="str">
        <f t="shared" si="255"/>
        <v>FY19</v>
      </c>
      <c r="W291" s="113" t="str">
        <f t="shared" ca="1" si="256"/>
        <v/>
      </c>
    </row>
    <row r="292" spans="10:23" x14ac:dyDescent="0.25">
      <c r="J292" s="86" t="str" cm="1">
        <f t="array" ref="J292">LOOKUP(2,1/($G$17:$G$33&lt;=$L292)/($H$17:$H$33&gt;=$L292),$F$17:$F$33)</f>
        <v>1H19</v>
      </c>
      <c r="K292" s="86" t="str" cm="1">
        <f t="array" ref="K292">LOOKUP(2,1/($G$6:$G$14&lt;=$L292)/($H$6:$H$14&gt;=$L292),$F$6:$F$14)</f>
        <v>FY19</v>
      </c>
      <c r="L292" s="118">
        <v>43459</v>
      </c>
      <c r="M292" s="49">
        <v>11618528.392330388</v>
      </c>
      <c r="N292" s="49">
        <v>15238861.839380534</v>
      </c>
      <c r="O292" s="50">
        <v>10000000</v>
      </c>
      <c r="P292" s="119" cm="1">
        <f t="array" ref="P292">LOOKUP(2,1/($B$10:$B$14&lt;=$L292)/($C$10:$C$14&gt;=$L292),$D$10:$D$14)</f>
        <v>1.1000000000000001</v>
      </c>
      <c r="Q292" s="120" cm="1">
        <f t="array" ref="Q292">LOOKUP(2,1/($B$17:$B$21&lt;=$L292)/($C$17:$C$21&gt;=$L292),$D$17:$D$21)</f>
        <v>134.49039999999999</v>
      </c>
      <c r="R292" s="113" t="str">
        <f t="shared" si="251"/>
        <v/>
      </c>
      <c r="S292" s="113" t="str">
        <f t="shared" si="252"/>
        <v>1H19</v>
      </c>
      <c r="T292" s="113" t="str">
        <f t="shared" ca="1" si="253"/>
        <v>2H19</v>
      </c>
      <c r="U292" s="113" t="str">
        <f t="shared" si="254"/>
        <v/>
      </c>
      <c r="V292" s="113" t="str">
        <f t="shared" si="255"/>
        <v>FY19</v>
      </c>
      <c r="W292" s="113" t="str">
        <f t="shared" ca="1" si="256"/>
        <v/>
      </c>
    </row>
    <row r="293" spans="10:23" x14ac:dyDescent="0.25">
      <c r="J293" s="86" t="str" cm="1">
        <f t="array" ref="J293">LOOKUP(2,1/($G$17:$G$33&lt;=$L293)/($H$17:$H$33&gt;=$L293),$F$17:$F$33)</f>
        <v>1H19</v>
      </c>
      <c r="K293" s="86" t="str" cm="1">
        <f t="array" ref="K293">LOOKUP(2,1/($G$6:$G$14&lt;=$L293)/($H$6:$H$14&gt;=$L293),$F$6:$F$14)</f>
        <v>FY19</v>
      </c>
      <c r="L293" s="118">
        <v>43452</v>
      </c>
      <c r="M293" s="49">
        <v>8910282.3254670613</v>
      </c>
      <c r="N293" s="49">
        <v>11686726.298082596</v>
      </c>
      <c r="O293" s="50">
        <v>5000000</v>
      </c>
      <c r="P293" s="119" cm="1">
        <f t="array" ref="P293">LOOKUP(2,1/($B$10:$B$14&lt;=$L293)/($C$10:$C$14&gt;=$L293),$D$10:$D$14)</f>
        <v>1.1000000000000001</v>
      </c>
      <c r="Q293" s="120" cm="1">
        <f t="array" ref="Q293">LOOKUP(2,1/($B$17:$B$21&lt;=$L293)/($C$17:$C$21&gt;=$L293),$D$17:$D$21)</f>
        <v>134.49039999999999</v>
      </c>
      <c r="R293" s="113" t="str">
        <f t="shared" si="251"/>
        <v/>
      </c>
      <c r="S293" s="113" t="str">
        <f t="shared" si="252"/>
        <v>1H19</v>
      </c>
      <c r="T293" s="113" t="str">
        <f t="shared" ca="1" si="253"/>
        <v/>
      </c>
      <c r="U293" s="113" t="str">
        <f t="shared" si="254"/>
        <v/>
      </c>
      <c r="V293" s="113" t="str">
        <f t="shared" si="255"/>
        <v>FY19</v>
      </c>
      <c r="W293" s="113" t="str">
        <f t="shared" ca="1" si="256"/>
        <v/>
      </c>
    </row>
    <row r="294" spans="10:23" x14ac:dyDescent="0.25">
      <c r="J294" s="86" t="str" cm="1">
        <f t="array" ref="J294">LOOKUP(2,1/($G$17:$G$33&lt;=$L294)/($H$17:$H$33&gt;=$L294),$F$17:$F$33)</f>
        <v>1H19</v>
      </c>
      <c r="K294" s="86" t="str" cm="1">
        <f t="array" ref="K294">LOOKUP(2,1/($G$6:$G$14&lt;=$L294)/($H$6:$H$14&gt;=$L294),$F$6:$F$14)</f>
        <v>FY19</v>
      </c>
      <c r="L294" s="118">
        <v>43445</v>
      </c>
      <c r="M294" s="49">
        <v>7171999.016715833</v>
      </c>
      <c r="N294" s="49">
        <v>9406793.910324486</v>
      </c>
      <c r="O294" s="50">
        <v>2000000</v>
      </c>
      <c r="P294" s="119" cm="1">
        <f t="array" ref="P294">LOOKUP(2,1/($B$10:$B$14&lt;=$L294)/($C$10:$C$14&gt;=$L294),$D$10:$D$14)</f>
        <v>1.1000000000000001</v>
      </c>
      <c r="Q294" s="120" cm="1">
        <f t="array" ref="Q294">LOOKUP(2,1/($B$17:$B$21&lt;=$L294)/($C$17:$C$21&gt;=$L294),$D$17:$D$21)</f>
        <v>134.49039999999999</v>
      </c>
      <c r="R294" s="113" t="str">
        <f t="shared" si="251"/>
        <v/>
      </c>
      <c r="S294" s="113" t="str">
        <f t="shared" si="252"/>
        <v>1H19</v>
      </c>
      <c r="T294" s="113" t="str">
        <f t="shared" ca="1" si="253"/>
        <v/>
      </c>
      <c r="U294" s="113" t="str">
        <f t="shared" si="254"/>
        <v/>
      </c>
      <c r="V294" s="113" t="str">
        <f t="shared" si="255"/>
        <v>FY19</v>
      </c>
      <c r="W294" s="113" t="str">
        <f t="shared" ca="1" si="256"/>
        <v/>
      </c>
    </row>
    <row r="295" spans="10:23" x14ac:dyDescent="0.25">
      <c r="J295" s="86" t="str" cm="1">
        <f t="array" ref="J295">LOOKUP(2,1/($G$17:$G$33&lt;=$L295)/($H$17:$H$33&gt;=$L295),$F$17:$F$33)</f>
        <v>1H19</v>
      </c>
      <c r="K295" s="86" t="str" cm="1">
        <f t="array" ref="K295">LOOKUP(2,1/($G$6:$G$14&lt;=$L295)/($H$6:$H$14&gt;=$L295),$F$6:$F$14)</f>
        <v>FY19</v>
      </c>
      <c r="L295" s="118">
        <v>43438</v>
      </c>
      <c r="M295" s="49">
        <v>7470703.7856440516</v>
      </c>
      <c r="N295" s="49">
        <v>9798575.0852507371</v>
      </c>
      <c r="O295" s="50">
        <v>2000000</v>
      </c>
      <c r="P295" s="119" cm="1">
        <f t="array" ref="P295">LOOKUP(2,1/($B$10:$B$14&lt;=$L295)/($C$10:$C$14&gt;=$L295),$D$10:$D$14)</f>
        <v>1.1000000000000001</v>
      </c>
      <c r="Q295" s="120" cm="1">
        <f t="array" ref="Q295">LOOKUP(2,1/($B$17:$B$21&lt;=$L295)/($C$17:$C$21&gt;=$L295),$D$17:$D$21)</f>
        <v>134.49039999999999</v>
      </c>
      <c r="R295" s="113" t="str">
        <f t="shared" si="251"/>
        <v/>
      </c>
      <c r="S295" s="113" t="str">
        <f t="shared" si="252"/>
        <v>1H19</v>
      </c>
      <c r="T295" s="113" t="str">
        <f t="shared" ca="1" si="253"/>
        <v/>
      </c>
      <c r="U295" s="113" t="str">
        <f t="shared" si="254"/>
        <v/>
      </c>
      <c r="V295" s="113" t="str">
        <f t="shared" si="255"/>
        <v>FY19</v>
      </c>
      <c r="W295" s="113" t="str">
        <f t="shared" ca="1" si="256"/>
        <v/>
      </c>
    </row>
    <row r="296" spans="10:23" x14ac:dyDescent="0.25">
      <c r="J296" s="86" t="str" cm="1">
        <f t="array" ref="J296">LOOKUP(2,1/($G$17:$G$33&lt;=$L296)/($H$17:$H$33&gt;=$L296),$F$17:$F$33)</f>
        <v>1H19</v>
      </c>
      <c r="K296" s="86" t="str" cm="1">
        <f t="array" ref="K296">LOOKUP(2,1/($G$6:$G$14&lt;=$L296)/($H$6:$H$14&gt;=$L296),$F$6:$F$14)</f>
        <v>FY19</v>
      </c>
      <c r="L296" s="118">
        <v>43431</v>
      </c>
      <c r="M296" s="49">
        <v>7844241.0275319582</v>
      </c>
      <c r="N296" s="49">
        <v>10288506.531710915</v>
      </c>
      <c r="O296" s="50">
        <v>2000000</v>
      </c>
      <c r="P296" s="119" cm="1">
        <f t="array" ref="P296">LOOKUP(2,1/($B$10:$B$14&lt;=$L296)/($C$10:$C$14&gt;=$L296),$D$10:$D$14)</f>
        <v>1.1000000000000001</v>
      </c>
      <c r="Q296" s="120" cm="1">
        <f t="array" ref="Q296">LOOKUP(2,1/($B$17:$B$21&lt;=$L296)/($C$17:$C$21&gt;=$L296),$D$17:$D$21)</f>
        <v>134.49039999999999</v>
      </c>
      <c r="R296" s="113" t="str">
        <f t="shared" si="251"/>
        <v/>
      </c>
      <c r="S296" s="113" t="str">
        <f t="shared" si="252"/>
        <v>1H19</v>
      </c>
      <c r="T296" s="113" t="str">
        <f t="shared" ca="1" si="253"/>
        <v/>
      </c>
      <c r="U296" s="113" t="str">
        <f t="shared" si="254"/>
        <v/>
      </c>
      <c r="V296" s="113" t="str">
        <f t="shared" si="255"/>
        <v>FY19</v>
      </c>
      <c r="W296" s="113" t="str">
        <f t="shared" ca="1" si="256"/>
        <v/>
      </c>
    </row>
    <row r="297" spans="10:23" x14ac:dyDescent="0.25">
      <c r="J297" s="86" t="str" cm="1">
        <f t="array" ref="J297">LOOKUP(2,1/($G$17:$G$33&lt;=$L297)/($H$17:$H$33&gt;=$L297),$F$17:$F$33)</f>
        <v>1H19</v>
      </c>
      <c r="K297" s="86" t="str" cm="1">
        <f t="array" ref="K297">LOOKUP(2,1/($G$6:$G$14&lt;=$L297)/($H$6:$H$14&gt;=$L297),$F$6:$F$14)</f>
        <v>FY19</v>
      </c>
      <c r="L297" s="118">
        <v>43424</v>
      </c>
      <c r="M297" s="49">
        <v>16422454.768928222</v>
      </c>
      <c r="N297" s="49">
        <v>21539691.674926255</v>
      </c>
      <c r="O297" s="50">
        <v>10000000</v>
      </c>
      <c r="P297" s="119" cm="1">
        <f t="array" ref="P297">LOOKUP(2,1/($B$10:$B$14&lt;=$L297)/($C$10:$C$14&gt;=$L297),$D$10:$D$14)</f>
        <v>1.1000000000000001</v>
      </c>
      <c r="Q297" s="120" cm="1">
        <f t="array" ref="Q297">LOOKUP(2,1/($B$17:$B$21&lt;=$L297)/($C$17:$C$21&gt;=$L297),$D$17:$D$21)</f>
        <v>134.49039999999999</v>
      </c>
      <c r="R297" s="113" t="str">
        <f t="shared" si="251"/>
        <v/>
      </c>
      <c r="S297" s="113" t="str">
        <f t="shared" si="252"/>
        <v>1H19</v>
      </c>
      <c r="T297" s="113" t="str">
        <f t="shared" ca="1" si="253"/>
        <v/>
      </c>
      <c r="U297" s="113" t="str">
        <f t="shared" si="254"/>
        <v/>
      </c>
      <c r="V297" s="113" t="str">
        <f t="shared" si="255"/>
        <v>FY19</v>
      </c>
      <c r="W297" s="113" t="str">
        <f t="shared" ca="1" si="256"/>
        <v/>
      </c>
    </row>
    <row r="298" spans="10:23" x14ac:dyDescent="0.25">
      <c r="J298" s="86" t="str" cm="1">
        <f t="array" ref="J298">LOOKUP(2,1/($G$17:$G$33&lt;=$L298)/($H$17:$H$33&gt;=$L298),$F$17:$F$33)</f>
        <v>1H19</v>
      </c>
      <c r="K298" s="86" t="str" cm="1">
        <f t="array" ref="K298">LOOKUP(2,1/($G$6:$G$14&lt;=$L298)/($H$6:$H$14&gt;=$L298),$F$6:$F$14)</f>
        <v>FY19</v>
      </c>
      <c r="L298" s="118">
        <v>43417</v>
      </c>
      <c r="M298" s="49">
        <v>10972583.579154378</v>
      </c>
      <c r="N298" s="49">
        <v>14391640.62241888</v>
      </c>
      <c r="O298" s="50">
        <v>5000000</v>
      </c>
      <c r="P298" s="119" cm="1">
        <f t="array" ref="P298">LOOKUP(2,1/($B$10:$B$14&lt;=$L298)/($C$10:$C$14&gt;=$L298),$D$10:$D$14)</f>
        <v>1.1000000000000001</v>
      </c>
      <c r="Q298" s="120" cm="1">
        <f t="array" ref="Q298">LOOKUP(2,1/($B$17:$B$21&lt;=$L298)/($C$17:$C$21&gt;=$L298),$D$17:$D$21)</f>
        <v>134.49039999999999</v>
      </c>
      <c r="R298" s="113" t="str">
        <f t="shared" si="251"/>
        <v/>
      </c>
      <c r="S298" s="113" t="str">
        <f t="shared" si="252"/>
        <v>1H19</v>
      </c>
      <c r="T298" s="113" t="str">
        <f t="shared" ca="1" si="253"/>
        <v/>
      </c>
      <c r="U298" s="113" t="str">
        <f t="shared" si="254"/>
        <v/>
      </c>
      <c r="V298" s="113" t="str">
        <f t="shared" si="255"/>
        <v>FY19</v>
      </c>
      <c r="W298" s="113" t="str">
        <f t="shared" ca="1" si="256"/>
        <v/>
      </c>
    </row>
    <row r="299" spans="10:23" x14ac:dyDescent="0.25">
      <c r="J299" s="86" t="str" cm="1">
        <f t="array" ref="J299">LOOKUP(2,1/($G$17:$G$33&lt;=$L299)/($H$17:$H$33&gt;=$L299),$F$17:$F$33)</f>
        <v>1H19</v>
      </c>
      <c r="K299" s="86" t="str" cm="1">
        <f t="array" ref="K299">LOOKUP(2,1/($G$6:$G$14&lt;=$L299)/($H$6:$H$14&gt;=$L299),$F$6:$F$14)</f>
        <v>FY19</v>
      </c>
      <c r="L299" s="118">
        <v>43410</v>
      </c>
      <c r="M299" s="49">
        <v>7154530.2359882016</v>
      </c>
      <c r="N299" s="49">
        <v>9383881.8575221244</v>
      </c>
      <c r="O299" s="50">
        <v>2000000</v>
      </c>
      <c r="P299" s="119" cm="1">
        <f t="array" ref="P299">LOOKUP(2,1/($B$10:$B$14&lt;=$L299)/($C$10:$C$14&gt;=$L299),$D$10:$D$14)</f>
        <v>1.1000000000000001</v>
      </c>
      <c r="Q299" s="120" cm="1">
        <f t="array" ref="Q299">LOOKUP(2,1/($B$17:$B$21&lt;=$L299)/($C$17:$C$21&gt;=$L299),$D$17:$D$21)</f>
        <v>134.49039999999999</v>
      </c>
      <c r="R299" s="113" t="str">
        <f t="shared" si="251"/>
        <v/>
      </c>
      <c r="S299" s="113" t="str">
        <f t="shared" si="252"/>
        <v>1H19</v>
      </c>
      <c r="T299" s="113" t="str">
        <f t="shared" ca="1" si="253"/>
        <v/>
      </c>
      <c r="U299" s="113" t="str">
        <f t="shared" si="254"/>
        <v/>
      </c>
      <c r="V299" s="113" t="str">
        <f t="shared" si="255"/>
        <v>FY19</v>
      </c>
      <c r="W299" s="113" t="str">
        <f t="shared" ca="1" si="256"/>
        <v/>
      </c>
    </row>
    <row r="300" spans="10:23" x14ac:dyDescent="0.25">
      <c r="J300" s="86" t="str" cm="1">
        <f t="array" ref="J300">LOOKUP(2,1/($G$17:$G$33&lt;=$L300)/($H$17:$H$33&gt;=$L300),$F$17:$F$33)</f>
        <v>1H19</v>
      </c>
      <c r="K300" s="86" t="str" cm="1">
        <f t="array" ref="K300">LOOKUP(2,1/($G$6:$G$14&lt;=$L300)/($H$6:$H$14&gt;=$L300),$F$6:$F$14)</f>
        <v>FY19</v>
      </c>
      <c r="L300" s="118">
        <v>43403</v>
      </c>
      <c r="M300" s="49">
        <v>15058996.435594888</v>
      </c>
      <c r="N300" s="49">
        <v>19751379.724926252</v>
      </c>
      <c r="O300" s="50">
        <v>15000000</v>
      </c>
      <c r="P300" s="119" cm="1">
        <f t="array" ref="P300">LOOKUP(2,1/($B$10:$B$14&lt;=$L300)/($C$10:$C$14&gt;=$L300),$D$10:$D$14)</f>
        <v>1.1000000000000001</v>
      </c>
      <c r="Q300" s="120" cm="1">
        <f t="array" ref="Q300">LOOKUP(2,1/($B$17:$B$21&lt;=$L300)/($C$17:$C$21&gt;=$L300),$D$17:$D$21)</f>
        <v>134.49039999999999</v>
      </c>
      <c r="R300" s="113" t="str">
        <f t="shared" si="251"/>
        <v/>
      </c>
      <c r="S300" s="113" t="str">
        <f t="shared" si="252"/>
        <v>1H19</v>
      </c>
      <c r="T300" s="113" t="str">
        <f t="shared" ca="1" si="253"/>
        <v/>
      </c>
      <c r="U300" s="113" t="str">
        <f t="shared" si="254"/>
        <v/>
      </c>
      <c r="V300" s="113" t="str">
        <f t="shared" si="255"/>
        <v>FY19</v>
      </c>
      <c r="W300" s="113" t="str">
        <f t="shared" ca="1" si="256"/>
        <v/>
      </c>
    </row>
    <row r="301" spans="10:23" x14ac:dyDescent="0.25">
      <c r="J301" s="86" t="str" cm="1">
        <f t="array" ref="J301">LOOKUP(2,1/($G$17:$G$33&lt;=$L301)/($H$17:$H$33&gt;=$L301),$F$17:$F$33)</f>
        <v>1H19</v>
      </c>
      <c r="K301" s="86" t="str" cm="1">
        <f t="array" ref="K301">LOOKUP(2,1/($G$6:$G$14&lt;=$L301)/($H$6:$H$14&gt;=$L301),$F$6:$F$14)</f>
        <v>FY19</v>
      </c>
      <c r="L301" s="118">
        <v>43396</v>
      </c>
      <c r="M301" s="49">
        <v>13018879.178957719</v>
      </c>
      <c r="N301" s="49">
        <v>17075561.931120943</v>
      </c>
      <c r="O301" s="50">
        <v>10000000</v>
      </c>
      <c r="P301" s="119" cm="1">
        <f t="array" ref="P301">LOOKUP(2,1/($B$10:$B$14&lt;=$L301)/($C$10:$C$14&gt;=$L301),$D$10:$D$14)</f>
        <v>1.1000000000000001</v>
      </c>
      <c r="Q301" s="120" cm="1">
        <f t="array" ref="Q301">LOOKUP(2,1/($B$17:$B$21&lt;=$L301)/($C$17:$C$21&gt;=$L301),$D$17:$D$21)</f>
        <v>134.49039999999999</v>
      </c>
      <c r="R301" s="113" t="str">
        <f t="shared" si="251"/>
        <v/>
      </c>
      <c r="S301" s="113" t="str">
        <f t="shared" si="252"/>
        <v>1H19</v>
      </c>
      <c r="T301" s="113" t="str">
        <f t="shared" ca="1" si="253"/>
        <v/>
      </c>
      <c r="U301" s="113" t="str">
        <f t="shared" si="254"/>
        <v/>
      </c>
      <c r="V301" s="113" t="str">
        <f t="shared" si="255"/>
        <v>FY19</v>
      </c>
      <c r="W301" s="113" t="str">
        <f t="shared" ca="1" si="256"/>
        <v/>
      </c>
    </row>
    <row r="302" spans="10:23" x14ac:dyDescent="0.25">
      <c r="J302" s="86" t="str" cm="1">
        <f t="array" ref="J302">LOOKUP(2,1/($G$17:$G$33&lt;=$L302)/($H$17:$H$33&gt;=$L302),$F$17:$F$33)</f>
        <v>1H19</v>
      </c>
      <c r="K302" s="86" t="str" cm="1">
        <f t="array" ref="K302">LOOKUP(2,1/($G$6:$G$14&lt;=$L302)/($H$6:$H$14&gt;=$L302),$F$6:$F$14)</f>
        <v>FY19</v>
      </c>
      <c r="L302" s="118">
        <v>43389</v>
      </c>
      <c r="M302" s="49">
        <v>9822821.2881022636</v>
      </c>
      <c r="N302" s="49">
        <v>12883612.401474928</v>
      </c>
      <c r="O302" s="50">
        <v>5000000</v>
      </c>
      <c r="P302" s="119" cm="1">
        <f t="array" ref="P302">LOOKUP(2,1/($B$10:$B$14&lt;=$L302)/($C$10:$C$14&gt;=$L302),$D$10:$D$14)</f>
        <v>1.1000000000000001</v>
      </c>
      <c r="Q302" s="120" cm="1">
        <f t="array" ref="Q302">LOOKUP(2,1/($B$17:$B$21&lt;=$L302)/($C$17:$C$21&gt;=$L302),$D$17:$D$21)</f>
        <v>134.49039999999999</v>
      </c>
      <c r="R302" s="113" t="str">
        <f t="shared" si="251"/>
        <v/>
      </c>
      <c r="S302" s="113" t="str">
        <f t="shared" si="252"/>
        <v>1H19</v>
      </c>
      <c r="T302" s="113" t="str">
        <f t="shared" ca="1" si="253"/>
        <v/>
      </c>
      <c r="U302" s="113" t="str">
        <f t="shared" si="254"/>
        <v/>
      </c>
      <c r="V302" s="113" t="str">
        <f t="shared" si="255"/>
        <v>FY19</v>
      </c>
      <c r="W302" s="113" t="str">
        <f t="shared" ca="1" si="256"/>
        <v/>
      </c>
    </row>
    <row r="303" spans="10:23" x14ac:dyDescent="0.25">
      <c r="J303" s="86" t="str" cm="1">
        <f t="array" ref="J303">LOOKUP(2,1/($G$17:$G$33&lt;=$L303)/($H$17:$H$33&gt;=$L303),$F$17:$F$33)</f>
        <v>1H19</v>
      </c>
      <c r="K303" s="86" t="str" cm="1">
        <f t="array" ref="K303">LOOKUP(2,1/($G$6:$G$14&lt;=$L303)/($H$6:$H$14&gt;=$L303),$F$6:$F$14)</f>
        <v>FY19</v>
      </c>
      <c r="L303" s="118">
        <v>43382</v>
      </c>
      <c r="M303" s="49">
        <v>7885737.5860373648</v>
      </c>
      <c r="N303" s="49">
        <v>10342933.417846607</v>
      </c>
      <c r="O303" s="50">
        <v>2000000</v>
      </c>
      <c r="P303" s="119" cm="1">
        <f t="array" ref="P303">LOOKUP(2,1/($B$10:$B$14&lt;=$L303)/($C$10:$C$14&gt;=$L303),$D$10:$D$14)</f>
        <v>1.1000000000000001</v>
      </c>
      <c r="Q303" s="120" cm="1">
        <f t="array" ref="Q303">LOOKUP(2,1/($B$17:$B$21&lt;=$L303)/($C$17:$C$21&gt;=$L303),$D$17:$D$21)</f>
        <v>134.49039999999999</v>
      </c>
      <c r="R303" s="113" t="str">
        <f t="shared" si="251"/>
        <v/>
      </c>
      <c r="S303" s="113" t="str">
        <f t="shared" si="252"/>
        <v>1H19</v>
      </c>
      <c r="T303" s="113" t="str">
        <f t="shared" ca="1" si="253"/>
        <v/>
      </c>
      <c r="U303" s="113" t="str">
        <f t="shared" si="254"/>
        <v/>
      </c>
      <c r="V303" s="113" t="str">
        <f t="shared" si="255"/>
        <v>FY19</v>
      </c>
      <c r="W303" s="113" t="str">
        <f t="shared" ca="1" si="256"/>
        <v/>
      </c>
    </row>
    <row r="304" spans="10:23" x14ac:dyDescent="0.25">
      <c r="J304" s="86" t="str" cm="1">
        <f t="array" ref="J304">LOOKUP(2,1/($G$17:$G$33&lt;=$L304)/($H$17:$H$33&gt;=$L304),$F$17:$F$33)</f>
        <v>1H19</v>
      </c>
      <c r="K304" s="86" t="str" cm="1">
        <f t="array" ref="K304">LOOKUP(2,1/($G$6:$G$14&lt;=$L304)/($H$6:$H$14&gt;=$L304),$F$6:$F$14)</f>
        <v>FY19</v>
      </c>
      <c r="L304" s="118">
        <v>43375</v>
      </c>
      <c r="M304" s="49">
        <v>15740513.520157328</v>
      </c>
      <c r="N304" s="49">
        <v>20645257.533038348</v>
      </c>
      <c r="O304" s="50">
        <v>10000000</v>
      </c>
      <c r="P304" s="119" cm="1">
        <f t="array" ref="P304">LOOKUP(2,1/($B$10:$B$14&lt;=$L304)/($C$10:$C$14&gt;=$L304),$D$10:$D$14)</f>
        <v>1.1000000000000001</v>
      </c>
      <c r="Q304" s="120" cm="1">
        <f t="array" ref="Q304">LOOKUP(2,1/($B$17:$B$21&lt;=$L304)/($C$17:$C$21&gt;=$L304),$D$17:$D$21)</f>
        <v>134.49039999999999</v>
      </c>
      <c r="R304" s="113" t="str">
        <f t="shared" si="251"/>
        <v/>
      </c>
      <c r="S304" s="113" t="str">
        <f t="shared" si="252"/>
        <v>1H19</v>
      </c>
      <c r="T304" s="113" t="str">
        <f t="shared" ca="1" si="253"/>
        <v/>
      </c>
      <c r="U304" s="113" t="str">
        <f t="shared" si="254"/>
        <v/>
      </c>
      <c r="V304" s="113" t="str">
        <f t="shared" si="255"/>
        <v>FY19</v>
      </c>
      <c r="W304" s="113" t="str">
        <f t="shared" ca="1" si="256"/>
        <v/>
      </c>
    </row>
    <row r="305" spans="10:23" x14ac:dyDescent="0.25">
      <c r="J305" s="86" t="str" cm="1">
        <f t="array" ref="J305">LOOKUP(2,1/($G$17:$G$33&lt;=$L305)/($H$17:$H$33&gt;=$L305),$F$17:$F$33)</f>
        <v>1H19</v>
      </c>
      <c r="K305" s="86" t="str" cm="1">
        <f t="array" ref="K305">LOOKUP(2,1/($G$6:$G$14&lt;=$L305)/($H$6:$H$14&gt;=$L305),$F$6:$F$14)</f>
        <v>FY19</v>
      </c>
      <c r="L305" s="118">
        <v>43368</v>
      </c>
      <c r="M305" s="49">
        <v>11159904.744346118</v>
      </c>
      <c r="N305" s="49">
        <v>14637331.062684366</v>
      </c>
      <c r="O305" s="50">
        <v>5000000</v>
      </c>
      <c r="P305" s="119" cm="1">
        <f t="array" ref="P305">LOOKUP(2,1/($B$10:$B$14&lt;=$L305)/($C$10:$C$14&gt;=$L305),$D$10:$D$14)</f>
        <v>1.1000000000000001</v>
      </c>
      <c r="Q305" s="120" cm="1">
        <f t="array" ref="Q305">LOOKUP(2,1/($B$17:$B$21&lt;=$L305)/($C$17:$C$21&gt;=$L305),$D$17:$D$21)</f>
        <v>134.49039999999999</v>
      </c>
      <c r="R305" s="113" t="str">
        <f t="shared" si="251"/>
        <v/>
      </c>
      <c r="S305" s="113" t="str">
        <f t="shared" si="252"/>
        <v>1H19</v>
      </c>
      <c r="T305" s="113" t="str">
        <f t="shared" ca="1" si="253"/>
        <v/>
      </c>
      <c r="U305" s="113" t="str">
        <f t="shared" si="254"/>
        <v/>
      </c>
      <c r="V305" s="113" t="str">
        <f t="shared" si="255"/>
        <v>FY19</v>
      </c>
      <c r="W305" s="113" t="str">
        <f t="shared" ca="1" si="256"/>
        <v/>
      </c>
    </row>
    <row r="306" spans="10:23" x14ac:dyDescent="0.25">
      <c r="J306" s="86" t="str" cm="1">
        <f t="array" ref="J306">LOOKUP(2,1/($G$17:$G$33&lt;=$L306)/($H$17:$H$33&gt;=$L306),$F$17:$F$33)</f>
        <v>1H19</v>
      </c>
      <c r="K306" s="86" t="str" cm="1">
        <f t="array" ref="K306">LOOKUP(2,1/($G$6:$G$14&lt;=$L306)/($H$6:$H$14&gt;=$L306),$F$6:$F$14)</f>
        <v>FY19</v>
      </c>
      <c r="L306" s="118">
        <v>43361</v>
      </c>
      <c r="M306" s="49">
        <v>8136524.2133726664</v>
      </c>
      <c r="N306" s="49">
        <v>10671865.158259587</v>
      </c>
      <c r="O306" s="50">
        <v>2000000</v>
      </c>
      <c r="P306" s="119" cm="1">
        <f t="array" ref="P306">LOOKUP(2,1/($B$10:$B$14&lt;=$L306)/($C$10:$C$14&gt;=$L306),$D$10:$D$14)</f>
        <v>1.1000000000000001</v>
      </c>
      <c r="Q306" s="120" cm="1">
        <f t="array" ref="Q306">LOOKUP(2,1/($B$17:$B$21&lt;=$L306)/($C$17:$C$21&gt;=$L306),$D$17:$D$21)</f>
        <v>134.49039999999999</v>
      </c>
      <c r="R306" s="113" t="str">
        <f t="shared" si="251"/>
        <v/>
      </c>
      <c r="S306" s="113" t="str">
        <f t="shared" si="252"/>
        <v>1H19</v>
      </c>
      <c r="T306" s="113" t="str">
        <f t="shared" ca="1" si="253"/>
        <v/>
      </c>
      <c r="U306" s="113" t="str">
        <f t="shared" si="254"/>
        <v/>
      </c>
      <c r="V306" s="113" t="str">
        <f t="shared" si="255"/>
        <v>FY19</v>
      </c>
      <c r="W306" s="113" t="str">
        <f t="shared" ca="1" si="256"/>
        <v/>
      </c>
    </row>
    <row r="307" spans="10:23" x14ac:dyDescent="0.25">
      <c r="J307" s="86" t="str" cm="1">
        <f t="array" ref="J307">LOOKUP(2,1/($G$17:$G$33&lt;=$L307)/($H$17:$H$33&gt;=$L307),$F$17:$F$33)</f>
        <v>1H19</v>
      </c>
      <c r="K307" s="86" t="str" cm="1">
        <f t="array" ref="K307">LOOKUP(2,1/($G$6:$G$14&lt;=$L307)/($H$6:$H$14&gt;=$L307),$F$6:$F$14)</f>
        <v>FY19</v>
      </c>
      <c r="L307" s="118">
        <v>43354</v>
      </c>
      <c r="M307" s="49">
        <v>27769140.117994107</v>
      </c>
      <c r="N307" s="49">
        <v>36422004.178761065</v>
      </c>
      <c r="O307" s="50">
        <v>30000000</v>
      </c>
      <c r="P307" s="119" cm="1">
        <f t="array" ref="P307">LOOKUP(2,1/($B$10:$B$14&lt;=$L307)/($C$10:$C$14&gt;=$L307),$D$10:$D$14)</f>
        <v>1.1000000000000001</v>
      </c>
      <c r="Q307" s="120" cm="1">
        <f t="array" ref="Q307">LOOKUP(2,1/($B$17:$B$21&lt;=$L307)/($C$17:$C$21&gt;=$L307),$D$17:$D$21)</f>
        <v>134.49039999999999</v>
      </c>
      <c r="R307" s="113" t="str">
        <f t="shared" si="251"/>
        <v/>
      </c>
      <c r="S307" s="113" t="str">
        <f t="shared" si="252"/>
        <v>1H19</v>
      </c>
      <c r="T307" s="113" t="str">
        <f t="shared" ca="1" si="253"/>
        <v/>
      </c>
      <c r="U307" s="113" t="str">
        <f t="shared" si="254"/>
        <v/>
      </c>
      <c r="V307" s="113" t="str">
        <f t="shared" si="255"/>
        <v>FY19</v>
      </c>
      <c r="W307" s="113" t="str">
        <f t="shared" ca="1" si="256"/>
        <v/>
      </c>
    </row>
    <row r="308" spans="10:23" x14ac:dyDescent="0.25">
      <c r="J308" s="86" t="str" cm="1">
        <f t="array" ref="J308">LOOKUP(2,1/($G$17:$G$33&lt;=$L308)/($H$17:$H$33&gt;=$L308),$F$17:$F$33)</f>
        <v>1H19</v>
      </c>
      <c r="K308" s="86" t="str" cm="1">
        <f t="array" ref="K308">LOOKUP(2,1/($G$6:$G$14&lt;=$L308)/($H$6:$H$14&gt;=$L308),$F$6:$F$14)</f>
        <v>FY19</v>
      </c>
      <c r="L308" s="118">
        <v>43347</v>
      </c>
      <c r="M308" s="49">
        <v>19022890.363815144</v>
      </c>
      <c r="N308" s="49">
        <v>24950423.001179941</v>
      </c>
      <c r="O308" s="50">
        <v>15000000</v>
      </c>
      <c r="P308" s="119" cm="1">
        <f t="array" ref="P308">LOOKUP(2,1/($B$10:$B$14&lt;=$L308)/($C$10:$C$14&gt;=$L308),$D$10:$D$14)</f>
        <v>1.1000000000000001</v>
      </c>
      <c r="Q308" s="120" cm="1">
        <f t="array" ref="Q308">LOOKUP(2,1/($B$17:$B$21&lt;=$L308)/($C$17:$C$21&gt;=$L308),$D$17:$D$21)</f>
        <v>134.49039999999999</v>
      </c>
      <c r="R308" s="113" t="str">
        <f t="shared" si="251"/>
        <v/>
      </c>
      <c r="S308" s="113" t="str">
        <f t="shared" si="252"/>
        <v>1H19</v>
      </c>
      <c r="T308" s="113" t="str">
        <f t="shared" ca="1" si="253"/>
        <v/>
      </c>
      <c r="U308" s="113" t="str">
        <f t="shared" si="254"/>
        <v/>
      </c>
      <c r="V308" s="113" t="str">
        <f t="shared" si="255"/>
        <v>FY19</v>
      </c>
      <c r="W308" s="113" t="str">
        <f t="shared" ca="1" si="256"/>
        <v/>
      </c>
    </row>
    <row r="309" spans="10:23" x14ac:dyDescent="0.25">
      <c r="J309" s="86" t="str" cm="1">
        <f t="array" ref="J309">LOOKUP(2,1/($G$17:$G$33&lt;=$L309)/($H$17:$H$33&gt;=$L309),$F$17:$F$33)</f>
        <v>1H19</v>
      </c>
      <c r="K309" s="86" t="str" cm="1">
        <f t="array" ref="K309">LOOKUP(2,1/($G$6:$G$14&lt;=$L309)/($H$6:$H$14&gt;=$L309),$F$6:$F$14)</f>
        <v>FY19</v>
      </c>
      <c r="L309" s="118">
        <v>43340</v>
      </c>
      <c r="M309" s="49">
        <v>16189873.156342188</v>
      </c>
      <c r="N309" s="49">
        <v>21234637.631858412</v>
      </c>
      <c r="O309" s="50">
        <v>10000000</v>
      </c>
      <c r="P309" s="119" cm="1">
        <f t="array" ref="P309">LOOKUP(2,1/($B$10:$B$14&lt;=$L309)/($C$10:$C$14&gt;=$L309),$D$10:$D$14)</f>
        <v>1.1000000000000001</v>
      </c>
      <c r="Q309" s="120" cm="1">
        <f t="array" ref="Q309">LOOKUP(2,1/($B$17:$B$21&lt;=$L309)/($C$17:$C$21&gt;=$L309),$D$17:$D$21)</f>
        <v>134.49039999999999</v>
      </c>
      <c r="R309" s="113" t="str">
        <f t="shared" si="251"/>
        <v/>
      </c>
      <c r="S309" s="113" t="str">
        <f t="shared" si="252"/>
        <v>1H19</v>
      </c>
      <c r="T309" s="113" t="str">
        <f t="shared" ca="1" si="253"/>
        <v/>
      </c>
      <c r="U309" s="113" t="str">
        <f t="shared" si="254"/>
        <v/>
      </c>
      <c r="V309" s="113" t="str">
        <f t="shared" si="255"/>
        <v>FY19</v>
      </c>
      <c r="W309" s="113" t="str">
        <f t="shared" ca="1" si="256"/>
        <v/>
      </c>
    </row>
    <row r="310" spans="10:23" x14ac:dyDescent="0.25">
      <c r="J310" s="86" t="str" cm="1">
        <f t="array" ref="J310">LOOKUP(2,1/($G$17:$G$33&lt;=$L310)/($H$17:$H$33&gt;=$L310),$F$17:$F$33)</f>
        <v>1H19</v>
      </c>
      <c r="K310" s="86" t="str" cm="1">
        <f t="array" ref="K310">LOOKUP(2,1/($G$6:$G$14&lt;=$L310)/($H$6:$H$14&gt;=$L310),$F$6:$F$14)</f>
        <v>FY19</v>
      </c>
      <c r="L310" s="118">
        <v>43333</v>
      </c>
      <c r="M310" s="49">
        <v>12572713.987217307</v>
      </c>
      <c r="N310" s="49">
        <v>16490371.665634219</v>
      </c>
      <c r="O310" s="50">
        <v>5000000</v>
      </c>
      <c r="P310" s="119" cm="1">
        <f t="array" ref="P310">LOOKUP(2,1/($B$10:$B$14&lt;=$L310)/($C$10:$C$14&gt;=$L310),$D$10:$D$14)</f>
        <v>1.1000000000000001</v>
      </c>
      <c r="Q310" s="120" cm="1">
        <f t="array" ref="Q310">LOOKUP(2,1/($B$17:$B$21&lt;=$L310)/($C$17:$C$21&gt;=$L310),$D$17:$D$21)</f>
        <v>134.49039999999999</v>
      </c>
      <c r="R310" s="113" t="str">
        <f t="shared" si="251"/>
        <v/>
      </c>
      <c r="S310" s="113" t="str">
        <f t="shared" si="252"/>
        <v>1H19</v>
      </c>
      <c r="T310" s="113" t="str">
        <f t="shared" ca="1" si="253"/>
        <v/>
      </c>
      <c r="U310" s="113" t="str">
        <f t="shared" si="254"/>
        <v/>
      </c>
      <c r="V310" s="113" t="str">
        <f t="shared" si="255"/>
        <v>FY19</v>
      </c>
      <c r="W310" s="113" t="str">
        <f t="shared" ca="1" si="256"/>
        <v/>
      </c>
    </row>
    <row r="311" spans="10:23" x14ac:dyDescent="0.25">
      <c r="J311" s="86" t="str" cm="1">
        <f t="array" ref="J311">LOOKUP(2,1/($G$17:$G$33&lt;=$L311)/($H$17:$H$33&gt;=$L311),$F$17:$F$33)</f>
        <v>1H19</v>
      </c>
      <c r="K311" s="86" t="str" cm="1">
        <f t="array" ref="K311">LOOKUP(2,1/($G$6:$G$14&lt;=$L311)/($H$6:$H$14&gt;=$L311),$F$6:$F$14)</f>
        <v>FY19</v>
      </c>
      <c r="L311" s="118">
        <v>43326</v>
      </c>
      <c r="M311" s="49">
        <v>8200389.3805309748</v>
      </c>
      <c r="N311" s="49">
        <v>10755630.711504426</v>
      </c>
      <c r="O311" s="50">
        <v>2000000</v>
      </c>
      <c r="P311" s="119" cm="1">
        <f t="array" ref="P311">LOOKUP(2,1/($B$10:$B$14&lt;=$L311)/($C$10:$C$14&gt;=$L311),$D$10:$D$14)</f>
        <v>1.1000000000000001</v>
      </c>
      <c r="Q311" s="120" cm="1">
        <f t="array" ref="Q311">LOOKUP(2,1/($B$17:$B$21&lt;=$L311)/($C$17:$C$21&gt;=$L311),$D$17:$D$21)</f>
        <v>134.49039999999999</v>
      </c>
      <c r="R311" s="113" t="str">
        <f t="shared" si="251"/>
        <v/>
      </c>
      <c r="S311" s="113" t="str">
        <f t="shared" si="252"/>
        <v>1H19</v>
      </c>
      <c r="T311" s="113" t="str">
        <f t="shared" ca="1" si="253"/>
        <v/>
      </c>
      <c r="U311" s="113" t="str">
        <f t="shared" si="254"/>
        <v/>
      </c>
      <c r="V311" s="113" t="str">
        <f t="shared" si="255"/>
        <v>FY19</v>
      </c>
      <c r="W311" s="113" t="str">
        <f t="shared" ca="1" si="256"/>
        <v/>
      </c>
    </row>
    <row r="312" spans="10:23" x14ac:dyDescent="0.25">
      <c r="J312" s="86" t="str" cm="1">
        <f t="array" ref="J312">LOOKUP(2,1/($G$17:$G$33&lt;=$L312)/($H$17:$H$33&gt;=$L312),$F$17:$F$33)</f>
        <v>1H19</v>
      </c>
      <c r="K312" s="86" t="str" cm="1">
        <f t="array" ref="K312">LOOKUP(2,1/($G$6:$G$14&lt;=$L312)/($H$6:$H$14&gt;=$L312),$F$6:$F$14)</f>
        <v>FY19</v>
      </c>
      <c r="L312" s="118">
        <v>43319</v>
      </c>
      <c r="M312" s="49">
        <v>64902499.508357935</v>
      </c>
      <c r="N312" s="49">
        <v>85126118.355162263</v>
      </c>
      <c r="O312" s="50">
        <v>70000000</v>
      </c>
      <c r="P312" s="119" cm="1">
        <f t="array" ref="P312">LOOKUP(2,1/($B$10:$B$14&lt;=$L312)/($C$10:$C$14&gt;=$L312),$D$10:$D$14)</f>
        <v>1.1000000000000001</v>
      </c>
      <c r="Q312" s="120" cm="1">
        <f t="array" ref="Q312">LOOKUP(2,1/($B$17:$B$21&lt;=$L312)/($C$17:$C$21&gt;=$L312),$D$17:$D$21)</f>
        <v>134.49039999999999</v>
      </c>
      <c r="R312" s="113" t="str">
        <f t="shared" si="251"/>
        <v/>
      </c>
      <c r="S312" s="113" t="str">
        <f t="shared" si="252"/>
        <v>1H19</v>
      </c>
      <c r="T312" s="113" t="str">
        <f t="shared" ca="1" si="253"/>
        <v/>
      </c>
      <c r="U312" s="113" t="str">
        <f t="shared" si="254"/>
        <v/>
      </c>
      <c r="V312" s="113" t="str">
        <f t="shared" si="255"/>
        <v>FY19</v>
      </c>
      <c r="W312" s="113" t="str">
        <f t="shared" ca="1" si="256"/>
        <v/>
      </c>
    </row>
    <row r="313" spans="10:23" x14ac:dyDescent="0.25">
      <c r="J313" s="86" t="str" cm="1">
        <f t="array" ref="J313">LOOKUP(2,1/($G$17:$G$33&lt;=$L313)/($H$17:$H$33&gt;=$L313),$F$17:$F$33)</f>
        <v>1H19</v>
      </c>
      <c r="K313" s="86" t="str" cm="1">
        <f t="array" ref="K313">LOOKUP(2,1/($G$6:$G$14&lt;=$L313)/($H$6:$H$14&gt;=$L313),$F$6:$F$14)</f>
        <v>FY19</v>
      </c>
      <c r="L313" s="118">
        <v>43312</v>
      </c>
      <c r="M313" s="49">
        <v>38919567.477876119</v>
      </c>
      <c r="N313" s="49">
        <v>51046904.703982316</v>
      </c>
      <c r="O313" s="50">
        <v>50000000</v>
      </c>
      <c r="P313" s="119" cm="1">
        <f t="array" ref="P313">LOOKUP(2,1/($B$10:$B$14&lt;=$L313)/($C$10:$C$14&gt;=$L313),$D$10:$D$14)</f>
        <v>1.1000000000000001</v>
      </c>
      <c r="Q313" s="120" cm="1">
        <f t="array" ref="Q313">LOOKUP(2,1/($B$17:$B$21&lt;=$L313)/($C$17:$C$21&gt;=$L313),$D$17:$D$21)</f>
        <v>134.49039999999999</v>
      </c>
      <c r="R313" s="113" t="str">
        <f t="shared" si="251"/>
        <v/>
      </c>
      <c r="S313" s="113" t="str">
        <f t="shared" si="252"/>
        <v>1H19</v>
      </c>
      <c r="T313" s="113" t="str">
        <f t="shared" ca="1" si="253"/>
        <v/>
      </c>
      <c r="U313" s="113" t="str">
        <f t="shared" si="254"/>
        <v/>
      </c>
      <c r="V313" s="113" t="str">
        <f t="shared" si="255"/>
        <v>FY19</v>
      </c>
      <c r="W313" s="113" t="str">
        <f t="shared" ca="1" si="256"/>
        <v/>
      </c>
    </row>
    <row r="314" spans="10:23" x14ac:dyDescent="0.25">
      <c r="J314" s="86" t="str" cm="1">
        <f t="array" ref="J314">LOOKUP(2,1/($G$17:$G$33&lt;=$L314)/($H$17:$H$33&gt;=$L314),$F$17:$F$33)</f>
        <v>1H19</v>
      </c>
      <c r="K314" s="86" t="str" cm="1">
        <f t="array" ref="K314">LOOKUP(2,1/($G$6:$G$14&lt;=$L314)/($H$6:$H$14&gt;=$L314),$F$6:$F$14)</f>
        <v>FY19</v>
      </c>
      <c r="L314" s="118">
        <v>43305</v>
      </c>
      <c r="M314" s="49">
        <v>31103626.106194694</v>
      </c>
      <c r="N314" s="49">
        <v>40795516.000884958</v>
      </c>
      <c r="O314" s="50">
        <v>40000000</v>
      </c>
      <c r="P314" s="119" cm="1">
        <f t="array" ref="P314">LOOKUP(2,1/($B$10:$B$14&lt;=$L314)/($C$10:$C$14&gt;=$L314),$D$10:$D$14)</f>
        <v>1.1000000000000001</v>
      </c>
      <c r="Q314" s="120" cm="1">
        <f t="array" ref="Q314">LOOKUP(2,1/($B$17:$B$21&lt;=$L314)/($C$17:$C$21&gt;=$L314),$D$17:$D$21)</f>
        <v>134.49039999999999</v>
      </c>
      <c r="R314" s="113" t="str">
        <f t="shared" si="251"/>
        <v/>
      </c>
      <c r="S314" s="113" t="str">
        <f t="shared" si="252"/>
        <v>1H19</v>
      </c>
      <c r="T314" s="113" t="str">
        <f t="shared" ca="1" si="253"/>
        <v/>
      </c>
      <c r="U314" s="113" t="str">
        <f t="shared" si="254"/>
        <v/>
      </c>
      <c r="V314" s="113" t="str">
        <f t="shared" si="255"/>
        <v>FY19</v>
      </c>
      <c r="W314" s="113" t="str">
        <f t="shared" ca="1" si="256"/>
        <v/>
      </c>
    </row>
    <row r="315" spans="10:23" x14ac:dyDescent="0.25">
      <c r="J315" s="86" t="str" cm="1">
        <f t="array" ref="J315">LOOKUP(2,1/($G$17:$G$33&lt;=$L315)/($H$17:$H$33&gt;=$L315),$F$17:$F$33)</f>
        <v>1H19</v>
      </c>
      <c r="K315" s="86" t="str" cm="1">
        <f t="array" ref="K315">LOOKUP(2,1/($G$6:$G$14&lt;=$L315)/($H$6:$H$14&gt;=$L315),$F$6:$F$14)</f>
        <v>FY19</v>
      </c>
      <c r="L315" s="118">
        <v>43298</v>
      </c>
      <c r="M315" s="49">
        <v>25270413.102261558</v>
      </c>
      <c r="N315" s="49">
        <v>33144673.824926257</v>
      </c>
      <c r="O315" s="50">
        <v>30000000</v>
      </c>
      <c r="P315" s="119" cm="1">
        <f t="array" ref="P315">LOOKUP(2,1/($B$10:$B$14&lt;=$L315)/($C$10:$C$14&gt;=$L315),$D$10:$D$14)</f>
        <v>1.1000000000000001</v>
      </c>
      <c r="Q315" s="120" cm="1">
        <f t="array" ref="Q315">LOOKUP(2,1/($B$17:$B$21&lt;=$L315)/($C$17:$C$21&gt;=$L315),$D$17:$D$21)</f>
        <v>134.49039999999999</v>
      </c>
      <c r="R315" s="113" t="str">
        <f t="shared" si="251"/>
        <v/>
      </c>
      <c r="S315" s="113" t="str">
        <f t="shared" si="252"/>
        <v>1H19</v>
      </c>
      <c r="T315" s="113" t="str">
        <f t="shared" ca="1" si="253"/>
        <v/>
      </c>
      <c r="U315" s="113" t="str">
        <f t="shared" si="254"/>
        <v/>
      </c>
      <c r="V315" s="113" t="str">
        <f t="shared" si="255"/>
        <v>FY19</v>
      </c>
      <c r="W315" s="113" t="str">
        <f t="shared" ca="1" si="256"/>
        <v/>
      </c>
    </row>
    <row r="316" spans="10:23" x14ac:dyDescent="0.25">
      <c r="J316" s="86" t="str" cm="1">
        <f t="array" ref="J316">LOOKUP(2,1/($G$17:$G$33&lt;=$L316)/($H$17:$H$33&gt;=$L316),$F$17:$F$33)</f>
        <v>1H19</v>
      </c>
      <c r="K316" s="86" t="str" cm="1">
        <f t="array" ref="K316">LOOKUP(2,1/($G$6:$G$14&lt;=$L316)/($H$6:$H$14&gt;=$L316),$F$6:$F$14)</f>
        <v>FY19</v>
      </c>
      <c r="L316" s="118">
        <v>43291</v>
      </c>
      <c r="M316" s="49">
        <v>16654095.87020649</v>
      </c>
      <c r="N316" s="49">
        <v>21843512.143362831</v>
      </c>
      <c r="O316" s="50">
        <v>15000000</v>
      </c>
      <c r="P316" s="119" cm="1">
        <f t="array" ref="P316">LOOKUP(2,1/($B$10:$B$14&lt;=$L316)/($C$10:$C$14&gt;=$L316),$D$10:$D$14)</f>
        <v>1.1000000000000001</v>
      </c>
      <c r="Q316" s="120" cm="1">
        <f t="array" ref="Q316">LOOKUP(2,1/($B$17:$B$21&lt;=$L316)/($C$17:$C$21&gt;=$L316),$D$17:$D$21)</f>
        <v>134.49039999999999</v>
      </c>
      <c r="R316" s="113" t="str">
        <f t="shared" si="251"/>
        <v/>
      </c>
      <c r="S316" s="113" t="str">
        <f t="shared" si="252"/>
        <v>1H19</v>
      </c>
      <c r="T316" s="113" t="str">
        <f t="shared" ca="1" si="253"/>
        <v/>
      </c>
      <c r="U316" s="113" t="str">
        <f t="shared" si="254"/>
        <v/>
      </c>
      <c r="V316" s="113" t="str">
        <f t="shared" si="255"/>
        <v>FY19</v>
      </c>
      <c r="W316" s="113" t="str">
        <f t="shared" ca="1" si="256"/>
        <v/>
      </c>
    </row>
    <row r="317" spans="10:23" x14ac:dyDescent="0.25">
      <c r="J317" s="86" t="str" cm="1">
        <f t="array" ref="J317">LOOKUP(2,1/($G$17:$G$33&lt;=$L317)/($H$17:$H$33&gt;=$L317),$F$17:$F$33)</f>
        <v>1H19</v>
      </c>
      <c r="K317" s="86" t="str" cm="1">
        <f t="array" ref="K317">LOOKUP(2,1/($G$6:$G$14&lt;=$L317)/($H$6:$H$14&gt;=$L317),$F$6:$F$14)</f>
        <v>FY19</v>
      </c>
      <c r="L317" s="118">
        <v>43284</v>
      </c>
      <c r="M317" s="49">
        <v>14432465.953785647</v>
      </c>
      <c r="N317" s="49">
        <v>18929622.344985254</v>
      </c>
      <c r="O317" s="50">
        <v>10000000</v>
      </c>
      <c r="P317" s="119" cm="1">
        <f t="array" ref="P317">LOOKUP(2,1/($B$10:$B$14&lt;=$L317)/($C$10:$C$14&gt;=$L317),$D$10:$D$14)</f>
        <v>1.1000000000000001</v>
      </c>
      <c r="Q317" s="120" cm="1">
        <f t="array" ref="Q317">LOOKUP(2,1/($B$17:$B$21&lt;=$L317)/($C$17:$C$21&gt;=$L317),$D$17:$D$21)</f>
        <v>134.49039999999999</v>
      </c>
      <c r="R317" s="113" t="str">
        <f t="shared" si="251"/>
        <v>1H19</v>
      </c>
      <c r="S317" s="113" t="str">
        <f t="shared" si="252"/>
        <v>1H19</v>
      </c>
      <c r="T317" s="113" t="str">
        <f t="shared" ca="1" si="253"/>
        <v/>
      </c>
      <c r="U317" s="113" t="str">
        <f t="shared" si="254"/>
        <v>FY19</v>
      </c>
      <c r="V317" s="113" t="str">
        <f t="shared" si="255"/>
        <v>FY19</v>
      </c>
      <c r="W317" s="113" t="str">
        <f t="shared" ca="1" si="256"/>
        <v/>
      </c>
    </row>
    <row r="318" spans="10:23" x14ac:dyDescent="0.25">
      <c r="J318" s="86" t="str" cm="1">
        <f t="array" ref="J318">LOOKUP(2,1/($G$17:$G$33&lt;=$L318)/($H$17:$H$33&gt;=$L318),$F$17:$F$33)</f>
        <v>2H18</v>
      </c>
      <c r="K318" s="86" t="str" cm="1">
        <f t="array" ref="K318">LOOKUP(2,1/($G$6:$G$14&lt;=$L318)/($H$6:$H$14&gt;=$L318),$F$6:$F$14)</f>
        <v>FY18</v>
      </c>
      <c r="L318" s="118">
        <v>43277</v>
      </c>
      <c r="M318" s="49">
        <v>9892274.5821042303</v>
      </c>
      <c r="N318" s="49">
        <v>12974707.341887908</v>
      </c>
      <c r="O318" s="50">
        <v>5000000</v>
      </c>
      <c r="P318" s="119" cm="1">
        <f t="array" ref="P318">LOOKUP(2,1/($B$10:$B$14&lt;=$L318)/($C$10:$C$14&gt;=$L318),$D$10:$D$14)</f>
        <v>1.1000000000000001</v>
      </c>
      <c r="Q318" s="120" cm="1">
        <f t="array" ref="Q318">LOOKUP(2,1/($B$17:$B$21&lt;=$L318)/($C$17:$C$21&gt;=$L318),$D$17:$D$21)</f>
        <v>134.49039999999999</v>
      </c>
      <c r="R318" s="113" t="str">
        <f t="shared" si="251"/>
        <v/>
      </c>
      <c r="S318" s="113" t="str">
        <f t="shared" si="252"/>
        <v>1H19</v>
      </c>
      <c r="T318" s="113" t="str">
        <f t="shared" ca="1" si="253"/>
        <v/>
      </c>
      <c r="U318" s="113" t="str">
        <f t="shared" si="254"/>
        <v/>
      </c>
      <c r="V318" s="113" t="str">
        <f t="shared" si="255"/>
        <v>FY19</v>
      </c>
      <c r="W318" s="113" t="str">
        <f t="shared" ca="1" si="256"/>
        <v/>
      </c>
    </row>
    <row r="319" spans="10:23" x14ac:dyDescent="0.25">
      <c r="J319" s="86" t="str" cm="1">
        <f t="array" ref="J319">LOOKUP(2,1/($G$17:$G$33&lt;=$L319)/($H$17:$H$33&gt;=$L319),$F$17:$F$33)</f>
        <v>2H18</v>
      </c>
      <c r="K319" s="86" t="str" cm="1">
        <f t="array" ref="K319">LOOKUP(2,1/($G$6:$G$14&lt;=$L319)/($H$6:$H$14&gt;=$L319),$F$6:$F$14)</f>
        <v>FY18</v>
      </c>
      <c r="L319" s="118">
        <v>43270</v>
      </c>
      <c r="M319" s="49">
        <v>7442024.8279252714</v>
      </c>
      <c r="N319" s="49">
        <v>9760959.7643067855</v>
      </c>
      <c r="O319" s="50">
        <v>2000000</v>
      </c>
      <c r="P319" s="119" cm="1">
        <f t="array" ref="P319">LOOKUP(2,1/($B$10:$B$14&lt;=$L319)/($C$10:$C$14&gt;=$L319),$D$10:$D$14)</f>
        <v>1.1000000000000001</v>
      </c>
      <c r="Q319" s="120" cm="1">
        <f t="array" ref="Q319">LOOKUP(2,1/($B$17:$B$21&lt;=$L319)/($C$17:$C$21&gt;=$L319),$D$17:$D$21)</f>
        <v>134.49039999999999</v>
      </c>
      <c r="R319" s="113" t="str">
        <f t="shared" si="251"/>
        <v/>
      </c>
      <c r="S319" s="113" t="str">
        <f t="shared" si="252"/>
        <v>1H19</v>
      </c>
      <c r="T319" s="113" t="str">
        <f t="shared" ca="1" si="253"/>
        <v/>
      </c>
      <c r="U319" s="113" t="str">
        <f t="shared" si="254"/>
        <v/>
      </c>
      <c r="V319" s="113" t="str">
        <f t="shared" si="255"/>
        <v>FY19</v>
      </c>
      <c r="W319" s="113" t="str">
        <f t="shared" ca="1" si="256"/>
        <v/>
      </c>
    </row>
    <row r="320" spans="10:23" x14ac:dyDescent="0.25">
      <c r="J320" s="86" t="str" cm="1">
        <f t="array" ref="J320">LOOKUP(2,1/($G$17:$G$33&lt;=$L320)/($H$17:$H$33&gt;=$L320),$F$17:$F$33)</f>
        <v>2H18</v>
      </c>
      <c r="K320" s="86" t="str" cm="1">
        <f t="array" ref="K320">LOOKUP(2,1/($G$6:$G$14&lt;=$L320)/($H$6:$H$14&gt;=$L320),$F$6:$F$14)</f>
        <v>FY18</v>
      </c>
      <c r="L320" s="118">
        <v>43263</v>
      </c>
      <c r="M320" s="49">
        <v>17605405.850540809</v>
      </c>
      <c r="N320" s="49">
        <v>23091250.313569322</v>
      </c>
      <c r="O320" s="50">
        <v>15000000</v>
      </c>
      <c r="P320" s="119" cm="1">
        <f t="array" ref="P320">LOOKUP(2,1/($B$10:$B$14&lt;=$L320)/($C$10:$C$14&gt;=$L320),$D$10:$D$14)</f>
        <v>1.1000000000000001</v>
      </c>
      <c r="Q320" s="120" cm="1">
        <f t="array" ref="Q320">LOOKUP(2,1/($B$17:$B$21&lt;=$L320)/($C$17:$C$21&gt;=$L320),$D$17:$D$21)</f>
        <v>134.49039999999999</v>
      </c>
      <c r="R320" s="113" t="str">
        <f t="shared" si="251"/>
        <v/>
      </c>
      <c r="S320" s="113" t="str">
        <f t="shared" si="252"/>
        <v>2H18</v>
      </c>
      <c r="T320" s="113" t="str">
        <f t="shared" ca="1" si="253"/>
        <v>1H19</v>
      </c>
      <c r="U320" s="113" t="str">
        <f t="shared" si="254"/>
        <v/>
      </c>
      <c r="V320" s="113" t="str">
        <f t="shared" si="255"/>
        <v>FY18</v>
      </c>
      <c r="W320" s="113" t="str">
        <f t="shared" ca="1" si="256"/>
        <v>FY19</v>
      </c>
    </row>
    <row r="321" spans="10:23" x14ac:dyDescent="0.25">
      <c r="J321" s="86" t="str" cm="1">
        <f t="array" ref="J321">LOOKUP(2,1/($G$17:$G$33&lt;=$L321)/($H$17:$H$33&gt;=$L321),$F$17:$F$33)</f>
        <v>2H18</v>
      </c>
      <c r="K321" s="86" t="str" cm="1">
        <f t="array" ref="K321">LOOKUP(2,1/($G$6:$G$14&lt;=$L321)/($H$6:$H$14&gt;=$L321),$F$6:$F$14)</f>
        <v>FY18</v>
      </c>
      <c r="L321" s="118">
        <v>43256</v>
      </c>
      <c r="M321" s="49">
        <v>12576426.868239922</v>
      </c>
      <c r="N321" s="49">
        <v>16495241.48038348</v>
      </c>
      <c r="O321" s="50">
        <v>10000000</v>
      </c>
      <c r="P321" s="119" cm="1">
        <f t="array" ref="P321">LOOKUP(2,1/($B$10:$B$14&lt;=$L321)/($C$10:$C$14&gt;=$L321),$D$10:$D$14)</f>
        <v>1.1000000000000001</v>
      </c>
      <c r="Q321" s="120" cm="1">
        <f t="array" ref="Q321">LOOKUP(2,1/($B$17:$B$21&lt;=$L321)/($C$17:$C$21&gt;=$L321),$D$17:$D$21)</f>
        <v>134.49039999999999</v>
      </c>
      <c r="R321" s="113" t="str">
        <f t="shared" si="251"/>
        <v/>
      </c>
      <c r="S321" s="113" t="str">
        <f t="shared" si="252"/>
        <v>2H18</v>
      </c>
      <c r="T321" s="113" t="str">
        <f t="shared" ca="1" si="253"/>
        <v/>
      </c>
      <c r="U321" s="113" t="str">
        <f t="shared" si="254"/>
        <v/>
      </c>
      <c r="V321" s="113" t="str">
        <f t="shared" si="255"/>
        <v>FY18</v>
      </c>
      <c r="W321" s="113" t="str">
        <f t="shared" ca="1" si="256"/>
        <v/>
      </c>
    </row>
    <row r="322" spans="10:23" x14ac:dyDescent="0.25">
      <c r="J322" s="86" t="str" cm="1">
        <f t="array" ref="J322">LOOKUP(2,1/($G$17:$G$33&lt;=$L322)/($H$17:$H$33&gt;=$L322),$F$17:$F$33)</f>
        <v>2H18</v>
      </c>
      <c r="K322" s="86" t="str" cm="1">
        <f t="array" ref="K322">LOOKUP(2,1/($G$6:$G$14&lt;=$L322)/($H$6:$H$14&gt;=$L322),$F$6:$F$14)</f>
        <v>FY18</v>
      </c>
      <c r="L322" s="118">
        <v>43249</v>
      </c>
      <c r="M322" s="49">
        <v>9160600.1720747314</v>
      </c>
      <c r="N322" s="49">
        <v>12015043.185693217</v>
      </c>
      <c r="O322" s="50">
        <v>5000000</v>
      </c>
      <c r="P322" s="119" cm="1">
        <f t="array" ref="P322">LOOKUP(2,1/($B$10:$B$14&lt;=$L322)/($C$10:$C$14&gt;=$L322),$D$10:$D$14)</f>
        <v>1.1000000000000001</v>
      </c>
      <c r="Q322" s="120" cm="1">
        <f t="array" ref="Q322">LOOKUP(2,1/($B$17:$B$21&lt;=$L322)/($C$17:$C$21&gt;=$L322),$D$17:$D$21)</f>
        <v>134.49039999999999</v>
      </c>
      <c r="R322" s="113" t="str">
        <f t="shared" si="251"/>
        <v/>
      </c>
      <c r="S322" s="113" t="str">
        <f t="shared" si="252"/>
        <v>2H18</v>
      </c>
      <c r="T322" s="113" t="str">
        <f t="shared" ca="1" si="253"/>
        <v/>
      </c>
      <c r="U322" s="113" t="str">
        <f t="shared" si="254"/>
        <v/>
      </c>
      <c r="V322" s="113" t="str">
        <f t="shared" si="255"/>
        <v>FY18</v>
      </c>
      <c r="W322" s="113" t="str">
        <f t="shared" ca="1" si="256"/>
        <v/>
      </c>
    </row>
    <row r="323" spans="10:23" x14ac:dyDescent="0.25">
      <c r="J323" s="86" t="str" cm="1">
        <f t="array" ref="J323">LOOKUP(2,1/($G$17:$G$33&lt;=$L323)/($H$17:$H$33&gt;=$L323),$F$17:$F$33)</f>
        <v>2H18</v>
      </c>
      <c r="K323" s="86" t="str" cm="1">
        <f t="array" ref="K323">LOOKUP(2,1/($G$6:$G$14&lt;=$L323)/($H$6:$H$14&gt;=$L323),$F$6:$F$14)</f>
        <v>FY18</v>
      </c>
      <c r="L323" s="118">
        <v>43242</v>
      </c>
      <c r="M323" s="49">
        <v>7355410.029498525</v>
      </c>
      <c r="N323" s="49">
        <v>9647355.7946902644</v>
      </c>
      <c r="O323" s="50">
        <v>2000000</v>
      </c>
      <c r="P323" s="119" cm="1">
        <f t="array" ref="P323">LOOKUP(2,1/($B$10:$B$14&lt;=$L323)/($C$10:$C$14&gt;=$L323),$D$10:$D$14)</f>
        <v>1.1000000000000001</v>
      </c>
      <c r="Q323" s="120" cm="1">
        <f t="array" ref="Q323">LOOKUP(2,1/($B$17:$B$21&lt;=$L323)/($C$17:$C$21&gt;=$L323),$D$17:$D$21)</f>
        <v>134.49039999999999</v>
      </c>
      <c r="R323" s="113" t="str">
        <f t="shared" si="251"/>
        <v/>
      </c>
      <c r="S323" s="113" t="str">
        <f t="shared" si="252"/>
        <v>2H18</v>
      </c>
      <c r="T323" s="113" t="str">
        <f t="shared" ca="1" si="253"/>
        <v/>
      </c>
      <c r="U323" s="113" t="str">
        <f t="shared" si="254"/>
        <v/>
      </c>
      <c r="V323" s="113" t="str">
        <f t="shared" si="255"/>
        <v>FY18</v>
      </c>
      <c r="W323" s="113" t="str">
        <f t="shared" ca="1" si="256"/>
        <v/>
      </c>
    </row>
    <row r="324" spans="10:23" x14ac:dyDescent="0.25">
      <c r="J324" s="86" t="str" cm="1">
        <f t="array" ref="J324">LOOKUP(2,1/($G$17:$G$33&lt;=$L324)/($H$17:$H$33&gt;=$L324),$F$17:$F$33)</f>
        <v>2H18</v>
      </c>
      <c r="K324" s="86" t="str" cm="1">
        <f t="array" ref="K324">LOOKUP(2,1/($G$6:$G$14&lt;=$L324)/($H$6:$H$14&gt;=$L324),$F$6:$F$14)</f>
        <v>FY18</v>
      </c>
      <c r="L324" s="118">
        <v>43235</v>
      </c>
      <c r="M324" s="49">
        <v>16800606.809242874</v>
      </c>
      <c r="N324" s="49">
        <v>22035675.891002953</v>
      </c>
      <c r="O324" s="50">
        <v>15000000</v>
      </c>
      <c r="P324" s="119" cm="1">
        <f t="array" ref="P324">LOOKUP(2,1/($B$10:$B$14&lt;=$L324)/($C$10:$C$14&gt;=$L324),$D$10:$D$14)</f>
        <v>1.1000000000000001</v>
      </c>
      <c r="Q324" s="120" cm="1">
        <f t="array" ref="Q324">LOOKUP(2,1/($B$17:$B$21&lt;=$L324)/($C$17:$C$21&gt;=$L324),$D$17:$D$21)</f>
        <v>134.49039999999999</v>
      </c>
      <c r="R324" s="113" t="str">
        <f t="shared" si="251"/>
        <v/>
      </c>
      <c r="S324" s="113" t="str">
        <f t="shared" si="252"/>
        <v>2H18</v>
      </c>
      <c r="T324" s="113" t="str">
        <f t="shared" ca="1" si="253"/>
        <v/>
      </c>
      <c r="U324" s="113" t="str">
        <f t="shared" si="254"/>
        <v/>
      </c>
      <c r="V324" s="113" t="str">
        <f t="shared" si="255"/>
        <v>FY18</v>
      </c>
      <c r="W324" s="113" t="str">
        <f t="shared" ca="1" si="256"/>
        <v/>
      </c>
    </row>
    <row r="325" spans="10:23" x14ac:dyDescent="0.25">
      <c r="J325" s="86" t="str" cm="1">
        <f t="array" ref="J325">LOOKUP(2,1/($G$17:$G$33&lt;=$L325)/($H$17:$H$33&gt;=$L325),$F$17:$F$33)</f>
        <v>2H18</v>
      </c>
      <c r="K325" s="86" t="str" cm="1">
        <f t="array" ref="K325">LOOKUP(2,1/($G$6:$G$14&lt;=$L325)/($H$6:$H$14&gt;=$L325),$F$6:$F$14)</f>
        <v>FY18</v>
      </c>
      <c r="L325" s="118">
        <v>43228</v>
      </c>
      <c r="M325" s="49">
        <v>13327650.319567358</v>
      </c>
      <c r="N325" s="49">
        <v>17480546.159144547</v>
      </c>
      <c r="O325" s="50">
        <v>10000000</v>
      </c>
      <c r="P325" s="119" cm="1">
        <f t="array" ref="P325">LOOKUP(2,1/($B$10:$B$14&lt;=$L325)/($C$10:$C$14&gt;=$L325),$D$10:$D$14)</f>
        <v>1.1000000000000001</v>
      </c>
      <c r="Q325" s="120" cm="1">
        <f t="array" ref="Q325">LOOKUP(2,1/($B$17:$B$21&lt;=$L325)/($C$17:$C$21&gt;=$L325),$D$17:$D$21)</f>
        <v>134.49039999999999</v>
      </c>
      <c r="R325" s="113" t="str">
        <f t="shared" si="251"/>
        <v/>
      </c>
      <c r="S325" s="113" t="str">
        <f t="shared" si="252"/>
        <v>2H18</v>
      </c>
      <c r="T325" s="113" t="str">
        <f t="shared" ca="1" si="253"/>
        <v/>
      </c>
      <c r="U325" s="113" t="str">
        <f t="shared" si="254"/>
        <v/>
      </c>
      <c r="V325" s="113" t="str">
        <f t="shared" si="255"/>
        <v>FY18</v>
      </c>
      <c r="W325" s="113" t="str">
        <f t="shared" ca="1" si="256"/>
        <v/>
      </c>
    </row>
    <row r="326" spans="10:23" x14ac:dyDescent="0.25">
      <c r="J326" s="86" t="str" cm="1">
        <f t="array" ref="J326">LOOKUP(2,1/($G$17:$G$33&lt;=$L326)/($H$17:$H$33&gt;=$L326),$F$17:$F$33)</f>
        <v>2H18</v>
      </c>
      <c r="K326" s="86" t="str" cm="1">
        <f t="array" ref="K326">LOOKUP(2,1/($G$6:$G$14&lt;=$L326)/($H$6:$H$14&gt;=$L326),$F$6:$F$14)</f>
        <v>FY18</v>
      </c>
      <c r="L326" s="118">
        <v>43221</v>
      </c>
      <c r="M326" s="49">
        <v>9973115.5358898751</v>
      </c>
      <c r="N326" s="49">
        <v>13080738.336873159</v>
      </c>
      <c r="O326" s="50">
        <v>5000000</v>
      </c>
      <c r="P326" s="119" cm="1">
        <f t="array" ref="P326">LOOKUP(2,1/($B$10:$B$14&lt;=$L326)/($C$10:$C$14&gt;=$L326),$D$10:$D$14)</f>
        <v>1.1000000000000001</v>
      </c>
      <c r="Q326" s="120" cm="1">
        <f t="array" ref="Q326">LOOKUP(2,1/($B$17:$B$21&lt;=$L326)/($C$17:$C$21&gt;=$L326),$D$17:$D$21)</f>
        <v>134.49039999999999</v>
      </c>
      <c r="R326" s="113" t="str">
        <f t="shared" si="251"/>
        <v/>
      </c>
      <c r="S326" s="113" t="str">
        <f t="shared" si="252"/>
        <v>2H18</v>
      </c>
      <c r="T326" s="113" t="str">
        <f t="shared" ca="1" si="253"/>
        <v/>
      </c>
      <c r="U326" s="113" t="str">
        <f t="shared" si="254"/>
        <v/>
      </c>
      <c r="V326" s="113" t="str">
        <f t="shared" si="255"/>
        <v>FY18</v>
      </c>
      <c r="W326" s="113" t="str">
        <f t="shared" ca="1" si="256"/>
        <v/>
      </c>
    </row>
    <row r="327" spans="10:23" x14ac:dyDescent="0.25">
      <c r="J327" s="86" t="str" cm="1">
        <f t="array" ref="J327">LOOKUP(2,1/($G$17:$G$33&lt;=$L327)/($H$17:$H$33&gt;=$L327),$F$17:$F$33)</f>
        <v>2H18</v>
      </c>
      <c r="K327" s="86" t="str" cm="1">
        <f t="array" ref="K327">LOOKUP(2,1/($G$6:$G$14&lt;=$L327)/($H$6:$H$14&gt;=$L327),$F$6:$F$14)</f>
        <v>FY18</v>
      </c>
      <c r="L327" s="118">
        <v>43214</v>
      </c>
      <c r="M327" s="49">
        <v>7916583.3333333349</v>
      </c>
      <c r="N327" s="49">
        <v>10383390.700000001</v>
      </c>
      <c r="O327" s="50">
        <v>2000000</v>
      </c>
      <c r="P327" s="119" cm="1">
        <f t="array" ref="P327">LOOKUP(2,1/($B$10:$B$14&lt;=$L327)/($C$10:$C$14&gt;=$L327),$D$10:$D$14)</f>
        <v>1.1000000000000001</v>
      </c>
      <c r="Q327" s="120" cm="1">
        <f t="array" ref="Q327">LOOKUP(2,1/($B$17:$B$21&lt;=$L327)/($C$17:$C$21&gt;=$L327),$D$17:$D$21)</f>
        <v>134.49039999999999</v>
      </c>
      <c r="R327" s="113" t="str">
        <f t="shared" si="251"/>
        <v/>
      </c>
      <c r="S327" s="113" t="str">
        <f t="shared" si="252"/>
        <v>2H18</v>
      </c>
      <c r="T327" s="113" t="str">
        <f t="shared" ca="1" si="253"/>
        <v/>
      </c>
      <c r="U327" s="113" t="str">
        <f t="shared" si="254"/>
        <v/>
      </c>
      <c r="V327" s="113" t="str">
        <f t="shared" si="255"/>
        <v>FY18</v>
      </c>
      <c r="W327" s="113" t="str">
        <f t="shared" ca="1" si="256"/>
        <v/>
      </c>
    </row>
    <row r="328" spans="10:23" x14ac:dyDescent="0.25">
      <c r="J328" s="86" t="str" cm="1">
        <f t="array" ref="J328">LOOKUP(2,1/($G$17:$G$33&lt;=$L328)/($H$17:$H$33&gt;=$L328),$F$17:$F$33)</f>
        <v>2H18</v>
      </c>
      <c r="K328" s="86" t="str" cm="1">
        <f t="array" ref="K328">LOOKUP(2,1/($G$6:$G$14&lt;=$L328)/($H$6:$H$14&gt;=$L328),$F$6:$F$14)</f>
        <v>FY18</v>
      </c>
      <c r="L328" s="118">
        <v>43207</v>
      </c>
      <c r="M328" s="49">
        <v>15625752.212389385</v>
      </c>
      <c r="N328" s="49">
        <v>20494736.601769917</v>
      </c>
      <c r="O328" s="50">
        <v>10000000</v>
      </c>
      <c r="P328" s="119" cm="1">
        <f t="array" ref="P328">LOOKUP(2,1/($B$10:$B$14&lt;=$L328)/($C$10:$C$14&gt;=$L328),$D$10:$D$14)</f>
        <v>0.85</v>
      </c>
      <c r="Q328" s="120" cm="1">
        <f t="array" ref="Q328">LOOKUP(2,1/($B$17:$B$21&lt;=$L328)/($C$17:$C$21&gt;=$L328),$D$17:$D$21)</f>
        <v>76.767600000000002</v>
      </c>
      <c r="R328" s="113" t="str">
        <f t="shared" si="251"/>
        <v/>
      </c>
      <c r="S328" s="113" t="str">
        <f t="shared" si="252"/>
        <v>2H18</v>
      </c>
      <c r="T328" s="113" t="str">
        <f t="shared" ca="1" si="253"/>
        <v/>
      </c>
      <c r="U328" s="113" t="str">
        <f t="shared" si="254"/>
        <v/>
      </c>
      <c r="V328" s="113" t="str">
        <f t="shared" si="255"/>
        <v>FY18</v>
      </c>
      <c r="W328" s="113" t="str">
        <f t="shared" ca="1" si="256"/>
        <v/>
      </c>
    </row>
    <row r="329" spans="10:23" x14ac:dyDescent="0.25">
      <c r="J329" s="86" t="str" cm="1">
        <f t="array" ref="J329">LOOKUP(2,1/($G$17:$G$33&lt;=$L329)/($H$17:$H$33&gt;=$L329),$F$17:$F$33)</f>
        <v>2H18</v>
      </c>
      <c r="K329" s="86" t="str" cm="1">
        <f t="array" ref="K329">LOOKUP(2,1/($G$6:$G$14&lt;=$L329)/($H$6:$H$14&gt;=$L329),$F$6:$F$14)</f>
        <v>FY18</v>
      </c>
      <c r="L329" s="118">
        <v>43200</v>
      </c>
      <c r="M329" s="49">
        <v>10815232.423795478</v>
      </c>
      <c r="N329" s="49">
        <v>14185258.847050149</v>
      </c>
      <c r="O329" s="50">
        <v>5000000</v>
      </c>
      <c r="P329" s="119" cm="1">
        <f t="array" ref="P329">LOOKUP(2,1/($B$10:$B$14&lt;=$L329)/($C$10:$C$14&gt;=$L329),$D$10:$D$14)</f>
        <v>0.85</v>
      </c>
      <c r="Q329" s="120" cm="1">
        <f t="array" ref="Q329">LOOKUP(2,1/($B$17:$B$21&lt;=$L329)/($C$17:$C$21&gt;=$L329),$D$17:$D$21)</f>
        <v>76.767600000000002</v>
      </c>
      <c r="R329" s="113" t="str">
        <f t="shared" si="251"/>
        <v/>
      </c>
      <c r="S329" s="113" t="str">
        <f t="shared" si="252"/>
        <v>2H18</v>
      </c>
      <c r="T329" s="113" t="str">
        <f t="shared" ca="1" si="253"/>
        <v/>
      </c>
      <c r="U329" s="113" t="str">
        <f t="shared" si="254"/>
        <v/>
      </c>
      <c r="V329" s="113" t="str">
        <f t="shared" si="255"/>
        <v>FY18</v>
      </c>
      <c r="W329" s="113" t="str">
        <f t="shared" ca="1" si="256"/>
        <v/>
      </c>
    </row>
    <row r="330" spans="10:23" x14ac:dyDescent="0.25">
      <c r="J330" s="86" t="str" cm="1">
        <f t="array" ref="J330">LOOKUP(2,1/($G$17:$G$33&lt;=$L330)/($H$17:$H$33&gt;=$L330),$F$17:$F$33)</f>
        <v>2H18</v>
      </c>
      <c r="K330" s="86" t="str" cm="1">
        <f t="array" ref="K330">LOOKUP(2,1/($G$6:$G$14&lt;=$L330)/($H$6:$H$14&gt;=$L330),$F$6:$F$14)</f>
        <v>FY18</v>
      </c>
      <c r="L330" s="118">
        <v>43193</v>
      </c>
      <c r="M330" s="49">
        <v>7478159.6607669629</v>
      </c>
      <c r="N330" s="49">
        <v>9808354.211061947</v>
      </c>
      <c r="O330" s="50">
        <v>2000000</v>
      </c>
      <c r="P330" s="119" cm="1">
        <f t="array" ref="P330">LOOKUP(2,1/($B$10:$B$14&lt;=$L330)/($C$10:$C$14&gt;=$L330),$D$10:$D$14)</f>
        <v>0.85</v>
      </c>
      <c r="Q330" s="120" cm="1">
        <f t="array" ref="Q330">LOOKUP(2,1/($B$17:$B$21&lt;=$L330)/($C$17:$C$21&gt;=$L330),$D$17:$D$21)</f>
        <v>76.767600000000002</v>
      </c>
      <c r="R330" s="113" t="str">
        <f t="shared" ref="R330:R395" si="257">IF($J330&lt;&gt;$J331,$J330,"")</f>
        <v/>
      </c>
      <c r="S330" s="113" t="str">
        <f t="shared" ref="S330:S395" si="258">IF($O329&lt;$O330,$J330,S329)</f>
        <v>2H18</v>
      </c>
      <c r="T330" s="113" t="str">
        <f t="shared" ref="T330:T393" ca="1" si="259">IF(AND(S330&lt;&gt;S329,ISNUMBER(MATCH($S329,$F$17:$F$33,0))),OFFSET($F$16,MATCH($J330,$F$17:$F$33,0)+1,0),"")</f>
        <v/>
      </c>
      <c r="U330" s="113" t="str">
        <f t="shared" ref="U330:U395" si="260">IF($K330&lt;&gt;$K331,$K330,"")</f>
        <v/>
      </c>
      <c r="V330" s="113" t="str">
        <f t="shared" si="255"/>
        <v>FY18</v>
      </c>
      <c r="W330" s="113" t="str">
        <f t="shared" ca="1" si="256"/>
        <v/>
      </c>
    </row>
    <row r="331" spans="10:23" x14ac:dyDescent="0.25">
      <c r="J331" s="86" t="str" cm="1">
        <f t="array" ref="J331">LOOKUP(2,1/($G$17:$G$33&lt;=$L331)/($H$17:$H$33&gt;=$L331),$F$17:$F$33)</f>
        <v>2H18</v>
      </c>
      <c r="K331" s="86" t="str" cm="1">
        <f t="array" ref="K331">LOOKUP(2,1/($G$6:$G$14&lt;=$L331)/($H$6:$H$14&gt;=$L331),$F$6:$F$14)</f>
        <v>FY18</v>
      </c>
      <c r="L331" s="118">
        <v>43186</v>
      </c>
      <c r="M331" s="49">
        <v>15309907.448377581</v>
      </c>
      <c r="N331" s="49">
        <v>20080474.609292034</v>
      </c>
      <c r="O331" s="50">
        <v>10000000</v>
      </c>
      <c r="P331" s="119" cm="1">
        <f t="array" ref="P331">LOOKUP(2,1/($B$10:$B$14&lt;=$L331)/($C$10:$C$14&gt;=$L331),$D$10:$D$14)</f>
        <v>0.85</v>
      </c>
      <c r="Q331" s="120" cm="1">
        <f t="array" ref="Q331">LOOKUP(2,1/($B$17:$B$21&lt;=$L331)/($C$17:$C$21&gt;=$L331),$D$17:$D$21)</f>
        <v>76.767600000000002</v>
      </c>
      <c r="R331" s="113" t="str">
        <f t="shared" si="257"/>
        <v/>
      </c>
      <c r="S331" s="113" t="str">
        <f t="shared" si="258"/>
        <v>2H18</v>
      </c>
      <c r="T331" s="113" t="str">
        <f t="shared" ca="1" si="259"/>
        <v/>
      </c>
      <c r="U331" s="113" t="str">
        <f t="shared" si="260"/>
        <v/>
      </c>
      <c r="V331" s="113" t="str">
        <f t="shared" si="255"/>
        <v>FY18</v>
      </c>
      <c r="W331" s="113" t="str">
        <f t="shared" ca="1" si="256"/>
        <v/>
      </c>
    </row>
    <row r="332" spans="10:23" x14ac:dyDescent="0.25">
      <c r="J332" s="86" t="str" cm="1">
        <f t="array" ref="J332">LOOKUP(2,1/($G$17:$G$33&lt;=$L332)/($H$17:$H$33&gt;=$L332),$F$17:$F$33)</f>
        <v>2H18</v>
      </c>
      <c r="K332" s="86" t="str" cm="1">
        <f t="array" ref="K332">LOOKUP(2,1/($G$6:$G$14&lt;=$L332)/($H$6:$H$14&gt;=$L332),$F$6:$F$14)</f>
        <v>FY18</v>
      </c>
      <c r="L332" s="118">
        <v>43179</v>
      </c>
      <c r="M332" s="49">
        <v>8988688.6676499527</v>
      </c>
      <c r="N332" s="49">
        <v>11789564.056489676</v>
      </c>
      <c r="O332" s="50">
        <v>5000000</v>
      </c>
      <c r="P332" s="119" cm="1">
        <f t="array" ref="P332">LOOKUP(2,1/($B$10:$B$14&lt;=$L332)/($C$10:$C$14&gt;=$L332),$D$10:$D$14)</f>
        <v>0.85</v>
      </c>
      <c r="Q332" s="120" cm="1">
        <f t="array" ref="Q332">LOOKUP(2,1/($B$17:$B$21&lt;=$L332)/($C$17:$C$21&gt;=$L332),$D$17:$D$21)</f>
        <v>76.767600000000002</v>
      </c>
      <c r="R332" s="113" t="str">
        <f t="shared" si="257"/>
        <v/>
      </c>
      <c r="S332" s="113" t="str">
        <f t="shared" si="258"/>
        <v>2H18</v>
      </c>
      <c r="T332" s="113" t="str">
        <f t="shared" ca="1" si="259"/>
        <v/>
      </c>
      <c r="U332" s="113" t="str">
        <f t="shared" si="260"/>
        <v/>
      </c>
      <c r="V332" s="113" t="str">
        <f t="shared" si="255"/>
        <v>FY18</v>
      </c>
      <c r="W332" s="113" t="str">
        <f t="shared" ca="1" si="256"/>
        <v/>
      </c>
    </row>
    <row r="333" spans="10:23" x14ac:dyDescent="0.25">
      <c r="J333" s="86" t="str" cm="1">
        <f t="array" ref="J333">LOOKUP(2,1/($G$17:$G$33&lt;=$L333)/($H$17:$H$33&gt;=$L333),$F$17:$F$33)</f>
        <v>2H18</v>
      </c>
      <c r="K333" s="86" t="str" cm="1">
        <f t="array" ref="K333">LOOKUP(2,1/($G$6:$G$14&lt;=$L333)/($H$6:$H$14&gt;=$L333),$F$6:$F$14)</f>
        <v>FY18</v>
      </c>
      <c r="L333" s="118">
        <v>43172</v>
      </c>
      <c r="M333" s="49">
        <v>7448510.0786627335</v>
      </c>
      <c r="N333" s="49">
        <v>9769465.8191740401</v>
      </c>
      <c r="O333" s="50">
        <v>2000000</v>
      </c>
      <c r="P333" s="119" cm="1">
        <f t="array" ref="P333">LOOKUP(2,1/($B$10:$B$14&lt;=$L333)/($C$10:$C$14&gt;=$L333),$D$10:$D$14)</f>
        <v>0.85</v>
      </c>
      <c r="Q333" s="120" cm="1">
        <f t="array" ref="Q333">LOOKUP(2,1/($B$17:$B$21&lt;=$L333)/($C$17:$C$21&gt;=$L333),$D$17:$D$21)</f>
        <v>76.767600000000002</v>
      </c>
      <c r="R333" s="113" t="str">
        <f t="shared" si="257"/>
        <v/>
      </c>
      <c r="S333" s="113" t="str">
        <f t="shared" si="258"/>
        <v>2H18</v>
      </c>
      <c r="T333" s="113" t="str">
        <f t="shared" ca="1" si="259"/>
        <v/>
      </c>
      <c r="U333" s="113" t="str">
        <f t="shared" si="260"/>
        <v/>
      </c>
      <c r="V333" s="113" t="str">
        <f t="shared" si="255"/>
        <v>FY18</v>
      </c>
      <c r="W333" s="113" t="str">
        <f t="shared" ca="1" si="256"/>
        <v/>
      </c>
    </row>
    <row r="334" spans="10:23" x14ac:dyDescent="0.25">
      <c r="J334" s="86" t="str" cm="1">
        <f t="array" ref="J334">LOOKUP(2,1/($G$17:$G$33&lt;=$L334)/($H$17:$H$33&gt;=$L334),$F$17:$F$33)</f>
        <v>2H18</v>
      </c>
      <c r="K334" s="86" t="str" cm="1">
        <f t="array" ref="K334">LOOKUP(2,1/($G$6:$G$14&lt;=$L334)/($H$6:$H$14&gt;=$L334),$F$6:$F$14)</f>
        <v>FY18</v>
      </c>
      <c r="L334" s="118">
        <v>43165</v>
      </c>
      <c r="M334" s="49">
        <v>29082690.634218294</v>
      </c>
      <c r="N334" s="49">
        <v>38144857.035840712</v>
      </c>
      <c r="O334" s="50">
        <v>30000000</v>
      </c>
      <c r="P334" s="119" cm="1">
        <f t="array" ref="P334">LOOKUP(2,1/($B$10:$B$14&lt;=$L334)/($C$10:$C$14&gt;=$L334),$D$10:$D$14)</f>
        <v>0.85</v>
      </c>
      <c r="Q334" s="120" cm="1">
        <f t="array" ref="Q334">LOOKUP(2,1/($B$17:$B$21&lt;=$L334)/($C$17:$C$21&gt;=$L334),$D$17:$D$21)</f>
        <v>76.767600000000002</v>
      </c>
      <c r="R334" s="113" t="str">
        <f t="shared" si="257"/>
        <v/>
      </c>
      <c r="S334" s="113" t="str">
        <f t="shared" si="258"/>
        <v>2H18</v>
      </c>
      <c r="T334" s="113" t="str">
        <f t="shared" ca="1" si="259"/>
        <v/>
      </c>
      <c r="U334" s="113" t="str">
        <f t="shared" si="260"/>
        <v/>
      </c>
      <c r="V334" s="113" t="str">
        <f t="shared" ref="V334:V395" si="261">IF($O333&lt;$O334,$K334,V333)</f>
        <v>FY18</v>
      </c>
      <c r="W334" s="113" t="str">
        <f t="shared" ref="W334:W363" ca="1" si="262">IF(AND(V334&lt;&gt;V333,ISNUMBER(MATCH($V333,$F$6:$F$14,0))),OFFSET($F$5,MATCH($K334,$F$6:$F$14,0)+1,0),"")</f>
        <v/>
      </c>
    </row>
    <row r="335" spans="10:23" x14ac:dyDescent="0.25">
      <c r="J335" s="86" t="str" cm="1">
        <f t="array" ref="J335">LOOKUP(2,1/($G$17:$G$33&lt;=$L335)/($H$17:$H$33&gt;=$L335),$F$17:$F$33)</f>
        <v>2H18</v>
      </c>
      <c r="K335" s="86" t="str" cm="1">
        <f t="array" ref="K335">LOOKUP(2,1/($G$6:$G$14&lt;=$L335)/($H$6:$H$14&gt;=$L335),$F$6:$F$14)</f>
        <v>FY18</v>
      </c>
      <c r="L335" s="118">
        <v>43158</v>
      </c>
      <c r="M335" s="49">
        <v>19945756.391347103</v>
      </c>
      <c r="N335" s="49">
        <v>26160854.082890857</v>
      </c>
      <c r="O335" s="50">
        <v>15000000</v>
      </c>
      <c r="P335" s="119" cm="1">
        <f t="array" ref="P335">LOOKUP(2,1/($B$10:$B$14&lt;=$L335)/($C$10:$C$14&gt;=$L335),$D$10:$D$14)</f>
        <v>0.85</v>
      </c>
      <c r="Q335" s="120" cm="1">
        <f t="array" ref="Q335">LOOKUP(2,1/($B$17:$B$21&lt;=$L335)/($C$17:$C$21&gt;=$L335),$D$17:$D$21)</f>
        <v>76.767600000000002</v>
      </c>
      <c r="R335" s="113" t="str">
        <f t="shared" si="257"/>
        <v/>
      </c>
      <c r="S335" s="113" t="str">
        <f t="shared" si="258"/>
        <v>2H18</v>
      </c>
      <c r="T335" s="113" t="str">
        <f t="shared" ca="1" si="259"/>
        <v/>
      </c>
      <c r="U335" s="113" t="str">
        <f t="shared" si="260"/>
        <v/>
      </c>
      <c r="V335" s="113" t="str">
        <f t="shared" si="261"/>
        <v>FY18</v>
      </c>
      <c r="W335" s="113" t="str">
        <f t="shared" ca="1" si="262"/>
        <v/>
      </c>
    </row>
    <row r="336" spans="10:23" x14ac:dyDescent="0.25">
      <c r="J336" s="86" t="str" cm="1">
        <f t="array" ref="J336">LOOKUP(2,1/($G$17:$G$33&lt;=$L336)/($H$17:$H$33&gt;=$L336),$F$17:$F$33)</f>
        <v>2H18</v>
      </c>
      <c r="K336" s="86" t="str" cm="1">
        <f t="array" ref="K336">LOOKUP(2,1/($G$6:$G$14&lt;=$L336)/($H$6:$H$14&gt;=$L336),$F$6:$F$14)</f>
        <v>FY18</v>
      </c>
      <c r="L336" s="118">
        <v>43151</v>
      </c>
      <c r="M336" s="49">
        <v>17311238.077679455</v>
      </c>
      <c r="N336" s="49">
        <v>22705419.862684373</v>
      </c>
      <c r="O336" s="50">
        <v>10000000</v>
      </c>
      <c r="P336" s="119" cm="1">
        <f t="array" ref="P336">LOOKUP(2,1/($B$10:$B$14&lt;=$L336)/($C$10:$C$14&gt;=$L336),$D$10:$D$14)</f>
        <v>0.85</v>
      </c>
      <c r="Q336" s="120" cm="1">
        <f t="array" ref="Q336">LOOKUP(2,1/($B$17:$B$21&lt;=$L336)/($C$17:$C$21&gt;=$L336),$D$17:$D$21)</f>
        <v>76.767600000000002</v>
      </c>
      <c r="R336" s="113" t="str">
        <f t="shared" si="257"/>
        <v/>
      </c>
      <c r="S336" s="113" t="str">
        <f t="shared" si="258"/>
        <v>2H18</v>
      </c>
      <c r="T336" s="113" t="str">
        <f t="shared" ca="1" si="259"/>
        <v/>
      </c>
      <c r="U336" s="113" t="str">
        <f t="shared" si="260"/>
        <v/>
      </c>
      <c r="V336" s="113" t="str">
        <f t="shared" si="261"/>
        <v>FY18</v>
      </c>
      <c r="W336" s="113" t="str">
        <f t="shared" ca="1" si="262"/>
        <v/>
      </c>
    </row>
    <row r="337" spans="10:23" x14ac:dyDescent="0.25">
      <c r="J337" s="86" t="str" cm="1">
        <f t="array" ref="J337">LOOKUP(2,1/($G$17:$G$33&lt;=$L337)/($H$17:$H$33&gt;=$L337),$F$17:$F$33)</f>
        <v>2H18</v>
      </c>
      <c r="K337" s="86" t="str" cm="1">
        <f t="array" ref="K337">LOOKUP(2,1/($G$6:$G$14&lt;=$L337)/($H$6:$H$14&gt;=$L337),$F$6:$F$14)</f>
        <v>FY18</v>
      </c>
      <c r="L337" s="118">
        <v>43144</v>
      </c>
      <c r="M337" s="49">
        <v>10887259.46411013</v>
      </c>
      <c r="N337" s="49">
        <v>14279729.513126846</v>
      </c>
      <c r="O337" s="50">
        <v>5000000</v>
      </c>
      <c r="P337" s="119" cm="1">
        <f t="array" ref="P337">LOOKUP(2,1/($B$10:$B$14&lt;=$L337)/($C$10:$C$14&gt;=$L337),$D$10:$D$14)</f>
        <v>0.85</v>
      </c>
      <c r="Q337" s="120" cm="1">
        <f t="array" ref="Q337">LOOKUP(2,1/($B$17:$B$21&lt;=$L337)/($C$17:$C$21&gt;=$L337),$D$17:$D$21)</f>
        <v>76.767600000000002</v>
      </c>
      <c r="R337" s="113" t="str">
        <f t="shared" si="257"/>
        <v/>
      </c>
      <c r="S337" s="113" t="str">
        <f t="shared" si="258"/>
        <v>2H18</v>
      </c>
      <c r="T337" s="113" t="str">
        <f t="shared" ca="1" si="259"/>
        <v/>
      </c>
      <c r="U337" s="113" t="str">
        <f t="shared" si="260"/>
        <v/>
      </c>
      <c r="V337" s="113" t="str">
        <f t="shared" si="261"/>
        <v>FY18</v>
      </c>
      <c r="W337" s="113" t="str">
        <f t="shared" ca="1" si="262"/>
        <v/>
      </c>
    </row>
    <row r="338" spans="10:23" x14ac:dyDescent="0.25">
      <c r="J338" s="86" t="str" cm="1">
        <f t="array" ref="J338">LOOKUP(2,1/($G$17:$G$33&lt;=$L338)/($H$17:$H$33&gt;=$L338),$F$17:$F$33)</f>
        <v>2H18</v>
      </c>
      <c r="K338" s="86" t="str" cm="1">
        <f t="array" ref="K338">LOOKUP(2,1/($G$6:$G$14&lt;=$L338)/($H$6:$H$14&gt;=$L338),$F$6:$F$14)</f>
        <v>FY18</v>
      </c>
      <c r="L338" s="118">
        <v>43137</v>
      </c>
      <c r="M338" s="49">
        <v>7694347.8367748298</v>
      </c>
      <c r="N338" s="49">
        <v>10091906.622713866</v>
      </c>
      <c r="O338" s="50">
        <v>2000000</v>
      </c>
      <c r="P338" s="119" cm="1">
        <f t="array" ref="P338">LOOKUP(2,1/($B$10:$B$14&lt;=$L338)/($C$10:$C$14&gt;=$L338),$D$10:$D$14)</f>
        <v>0.85</v>
      </c>
      <c r="Q338" s="120" cm="1">
        <f t="array" ref="Q338">LOOKUP(2,1/($B$17:$B$21&lt;=$L338)/($C$17:$C$21&gt;=$L338),$D$17:$D$21)</f>
        <v>76.767600000000002</v>
      </c>
      <c r="R338" s="113" t="str">
        <f t="shared" si="257"/>
        <v/>
      </c>
      <c r="S338" s="113" t="str">
        <f t="shared" si="258"/>
        <v>2H18</v>
      </c>
      <c r="T338" s="113" t="str">
        <f t="shared" ca="1" si="259"/>
        <v/>
      </c>
      <c r="U338" s="113" t="str">
        <f t="shared" si="260"/>
        <v/>
      </c>
      <c r="V338" s="113" t="str">
        <f t="shared" si="261"/>
        <v>FY18</v>
      </c>
      <c r="W338" s="113" t="str">
        <f t="shared" ca="1" si="262"/>
        <v/>
      </c>
    </row>
    <row r="339" spans="10:23" x14ac:dyDescent="0.25">
      <c r="J339" s="86" t="str" cm="1">
        <f t="array" ref="J339">LOOKUP(2,1/($G$17:$G$33&lt;=$L339)/($H$17:$H$33&gt;=$L339),$F$17:$F$33)</f>
        <v>2H18</v>
      </c>
      <c r="K339" s="86" t="str" cm="1">
        <f t="array" ref="K339">LOOKUP(2,1/($G$6:$G$14&lt;=$L339)/($H$6:$H$14&gt;=$L339),$F$6:$F$14)</f>
        <v>FY18</v>
      </c>
      <c r="L339" s="118">
        <v>43130</v>
      </c>
      <c r="M339" s="49">
        <v>16746551.991150444</v>
      </c>
      <c r="N339" s="49">
        <v>21964777.591592919</v>
      </c>
      <c r="O339" s="50">
        <v>10000000</v>
      </c>
      <c r="P339" s="119" cm="1">
        <f t="array" ref="P339">LOOKUP(2,1/($B$10:$B$14&lt;=$L339)/($C$10:$C$14&gt;=$L339),$D$10:$D$14)</f>
        <v>0.85</v>
      </c>
      <c r="Q339" s="120" cm="1">
        <f t="array" ref="Q339">LOOKUP(2,1/($B$17:$B$21&lt;=$L339)/($C$17:$C$21&gt;=$L339),$D$17:$D$21)</f>
        <v>76.767600000000002</v>
      </c>
      <c r="R339" s="113" t="str">
        <f t="shared" si="257"/>
        <v/>
      </c>
      <c r="S339" s="113" t="str">
        <f t="shared" si="258"/>
        <v>2H18</v>
      </c>
      <c r="T339" s="113" t="str">
        <f t="shared" ca="1" si="259"/>
        <v/>
      </c>
      <c r="U339" s="113" t="str">
        <f t="shared" si="260"/>
        <v/>
      </c>
      <c r="V339" s="113" t="str">
        <f t="shared" si="261"/>
        <v>FY18</v>
      </c>
      <c r="W339" s="113" t="str">
        <f t="shared" ca="1" si="262"/>
        <v/>
      </c>
    </row>
    <row r="340" spans="10:23" x14ac:dyDescent="0.25">
      <c r="J340" s="86" t="str" cm="1">
        <f t="array" ref="J340">LOOKUP(2,1/($G$17:$G$33&lt;=$L340)/($H$17:$H$33&gt;=$L340),$F$17:$F$33)</f>
        <v>2H18</v>
      </c>
      <c r="K340" s="86" t="str" cm="1">
        <f t="array" ref="K340">LOOKUP(2,1/($G$6:$G$14&lt;=$L340)/($H$6:$H$14&gt;=$L340),$F$6:$F$14)</f>
        <v>FY18</v>
      </c>
      <c r="L340" s="118">
        <v>43123</v>
      </c>
      <c r="M340" s="49">
        <v>11050344.149459196</v>
      </c>
      <c r="N340" s="49">
        <v>14493631.386430681</v>
      </c>
      <c r="O340" s="50">
        <v>5000000</v>
      </c>
      <c r="P340" s="119" cm="1">
        <f t="array" ref="P340">LOOKUP(2,1/($B$10:$B$14&lt;=$L340)/($C$10:$C$14&gt;=$L340),$D$10:$D$14)</f>
        <v>0.85</v>
      </c>
      <c r="Q340" s="120" cm="1">
        <f t="array" ref="Q340">LOOKUP(2,1/($B$17:$B$21&lt;=$L340)/($C$17:$C$21&gt;=$L340),$D$17:$D$21)</f>
        <v>76.767600000000002</v>
      </c>
      <c r="R340" s="113" t="str">
        <f t="shared" si="257"/>
        <v/>
      </c>
      <c r="S340" s="113" t="str">
        <f t="shared" si="258"/>
        <v>2H18</v>
      </c>
      <c r="T340" s="113" t="str">
        <f t="shared" ca="1" si="259"/>
        <v/>
      </c>
      <c r="U340" s="113" t="str">
        <f t="shared" si="260"/>
        <v/>
      </c>
      <c r="V340" s="113" t="str">
        <f t="shared" si="261"/>
        <v>FY18</v>
      </c>
      <c r="W340" s="113" t="str">
        <f t="shared" ca="1" si="262"/>
        <v/>
      </c>
    </row>
    <row r="341" spans="10:23" x14ac:dyDescent="0.25">
      <c r="J341" s="86" t="str" cm="1">
        <f t="array" ref="J341">LOOKUP(2,1/($G$17:$G$33&lt;=$L341)/($H$17:$H$33&gt;=$L341),$F$17:$F$33)</f>
        <v>2H18</v>
      </c>
      <c r="K341" s="86" t="str" cm="1">
        <f t="array" ref="K341">LOOKUP(2,1/($G$6:$G$14&lt;=$L341)/($H$6:$H$14&gt;=$L341),$F$6:$F$14)</f>
        <v>FY18</v>
      </c>
      <c r="L341" s="118">
        <v>43116</v>
      </c>
      <c r="M341" s="49">
        <v>8125769.0511307772</v>
      </c>
      <c r="N341" s="49">
        <v>10657758.687463127</v>
      </c>
      <c r="O341" s="50">
        <v>2000000</v>
      </c>
      <c r="P341" s="119" cm="1">
        <f t="array" ref="P341">LOOKUP(2,1/($B$10:$B$14&lt;=$L341)/($C$10:$C$14&gt;=$L341),$D$10:$D$14)</f>
        <v>0.85</v>
      </c>
      <c r="Q341" s="120" cm="1">
        <f t="array" ref="Q341">LOOKUP(2,1/($B$17:$B$21&lt;=$L341)/($C$17:$C$21&gt;=$L341),$D$17:$D$21)</f>
        <v>76.767600000000002</v>
      </c>
      <c r="R341" s="113" t="str">
        <f t="shared" si="257"/>
        <v/>
      </c>
      <c r="S341" s="113" t="str">
        <f t="shared" si="258"/>
        <v>2H18</v>
      </c>
      <c r="T341" s="113" t="str">
        <f t="shared" ca="1" si="259"/>
        <v/>
      </c>
      <c r="U341" s="113" t="str">
        <f t="shared" si="260"/>
        <v/>
      </c>
      <c r="V341" s="113" t="str">
        <f t="shared" si="261"/>
        <v>FY18</v>
      </c>
      <c r="W341" s="113" t="str">
        <f t="shared" ca="1" si="262"/>
        <v/>
      </c>
    </row>
    <row r="342" spans="10:23" x14ac:dyDescent="0.25">
      <c r="J342" s="86" t="str" cm="1">
        <f t="array" ref="J342">LOOKUP(2,1/($G$17:$G$33&lt;=$L342)/($H$17:$H$33&gt;=$L342),$F$17:$F$33)</f>
        <v>2H18</v>
      </c>
      <c r="K342" s="86" t="str" cm="1">
        <f t="array" ref="K342">LOOKUP(2,1/($G$6:$G$14&lt;=$L342)/($H$6:$H$14&gt;=$L342),$F$6:$F$14)</f>
        <v>FY18</v>
      </c>
      <c r="L342" s="118">
        <v>43109</v>
      </c>
      <c r="M342" s="49">
        <v>7690223.6971484777</v>
      </c>
      <c r="N342" s="49">
        <v>10086497.401179943</v>
      </c>
      <c r="O342" s="50">
        <v>2000000</v>
      </c>
      <c r="P342" s="119" cm="1">
        <f t="array" ref="P342">LOOKUP(2,1/($B$10:$B$14&lt;=$L342)/($C$10:$C$14&gt;=$L342),$D$10:$D$14)</f>
        <v>0.85</v>
      </c>
      <c r="Q342" s="120" cm="1">
        <f t="array" ref="Q342">LOOKUP(2,1/($B$17:$B$21&lt;=$L342)/($C$17:$C$21&gt;=$L342),$D$17:$D$21)</f>
        <v>76.767600000000002</v>
      </c>
      <c r="R342" s="113" t="str">
        <f t="shared" si="257"/>
        <v/>
      </c>
      <c r="S342" s="113" t="str">
        <f t="shared" si="258"/>
        <v>2H18</v>
      </c>
      <c r="T342" s="113" t="str">
        <f t="shared" ca="1" si="259"/>
        <v/>
      </c>
      <c r="U342" s="113" t="str">
        <f t="shared" si="260"/>
        <v/>
      </c>
      <c r="V342" s="113" t="str">
        <f t="shared" si="261"/>
        <v>FY18</v>
      </c>
      <c r="W342" s="113" t="str">
        <f t="shared" ca="1" si="262"/>
        <v/>
      </c>
    </row>
    <row r="343" spans="10:23" x14ac:dyDescent="0.25">
      <c r="J343" s="86" t="str" cm="1">
        <f t="array" ref="J343">LOOKUP(2,1/($G$17:$G$33&lt;=$L343)/($H$17:$H$33&gt;=$L343),$F$17:$F$33)</f>
        <v>2H18</v>
      </c>
      <c r="K343" s="86" t="str" cm="1">
        <f t="array" ref="K343">LOOKUP(2,1/($G$6:$G$14&lt;=$L343)/($H$6:$H$14&gt;=$L343),$F$6:$F$14)</f>
        <v>FY18</v>
      </c>
      <c r="L343" s="118">
        <v>43102</v>
      </c>
      <c r="M343" s="49">
        <v>37889141.838741407</v>
      </c>
      <c r="N343" s="49">
        <v>49695398.435693227</v>
      </c>
      <c r="O343" s="50">
        <v>40000000</v>
      </c>
      <c r="P343" s="119" cm="1">
        <f t="array" ref="P343">LOOKUP(2,1/($B$10:$B$14&lt;=$L343)/($C$10:$C$14&gt;=$L343),$D$10:$D$14)</f>
        <v>0.85</v>
      </c>
      <c r="Q343" s="120" cm="1">
        <f t="array" ref="Q343">LOOKUP(2,1/($B$17:$B$21&lt;=$L343)/($C$17:$C$21&gt;=$L343),$D$17:$D$21)</f>
        <v>76.767600000000002</v>
      </c>
      <c r="R343" s="113" t="str">
        <f t="shared" si="257"/>
        <v>2H18</v>
      </c>
      <c r="S343" s="113" t="str">
        <f t="shared" si="258"/>
        <v>2H18</v>
      </c>
      <c r="T343" s="113" t="str">
        <f t="shared" ca="1" si="259"/>
        <v/>
      </c>
      <c r="U343" s="113" t="str">
        <f t="shared" si="260"/>
        <v/>
      </c>
      <c r="V343" s="113" t="str">
        <f t="shared" si="261"/>
        <v>FY18</v>
      </c>
      <c r="W343" s="113" t="str">
        <f t="shared" ca="1" si="262"/>
        <v/>
      </c>
    </row>
    <row r="344" spans="10:23" x14ac:dyDescent="0.25">
      <c r="J344" s="86" t="str" cm="1">
        <f t="array" ref="J344">LOOKUP(2,1/($G$17:$G$33&lt;=$L344)/($H$17:$H$33&gt;=$L344),$F$17:$F$33)</f>
        <v>1H18</v>
      </c>
      <c r="K344" s="86" t="str" cm="1">
        <f t="array" ref="K344">LOOKUP(2,1/($G$6:$G$14&lt;=$L344)/($H$6:$H$14&gt;=$L344),$F$6:$F$14)</f>
        <v>FY18</v>
      </c>
      <c r="L344" s="118">
        <v>43095</v>
      </c>
      <c r="M344" s="49">
        <v>24133365</v>
      </c>
      <c r="N344" s="49">
        <v>31653321.533999998</v>
      </c>
      <c r="O344" s="50">
        <v>30000000</v>
      </c>
      <c r="P344" s="119" cm="1">
        <f t="array" ref="P344">LOOKUP(2,1/($B$10:$B$14&lt;=$L344)/($C$10:$C$14&gt;=$L344),$D$10:$D$14)</f>
        <v>0.85</v>
      </c>
      <c r="Q344" s="120" cm="1">
        <f t="array" ref="Q344">LOOKUP(2,1/($B$17:$B$21&lt;=$L344)/($C$17:$C$21&gt;=$L344),$D$17:$D$21)</f>
        <v>76.767600000000002</v>
      </c>
      <c r="R344" s="113" t="str">
        <f t="shared" si="257"/>
        <v/>
      </c>
      <c r="S344" s="113" t="str">
        <f t="shared" si="258"/>
        <v>2H18</v>
      </c>
      <c r="T344" s="113" t="str">
        <f t="shared" ca="1" si="259"/>
        <v/>
      </c>
      <c r="U344" s="113" t="str">
        <f t="shared" si="260"/>
        <v/>
      </c>
      <c r="V344" s="113" t="str">
        <f t="shared" si="261"/>
        <v>FY18</v>
      </c>
      <c r="W344" s="113" t="str">
        <f t="shared" ca="1" si="262"/>
        <v/>
      </c>
    </row>
    <row r="345" spans="10:23" x14ac:dyDescent="0.25">
      <c r="J345" s="86" t="str" cm="1">
        <f t="array" ref="J345">LOOKUP(2,1/($G$17:$G$33&lt;=$L345)/($H$17:$H$33&gt;=$L345),$F$17:$F$33)</f>
        <v>1H18</v>
      </c>
      <c r="K345" s="86" t="str" cm="1">
        <f t="array" ref="K345">LOOKUP(2,1/($G$6:$G$14&lt;=$L345)/($H$6:$H$14&gt;=$L345),$F$6:$F$14)</f>
        <v>FY18</v>
      </c>
      <c r="L345" s="118">
        <v>43088</v>
      </c>
      <c r="M345" s="49">
        <v>21338925</v>
      </c>
      <c r="N345" s="49">
        <v>27988134.029999997</v>
      </c>
      <c r="O345" s="50">
        <v>20000000</v>
      </c>
      <c r="P345" s="119" cm="1">
        <f t="array" ref="P345">LOOKUP(2,1/($B$10:$B$14&lt;=$L345)/($C$10:$C$14&gt;=$L345),$D$10:$D$14)</f>
        <v>0.85</v>
      </c>
      <c r="Q345" s="120" cm="1">
        <f t="array" ref="Q345">LOOKUP(2,1/($B$17:$B$21&lt;=$L345)/($C$17:$C$21&gt;=$L345),$D$17:$D$21)</f>
        <v>76.767600000000002</v>
      </c>
      <c r="R345" s="113" t="str">
        <f t="shared" si="257"/>
        <v/>
      </c>
      <c r="S345" s="113" t="str">
        <f t="shared" si="258"/>
        <v>2H18</v>
      </c>
      <c r="T345" s="113" t="str">
        <f t="shared" ca="1" si="259"/>
        <v/>
      </c>
      <c r="U345" s="113" t="str">
        <f t="shared" si="260"/>
        <v/>
      </c>
      <c r="V345" s="113" t="str">
        <f t="shared" si="261"/>
        <v>FY18</v>
      </c>
      <c r="W345" s="113" t="str">
        <f t="shared" ca="1" si="262"/>
        <v/>
      </c>
    </row>
    <row r="346" spans="10:23" x14ac:dyDescent="0.25">
      <c r="J346" s="86" t="str" cm="1">
        <f t="array" ref="J346">LOOKUP(2,1/($G$17:$G$33&lt;=$L346)/($H$17:$H$33&gt;=$L346),$F$17:$F$33)</f>
        <v>1H18</v>
      </c>
      <c r="K346" s="86" t="str" cm="1">
        <f t="array" ref="K346">LOOKUP(2,1/($G$6:$G$14&lt;=$L346)/($H$6:$H$14&gt;=$L346),$F$6:$F$14)</f>
        <v>FY18</v>
      </c>
      <c r="L346" s="118">
        <v>43081</v>
      </c>
      <c r="M346" s="49">
        <v>19440846</v>
      </c>
      <c r="N346" s="49">
        <v>25498613.613599997</v>
      </c>
      <c r="O346" s="50">
        <v>15000000</v>
      </c>
      <c r="P346" s="119" cm="1">
        <f t="array" ref="P346">LOOKUP(2,1/($B$10:$B$14&lt;=$L346)/($C$10:$C$14&gt;=$L346),$D$10:$D$14)</f>
        <v>0.85</v>
      </c>
      <c r="Q346" s="120" cm="1">
        <f t="array" ref="Q346">LOOKUP(2,1/($B$17:$B$21&lt;=$L346)/($C$17:$C$21&gt;=$L346),$D$17:$D$21)</f>
        <v>76.767600000000002</v>
      </c>
      <c r="R346" s="113" t="str">
        <f t="shared" si="257"/>
        <v/>
      </c>
      <c r="S346" s="113" t="str">
        <f t="shared" si="258"/>
        <v>2H18</v>
      </c>
      <c r="T346" s="113" t="str">
        <f t="shared" ca="1" si="259"/>
        <v/>
      </c>
      <c r="U346" s="113" t="str">
        <f t="shared" si="260"/>
        <v/>
      </c>
      <c r="V346" s="113" t="str">
        <f t="shared" si="261"/>
        <v>FY18</v>
      </c>
      <c r="W346" s="113" t="str">
        <f t="shared" ca="1" si="262"/>
        <v/>
      </c>
    </row>
    <row r="347" spans="10:23" x14ac:dyDescent="0.25">
      <c r="J347" s="86" t="str" cm="1">
        <f t="array" ref="J347">LOOKUP(2,1/($G$17:$G$33&lt;=$L347)/($H$17:$H$33&gt;=$L347),$F$17:$F$33)</f>
        <v>1H18</v>
      </c>
      <c r="K347" s="86" t="str" cm="1">
        <f t="array" ref="K347">LOOKUP(2,1/($G$6:$G$14&lt;=$L347)/($H$6:$H$14&gt;=$L347),$F$6:$F$14)</f>
        <v>FY18</v>
      </c>
      <c r="L347" s="118">
        <v>43074</v>
      </c>
      <c r="M347" s="49">
        <v>16365918</v>
      </c>
      <c r="N347" s="49">
        <v>21465538.048799999</v>
      </c>
      <c r="O347" s="50">
        <v>10000000</v>
      </c>
      <c r="P347" s="119" cm="1">
        <f t="array" ref="P347">LOOKUP(2,1/($B$10:$B$14&lt;=$L347)/($C$10:$C$14&gt;=$L347),$D$10:$D$14)</f>
        <v>0.85</v>
      </c>
      <c r="Q347" s="120" cm="1">
        <f t="array" ref="Q347">LOOKUP(2,1/($B$17:$B$21&lt;=$L347)/($C$17:$C$21&gt;=$L347),$D$17:$D$21)</f>
        <v>76.767600000000002</v>
      </c>
      <c r="R347" s="113" t="str">
        <f t="shared" si="257"/>
        <v/>
      </c>
      <c r="S347" s="113" t="str">
        <f t="shared" si="258"/>
        <v>2H18</v>
      </c>
      <c r="T347" s="113" t="str">
        <f t="shared" ca="1" si="259"/>
        <v/>
      </c>
      <c r="U347" s="113" t="str">
        <f t="shared" si="260"/>
        <v/>
      </c>
      <c r="V347" s="113" t="str">
        <f t="shared" si="261"/>
        <v>FY18</v>
      </c>
      <c r="W347" s="113" t="str">
        <f t="shared" ca="1" si="262"/>
        <v/>
      </c>
    </row>
    <row r="348" spans="10:23" x14ac:dyDescent="0.25">
      <c r="J348" s="86" t="str" cm="1">
        <f t="array" ref="J348">LOOKUP(2,1/($G$17:$G$33&lt;=$L348)/($H$17:$H$33&gt;=$L348),$F$17:$F$33)</f>
        <v>1H18</v>
      </c>
      <c r="K348" s="86" t="str" cm="1">
        <f t="array" ref="K348">LOOKUP(2,1/($G$6:$G$14&lt;=$L348)/($H$6:$H$14&gt;=$L348),$F$6:$F$14)</f>
        <v>FY18</v>
      </c>
      <c r="L348" s="118">
        <v>43067</v>
      </c>
      <c r="M348" s="49">
        <v>12697128</v>
      </c>
      <c r="N348" s="49">
        <v>16653553.084799998</v>
      </c>
      <c r="O348" s="50">
        <v>5000000</v>
      </c>
      <c r="P348" s="119" cm="1">
        <f t="array" ref="P348">LOOKUP(2,1/($B$10:$B$14&lt;=$L348)/($C$10:$C$14&gt;=$L348),$D$10:$D$14)</f>
        <v>0.85</v>
      </c>
      <c r="Q348" s="120" cm="1">
        <f t="array" ref="Q348">LOOKUP(2,1/($B$17:$B$21&lt;=$L348)/($C$17:$C$21&gt;=$L348),$D$17:$D$21)</f>
        <v>76.767600000000002</v>
      </c>
      <c r="R348" s="113" t="str">
        <f t="shared" si="257"/>
        <v/>
      </c>
      <c r="S348" s="113" t="str">
        <f t="shared" si="258"/>
        <v>2H18</v>
      </c>
      <c r="T348" s="113" t="str">
        <f t="shared" ca="1" si="259"/>
        <v/>
      </c>
      <c r="U348" s="113" t="str">
        <f t="shared" si="260"/>
        <v/>
      </c>
      <c r="V348" s="113" t="str">
        <f t="shared" si="261"/>
        <v>FY18</v>
      </c>
      <c r="W348" s="113" t="str">
        <f t="shared" ca="1" si="262"/>
        <v/>
      </c>
    </row>
    <row r="349" spans="10:23" x14ac:dyDescent="0.25">
      <c r="J349" s="86" t="str" cm="1">
        <f t="array" ref="J349">LOOKUP(2,1/($G$17:$G$33&lt;=$L349)/($H$17:$H$33&gt;=$L349),$F$17:$F$33)</f>
        <v>1H18</v>
      </c>
      <c r="K349" s="86" t="str" cm="1">
        <f t="array" ref="K349">LOOKUP(2,1/($G$6:$G$14&lt;=$L349)/($H$6:$H$14&gt;=$L349),$F$6:$F$14)</f>
        <v>FY18</v>
      </c>
      <c r="L349" s="118">
        <v>43060</v>
      </c>
      <c r="M349" s="49">
        <v>7579353</v>
      </c>
      <c r="N349" s="49">
        <v>9941079.3947999999</v>
      </c>
      <c r="O349" s="50">
        <v>2000000</v>
      </c>
      <c r="P349" s="119" cm="1">
        <f t="array" ref="P349">LOOKUP(2,1/($B$10:$B$14&lt;=$L349)/($C$10:$C$14&gt;=$L349),$D$10:$D$14)</f>
        <v>0.85</v>
      </c>
      <c r="Q349" s="120" cm="1">
        <f t="array" ref="Q349">LOOKUP(2,1/($B$17:$B$21&lt;=$L349)/($C$17:$C$21&gt;=$L349),$D$17:$D$21)</f>
        <v>76.767600000000002</v>
      </c>
      <c r="R349" s="113" t="str">
        <f t="shared" si="257"/>
        <v/>
      </c>
      <c r="S349" s="113" t="str">
        <f t="shared" si="258"/>
        <v>2H18</v>
      </c>
      <c r="T349" s="113" t="str">
        <f t="shared" ca="1" si="259"/>
        <v/>
      </c>
      <c r="U349" s="113" t="str">
        <f t="shared" si="260"/>
        <v/>
      </c>
      <c r="V349" s="113" t="str">
        <f t="shared" si="261"/>
        <v>FY18</v>
      </c>
      <c r="W349" s="113" t="str">
        <f t="shared" ca="1" si="262"/>
        <v/>
      </c>
    </row>
    <row r="350" spans="10:23" x14ac:dyDescent="0.25">
      <c r="J350" s="86" t="str" cm="1">
        <f t="array" ref="J350">LOOKUP(2,1/($G$17:$G$33&lt;=$L350)/($H$17:$H$33&gt;=$L350),$F$17:$F$33)</f>
        <v>1H18</v>
      </c>
      <c r="K350" s="86" t="str" cm="1">
        <f t="array" ref="K350">LOOKUP(2,1/($G$6:$G$14&lt;=$L350)/($H$6:$H$14&gt;=$L350),$F$6:$F$14)</f>
        <v>FY18</v>
      </c>
      <c r="L350" s="118">
        <v>43053</v>
      </c>
      <c r="M350" s="49">
        <v>42557964</v>
      </c>
      <c r="N350" s="49">
        <v>55819025.582399994</v>
      </c>
      <c r="O350" s="50">
        <v>40000000</v>
      </c>
      <c r="P350" s="119" cm="1">
        <f t="array" ref="P350">LOOKUP(2,1/($B$10:$B$14&lt;=$L350)/($C$10:$C$14&gt;=$L350),$D$10:$D$14)</f>
        <v>0.85</v>
      </c>
      <c r="Q350" s="120" cm="1">
        <f t="array" ref="Q350">LOOKUP(2,1/($B$17:$B$21&lt;=$L350)/($C$17:$C$21&gt;=$L350),$D$17:$D$21)</f>
        <v>76.767600000000002</v>
      </c>
      <c r="R350" s="113" t="str">
        <f t="shared" si="257"/>
        <v/>
      </c>
      <c r="S350" s="113" t="str">
        <f t="shared" si="258"/>
        <v>1H18</v>
      </c>
      <c r="T350" s="113" t="str">
        <f t="shared" ca="1" si="259"/>
        <v>2H18</v>
      </c>
      <c r="U350" s="113" t="str">
        <f t="shared" si="260"/>
        <v/>
      </c>
      <c r="V350" s="113" t="str">
        <f t="shared" si="261"/>
        <v>FY18</v>
      </c>
      <c r="W350" s="113" t="str">
        <f t="shared" ca="1" si="262"/>
        <v/>
      </c>
    </row>
    <row r="351" spans="10:23" x14ac:dyDescent="0.25">
      <c r="J351" s="86" t="str" cm="1">
        <f t="array" ref="J351">LOOKUP(2,1/($G$17:$G$33&lt;=$L351)/($H$17:$H$33&gt;=$L351),$F$17:$F$33)</f>
        <v>1H18</v>
      </c>
      <c r="K351" s="86" t="str" cm="1">
        <f t="array" ref="K351">LOOKUP(2,1/($G$6:$G$14&lt;=$L351)/($H$6:$H$14&gt;=$L351),$F$6:$F$14)</f>
        <v>FY18</v>
      </c>
      <c r="L351" s="118">
        <v>43046</v>
      </c>
      <c r="M351" s="49">
        <v>32051757</v>
      </c>
      <c r="N351" s="49">
        <v>42039084.481199995</v>
      </c>
      <c r="O351" s="50">
        <v>30000000</v>
      </c>
      <c r="P351" s="119" cm="1">
        <f t="array" ref="P351">LOOKUP(2,1/($B$10:$B$14&lt;=$L351)/($C$10:$C$14&gt;=$L351),$D$10:$D$14)</f>
        <v>0.85</v>
      </c>
      <c r="Q351" s="120" cm="1">
        <f t="array" ref="Q351">LOOKUP(2,1/($B$17:$B$21&lt;=$L351)/($C$17:$C$21&gt;=$L351),$D$17:$D$21)</f>
        <v>76.767600000000002</v>
      </c>
      <c r="R351" s="113" t="str">
        <f t="shared" si="257"/>
        <v/>
      </c>
      <c r="S351" s="113" t="str">
        <f t="shared" si="258"/>
        <v>1H18</v>
      </c>
      <c r="T351" s="113" t="str">
        <f t="shared" ca="1" si="259"/>
        <v/>
      </c>
      <c r="U351" s="113" t="str">
        <f t="shared" si="260"/>
        <v/>
      </c>
      <c r="V351" s="113" t="str">
        <f t="shared" si="261"/>
        <v>FY18</v>
      </c>
      <c r="W351" s="113" t="str">
        <f t="shared" ca="1" si="262"/>
        <v/>
      </c>
    </row>
    <row r="352" spans="10:23" x14ac:dyDescent="0.25">
      <c r="J352" s="86" t="str" cm="1">
        <f t="array" ref="J352">LOOKUP(2,1/($G$17:$G$33&lt;=$L352)/($H$17:$H$33&gt;=$L352),$F$17:$F$33)</f>
        <v>1H18</v>
      </c>
      <c r="K352" s="86" t="str" cm="1">
        <f t="array" ref="K352">LOOKUP(2,1/($G$6:$G$14&lt;=$L352)/($H$6:$H$14&gt;=$L352),$F$6:$F$14)</f>
        <v>FY18</v>
      </c>
      <c r="L352" s="118">
        <v>43039</v>
      </c>
      <c r="M352" s="49">
        <v>16903404</v>
      </c>
      <c r="N352" s="49">
        <v>22170504.686399996</v>
      </c>
      <c r="O352" s="50">
        <v>15000000</v>
      </c>
      <c r="P352" s="119" cm="1">
        <f t="array" ref="P352">LOOKUP(2,1/($B$10:$B$14&lt;=$L352)/($C$10:$C$14&gt;=$L352),$D$10:$D$14)</f>
        <v>0.85</v>
      </c>
      <c r="Q352" s="120" cm="1">
        <f t="array" ref="Q352">LOOKUP(2,1/($B$17:$B$21&lt;=$L352)/($C$17:$C$21&gt;=$L352),$D$17:$D$21)</f>
        <v>76.767600000000002</v>
      </c>
      <c r="R352" s="113" t="str">
        <f t="shared" si="257"/>
        <v/>
      </c>
      <c r="S352" s="113" t="str">
        <f t="shared" si="258"/>
        <v>1H18</v>
      </c>
      <c r="T352" s="113" t="str">
        <f t="shared" ca="1" si="259"/>
        <v/>
      </c>
      <c r="U352" s="113" t="str">
        <f t="shared" si="260"/>
        <v/>
      </c>
      <c r="V352" s="113" t="str">
        <f t="shared" si="261"/>
        <v>FY18</v>
      </c>
      <c r="W352" s="113" t="str">
        <f t="shared" ca="1" si="262"/>
        <v/>
      </c>
    </row>
    <row r="353" spans="10:23" x14ac:dyDescent="0.25">
      <c r="J353" s="86" t="str" cm="1">
        <f t="array" ref="J353">LOOKUP(2,1/($G$17:$G$33&lt;=$L353)/($H$17:$H$33&gt;=$L353),$F$17:$F$33)</f>
        <v>1H18</v>
      </c>
      <c r="K353" s="86" t="str" cm="1">
        <f t="array" ref="K353">LOOKUP(2,1/($G$6:$G$14&lt;=$L353)/($H$6:$H$14&gt;=$L353),$F$6:$F$14)</f>
        <v>FY18</v>
      </c>
      <c r="L353" s="118">
        <v>43032</v>
      </c>
      <c r="M353" s="49">
        <v>12728970</v>
      </c>
      <c r="N353" s="49">
        <v>16695317.051999999</v>
      </c>
      <c r="O353" s="50">
        <v>10000000</v>
      </c>
      <c r="P353" s="119" cm="1">
        <f t="array" ref="P353">LOOKUP(2,1/($B$10:$B$14&lt;=$L353)/($C$10:$C$14&gt;=$L353),$D$10:$D$14)</f>
        <v>0.85</v>
      </c>
      <c r="Q353" s="120" cm="1">
        <f t="array" ref="Q353">LOOKUP(2,1/($B$17:$B$21&lt;=$L353)/($C$17:$C$21&gt;=$L353),$D$17:$D$21)</f>
        <v>76.767600000000002</v>
      </c>
      <c r="R353" s="113" t="str">
        <f t="shared" si="257"/>
        <v/>
      </c>
      <c r="S353" s="113" t="str">
        <f t="shared" si="258"/>
        <v>1H18</v>
      </c>
      <c r="T353" s="113" t="str">
        <f t="shared" ca="1" si="259"/>
        <v/>
      </c>
      <c r="U353" s="113" t="str">
        <f t="shared" si="260"/>
        <v/>
      </c>
      <c r="V353" s="113" t="str">
        <f t="shared" si="261"/>
        <v>FY18</v>
      </c>
      <c r="W353" s="113" t="str">
        <f t="shared" ca="1" si="262"/>
        <v/>
      </c>
    </row>
    <row r="354" spans="10:23" x14ac:dyDescent="0.25">
      <c r="J354" s="86" t="str" cm="1">
        <f t="array" ref="J354">LOOKUP(2,1/($G$17:$G$33&lt;=$L354)/($H$17:$H$33&gt;=$L354),$F$17:$F$33)</f>
        <v>1H18</v>
      </c>
      <c r="K354" s="86" t="str" cm="1">
        <f t="array" ref="K354">LOOKUP(2,1/($G$6:$G$14&lt;=$L354)/($H$6:$H$14&gt;=$L354),$F$6:$F$14)</f>
        <v>FY18</v>
      </c>
      <c r="L354" s="118">
        <v>43025</v>
      </c>
      <c r="M354" s="49">
        <v>8932377</v>
      </c>
      <c r="N354" s="49">
        <v>11715705.673199998</v>
      </c>
      <c r="O354" s="50">
        <v>5000000</v>
      </c>
      <c r="P354" s="119" cm="1">
        <f t="array" ref="P354">LOOKUP(2,1/($B$10:$B$14&lt;=$L354)/($C$10:$C$14&gt;=$L354),$D$10:$D$14)</f>
        <v>0.85</v>
      </c>
      <c r="Q354" s="120" cm="1">
        <f t="array" ref="Q354">LOOKUP(2,1/($B$17:$B$21&lt;=$L354)/($C$17:$C$21&gt;=$L354),$D$17:$D$21)</f>
        <v>76.767600000000002</v>
      </c>
      <c r="R354" s="113" t="str">
        <f t="shared" si="257"/>
        <v/>
      </c>
      <c r="S354" s="113" t="str">
        <f t="shared" si="258"/>
        <v>1H18</v>
      </c>
      <c r="T354" s="113" t="str">
        <f t="shared" ca="1" si="259"/>
        <v/>
      </c>
      <c r="U354" s="113" t="str">
        <f t="shared" si="260"/>
        <v/>
      </c>
      <c r="V354" s="113" t="str">
        <f t="shared" si="261"/>
        <v>FY18</v>
      </c>
      <c r="W354" s="113" t="str">
        <f t="shared" ca="1" si="262"/>
        <v/>
      </c>
    </row>
    <row r="355" spans="10:23" x14ac:dyDescent="0.25">
      <c r="J355" s="86" t="str" cm="1">
        <f t="array" ref="J355">LOOKUP(2,1/($G$17:$G$33&lt;=$L355)/($H$17:$H$33&gt;=$L355),$F$17:$F$33)</f>
        <v>1H18</v>
      </c>
      <c r="K355" s="86" t="str" cm="1">
        <f t="array" ref="K355">LOOKUP(2,1/($G$6:$G$14&lt;=$L355)/($H$6:$H$14&gt;=$L355),$F$6:$F$14)</f>
        <v>FY18</v>
      </c>
      <c r="L355" s="118">
        <v>43018</v>
      </c>
      <c r="M355" s="49">
        <v>8303976</v>
      </c>
      <c r="N355" s="49">
        <v>10891494.921599999</v>
      </c>
      <c r="O355" s="50">
        <v>2000000</v>
      </c>
      <c r="P355" s="119" cm="1">
        <f t="array" ref="P355">LOOKUP(2,1/($B$10:$B$14&lt;=$L355)/($C$10:$C$14&gt;=$L355),$D$10:$D$14)</f>
        <v>0.85</v>
      </c>
      <c r="Q355" s="120" cm="1">
        <f t="array" ref="Q355">LOOKUP(2,1/($B$17:$B$21&lt;=$L355)/($C$17:$C$21&gt;=$L355),$D$17:$D$21)</f>
        <v>76.767600000000002</v>
      </c>
      <c r="R355" s="113" t="str">
        <f t="shared" si="257"/>
        <v/>
      </c>
      <c r="S355" s="113" t="str">
        <f t="shared" si="258"/>
        <v>1H18</v>
      </c>
      <c r="T355" s="113" t="str">
        <f t="shared" ca="1" si="259"/>
        <v/>
      </c>
      <c r="U355" s="113" t="str">
        <f t="shared" si="260"/>
        <v/>
      </c>
      <c r="V355" s="113" t="str">
        <f t="shared" si="261"/>
        <v>FY18</v>
      </c>
      <c r="W355" s="113" t="str">
        <f t="shared" ca="1" si="262"/>
        <v/>
      </c>
    </row>
    <row r="356" spans="10:23" x14ac:dyDescent="0.25">
      <c r="J356" s="86" t="str" cm="1">
        <f t="array" ref="J356">LOOKUP(2,1/($G$17:$G$33&lt;=$L356)/($H$17:$H$33&gt;=$L356),$F$17:$F$33)</f>
        <v>1H18</v>
      </c>
      <c r="K356" s="86" t="str" cm="1">
        <f t="array" ref="K356">LOOKUP(2,1/($G$6:$G$14&lt;=$L356)/($H$6:$H$14&gt;=$L356),$F$6:$F$14)</f>
        <v>FY18</v>
      </c>
      <c r="L356" s="118">
        <v>43011</v>
      </c>
      <c r="M356" s="49">
        <v>17486652</v>
      </c>
      <c r="N356" s="49">
        <v>22935492.763199996</v>
      </c>
      <c r="O356" s="50">
        <v>15000000</v>
      </c>
      <c r="P356" s="119" cm="1">
        <f t="array" ref="P356">LOOKUP(2,1/($B$10:$B$14&lt;=$L356)/($C$10:$C$14&gt;=$L356),$D$10:$D$14)</f>
        <v>0.85</v>
      </c>
      <c r="Q356" s="120" cm="1">
        <f t="array" ref="Q356">LOOKUP(2,1/($B$17:$B$21&lt;=$L356)/($C$17:$C$21&gt;=$L356),$D$17:$D$21)</f>
        <v>76.767600000000002</v>
      </c>
      <c r="R356" s="113" t="str">
        <f t="shared" si="257"/>
        <v/>
      </c>
      <c r="S356" s="113" t="str">
        <f t="shared" si="258"/>
        <v>1H18</v>
      </c>
      <c r="T356" s="113" t="str">
        <f t="shared" ca="1" si="259"/>
        <v/>
      </c>
      <c r="U356" s="113" t="str">
        <f t="shared" si="260"/>
        <v/>
      </c>
      <c r="V356" s="113" t="str">
        <f t="shared" si="261"/>
        <v>FY18</v>
      </c>
      <c r="W356" s="113" t="str">
        <f t="shared" ca="1" si="262"/>
        <v/>
      </c>
    </row>
    <row r="357" spans="10:23" x14ac:dyDescent="0.25">
      <c r="J357" s="86" t="str" cm="1">
        <f t="array" ref="J357">LOOKUP(2,1/($G$17:$G$33&lt;=$L357)/($H$17:$H$33&gt;=$L357),$F$17:$F$33)</f>
        <v>1H18</v>
      </c>
      <c r="K357" s="86" t="str" cm="1">
        <f t="array" ref="K357">LOOKUP(2,1/($G$6:$G$14&lt;=$L357)/($H$6:$H$14&gt;=$L357),$F$6:$F$14)</f>
        <v>FY18</v>
      </c>
      <c r="L357" s="118">
        <v>43004</v>
      </c>
      <c r="M357" s="49">
        <v>14781213</v>
      </c>
      <c r="N357" s="49">
        <v>19387038.970799997</v>
      </c>
      <c r="O357" s="50">
        <v>10000000</v>
      </c>
      <c r="P357" s="119" cm="1">
        <f t="array" ref="P357">LOOKUP(2,1/($B$10:$B$14&lt;=$L357)/($C$10:$C$14&gt;=$L357),$D$10:$D$14)</f>
        <v>0.85</v>
      </c>
      <c r="Q357" s="120" cm="1">
        <f t="array" ref="Q357">LOOKUP(2,1/($B$17:$B$21&lt;=$L357)/($C$17:$C$21&gt;=$L357),$D$17:$D$21)</f>
        <v>76.767600000000002</v>
      </c>
      <c r="R357" s="113" t="str">
        <f t="shared" si="257"/>
        <v/>
      </c>
      <c r="S357" s="113" t="str">
        <f t="shared" si="258"/>
        <v>1H18</v>
      </c>
      <c r="T357" s="113" t="str">
        <f t="shared" ca="1" si="259"/>
        <v/>
      </c>
      <c r="U357" s="113" t="str">
        <f t="shared" si="260"/>
        <v/>
      </c>
      <c r="V357" s="113" t="str">
        <f t="shared" si="261"/>
        <v>FY18</v>
      </c>
      <c r="W357" s="113" t="str">
        <f t="shared" ca="1" si="262"/>
        <v/>
      </c>
    </row>
    <row r="358" spans="10:23" x14ac:dyDescent="0.25">
      <c r="J358" s="86" t="str" cm="1">
        <f t="array" ref="J358">LOOKUP(2,1/($G$17:$G$33&lt;=$L358)/($H$17:$H$33&gt;=$L358),$F$17:$F$33)</f>
        <v>1H18</v>
      </c>
      <c r="K358" s="86" t="str" cm="1">
        <f t="array" ref="K358">LOOKUP(2,1/($G$6:$G$14&lt;=$L358)/($H$6:$H$14&gt;=$L358),$F$6:$F$14)</f>
        <v>FY18</v>
      </c>
      <c r="L358" s="118">
        <v>42997</v>
      </c>
      <c r="M358" s="49">
        <v>8475801</v>
      </c>
      <c r="N358" s="49">
        <v>11116860.591599999</v>
      </c>
      <c r="O358" s="50">
        <v>5000000</v>
      </c>
      <c r="P358" s="119" cm="1">
        <f t="array" ref="P358">LOOKUP(2,1/($B$10:$B$14&lt;=$L358)/($C$10:$C$14&gt;=$L358),$D$10:$D$14)</f>
        <v>0.85</v>
      </c>
      <c r="Q358" s="120" cm="1">
        <f t="array" ref="Q358">LOOKUP(2,1/($B$17:$B$21&lt;=$L358)/($C$17:$C$21&gt;=$L358),$D$17:$D$21)</f>
        <v>76.767600000000002</v>
      </c>
      <c r="R358" s="113" t="str">
        <f t="shared" si="257"/>
        <v/>
      </c>
      <c r="S358" s="113" t="str">
        <f t="shared" si="258"/>
        <v>1H18</v>
      </c>
      <c r="T358" s="113" t="str">
        <f t="shared" ca="1" si="259"/>
        <v/>
      </c>
      <c r="U358" s="113" t="str">
        <f t="shared" si="260"/>
        <v/>
      </c>
      <c r="V358" s="113" t="str">
        <f t="shared" si="261"/>
        <v>FY18</v>
      </c>
      <c r="W358" s="113" t="str">
        <f t="shared" ca="1" si="262"/>
        <v/>
      </c>
    </row>
    <row r="359" spans="10:23" x14ac:dyDescent="0.25">
      <c r="J359" s="86" t="str" cm="1">
        <f t="array" ref="J359">LOOKUP(2,1/($G$17:$G$33&lt;=$L359)/($H$17:$H$33&gt;=$L359),$F$17:$F$33)</f>
        <v>1H18</v>
      </c>
      <c r="K359" s="86" t="str" cm="1">
        <f t="array" ref="K359">LOOKUP(2,1/($G$6:$G$14&lt;=$L359)/($H$6:$H$14&gt;=$L359),$F$6:$F$14)</f>
        <v>FY18</v>
      </c>
      <c r="L359" s="118">
        <v>42990</v>
      </c>
      <c r="M359" s="49">
        <v>6970440</v>
      </c>
      <c r="N359" s="49">
        <v>9142429.1039999984</v>
      </c>
      <c r="O359" s="50">
        <v>2000000</v>
      </c>
      <c r="P359" s="119" cm="1">
        <f t="array" ref="P359">LOOKUP(2,1/($B$10:$B$14&lt;=$L359)/($C$10:$C$14&gt;=$L359),$D$10:$D$14)</f>
        <v>0.85</v>
      </c>
      <c r="Q359" s="120" cm="1">
        <f t="array" ref="Q359">LOOKUP(2,1/($B$17:$B$21&lt;=$L359)/($C$17:$C$21&gt;=$L359),$D$17:$D$21)</f>
        <v>76.767600000000002</v>
      </c>
      <c r="R359" s="113" t="str">
        <f t="shared" si="257"/>
        <v/>
      </c>
      <c r="S359" s="113" t="str">
        <f t="shared" si="258"/>
        <v>1H18</v>
      </c>
      <c r="T359" s="113" t="str">
        <f t="shared" ca="1" si="259"/>
        <v/>
      </c>
      <c r="U359" s="113" t="str">
        <f t="shared" si="260"/>
        <v/>
      </c>
      <c r="V359" s="113" t="str">
        <f t="shared" si="261"/>
        <v>FY18</v>
      </c>
      <c r="W359" s="113" t="str">
        <f t="shared" ca="1" si="262"/>
        <v/>
      </c>
    </row>
    <row r="360" spans="10:23" x14ac:dyDescent="0.25">
      <c r="J360" s="86" t="str" cm="1">
        <f t="array" ref="J360">LOOKUP(2,1/($G$17:$G$33&lt;=$L360)/($H$17:$H$33&gt;=$L360),$F$17:$F$33)</f>
        <v>1H18</v>
      </c>
      <c r="K360" s="86" t="str" cm="1">
        <f t="array" ref="K360">LOOKUP(2,1/($G$6:$G$14&lt;=$L360)/($H$6:$H$14&gt;=$L360),$F$6:$F$14)</f>
        <v>FY18</v>
      </c>
      <c r="L360" s="118">
        <v>42983</v>
      </c>
      <c r="M360" s="49">
        <v>30544134</v>
      </c>
      <c r="N360" s="49">
        <v>40061686.154399998</v>
      </c>
      <c r="O360" s="50">
        <v>30000000</v>
      </c>
      <c r="P360" s="119" cm="1">
        <f t="array" ref="P360">LOOKUP(2,1/($B$10:$B$14&lt;=$L360)/($C$10:$C$14&gt;=$L360),$D$10:$D$14)</f>
        <v>0.85</v>
      </c>
      <c r="Q360" s="120" cm="1">
        <f t="array" ref="Q360">LOOKUP(2,1/($B$17:$B$21&lt;=$L360)/($C$17:$C$21&gt;=$L360),$D$17:$D$21)</f>
        <v>76.767600000000002</v>
      </c>
      <c r="R360" s="113" t="str">
        <f t="shared" si="257"/>
        <v/>
      </c>
      <c r="S360" s="113" t="str">
        <f t="shared" si="258"/>
        <v>1H18</v>
      </c>
      <c r="T360" s="113" t="str">
        <f t="shared" ca="1" si="259"/>
        <v/>
      </c>
      <c r="U360" s="113" t="str">
        <f t="shared" si="260"/>
        <v/>
      </c>
      <c r="V360" s="113" t="str">
        <f t="shared" si="261"/>
        <v>FY18</v>
      </c>
      <c r="W360" s="113" t="str">
        <f t="shared" ca="1" si="262"/>
        <v/>
      </c>
    </row>
    <row r="361" spans="10:23" x14ac:dyDescent="0.25">
      <c r="J361" s="86" t="str" cm="1">
        <f t="array" ref="J361">LOOKUP(2,1/($G$17:$G$33&lt;=$L361)/($H$17:$H$33&gt;=$L361),$F$17:$F$33)</f>
        <v>1H18</v>
      </c>
      <c r="K361" s="86" t="str" cm="1">
        <f t="array" ref="K361">LOOKUP(2,1/($G$6:$G$14&lt;=$L361)/($H$6:$H$14&gt;=$L361),$F$6:$F$14)</f>
        <v>FY18</v>
      </c>
      <c r="L361" s="118">
        <v>42976</v>
      </c>
      <c r="M361" s="49">
        <v>17969328</v>
      </c>
      <c r="N361" s="49">
        <v>23568570.604799997</v>
      </c>
      <c r="O361" s="50">
        <v>15000000</v>
      </c>
      <c r="P361" s="119" cm="1">
        <f t="array" ref="P361">LOOKUP(2,1/($B$10:$B$14&lt;=$L361)/($C$10:$C$14&gt;=$L361),$D$10:$D$14)</f>
        <v>0.85</v>
      </c>
      <c r="Q361" s="120" cm="1">
        <f t="array" ref="Q361">LOOKUP(2,1/($B$17:$B$21&lt;=$L361)/($C$17:$C$21&gt;=$L361),$D$17:$D$21)</f>
        <v>76.767600000000002</v>
      </c>
      <c r="R361" s="113" t="str">
        <f t="shared" si="257"/>
        <v/>
      </c>
      <c r="S361" s="113" t="str">
        <f t="shared" si="258"/>
        <v>1H18</v>
      </c>
      <c r="T361" s="113" t="str">
        <f t="shared" ca="1" si="259"/>
        <v/>
      </c>
      <c r="U361" s="113" t="str">
        <f t="shared" si="260"/>
        <v/>
      </c>
      <c r="V361" s="113" t="str">
        <f t="shared" si="261"/>
        <v>FY18</v>
      </c>
      <c r="W361" s="113" t="str">
        <f t="shared" ca="1" si="262"/>
        <v/>
      </c>
    </row>
    <row r="362" spans="10:23" x14ac:dyDescent="0.25">
      <c r="J362" s="86" t="str" cm="1">
        <f t="array" ref="J362">LOOKUP(2,1/($G$17:$G$33&lt;=$L362)/($H$17:$H$33&gt;=$L362),$F$17:$F$33)</f>
        <v>1H18</v>
      </c>
      <c r="K362" s="86" t="str" cm="1">
        <f t="array" ref="K362">LOOKUP(2,1/($G$6:$G$14&lt;=$L362)/($H$6:$H$14&gt;=$L362),$F$6:$F$14)</f>
        <v>FY18</v>
      </c>
      <c r="L362" s="118">
        <v>42969</v>
      </c>
      <c r="M362" s="49">
        <v>14837763</v>
      </c>
      <c r="N362" s="49">
        <v>19461209.950799998</v>
      </c>
      <c r="O362" s="50">
        <v>10000000</v>
      </c>
      <c r="P362" s="119" cm="1">
        <f t="array" ref="P362">LOOKUP(2,1/($B$10:$B$14&lt;=$L362)/($C$10:$C$14&gt;=$L362),$D$10:$D$14)</f>
        <v>0.85</v>
      </c>
      <c r="Q362" s="120" cm="1">
        <f t="array" ref="Q362">LOOKUP(2,1/($B$17:$B$21&lt;=$L362)/($C$17:$C$21&gt;=$L362),$D$17:$D$21)</f>
        <v>76.767600000000002</v>
      </c>
      <c r="R362" s="113" t="str">
        <f t="shared" si="257"/>
        <v/>
      </c>
      <c r="S362" s="113" t="str">
        <f t="shared" si="258"/>
        <v>1H18</v>
      </c>
      <c r="T362" s="113" t="str">
        <f t="shared" ca="1" si="259"/>
        <v/>
      </c>
      <c r="U362" s="113" t="str">
        <f t="shared" si="260"/>
        <v/>
      </c>
      <c r="V362" s="113" t="str">
        <f t="shared" si="261"/>
        <v>FY18</v>
      </c>
      <c r="W362" s="113" t="str">
        <f t="shared" ca="1" si="262"/>
        <v/>
      </c>
    </row>
    <row r="363" spans="10:23" x14ac:dyDescent="0.25">
      <c r="J363" s="86" t="str" cm="1">
        <f t="array" ref="J363">LOOKUP(2,1/($G$17:$G$33&lt;=$L363)/($H$17:$H$33&gt;=$L363),$F$17:$F$33)</f>
        <v>1H18</v>
      </c>
      <c r="K363" s="86" t="str" cm="1">
        <f t="array" ref="K363">LOOKUP(2,1/($G$6:$G$14&lt;=$L363)/($H$6:$H$14&gt;=$L363),$F$6:$F$14)</f>
        <v>FY18</v>
      </c>
      <c r="L363" s="118">
        <v>42962</v>
      </c>
      <c r="M363" s="49">
        <v>12051588</v>
      </c>
      <c r="N363" s="49">
        <v>15806862.820799999</v>
      </c>
      <c r="O363" s="50">
        <v>5000000</v>
      </c>
      <c r="P363" s="119" cm="1">
        <f t="array" ref="P363">LOOKUP(2,1/($B$10:$B$14&lt;=$L363)/($C$10:$C$14&gt;=$L363),$D$10:$D$14)</f>
        <v>0.85</v>
      </c>
      <c r="Q363" s="120" cm="1">
        <f t="array" ref="Q363">LOOKUP(2,1/($B$17:$B$21&lt;=$L363)/($C$17:$C$21&gt;=$L363),$D$17:$D$21)</f>
        <v>76.767600000000002</v>
      </c>
      <c r="R363" s="113" t="str">
        <f t="shared" si="257"/>
        <v/>
      </c>
      <c r="S363" s="113" t="str">
        <f t="shared" si="258"/>
        <v>1H18</v>
      </c>
      <c r="T363" s="113" t="str">
        <f t="shared" ca="1" si="259"/>
        <v/>
      </c>
      <c r="U363" s="113" t="str">
        <f t="shared" si="260"/>
        <v/>
      </c>
      <c r="V363" s="113" t="str">
        <f t="shared" si="261"/>
        <v>FY18</v>
      </c>
      <c r="W363" s="113" t="str">
        <f t="shared" ca="1" si="262"/>
        <v/>
      </c>
    </row>
    <row r="364" spans="10:23" x14ac:dyDescent="0.25">
      <c r="J364" s="86" t="str" cm="1">
        <f t="array" ref="J364">LOOKUP(2,1/($G$17:$G$33&lt;=$L364)/($H$17:$H$33&gt;=$L364),$F$17:$F$33)</f>
        <v>1H18</v>
      </c>
      <c r="K364" s="86" t="str" cm="1">
        <f t="array" ref="K364">LOOKUP(2,1/($G$6:$G$14&lt;=$L364)/($H$6:$H$14&gt;=$L364),$F$6:$F$14)</f>
        <v>FY18</v>
      </c>
      <c r="L364" s="118">
        <v>42955</v>
      </c>
      <c r="M364" s="49">
        <v>7992777</v>
      </c>
      <c r="N364" s="49">
        <v>10483326.313199999</v>
      </c>
      <c r="O364" s="50">
        <v>2000000</v>
      </c>
      <c r="P364" s="119" cm="1">
        <f t="array" ref="P364">LOOKUP(2,1/($B$10:$B$14&lt;=$L364)/($C$10:$C$14&gt;=$L364),$D$10:$D$14)</f>
        <v>0.85</v>
      </c>
      <c r="Q364" s="120" cm="1">
        <f t="array" ref="Q364">LOOKUP(2,1/($B$17:$B$21&lt;=$L364)/($C$17:$C$21&gt;=$L364),$D$17:$D$21)</f>
        <v>76.767600000000002</v>
      </c>
      <c r="R364" s="113" t="str">
        <f t="shared" si="257"/>
        <v/>
      </c>
      <c r="S364" s="113" t="str">
        <f t="shared" si="258"/>
        <v>1H18</v>
      </c>
      <c r="T364" s="113" t="str">
        <f t="shared" ca="1" si="259"/>
        <v/>
      </c>
      <c r="U364" s="113" t="str">
        <f t="shared" si="260"/>
        <v/>
      </c>
      <c r="V364" s="113" t="str">
        <f t="shared" si="261"/>
        <v>FY18</v>
      </c>
      <c r="W364" s="113" t="str">
        <f ca="1">IF(AND(V364&lt;&gt;V363,ISNUMBER(MATCH($V363,$F$6:$F$14,0))),OFFSET($F$5,MATCH($K364,$F$6:$F$14,0)+1,0),"")</f>
        <v/>
      </c>
    </row>
    <row r="365" spans="10:23" x14ac:dyDescent="0.25">
      <c r="J365" s="86" t="str" cm="1">
        <f t="array" ref="J365">LOOKUP(2,1/($G$17:$G$33&lt;=$L365)/($H$17:$H$33&gt;=$L365),$F$17:$F$33)</f>
        <v>1H18</v>
      </c>
      <c r="K365" s="86" t="str" cm="1">
        <f t="array" ref="K365">LOOKUP(2,1/($G$6:$G$14&lt;=$L365)/($H$6:$H$14&gt;=$L365),$F$6:$F$14)</f>
        <v>FY18</v>
      </c>
      <c r="L365" s="118">
        <v>42948</v>
      </c>
      <c r="M365" s="49">
        <v>10701783</v>
      </c>
      <c r="N365" s="49">
        <v>14036458.582799999</v>
      </c>
      <c r="O365" s="50">
        <v>5000000</v>
      </c>
      <c r="P365" s="119" cm="1">
        <f t="array" ref="P365">LOOKUP(2,1/($B$10:$B$14&lt;=$L365)/($C$10:$C$14&gt;=$L365),$D$10:$D$14)</f>
        <v>0.85</v>
      </c>
      <c r="Q365" s="120" cm="1">
        <f t="array" ref="Q365">LOOKUP(2,1/($B$17:$B$21&lt;=$L365)/($C$17:$C$21&gt;=$L365),$D$17:$D$21)</f>
        <v>76.767600000000002</v>
      </c>
      <c r="R365" s="113" t="str">
        <f t="shared" si="257"/>
        <v/>
      </c>
      <c r="S365" s="113" t="str">
        <f t="shared" si="258"/>
        <v>1H18</v>
      </c>
      <c r="T365" s="113" t="str">
        <f t="shared" ca="1" si="259"/>
        <v/>
      </c>
      <c r="U365" s="113" t="str">
        <f t="shared" si="260"/>
        <v/>
      </c>
      <c r="V365" s="113" t="str">
        <f t="shared" si="261"/>
        <v>FY18</v>
      </c>
      <c r="W365" s="113" t="str">
        <f t="shared" ref="W365:W381" ca="1" si="263">IF(AND(V365&lt;&gt;V364,ISNUMBER(MATCH($V364,$F$6:$F$14,0))),OFFSET($F$5,MATCH($K365,$F$6:$F$14,0)+1,0),"")</f>
        <v/>
      </c>
    </row>
    <row r="366" spans="10:23" x14ac:dyDescent="0.25">
      <c r="J366" s="86" t="str" cm="1">
        <f t="array" ref="J366">LOOKUP(2,1/($G$17:$G$33&lt;=$L366)/($H$17:$H$33&gt;=$L366),$F$17:$F$33)</f>
        <v>1H18</v>
      </c>
      <c r="K366" s="86" t="str" cm="1">
        <f t="array" ref="K366">LOOKUP(2,1/($G$6:$G$14&lt;=$L366)/($H$6:$H$14&gt;=$L366),$F$6:$F$14)</f>
        <v>FY18</v>
      </c>
      <c r="L366" s="118">
        <v>42941</v>
      </c>
      <c r="M366" s="49">
        <v>8908191</v>
      </c>
      <c r="N366" s="49">
        <v>11683983.315599998</v>
      </c>
      <c r="O366" s="50">
        <v>2000000</v>
      </c>
      <c r="P366" s="119" cm="1">
        <f t="array" ref="P366">LOOKUP(2,1/($B$10:$B$14&lt;=$L366)/($C$10:$C$14&gt;=$L366),$D$10:$D$14)</f>
        <v>0.85</v>
      </c>
      <c r="Q366" s="120" cm="1">
        <f t="array" ref="Q366">LOOKUP(2,1/($B$17:$B$21&lt;=$L366)/($C$17:$C$21&gt;=$L366),$D$17:$D$21)</f>
        <v>76.767600000000002</v>
      </c>
      <c r="R366" s="113" t="str">
        <f t="shared" si="257"/>
        <v/>
      </c>
      <c r="S366" s="113" t="str">
        <f t="shared" si="258"/>
        <v>1H18</v>
      </c>
      <c r="T366" s="113" t="str">
        <f t="shared" ca="1" si="259"/>
        <v/>
      </c>
      <c r="U366" s="113" t="str">
        <f t="shared" si="260"/>
        <v/>
      </c>
      <c r="V366" s="113" t="str">
        <f t="shared" si="261"/>
        <v>FY18</v>
      </c>
      <c r="W366" s="113" t="str">
        <f t="shared" ca="1" si="263"/>
        <v/>
      </c>
    </row>
    <row r="367" spans="10:23" x14ac:dyDescent="0.25">
      <c r="J367" s="86" t="str" cm="1">
        <f t="array" ref="J367">LOOKUP(2,1/($G$17:$G$33&lt;=$L367)/($H$17:$H$33&gt;=$L367),$F$17:$F$33)</f>
        <v>1H18</v>
      </c>
      <c r="K367" s="86" t="str" cm="1">
        <f t="array" ref="K367">LOOKUP(2,1/($G$6:$G$14&lt;=$L367)/($H$6:$H$14&gt;=$L367),$F$6:$F$14)</f>
        <v>FY18</v>
      </c>
      <c r="L367" s="118">
        <v>42934</v>
      </c>
      <c r="M367" s="49">
        <v>59494776</v>
      </c>
      <c r="N367" s="49">
        <v>78033348.201599985</v>
      </c>
      <c r="O367" s="50">
        <v>50000000</v>
      </c>
      <c r="P367" s="119" cm="1">
        <f t="array" ref="P367">LOOKUP(2,1/($B$10:$B$14&lt;=$L367)/($C$10:$C$14&gt;=$L367),$D$10:$D$14)</f>
        <v>0.85</v>
      </c>
      <c r="Q367" s="120" cm="1">
        <f t="array" ref="Q367">LOOKUP(2,1/($B$17:$B$21&lt;=$L367)/($C$17:$C$21&gt;=$L367),$D$17:$D$21)</f>
        <v>76.767600000000002</v>
      </c>
      <c r="R367" s="113" t="str">
        <f t="shared" si="257"/>
        <v/>
      </c>
      <c r="S367" s="113" t="str">
        <f t="shared" si="258"/>
        <v>1H18</v>
      </c>
      <c r="T367" s="113" t="str">
        <f t="shared" ca="1" si="259"/>
        <v/>
      </c>
      <c r="U367" s="113" t="str">
        <f t="shared" si="260"/>
        <v/>
      </c>
      <c r="V367" s="113" t="str">
        <f t="shared" si="261"/>
        <v>FY18</v>
      </c>
      <c r="W367" s="113" t="str">
        <f t="shared" ca="1" si="263"/>
        <v/>
      </c>
    </row>
    <row r="368" spans="10:23" x14ac:dyDescent="0.25">
      <c r="J368" s="86" t="str" cm="1">
        <f t="array" ref="J368">LOOKUP(2,1/($G$17:$G$33&lt;=$L368)/($H$17:$H$33&gt;=$L368),$F$17:$F$33)</f>
        <v>1H18</v>
      </c>
      <c r="K368" s="86" t="str" cm="1">
        <f t="array" ref="K368">LOOKUP(2,1/($G$6:$G$14&lt;=$L368)/($H$6:$H$14&gt;=$L368),$F$6:$F$14)</f>
        <v>FY18</v>
      </c>
      <c r="L368" s="118">
        <v>42927</v>
      </c>
      <c r="M368" s="49">
        <v>38580672</v>
      </c>
      <c r="N368" s="49">
        <v>50602409.395199992</v>
      </c>
      <c r="O368" s="50">
        <v>40000000</v>
      </c>
      <c r="P368" s="119" cm="1">
        <f t="array" ref="P368">LOOKUP(2,1/($B$10:$B$14&lt;=$L368)/($C$10:$C$14&gt;=$L368),$D$10:$D$14)</f>
        <v>0.85</v>
      </c>
      <c r="Q368" s="120" cm="1">
        <f t="array" ref="Q368">LOOKUP(2,1/($B$17:$B$21&lt;=$L368)/($C$17:$C$21&gt;=$L368),$D$17:$D$21)</f>
        <v>76.767600000000002</v>
      </c>
      <c r="R368" s="113" t="str">
        <f t="shared" si="257"/>
        <v/>
      </c>
      <c r="S368" s="113" t="str">
        <f t="shared" si="258"/>
        <v>1H18</v>
      </c>
      <c r="T368" s="113" t="str">
        <f t="shared" ca="1" si="259"/>
        <v/>
      </c>
      <c r="U368" s="113" t="str">
        <f t="shared" si="260"/>
        <v/>
      </c>
      <c r="V368" s="113" t="str">
        <f t="shared" si="261"/>
        <v>FY18</v>
      </c>
      <c r="W368" s="113" t="str">
        <f t="shared" ca="1" si="263"/>
        <v/>
      </c>
    </row>
    <row r="369" spans="10:23" x14ac:dyDescent="0.25">
      <c r="J369" s="86" t="str" cm="1">
        <f t="array" ref="J369">LOOKUP(2,1/($G$17:$G$33&lt;=$L369)/($H$17:$H$33&gt;=$L369),$F$17:$F$33)</f>
        <v>1H18</v>
      </c>
      <c r="K369" s="86" t="str" cm="1">
        <f t="array" ref="K369">LOOKUP(2,1/($G$6:$G$14&lt;=$L369)/($H$6:$H$14&gt;=$L369),$F$6:$F$14)</f>
        <v>FY18</v>
      </c>
      <c r="L369" s="118">
        <v>42920</v>
      </c>
      <c r="M369" s="49">
        <v>31919691</v>
      </c>
      <c r="N369" s="49">
        <v>41865866.715599999</v>
      </c>
      <c r="O369" s="50">
        <v>30000000</v>
      </c>
      <c r="P369" s="119" cm="1">
        <f t="array" ref="P369">LOOKUP(2,1/($B$10:$B$14&lt;=$L369)/($C$10:$C$14&gt;=$L369),$D$10:$D$14)</f>
        <v>0.85</v>
      </c>
      <c r="Q369" s="120" cm="1">
        <f t="array" ref="Q369">LOOKUP(2,1/($B$17:$B$21&lt;=$L369)/($C$17:$C$21&gt;=$L369),$D$17:$D$21)</f>
        <v>76.767600000000002</v>
      </c>
      <c r="R369" s="113" t="str">
        <f t="shared" si="257"/>
        <v>1H18</v>
      </c>
      <c r="S369" s="113" t="str">
        <f t="shared" si="258"/>
        <v>1H18</v>
      </c>
      <c r="T369" s="113" t="str">
        <f t="shared" ca="1" si="259"/>
        <v/>
      </c>
      <c r="U369" s="113" t="str">
        <f t="shared" si="260"/>
        <v>FY18</v>
      </c>
      <c r="V369" s="113" t="str">
        <f t="shared" si="261"/>
        <v>FY18</v>
      </c>
      <c r="W369" s="113" t="str">
        <f t="shared" ca="1" si="263"/>
        <v/>
      </c>
    </row>
    <row r="370" spans="10:23" x14ac:dyDescent="0.25">
      <c r="J370" s="86" t="str" cm="1">
        <f t="array" ref="J370">LOOKUP(2,1/($G$17:$G$33&lt;=$L370)/($H$17:$H$33&gt;=$L370),$F$17:$F$33)</f>
        <v>2H17</v>
      </c>
      <c r="K370" s="86" t="str" cm="1">
        <f t="array" ref="K370">LOOKUP(2,1/($G$6:$G$14&lt;=$L370)/($H$6:$H$14&gt;=$L370),$F$6:$F$14)</f>
        <v>FY17</v>
      </c>
      <c r="L370" s="118">
        <v>42913</v>
      </c>
      <c r="M370" s="49">
        <v>16866690</v>
      </c>
      <c r="N370" s="49">
        <v>22122350.603999998</v>
      </c>
      <c r="O370" s="50">
        <v>15000000</v>
      </c>
      <c r="P370" s="119" cm="1">
        <f t="array" ref="P370">LOOKUP(2,1/($B$10:$B$14&lt;=$L370)/($C$10:$C$14&gt;=$L370),$D$10:$D$14)</f>
        <v>0.85</v>
      </c>
      <c r="Q370" s="120" cm="1">
        <f t="array" ref="Q370">LOOKUP(2,1/($B$17:$B$21&lt;=$L370)/($C$17:$C$21&gt;=$L370),$D$17:$D$21)</f>
        <v>76.767600000000002</v>
      </c>
      <c r="R370" s="113" t="str">
        <f t="shared" si="257"/>
        <v/>
      </c>
      <c r="S370" s="113" t="str">
        <f t="shared" si="258"/>
        <v>1H18</v>
      </c>
      <c r="T370" s="113" t="str">
        <f t="shared" ca="1" si="259"/>
        <v/>
      </c>
      <c r="U370" s="113" t="str">
        <f t="shared" si="260"/>
        <v/>
      </c>
      <c r="V370" s="113" t="str">
        <f t="shared" si="261"/>
        <v>FY18</v>
      </c>
      <c r="W370" s="113" t="str">
        <f t="shared" ca="1" si="263"/>
        <v/>
      </c>
    </row>
    <row r="371" spans="10:23" x14ac:dyDescent="0.25">
      <c r="J371" s="86" t="str" cm="1">
        <f t="array" ref="J371">LOOKUP(2,1/($G$17:$G$33&lt;=$L371)/($H$17:$H$33&gt;=$L371),$F$17:$F$33)</f>
        <v>2H17</v>
      </c>
      <c r="K371" s="86" t="str" cm="1">
        <f t="array" ref="K371">LOOKUP(2,1/($G$6:$G$14&lt;=$L371)/($H$6:$H$14&gt;=$L371),$F$6:$F$14)</f>
        <v>FY17</v>
      </c>
      <c r="L371" s="118">
        <v>42906</v>
      </c>
      <c r="M371" s="49">
        <v>14624091</v>
      </c>
      <c r="N371" s="49">
        <v>19180957.755599998</v>
      </c>
      <c r="O371" s="50">
        <v>10000000</v>
      </c>
      <c r="P371" s="119" cm="1">
        <f t="array" ref="P371">LOOKUP(2,1/($B$10:$B$14&lt;=$L371)/($C$10:$C$14&gt;=$L371),$D$10:$D$14)</f>
        <v>0.85</v>
      </c>
      <c r="Q371" s="120" cm="1">
        <f t="array" ref="Q371">LOOKUP(2,1/($B$17:$B$21&lt;=$L371)/($C$17:$C$21&gt;=$L371),$D$17:$D$21)</f>
        <v>76.767600000000002</v>
      </c>
      <c r="R371" s="113" t="str">
        <f t="shared" si="257"/>
        <v/>
      </c>
      <c r="S371" s="113" t="str">
        <f t="shared" si="258"/>
        <v>1H18</v>
      </c>
      <c r="T371" s="113" t="str">
        <f t="shared" ca="1" si="259"/>
        <v/>
      </c>
      <c r="U371" s="113" t="str">
        <f t="shared" si="260"/>
        <v/>
      </c>
      <c r="V371" s="113" t="str">
        <f t="shared" si="261"/>
        <v>FY18</v>
      </c>
      <c r="W371" s="113" t="str">
        <f t="shared" ca="1" si="263"/>
        <v/>
      </c>
    </row>
    <row r="372" spans="10:23" x14ac:dyDescent="0.25">
      <c r="J372" s="86" t="str" cm="1">
        <f t="array" ref="J372">LOOKUP(2,1/($G$17:$G$33&lt;=$L372)/($H$17:$H$33&gt;=$L372),$F$17:$F$33)</f>
        <v>2H17</v>
      </c>
      <c r="K372" s="86" t="str" cm="1">
        <f t="array" ref="K372">LOOKUP(2,1/($G$6:$G$14&lt;=$L372)/($H$6:$H$14&gt;=$L372),$F$6:$F$14)</f>
        <v>FY17</v>
      </c>
      <c r="L372" s="118">
        <v>42899</v>
      </c>
      <c r="M372" s="49">
        <v>9122037</v>
      </c>
      <c r="N372" s="49">
        <v>11964463.729199998</v>
      </c>
      <c r="O372" s="50">
        <v>5000000</v>
      </c>
      <c r="P372" s="119" cm="1">
        <f t="array" ref="P372">LOOKUP(2,1/($B$10:$B$14&lt;=$L372)/($C$10:$C$14&gt;=$L372),$D$10:$D$14)</f>
        <v>0.85</v>
      </c>
      <c r="Q372" s="120" cm="1">
        <f t="array" ref="Q372">LOOKUP(2,1/($B$17:$B$21&lt;=$L372)/($C$17:$C$21&gt;=$L372),$D$17:$D$21)</f>
        <v>76.767600000000002</v>
      </c>
      <c r="R372" s="113" t="str">
        <f t="shared" si="257"/>
        <v/>
      </c>
      <c r="S372" s="113" t="str">
        <f t="shared" si="258"/>
        <v>1H18</v>
      </c>
      <c r="T372" s="113" t="str">
        <f t="shared" ca="1" si="259"/>
        <v/>
      </c>
      <c r="U372" s="113" t="str">
        <f t="shared" si="260"/>
        <v/>
      </c>
      <c r="V372" s="113" t="str">
        <f t="shared" si="261"/>
        <v>FY18</v>
      </c>
      <c r="W372" s="113" t="str">
        <f t="shared" ca="1" si="263"/>
        <v/>
      </c>
    </row>
    <row r="373" spans="10:23" x14ac:dyDescent="0.25">
      <c r="J373" s="86" t="str" cm="1">
        <f t="array" ref="J373">LOOKUP(2,1/($G$17:$G$33&lt;=$L373)/($H$17:$H$33&gt;=$L373),$F$17:$F$33)</f>
        <v>2H17</v>
      </c>
      <c r="K373" s="86" t="str" cm="1">
        <f t="array" ref="K373">LOOKUP(2,1/($G$6:$G$14&lt;=$L373)/($H$6:$H$14&gt;=$L373),$F$6:$F$14)</f>
        <v>FY17</v>
      </c>
      <c r="L373" s="118">
        <v>42892</v>
      </c>
      <c r="M373" s="49">
        <v>8455704</v>
      </c>
      <c r="N373" s="49">
        <v>11090501.3664</v>
      </c>
      <c r="O373" s="50">
        <v>2000000</v>
      </c>
      <c r="P373" s="119" cm="1">
        <f t="array" ref="P373">LOOKUP(2,1/($B$10:$B$14&lt;=$L373)/($C$10:$C$14&gt;=$L373),$D$10:$D$14)</f>
        <v>0.85</v>
      </c>
      <c r="Q373" s="120" cm="1">
        <f t="array" ref="Q373">LOOKUP(2,1/($B$17:$B$21&lt;=$L373)/($C$17:$C$21&gt;=$L373),$D$17:$D$21)</f>
        <v>76.767600000000002</v>
      </c>
      <c r="R373" s="113" t="str">
        <f t="shared" si="257"/>
        <v/>
      </c>
      <c r="S373" s="113" t="str">
        <f t="shared" si="258"/>
        <v>1H18</v>
      </c>
      <c r="T373" s="113" t="str">
        <f t="shared" ca="1" si="259"/>
        <v/>
      </c>
      <c r="U373" s="113" t="str">
        <f t="shared" si="260"/>
        <v/>
      </c>
      <c r="V373" s="113" t="str">
        <f t="shared" si="261"/>
        <v>FY18</v>
      </c>
      <c r="W373" s="113" t="str">
        <f t="shared" ca="1" si="263"/>
        <v/>
      </c>
    </row>
    <row r="374" spans="10:23" x14ac:dyDescent="0.25">
      <c r="J374" s="86" t="str" cm="1">
        <f t="array" ref="J374">LOOKUP(2,1/($G$17:$G$33&lt;=$L374)/($H$17:$H$33&gt;=$L374),$F$17:$F$33)</f>
        <v>2H17</v>
      </c>
      <c r="K374" s="86" t="str" cm="1">
        <f t="array" ref="K374">LOOKUP(2,1/($G$6:$G$14&lt;=$L374)/($H$6:$H$14&gt;=$L374),$F$6:$F$14)</f>
        <v>FY17</v>
      </c>
      <c r="L374" s="118">
        <v>42885</v>
      </c>
      <c r="M374" s="49">
        <v>38186127</v>
      </c>
      <c r="N374" s="49">
        <v>50084924.173199996</v>
      </c>
      <c r="O374" s="50">
        <v>40000000</v>
      </c>
      <c r="P374" s="119" cm="1">
        <f t="array" ref="P374">LOOKUP(2,1/($B$10:$B$14&lt;=$L374)/($C$10:$C$14&gt;=$L374),$D$10:$D$14)</f>
        <v>0.85</v>
      </c>
      <c r="Q374" s="120" cm="1">
        <f t="array" ref="Q374">LOOKUP(2,1/($B$17:$B$21&lt;=$L374)/($C$17:$C$21&gt;=$L374),$D$17:$D$21)</f>
        <v>76.767600000000002</v>
      </c>
      <c r="R374" s="113" t="str">
        <f t="shared" si="257"/>
        <v/>
      </c>
      <c r="S374" s="113" t="str">
        <f t="shared" si="258"/>
        <v>2H17</v>
      </c>
      <c r="T374" s="113" t="str">
        <f t="shared" ca="1" si="259"/>
        <v>1H18</v>
      </c>
      <c r="U374" s="113" t="str">
        <f t="shared" si="260"/>
        <v/>
      </c>
      <c r="V374" s="113" t="str">
        <f t="shared" si="261"/>
        <v>FY17</v>
      </c>
      <c r="W374" s="113" t="str">
        <f t="shared" ca="1" si="263"/>
        <v>FY18</v>
      </c>
    </row>
    <row r="375" spans="10:23" x14ac:dyDescent="0.25">
      <c r="J375" s="86" t="str" cm="1">
        <f t="array" ref="J375">LOOKUP(2,1/($G$17:$G$33&lt;=$L375)/($H$17:$H$33&gt;=$L375),$F$17:$F$33)</f>
        <v>2H17</v>
      </c>
      <c r="K375" s="86" t="str" cm="1">
        <f t="array" ref="K375">LOOKUP(2,1/($G$6:$G$14&lt;=$L375)/($H$6:$H$14&gt;=$L375),$F$6:$F$14)</f>
        <v>FY17</v>
      </c>
      <c r="L375" s="118">
        <v>42878</v>
      </c>
      <c r="M375" s="49">
        <v>29804286</v>
      </c>
      <c r="N375" s="49">
        <v>39091301.5176</v>
      </c>
      <c r="O375" s="50">
        <v>30000000</v>
      </c>
      <c r="P375" s="119" cm="1">
        <f t="array" ref="P375">LOOKUP(2,1/($B$10:$B$14&lt;=$L375)/($C$10:$C$14&gt;=$L375),$D$10:$D$14)</f>
        <v>0.85</v>
      </c>
      <c r="Q375" s="120" cm="1">
        <f t="array" ref="Q375">LOOKUP(2,1/($B$17:$B$21&lt;=$L375)/($C$17:$C$21&gt;=$L375),$D$17:$D$21)</f>
        <v>76.767600000000002</v>
      </c>
      <c r="R375" s="113" t="str">
        <f t="shared" si="257"/>
        <v/>
      </c>
      <c r="S375" s="113" t="str">
        <f t="shared" si="258"/>
        <v>2H17</v>
      </c>
      <c r="T375" s="113" t="str">
        <f t="shared" ca="1" si="259"/>
        <v/>
      </c>
      <c r="U375" s="113" t="str">
        <f t="shared" si="260"/>
        <v/>
      </c>
      <c r="V375" s="113" t="str">
        <f t="shared" si="261"/>
        <v>FY17</v>
      </c>
      <c r="W375" s="113" t="str">
        <f t="shared" ca="1" si="263"/>
        <v/>
      </c>
    </row>
    <row r="376" spans="10:23" x14ac:dyDescent="0.25">
      <c r="J376" s="86" t="str" cm="1">
        <f t="array" ref="J376">LOOKUP(2,1/($G$17:$G$33&lt;=$L376)/($H$17:$H$33&gt;=$L376),$F$17:$F$33)</f>
        <v>2H17</v>
      </c>
      <c r="K376" s="86" t="str" cm="1">
        <f t="array" ref="K376">LOOKUP(2,1/($G$6:$G$14&lt;=$L376)/($H$6:$H$14&gt;=$L376),$F$6:$F$14)</f>
        <v>FY17</v>
      </c>
      <c r="L376" s="118">
        <v>42871</v>
      </c>
      <c r="M376" s="49">
        <v>17864406</v>
      </c>
      <c r="N376" s="49">
        <v>23430954.909599997</v>
      </c>
      <c r="O376" s="50">
        <v>15000000</v>
      </c>
      <c r="P376" s="119" cm="1">
        <f t="array" ref="P376">LOOKUP(2,1/($B$10:$B$14&lt;=$L376)/($C$10:$C$14&gt;=$L376),$D$10:$D$14)</f>
        <v>0.85</v>
      </c>
      <c r="Q376" s="120" cm="1">
        <f t="array" ref="Q376">LOOKUP(2,1/($B$17:$B$21&lt;=$L376)/($C$17:$C$21&gt;=$L376),$D$17:$D$21)</f>
        <v>76.767600000000002</v>
      </c>
      <c r="R376" s="113" t="str">
        <f t="shared" si="257"/>
        <v/>
      </c>
      <c r="S376" s="113" t="str">
        <f t="shared" si="258"/>
        <v>2H17</v>
      </c>
      <c r="T376" s="113" t="str">
        <f t="shared" ca="1" si="259"/>
        <v/>
      </c>
      <c r="U376" s="113" t="str">
        <f t="shared" si="260"/>
        <v/>
      </c>
      <c r="V376" s="113" t="str">
        <f t="shared" si="261"/>
        <v>FY17</v>
      </c>
      <c r="W376" s="113" t="str">
        <f t="shared" ca="1" si="263"/>
        <v/>
      </c>
    </row>
    <row r="377" spans="10:23" x14ac:dyDescent="0.25">
      <c r="J377" s="86" t="str" cm="1">
        <f t="array" ref="J377">LOOKUP(2,1/($G$17:$G$33&lt;=$L377)/($H$17:$H$33&gt;=$L377),$F$17:$F$33)</f>
        <v>2H17</v>
      </c>
      <c r="K377" s="86" t="str" cm="1">
        <f t="array" ref="K377">LOOKUP(2,1/($G$6:$G$14&lt;=$L377)/($H$6:$H$14&gt;=$L377),$F$6:$F$14)</f>
        <v>FY17</v>
      </c>
      <c r="L377" s="118">
        <v>42864</v>
      </c>
      <c r="M377" s="49">
        <v>11564040</v>
      </c>
      <c r="N377" s="49">
        <v>15167394.863999998</v>
      </c>
      <c r="O377" s="50">
        <v>10000000</v>
      </c>
      <c r="P377" s="119" cm="1">
        <f t="array" ref="P377">LOOKUP(2,1/($B$10:$B$14&lt;=$L377)/($C$10:$C$14&gt;=$L377),$D$10:$D$14)</f>
        <v>0.85</v>
      </c>
      <c r="Q377" s="120" cm="1">
        <f t="array" ref="Q377">LOOKUP(2,1/($B$17:$B$21&lt;=$L377)/($C$17:$C$21&gt;=$L377),$D$17:$D$21)</f>
        <v>76.767600000000002</v>
      </c>
      <c r="R377" s="113" t="str">
        <f t="shared" si="257"/>
        <v/>
      </c>
      <c r="S377" s="113" t="str">
        <f t="shared" si="258"/>
        <v>2H17</v>
      </c>
      <c r="T377" s="113" t="str">
        <f t="shared" ca="1" si="259"/>
        <v/>
      </c>
      <c r="U377" s="113" t="str">
        <f t="shared" si="260"/>
        <v/>
      </c>
      <c r="V377" s="113" t="str">
        <f t="shared" si="261"/>
        <v>FY17</v>
      </c>
      <c r="W377" s="113" t="str">
        <f t="shared" ca="1" si="263"/>
        <v/>
      </c>
    </row>
    <row r="378" spans="10:23" x14ac:dyDescent="0.25">
      <c r="J378" s="86" t="str" cm="1">
        <f t="array" ref="J378">LOOKUP(2,1/($G$17:$G$33&lt;=$L378)/($H$17:$H$33&gt;=$L378),$F$17:$F$33)</f>
        <v>2H17</v>
      </c>
      <c r="K378" s="86" t="str" cm="1">
        <f t="array" ref="K378">LOOKUP(2,1/($G$6:$G$14&lt;=$L378)/($H$6:$H$14&gt;=$L378),$F$6:$F$14)</f>
        <v>FY17</v>
      </c>
      <c r="L378" s="118">
        <v>42857</v>
      </c>
      <c r="M378" s="49">
        <v>8327727</v>
      </c>
      <c r="N378" s="49">
        <v>10922646.733199999</v>
      </c>
      <c r="O378" s="50">
        <v>5000000</v>
      </c>
      <c r="P378" s="119" cm="1">
        <f t="array" ref="P378">LOOKUP(2,1/($B$10:$B$14&lt;=$L378)/($C$10:$C$14&gt;=$L378),$D$10:$D$14)</f>
        <v>0.85</v>
      </c>
      <c r="Q378" s="120" cm="1">
        <f t="array" ref="Q378">LOOKUP(2,1/($B$17:$B$21&lt;=$L378)/($C$17:$C$21&gt;=$L378),$D$17:$D$21)</f>
        <v>76.767600000000002</v>
      </c>
      <c r="R378" s="113" t="str">
        <f t="shared" si="257"/>
        <v/>
      </c>
      <c r="S378" s="113" t="str">
        <f t="shared" si="258"/>
        <v>2H17</v>
      </c>
      <c r="T378" s="113" t="str">
        <f t="shared" ca="1" si="259"/>
        <v/>
      </c>
      <c r="U378" s="113" t="str">
        <f t="shared" si="260"/>
        <v/>
      </c>
      <c r="V378" s="113" t="str">
        <f t="shared" si="261"/>
        <v>FY17</v>
      </c>
      <c r="W378" s="113" t="str">
        <f t="shared" ca="1" si="263"/>
        <v/>
      </c>
    </row>
    <row r="379" spans="10:23" x14ac:dyDescent="0.25">
      <c r="J379" s="86" t="str" cm="1">
        <f t="array" ref="J379">LOOKUP(2,1/($G$17:$G$33&lt;=$L379)/($H$17:$H$33&gt;=$L379),$F$17:$F$33)</f>
        <v>2H17</v>
      </c>
      <c r="K379" s="86" t="str" cm="1">
        <f t="array" ref="K379">LOOKUP(2,1/($G$6:$G$14&lt;=$L379)/($H$6:$H$14&gt;=$L379),$F$6:$F$14)</f>
        <v>FY17</v>
      </c>
      <c r="L379" s="118">
        <v>42850</v>
      </c>
      <c r="M379" s="49">
        <v>6310110</v>
      </c>
      <c r="N379" s="49">
        <v>8276340.2759999996</v>
      </c>
      <c r="O379" s="50">
        <v>2000000</v>
      </c>
      <c r="P379" s="119" cm="1">
        <f t="array" ref="P379">LOOKUP(2,1/($B$10:$B$14&lt;=$L379)/($C$10:$C$14&gt;=$L379),$D$10:$D$14)</f>
        <v>0.85</v>
      </c>
      <c r="Q379" s="120" cm="1">
        <f t="array" ref="Q379">LOOKUP(2,1/($B$17:$B$21&lt;=$L379)/($C$17:$C$21&gt;=$L379),$D$17:$D$21)</f>
        <v>76.767600000000002</v>
      </c>
      <c r="R379" s="113" t="str">
        <f t="shared" si="257"/>
        <v/>
      </c>
      <c r="S379" s="113" t="str">
        <f t="shared" si="258"/>
        <v>2H17</v>
      </c>
      <c r="T379" s="113" t="str">
        <f t="shared" ca="1" si="259"/>
        <v/>
      </c>
      <c r="U379" s="113" t="str">
        <f t="shared" si="260"/>
        <v/>
      </c>
      <c r="V379" s="113" t="str">
        <f t="shared" si="261"/>
        <v>FY17</v>
      </c>
      <c r="W379" s="113" t="str">
        <f t="shared" ca="1" si="263"/>
        <v/>
      </c>
    </row>
    <row r="380" spans="10:23" x14ac:dyDescent="0.25">
      <c r="J380" s="86" t="str" cm="1">
        <f t="array" ref="J380">LOOKUP(2,1/($G$17:$G$33&lt;=$L380)/($H$17:$H$33&gt;=$L380),$F$17:$F$33)</f>
        <v>2H17</v>
      </c>
      <c r="K380" s="86" t="str" cm="1">
        <f t="array" ref="K380">LOOKUP(2,1/($G$6:$G$14&lt;=$L380)/($H$6:$H$14&gt;=$L380),$F$6:$F$14)</f>
        <v>FY17</v>
      </c>
      <c r="L380" s="118">
        <v>42843</v>
      </c>
      <c r="M380" s="49">
        <v>12940554</v>
      </c>
      <c r="N380" s="49">
        <v>16972830.626399998</v>
      </c>
      <c r="O380" s="50">
        <v>10000000</v>
      </c>
      <c r="P380" s="119" cm="1">
        <f t="array" ref="P380">LOOKUP(2,1/($B$10:$B$14&lt;=$L380)/($C$10:$C$14&gt;=$L380),$D$10:$D$14)</f>
        <v>0.85</v>
      </c>
      <c r="Q380" s="120" cm="1">
        <f t="array" ref="Q380">LOOKUP(2,1/($B$17:$B$21&lt;=$L380)/($C$17:$C$21&gt;=$L380),$D$17:$D$21)</f>
        <v>76.767600000000002</v>
      </c>
      <c r="R380" s="113" t="str">
        <f t="shared" si="257"/>
        <v/>
      </c>
      <c r="S380" s="113" t="str">
        <f t="shared" si="258"/>
        <v>2H17</v>
      </c>
      <c r="T380" s="113" t="str">
        <f t="shared" ca="1" si="259"/>
        <v/>
      </c>
      <c r="U380" s="113" t="str">
        <f t="shared" si="260"/>
        <v/>
      </c>
      <c r="V380" s="113" t="str">
        <f t="shared" si="261"/>
        <v>FY17</v>
      </c>
      <c r="W380" s="113" t="str">
        <f t="shared" ca="1" si="263"/>
        <v/>
      </c>
    </row>
    <row r="381" spans="10:23" x14ac:dyDescent="0.25">
      <c r="J381" s="86" t="str" cm="1">
        <f t="array" ref="J381">LOOKUP(2,1/($G$17:$G$33&lt;=$L381)/($H$17:$H$33&gt;=$L381),$F$17:$F$33)</f>
        <v>2H17</v>
      </c>
      <c r="K381" s="86" t="str" cm="1">
        <f t="array" ref="K381">LOOKUP(2,1/($G$6:$G$14&lt;=$L381)/($H$6:$H$14&gt;=$L381),$F$6:$F$14)</f>
        <v>FY17</v>
      </c>
      <c r="L381" s="118">
        <v>42836</v>
      </c>
      <c r="M381" s="49">
        <v>9453855</v>
      </c>
      <c r="N381" s="49">
        <v>12399676.217999998</v>
      </c>
      <c r="O381" s="50">
        <v>5000000</v>
      </c>
      <c r="P381" s="119" cm="1">
        <f t="array" ref="P381">LOOKUP(2,1/($B$10:$B$14&lt;=$L381)/($C$10:$C$14&gt;=$L381),$D$10:$D$14)</f>
        <v>0.85</v>
      </c>
      <c r="Q381" s="120" cm="1">
        <f t="array" ref="Q381">LOOKUP(2,1/($B$17:$B$21&lt;=$L381)/($C$17:$C$21&gt;=$L381),$D$17:$D$21)</f>
        <v>76.767600000000002</v>
      </c>
      <c r="R381" s="113" t="str">
        <f t="shared" si="257"/>
        <v/>
      </c>
      <c r="S381" s="113" t="str">
        <f t="shared" si="258"/>
        <v>2H17</v>
      </c>
      <c r="T381" s="113" t="str">
        <f t="shared" ca="1" si="259"/>
        <v/>
      </c>
      <c r="U381" s="113" t="str">
        <f t="shared" si="260"/>
        <v/>
      </c>
      <c r="V381" s="113" t="str">
        <f t="shared" si="261"/>
        <v>FY17</v>
      </c>
      <c r="W381" s="113" t="str">
        <f t="shared" ca="1" si="263"/>
        <v/>
      </c>
    </row>
    <row r="382" spans="10:23" x14ac:dyDescent="0.25">
      <c r="J382" s="86" t="str" cm="1">
        <f t="array" ref="J382">LOOKUP(2,1/($G$17:$G$33&lt;=$L382)/($H$17:$H$33&gt;=$L382),$F$17:$F$33)</f>
        <v>2H17</v>
      </c>
      <c r="K382" s="86" t="str" cm="1">
        <f t="array" ref="K382">LOOKUP(2,1/($G$6:$G$14&lt;=$L382)/($H$6:$H$14&gt;=$L382),$F$6:$F$14)</f>
        <v>FY17</v>
      </c>
      <c r="L382" s="118">
        <v>42829</v>
      </c>
      <c r="M382" s="49">
        <v>7664787</v>
      </c>
      <c r="N382" s="49">
        <v>10053134.629199998</v>
      </c>
      <c r="O382" s="50">
        <v>2000000</v>
      </c>
      <c r="P382" s="119" cm="1">
        <f t="array" ref="P382">LOOKUP(2,1/($B$10:$B$14&lt;=$L382)/($C$10:$C$14&gt;=$L382),$D$10:$D$14)</f>
        <v>0.85</v>
      </c>
      <c r="Q382" s="120" cm="1">
        <f t="array" ref="Q382">LOOKUP(2,1/($B$17:$B$21&lt;=$L382)/($C$17:$C$21&gt;=$L382),$D$17:$D$21)</f>
        <v>76.767600000000002</v>
      </c>
      <c r="R382" s="113" t="str">
        <f t="shared" si="257"/>
        <v/>
      </c>
      <c r="S382" s="113" t="str">
        <f t="shared" si="258"/>
        <v>2H17</v>
      </c>
      <c r="T382" s="113" t="str">
        <f t="shared" ca="1" si="259"/>
        <v/>
      </c>
      <c r="U382" s="113" t="str">
        <f t="shared" si="260"/>
        <v/>
      </c>
      <c r="V382" s="113" t="str">
        <f t="shared" si="261"/>
        <v>FY17</v>
      </c>
      <c r="W382" s="113" t="str">
        <f t="shared" ref="W382:W395" ca="1" si="264">IF(AND(V382&lt;&gt;V381,ISNUMBER(MATCH($V381,$F$6:$F$14,0))),OFFSET($F$5,MATCH($K382,$F$6:$F$14,0)+1,0),"")</f>
        <v/>
      </c>
    </row>
    <row r="383" spans="10:23" x14ac:dyDescent="0.25">
      <c r="J383" s="86" t="str" cm="1">
        <f t="array" ref="J383">LOOKUP(2,1/($G$17:$G$33&lt;=$L383)/($H$17:$H$33&gt;=$L383),$F$17:$F$33)</f>
        <v>2H17</v>
      </c>
      <c r="K383" s="86" t="str" cm="1">
        <f t="array" ref="K383">LOOKUP(2,1/($G$6:$G$14&lt;=$L383)/($H$6:$H$14&gt;=$L383),$F$6:$F$14)</f>
        <v>FY17</v>
      </c>
      <c r="L383" s="118">
        <v>42822</v>
      </c>
      <c r="M383" s="49">
        <v>14813838</v>
      </c>
      <c r="N383" s="49">
        <v>19429829.920799997</v>
      </c>
      <c r="O383" s="50">
        <v>15000000</v>
      </c>
      <c r="P383" s="119" cm="1">
        <f t="array" ref="P383">LOOKUP(2,1/($B$10:$B$14&lt;=$L383)/($C$10:$C$14&gt;=$L383),$D$10:$D$14)</f>
        <v>0.85</v>
      </c>
      <c r="Q383" s="120" cm="1">
        <f t="array" ref="Q383">LOOKUP(2,1/($B$17:$B$21&lt;=$L383)/($C$17:$C$21&gt;=$L383),$D$17:$D$21)</f>
        <v>76.767600000000002</v>
      </c>
      <c r="R383" s="113" t="str">
        <f t="shared" si="257"/>
        <v/>
      </c>
      <c r="S383" s="113" t="str">
        <f t="shared" si="258"/>
        <v>2H17</v>
      </c>
      <c r="T383" s="113" t="str">
        <f t="shared" ca="1" si="259"/>
        <v/>
      </c>
      <c r="U383" s="113" t="str">
        <f t="shared" si="260"/>
        <v/>
      </c>
      <c r="V383" s="113" t="str">
        <f t="shared" si="261"/>
        <v>FY17</v>
      </c>
      <c r="W383" s="113" t="str">
        <f t="shared" ca="1" si="264"/>
        <v/>
      </c>
    </row>
    <row r="384" spans="10:23" x14ac:dyDescent="0.25">
      <c r="J384" s="86" t="str" cm="1">
        <f t="array" ref="J384">LOOKUP(2,1/($G$17:$G$33&lt;=$L384)/($H$17:$H$33&gt;=$L384),$F$17:$F$33)</f>
        <v>2H17</v>
      </c>
      <c r="K384" s="86" t="str" cm="1">
        <f t="array" ref="K384">LOOKUP(2,1/($G$6:$G$14&lt;=$L384)/($H$6:$H$14&gt;=$L384),$F$6:$F$14)</f>
        <v>FY17</v>
      </c>
      <c r="L384" s="118">
        <v>42815</v>
      </c>
      <c r="M384" s="49">
        <v>13299516</v>
      </c>
      <c r="N384" s="49">
        <v>17443645.185599998</v>
      </c>
      <c r="O384" s="50">
        <v>10000000</v>
      </c>
      <c r="P384" s="119" cm="1">
        <f t="array" ref="P384">LOOKUP(2,1/($B$10:$B$14&lt;=$L384)/($C$10:$C$14&gt;=$L384),$D$10:$D$14)</f>
        <v>0.85</v>
      </c>
      <c r="Q384" s="120" cm="1">
        <f t="array" ref="Q384">LOOKUP(2,1/($B$17:$B$21&lt;=$L384)/($C$17:$C$21&gt;=$L384),$D$17:$D$21)</f>
        <v>76.767600000000002</v>
      </c>
      <c r="R384" s="113" t="str">
        <f t="shared" si="257"/>
        <v/>
      </c>
      <c r="S384" s="113" t="str">
        <f t="shared" si="258"/>
        <v>2H17</v>
      </c>
      <c r="T384" s="113" t="str">
        <f t="shared" ca="1" si="259"/>
        <v/>
      </c>
      <c r="U384" s="113" t="str">
        <f t="shared" si="260"/>
        <v/>
      </c>
      <c r="V384" s="113" t="str">
        <f t="shared" si="261"/>
        <v>FY17</v>
      </c>
      <c r="W384" s="113" t="str">
        <f t="shared" ca="1" si="264"/>
        <v/>
      </c>
    </row>
    <row r="385" spans="10:23" x14ac:dyDescent="0.25">
      <c r="J385" s="86" t="str" cm="1">
        <f t="array" ref="J385">LOOKUP(2,1/($G$17:$G$33&lt;=$L385)/($H$17:$H$33&gt;=$L385),$F$17:$F$33)</f>
        <v>2H17</v>
      </c>
      <c r="K385" s="86" t="str" cm="1">
        <f t="array" ref="K385">LOOKUP(2,1/($G$6:$G$14&lt;=$L385)/($H$6:$H$14&gt;=$L385),$F$6:$F$14)</f>
        <v>FY17</v>
      </c>
      <c r="L385" s="118">
        <v>42808</v>
      </c>
      <c r="M385" s="49">
        <v>10107051</v>
      </c>
      <c r="N385" s="49">
        <v>13256408.091599999</v>
      </c>
      <c r="O385" s="50">
        <v>5000000</v>
      </c>
      <c r="P385" s="119" cm="1">
        <f t="array" ref="P385">LOOKUP(2,1/($B$10:$B$14&lt;=$L385)/($C$10:$C$14&gt;=$L385),$D$10:$D$14)</f>
        <v>0.85</v>
      </c>
      <c r="Q385" s="120" cm="1">
        <f t="array" ref="Q385">LOOKUP(2,1/($B$17:$B$21&lt;=$L385)/($C$17:$C$21&gt;=$L385),$D$17:$D$21)</f>
        <v>76.767600000000002</v>
      </c>
      <c r="R385" s="113" t="str">
        <f t="shared" si="257"/>
        <v/>
      </c>
      <c r="S385" s="113" t="str">
        <f t="shared" si="258"/>
        <v>2H17</v>
      </c>
      <c r="T385" s="113" t="str">
        <f t="shared" ca="1" si="259"/>
        <v/>
      </c>
      <c r="U385" s="113" t="str">
        <f t="shared" si="260"/>
        <v/>
      </c>
      <c r="V385" s="113" t="str">
        <f t="shared" si="261"/>
        <v>FY17</v>
      </c>
      <c r="W385" s="113" t="str">
        <f t="shared" ca="1" si="264"/>
        <v/>
      </c>
    </row>
    <row r="386" spans="10:23" x14ac:dyDescent="0.25">
      <c r="J386" s="86" t="str" cm="1">
        <f t="array" ref="J386">LOOKUP(2,1/($G$17:$G$33&lt;=$L386)/($H$17:$H$33&gt;=$L386),$F$17:$F$33)</f>
        <v>2H17</v>
      </c>
      <c r="K386" s="86" t="str" cm="1">
        <f t="array" ref="K386">LOOKUP(2,1/($G$6:$G$14&lt;=$L386)/($H$6:$H$14&gt;=$L386),$F$6:$F$14)</f>
        <v>FY17</v>
      </c>
      <c r="L386" s="118">
        <v>42801</v>
      </c>
      <c r="M386" s="49">
        <v>7987383</v>
      </c>
      <c r="N386" s="49">
        <v>10476251.5428</v>
      </c>
      <c r="O386" s="50">
        <v>2000000</v>
      </c>
      <c r="P386" s="119" cm="1">
        <f t="array" ref="P386">LOOKUP(2,1/($B$10:$B$14&lt;=$L386)/($C$10:$C$14&gt;=$L386),$D$10:$D$14)</f>
        <v>0.85</v>
      </c>
      <c r="Q386" s="120" cm="1">
        <f t="array" ref="Q386">LOOKUP(2,1/($B$17:$B$21&lt;=$L386)/($C$17:$C$21&gt;=$L386),$D$17:$D$21)</f>
        <v>76.767600000000002</v>
      </c>
      <c r="R386" s="113" t="str">
        <f t="shared" si="257"/>
        <v/>
      </c>
      <c r="S386" s="113" t="str">
        <f t="shared" si="258"/>
        <v>2H17</v>
      </c>
      <c r="T386" s="113" t="str">
        <f t="shared" ca="1" si="259"/>
        <v/>
      </c>
      <c r="U386" s="113" t="str">
        <f t="shared" si="260"/>
        <v/>
      </c>
      <c r="V386" s="113" t="str">
        <f t="shared" si="261"/>
        <v>FY17</v>
      </c>
      <c r="W386" s="113" t="str">
        <f t="shared" ca="1" si="264"/>
        <v/>
      </c>
    </row>
    <row r="387" spans="10:23" x14ac:dyDescent="0.25">
      <c r="J387" s="86" t="str" cm="1">
        <f t="array" ref="J387">LOOKUP(2,1/($G$17:$G$33&lt;=$L387)/($H$17:$H$33&gt;=$L387),$F$17:$F$33)</f>
        <v>2H17</v>
      </c>
      <c r="K387" s="86" t="str" cm="1">
        <f t="array" ref="K387">LOOKUP(2,1/($G$6:$G$14&lt;=$L387)/($H$6:$H$14&gt;=$L387),$F$6:$F$14)</f>
        <v>FY17</v>
      </c>
      <c r="L387" s="118">
        <v>42794</v>
      </c>
      <c r="M387" s="49">
        <v>14547183</v>
      </c>
      <c r="N387" s="49">
        <v>19080085.222799998</v>
      </c>
      <c r="O387" s="50">
        <v>10000000</v>
      </c>
      <c r="P387" s="119" cm="1">
        <f t="array" ref="P387">LOOKUP(2,1/($B$10:$B$14&lt;=$L387)/($C$10:$C$14&gt;=$L387),$D$10:$D$14)</f>
        <v>0.85</v>
      </c>
      <c r="Q387" s="120" cm="1">
        <f t="array" ref="Q387">LOOKUP(2,1/($B$17:$B$21&lt;=$L387)/($C$17:$C$21&gt;=$L387),$D$17:$D$21)</f>
        <v>76.767600000000002</v>
      </c>
      <c r="R387" s="113" t="str">
        <f t="shared" si="257"/>
        <v/>
      </c>
      <c r="S387" s="113" t="str">
        <f t="shared" si="258"/>
        <v>2H17</v>
      </c>
      <c r="T387" s="113" t="str">
        <f t="shared" ca="1" si="259"/>
        <v/>
      </c>
      <c r="U387" s="113" t="str">
        <f t="shared" si="260"/>
        <v/>
      </c>
      <c r="V387" s="113" t="str">
        <f t="shared" si="261"/>
        <v>FY17</v>
      </c>
      <c r="W387" s="113" t="str">
        <f t="shared" ca="1" si="264"/>
        <v/>
      </c>
    </row>
    <row r="388" spans="10:23" x14ac:dyDescent="0.25">
      <c r="J388" s="86" t="str" cm="1">
        <f t="array" ref="J388">LOOKUP(2,1/($G$17:$G$33&lt;=$L388)/($H$17:$H$33&gt;=$L388),$F$17:$F$33)</f>
        <v>2H17</v>
      </c>
      <c r="K388" s="86" t="str" cm="1">
        <f t="array" ref="K388">LOOKUP(2,1/($G$6:$G$14&lt;=$L388)/($H$6:$H$14&gt;=$L388),$F$6:$F$14)</f>
        <v>FY17</v>
      </c>
      <c r="L388" s="118">
        <v>42787</v>
      </c>
      <c r="M388" s="49">
        <v>10469145</v>
      </c>
      <c r="N388" s="49">
        <v>13731330.581999999</v>
      </c>
      <c r="O388" s="50">
        <v>5000000</v>
      </c>
      <c r="P388" s="119" cm="1">
        <f t="array" ref="P388">LOOKUP(2,1/($B$10:$B$14&lt;=$L388)/($C$10:$C$14&gt;=$L388),$D$10:$D$14)</f>
        <v>0.85</v>
      </c>
      <c r="Q388" s="120" cm="1">
        <f t="array" ref="Q388">LOOKUP(2,1/($B$17:$B$21&lt;=$L388)/($C$17:$C$21&gt;=$L388),$D$17:$D$21)</f>
        <v>76.767600000000002</v>
      </c>
      <c r="R388" s="113" t="str">
        <f t="shared" si="257"/>
        <v/>
      </c>
      <c r="S388" s="113" t="str">
        <f t="shared" si="258"/>
        <v>2H17</v>
      </c>
      <c r="T388" s="113" t="str">
        <f t="shared" ca="1" si="259"/>
        <v/>
      </c>
      <c r="U388" s="113" t="str">
        <f t="shared" si="260"/>
        <v/>
      </c>
      <c r="V388" s="113" t="str">
        <f t="shared" si="261"/>
        <v>FY17</v>
      </c>
      <c r="W388" s="113" t="str">
        <f t="shared" ca="1" si="264"/>
        <v/>
      </c>
    </row>
    <row r="389" spans="10:23" x14ac:dyDescent="0.25">
      <c r="J389" s="86" t="str" cm="1">
        <f t="array" ref="J389">LOOKUP(2,1/($G$17:$G$33&lt;=$L389)/($H$17:$H$33&gt;=$L389),$F$17:$F$33)</f>
        <v>2H17</v>
      </c>
      <c r="K389" s="86" t="str" cm="1">
        <f t="array" ref="K389">LOOKUP(2,1/($G$6:$G$14&lt;=$L389)/($H$6:$H$14&gt;=$L389),$F$6:$F$14)</f>
        <v>FY17</v>
      </c>
      <c r="L389" s="118">
        <v>42780</v>
      </c>
      <c r="M389" s="49">
        <v>7907430</v>
      </c>
      <c r="N389" s="49">
        <v>10371385.187999999</v>
      </c>
      <c r="O389" s="50">
        <v>2000000</v>
      </c>
      <c r="P389" s="119" cm="1">
        <f t="array" ref="P389">LOOKUP(2,1/($B$10:$B$14&lt;=$L389)/($C$10:$C$14&gt;=$L389),$D$10:$D$14)</f>
        <v>0.85</v>
      </c>
      <c r="Q389" s="120" cm="1">
        <f t="array" ref="Q389">LOOKUP(2,1/($B$17:$B$21&lt;=$L389)/($C$17:$C$21&gt;=$L389),$D$17:$D$21)</f>
        <v>76.767600000000002</v>
      </c>
      <c r="R389" s="113" t="str">
        <f t="shared" si="257"/>
        <v/>
      </c>
      <c r="S389" s="113" t="str">
        <f t="shared" si="258"/>
        <v>2H17</v>
      </c>
      <c r="T389" s="113" t="str">
        <f t="shared" ca="1" si="259"/>
        <v/>
      </c>
      <c r="U389" s="113" t="str">
        <f t="shared" si="260"/>
        <v/>
      </c>
      <c r="V389" s="113" t="str">
        <f t="shared" si="261"/>
        <v>FY17</v>
      </c>
      <c r="W389" s="113" t="str">
        <f t="shared" ca="1" si="264"/>
        <v/>
      </c>
    </row>
    <row r="390" spans="10:23" x14ac:dyDescent="0.25">
      <c r="J390" s="86" t="str" cm="1">
        <f t="array" ref="J390">LOOKUP(2,1/($G$17:$G$33&lt;=$L390)/($H$17:$H$33&gt;=$L390),$F$17:$F$33)</f>
        <v>2H17</v>
      </c>
      <c r="K390" s="86" t="str" cm="1">
        <f t="array" ref="K390">LOOKUP(2,1/($G$6:$G$14&lt;=$L390)/($H$6:$H$14&gt;=$L390),$F$6:$F$14)</f>
        <v>FY17</v>
      </c>
      <c r="L390" s="118">
        <v>42773</v>
      </c>
      <c r="M390" s="49">
        <v>30087471</v>
      </c>
      <c r="N390" s="49">
        <v>39462726.963599995</v>
      </c>
      <c r="O390" s="50">
        <v>30000000</v>
      </c>
      <c r="P390" s="119" cm="1">
        <f t="array" ref="P390">LOOKUP(2,1/($B$10:$B$14&lt;=$L390)/($C$10:$C$14&gt;=$L390),$D$10:$D$14)</f>
        <v>0.85</v>
      </c>
      <c r="Q390" s="120" cm="1">
        <f t="array" ref="Q390">LOOKUP(2,1/($B$17:$B$21&lt;=$L390)/($C$17:$C$21&gt;=$L390),$D$17:$D$21)</f>
        <v>76.767600000000002</v>
      </c>
      <c r="R390" s="113" t="str">
        <f t="shared" si="257"/>
        <v/>
      </c>
      <c r="S390" s="113" t="str">
        <f t="shared" si="258"/>
        <v>2H17</v>
      </c>
      <c r="T390" s="113" t="str">
        <f t="shared" ca="1" si="259"/>
        <v/>
      </c>
      <c r="U390" s="113" t="str">
        <f t="shared" si="260"/>
        <v/>
      </c>
      <c r="V390" s="113" t="str">
        <f t="shared" si="261"/>
        <v>FY17</v>
      </c>
      <c r="W390" s="113" t="str">
        <f t="shared" ca="1" si="264"/>
        <v/>
      </c>
    </row>
    <row r="391" spans="10:23" x14ac:dyDescent="0.25">
      <c r="J391" s="86" t="str" cm="1">
        <f t="array" ref="J391">LOOKUP(2,1/($G$17:$G$33&lt;=$L391)/($H$17:$H$33&gt;=$L391),$F$17:$F$33)</f>
        <v>2H17</v>
      </c>
      <c r="K391" s="86" t="str" cm="1">
        <f t="array" ref="K391">LOOKUP(2,1/($G$6:$G$14&lt;=$L391)/($H$6:$H$14&gt;=$L391),$F$6:$F$14)</f>
        <v>FY17</v>
      </c>
      <c r="L391" s="118">
        <v>42766</v>
      </c>
      <c r="M391" s="49">
        <v>23599446</v>
      </c>
      <c r="N391" s="49">
        <v>30953033.373599999</v>
      </c>
      <c r="O391" s="50">
        <v>20000000</v>
      </c>
      <c r="P391" s="119" cm="1">
        <f t="array" ref="P391">LOOKUP(2,1/($B$10:$B$14&lt;=$L391)/($C$10:$C$14&gt;=$L391),$D$10:$D$14)</f>
        <v>0.85</v>
      </c>
      <c r="Q391" s="120" cm="1">
        <f t="array" ref="Q391">LOOKUP(2,1/($B$17:$B$21&lt;=$L391)/($C$17:$C$21&gt;=$L391),$D$17:$D$21)</f>
        <v>76.767600000000002</v>
      </c>
      <c r="R391" s="113" t="str">
        <f t="shared" si="257"/>
        <v/>
      </c>
      <c r="S391" s="113" t="str">
        <f t="shared" si="258"/>
        <v>2H17</v>
      </c>
      <c r="T391" s="113" t="str">
        <f t="shared" ca="1" si="259"/>
        <v/>
      </c>
      <c r="U391" s="113" t="str">
        <f t="shared" si="260"/>
        <v/>
      </c>
      <c r="V391" s="113" t="str">
        <f t="shared" si="261"/>
        <v>FY17</v>
      </c>
      <c r="W391" s="113" t="str">
        <f t="shared" ca="1" si="264"/>
        <v/>
      </c>
    </row>
    <row r="392" spans="10:23" x14ac:dyDescent="0.25">
      <c r="J392" s="86" t="str" cm="1">
        <f t="array" ref="J392">LOOKUP(2,1/($G$17:$G$33&lt;=$L392)/($H$17:$H$33&gt;=$L392),$F$17:$F$33)</f>
        <v>2H17</v>
      </c>
      <c r="K392" s="86" t="str" cm="1">
        <f t="array" ref="K392">LOOKUP(2,1/($G$6:$G$14&lt;=$L392)/($H$6:$H$14&gt;=$L392),$F$6:$F$14)</f>
        <v>FY17</v>
      </c>
      <c r="L392" s="118">
        <v>42759</v>
      </c>
      <c r="M392" s="49">
        <v>19350192</v>
      </c>
      <c r="N392" s="49">
        <v>25379711.827199999</v>
      </c>
      <c r="O392" s="50">
        <v>15000000</v>
      </c>
      <c r="P392" s="119" cm="1">
        <f t="array" ref="P392">LOOKUP(2,1/($B$10:$B$14&lt;=$L392)/($C$10:$C$14&gt;=$L392),$D$10:$D$14)</f>
        <v>0.85</v>
      </c>
      <c r="Q392" s="120" cm="1">
        <f t="array" ref="Q392">LOOKUP(2,1/($B$17:$B$21&lt;=$L392)/($C$17:$C$21&gt;=$L392),$D$17:$D$21)</f>
        <v>76.767600000000002</v>
      </c>
      <c r="R392" s="113" t="str">
        <f t="shared" si="257"/>
        <v/>
      </c>
      <c r="S392" s="113" t="str">
        <f t="shared" si="258"/>
        <v>2H17</v>
      </c>
      <c r="T392" s="113" t="str">
        <f t="shared" ca="1" si="259"/>
        <v/>
      </c>
      <c r="U392" s="113" t="str">
        <f t="shared" si="260"/>
        <v/>
      </c>
      <c r="V392" s="113" t="str">
        <f t="shared" si="261"/>
        <v>FY17</v>
      </c>
      <c r="W392" s="113" t="str">
        <f t="shared" ca="1" si="264"/>
        <v/>
      </c>
    </row>
    <row r="393" spans="10:23" x14ac:dyDescent="0.25">
      <c r="J393" s="86" t="str" cm="1">
        <f t="array" ref="J393">LOOKUP(2,1/($G$17:$G$33&lt;=$L393)/($H$17:$H$33&gt;=$L393),$F$17:$F$33)</f>
        <v>2H17</v>
      </c>
      <c r="K393" s="86" t="str" cm="1">
        <f t="array" ref="K393">LOOKUP(2,1/($G$6:$G$14&lt;=$L393)/($H$6:$H$14&gt;=$L393),$F$6:$F$14)</f>
        <v>FY17</v>
      </c>
      <c r="L393" s="118">
        <v>42752</v>
      </c>
      <c r="M393" s="49">
        <v>15761181</v>
      </c>
      <c r="N393" s="49">
        <v>20672364.999599997</v>
      </c>
      <c r="O393" s="50">
        <v>10000000</v>
      </c>
      <c r="P393" s="119" cm="1">
        <f t="array" ref="P393">LOOKUP(2,1/($B$10:$B$14&lt;=$L393)/($C$10:$C$14&gt;=$L393),$D$10:$D$14)</f>
        <v>0.85</v>
      </c>
      <c r="Q393" s="120" cm="1">
        <f t="array" ref="Q393">LOOKUP(2,1/($B$17:$B$21&lt;=$L393)/($C$17:$C$21&gt;=$L393),$D$17:$D$21)</f>
        <v>76.767600000000002</v>
      </c>
      <c r="R393" s="113" t="str">
        <f t="shared" si="257"/>
        <v/>
      </c>
      <c r="S393" s="113" t="str">
        <f t="shared" si="258"/>
        <v>2H17</v>
      </c>
      <c r="T393" s="113" t="str">
        <f t="shared" ca="1" si="259"/>
        <v/>
      </c>
      <c r="U393" s="113" t="str">
        <f t="shared" si="260"/>
        <v/>
      </c>
      <c r="V393" s="113" t="str">
        <f t="shared" si="261"/>
        <v>FY17</v>
      </c>
      <c r="W393" s="113" t="str">
        <f t="shared" ca="1" si="264"/>
        <v/>
      </c>
    </row>
    <row r="394" spans="10:23" x14ac:dyDescent="0.25">
      <c r="J394" s="86" t="str" cm="1">
        <f t="array" ref="J394">LOOKUP(2,1/($G$17:$G$33&lt;=$L394)/($H$17:$H$33&gt;=$L394),$F$17:$F$33)</f>
        <v>2H17</v>
      </c>
      <c r="K394" s="86" t="str" cm="1">
        <f t="array" ref="K394">LOOKUP(2,1/($G$6:$G$14&lt;=$L394)/($H$6:$H$14&gt;=$L394),$F$6:$F$14)</f>
        <v>FY17</v>
      </c>
      <c r="L394" s="118">
        <v>42745</v>
      </c>
      <c r="M394" s="49">
        <v>9654912</v>
      </c>
      <c r="N394" s="49">
        <v>12663382.5792</v>
      </c>
      <c r="O394" s="50">
        <v>5000000</v>
      </c>
      <c r="P394" s="119" cm="1">
        <f t="array" ref="P394">LOOKUP(2,1/($B$10:$B$14&lt;=$L394)/($C$10:$C$14&gt;=$L394),$D$10:$D$14)</f>
        <v>0.85</v>
      </c>
      <c r="Q394" s="120" cm="1">
        <f t="array" ref="Q394">LOOKUP(2,1/($B$17:$B$21&lt;=$L394)/($C$17:$C$21&gt;=$L394),$D$17:$D$21)</f>
        <v>76.767600000000002</v>
      </c>
      <c r="R394" s="113" t="str">
        <f t="shared" si="257"/>
        <v/>
      </c>
      <c r="S394" s="113" t="str">
        <f t="shared" si="258"/>
        <v>2H17</v>
      </c>
      <c r="T394" s="113" t="str">
        <f ca="1">IF(AND(S394&lt;&gt;S393,ISNUMBER(MATCH($S393,$F$17:$F$33,0))),OFFSET($F$16,MATCH($J394,$F$17:$F$33,0)+1,0),"")</f>
        <v/>
      </c>
      <c r="U394" s="113" t="str">
        <f t="shared" si="260"/>
        <v/>
      </c>
      <c r="V394" s="113" t="str">
        <f t="shared" si="261"/>
        <v>FY17</v>
      </c>
      <c r="W394" s="113" t="str">
        <f t="shared" ca="1" si="264"/>
        <v/>
      </c>
    </row>
    <row r="395" spans="10:23" x14ac:dyDescent="0.25">
      <c r="J395" s="86" t="str" cm="1">
        <f t="array" ref="J395">LOOKUP(2,1/($G$17:$G$33&lt;=$L395)/($H$17:$H$33&gt;=$L395),$F$17:$F$33)</f>
        <v>2H17</v>
      </c>
      <c r="K395" s="86" t="str" cm="1">
        <f t="array" ref="K395">LOOKUP(2,1/($G$6:$G$14&lt;=$L395)/($H$6:$H$14&gt;=$L395),$F$6:$F$14)</f>
        <v>FY17</v>
      </c>
      <c r="L395" s="118">
        <v>42738</v>
      </c>
      <c r="M395" s="49">
        <v>6573894</v>
      </c>
      <c r="N395" s="49">
        <v>8622319.3703999985</v>
      </c>
      <c r="O395" s="50">
        <v>2000000</v>
      </c>
      <c r="P395" s="119" cm="1">
        <f t="array" ref="P395">LOOKUP(2,1/($B$10:$B$14&lt;=$L395)/($C$10:$C$14&gt;=$L395),$D$10:$D$14)</f>
        <v>0.85</v>
      </c>
      <c r="Q395" s="120" cm="1">
        <f t="array" ref="Q395">LOOKUP(2,1/($B$17:$B$21&lt;=$L395)/($C$17:$C$21&gt;=$L395),$D$17:$D$21)</f>
        <v>76.767600000000002</v>
      </c>
      <c r="R395" s="113" t="str">
        <f t="shared" si="257"/>
        <v>2H17</v>
      </c>
      <c r="S395" s="113" t="str">
        <f t="shared" si="258"/>
        <v>2H17</v>
      </c>
      <c r="T395" s="113" t="str">
        <f ca="1">IF(AND(S395&lt;&gt;S394,ISNUMBER(MATCH($S394,$F$17:$F$33,0))),OFFSET($F$16,MATCH($J395,$F$17:$F$33,0)+1,0),"")</f>
        <v/>
      </c>
      <c r="U395" s="113" t="str">
        <f t="shared" si="260"/>
        <v>FY17</v>
      </c>
      <c r="V395" s="113" t="str">
        <f t="shared" si="261"/>
        <v>FY17</v>
      </c>
      <c r="W395" s="113" t="str">
        <f t="shared" ca="1" si="264"/>
        <v/>
      </c>
    </row>
  </sheetData>
  <autoFilter ref="L4:U4" xr:uid="{E9C9A9F7-8FF1-4589-AC7F-B7654CEE2518}">
    <sortState xmlns:xlrd2="http://schemas.microsoft.com/office/spreadsheetml/2017/richdata2" ref="L5:U395">
      <sortCondition descending="1" ref="L4"/>
    </sortState>
  </autoFilter>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PBL</vt:lpstr>
      <vt:lpstr>PBL Summary</vt:lpstr>
      <vt:lpstr>PBL Tables</vt:lpstr>
      <vt:lpstr>PBL OLD</vt:lpstr>
      <vt:lpstr>OZL</vt:lpstr>
      <vt:lpstr>OZL Summary</vt:lpstr>
      <vt:lpstr>OZL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 Bradshaw</dc:creator>
  <cp:lastModifiedBy>Sam Bradshaw</cp:lastModifiedBy>
  <cp:lastPrinted>2026-08-16T12:19:27Z</cp:lastPrinted>
  <dcterms:created xsi:type="dcterms:W3CDTF">2023-09-21T04:17:11Z</dcterms:created>
  <dcterms:modified xsi:type="dcterms:W3CDTF">2026-08-16T23:57:12Z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aad4959-a4d7-4a60-89ba-8fd96e834276_Enabled">
    <vt:lpwstr>true</vt:lpwstr>
  </property>
  <property fmtid="{D5CDD505-2E9C-101B-9397-08002B2CF9AE}" pid="3" name="MSIP_Label_faad4959-a4d7-4a60-89ba-8fd96e834276_SetDate">
    <vt:lpwstr>2024-02-20T13:01:30Z</vt:lpwstr>
  </property>
  <property fmtid="{D5CDD505-2E9C-101B-9397-08002B2CF9AE}" pid="4" name="MSIP_Label_faad4959-a4d7-4a60-89ba-8fd96e834276_Method">
    <vt:lpwstr>Standard</vt:lpwstr>
  </property>
  <property fmtid="{D5CDD505-2E9C-101B-9397-08002B2CF9AE}" pid="5" name="MSIP_Label_faad4959-a4d7-4a60-89ba-8fd96e834276_Name">
    <vt:lpwstr>Restricted - General</vt:lpwstr>
  </property>
  <property fmtid="{D5CDD505-2E9C-101B-9397-08002B2CF9AE}" pid="6" name="MSIP_Label_faad4959-a4d7-4a60-89ba-8fd96e834276_SiteId">
    <vt:lpwstr>6d13d3d5-8b13-4ab4-a345-350f909f5f65</vt:lpwstr>
  </property>
  <property fmtid="{D5CDD505-2E9C-101B-9397-08002B2CF9AE}" pid="7" name="MSIP_Label_faad4959-a4d7-4a60-89ba-8fd96e834276_ActionId">
    <vt:lpwstr>db5003b7-9523-42b9-ad9d-fff96abe4adb</vt:lpwstr>
  </property>
  <property fmtid="{D5CDD505-2E9C-101B-9397-08002B2CF9AE}" pid="8" name="MSIP_Label_faad4959-a4d7-4a60-89ba-8fd96e834276_ContentBits">
    <vt:lpwstr>0</vt:lpwstr>
  </property>
  <property fmtid="{D5CDD505-2E9C-101B-9397-08002B2CF9AE}" pid="9" name="Id">
    <vt:lpwstr>8ec36de5-d417-496c-be6f-09c88580964d</vt:lpwstr>
  </property>
</Properties>
</file>